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drawings/drawing2.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drawings/drawing9.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10.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11.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pivotTables/pivotTable1.xml" ContentType="application/vnd.openxmlformats-officedocument.spreadsheetml.pivotTable+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14.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drawings/drawing15.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6.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7.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drawings/drawing18.xml" ContentType="application/vnd.openxmlformats-officedocument.drawing+xml"/>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ppXLS/"/>
    </mc:Choice>
  </mc:AlternateContent>
  <xr:revisionPtr revIDLastSave="64" documentId="13_ncr:1_{139A2F5F-8CC1-41DE-BC92-4876C376657F}" xr6:coauthVersionLast="47" xr6:coauthVersionMax="47" xr10:uidLastSave="{A61DB76E-F35B-4FEF-ADF4-9C3793CA943C}"/>
  <bookViews>
    <workbookView xWindow="53880" yWindow="-120" windowWidth="29040" windowHeight="15720" tabRatio="905" firstSheet="2" activeTab="2" xr2:uid="{00000000-000D-0000-FFFF-FFFF00000000}"/>
  </bookViews>
  <sheets>
    <sheet name="ANSv6.1-Commodities" sheetId="1" state="veryHidden" r:id="rId1"/>
    <sheet name="ANSv6.1-Technologies" sheetId="2" state="veryHidden" r:id="rId2"/>
    <sheet name="UC_SOL" sheetId="76" r:id="rId3"/>
    <sheet name="UC_RET" sheetId="80" r:id="rId4"/>
    <sheet name="UC_DMD" sheetId="78" r:id="rId5"/>
    <sheet name="UC_RES" sheetId="79" r:id="rId6"/>
    <sheet name="TechData_SolarPV" sheetId="56" r:id="rId7"/>
    <sheet name="TechData_DMD" sheetId="15" r:id="rId8"/>
    <sheet name="Not used&gt;&gt;" sheetId="77" r:id="rId9"/>
    <sheet name="Commodities" sheetId="10" r:id="rId10"/>
    <sheet name="Technologies" sheetId="11" r:id="rId11"/>
    <sheet name="Retrofit" sheetId="81" r:id="rId12"/>
    <sheet name="Resid" sheetId="72" r:id="rId13"/>
    <sheet name="ResDemand" sheetId="25" r:id="rId14"/>
    <sheet name="ResCalc" sheetId="26" r:id="rId15"/>
    <sheet name="DmdCalc" sheetId="60" r:id="rId16"/>
    <sheet name="2010 GHG Emissions" sheetId="68" r:id="rId17"/>
    <sheet name="2010 Fuel Share" sheetId="71" r:id="rId18"/>
    <sheet name="Assumptions_MI" sheetId="74" r:id="rId19"/>
    <sheet name="Original" sheetId="63" r:id="rId20"/>
    <sheet name="Dmd Share" sheetId="70" r:id="rId21"/>
    <sheet name="BldgArea" sheetId="69" r:id="rId22"/>
    <sheet name="USDemand" sheetId="27" r:id="rId23"/>
    <sheet name="RTEKTY Conv" sheetId="29" r:id="rId24"/>
    <sheet name="Pop" sheetId="28" r:id="rId25"/>
    <sheet name="End Use Demand Share" sheetId="64" r:id="rId26"/>
    <sheet name="RECS RESID" sheetId="21" r:id="rId27"/>
    <sheet name="ANSv6.1-Constraints" sheetId="7" state="veryHidden" r:id="rId28"/>
    <sheet name="ANSv6.1-CommData" sheetId="4" state="veryHidden" r:id="rId29"/>
    <sheet name="ANSv6.1-TechData" sheetId="3" state="veryHidden" r:id="rId30"/>
    <sheet name="ANSv6.1-ConstrData" sheetId="8" state="veryHidden" r:id="rId31"/>
    <sheet name="Rooftop Calc" sheetId="65" r:id="rId32"/>
    <sheet name="RESIDs" sheetId="51" r:id="rId33"/>
    <sheet name="AEO14 UEC" sheetId="48" r:id="rId34"/>
    <sheet name="AEO14 rsstk" sheetId="50" r:id="rId35"/>
    <sheet name="AEO14 RLT Techs" sheetId="49" r:id="rId36"/>
    <sheet name="RTEKTY14 agg" sheetId="30" r:id="rId37"/>
    <sheet name="RTEKTY14" sheetId="46" r:id="rId38"/>
    <sheet name="Conv Factors" sheetId="31" r:id="rId39"/>
    <sheet name="ANSv6.0-ConstrData" sheetId="36" state="veryHidden" r:id="rId40"/>
    <sheet name="ANSv6.0-TechData" sheetId="35" state="veryHidden" r:id="rId41"/>
    <sheet name="ANSv6.0-CommData" sheetId="34" state="veryHidden" r:id="rId42"/>
    <sheet name="ANSv6.0-Constraints" sheetId="33" state="veryHidden" r:id="rId43"/>
    <sheet name="ANSv6.0-Technologies" sheetId="32" state="veryHidden" r:id="rId44"/>
    <sheet name="ANSv6.0-Commodities" sheetId="19" state="veryHidden" r:id="rId45"/>
  </sheets>
  <externalReferences>
    <externalReference r:id="rId46"/>
  </externalReferences>
  <definedNames>
    <definedName name="_1995_Implicit_GDP_Deflator" localSheetId="23">'RTEKTY Conv'!#REF!</definedName>
    <definedName name="_2001_Implicit_GDP_Deflator" localSheetId="23">'RTEKTY Conv'!#REF!</definedName>
    <definedName name="_xlnm._FilterDatabase" localSheetId="7" hidden="1">TechData_DMD!$A$7:$AQ$435</definedName>
    <definedName name="_xlnm._FilterDatabase" localSheetId="10" hidden="1">Technologies!$B$1:$I$849</definedName>
    <definedName name="avg_water_heater_PJ" localSheetId="12">#REF!</definedName>
    <definedName name="avg_water_heater_PJ" localSheetId="11">#REF!</definedName>
    <definedName name="avg_water_heater_PJ" localSheetId="6">#REF!</definedName>
    <definedName name="avg_water_heater_PJ">#REF!</definedName>
    <definedName name="btu_per_watthr" localSheetId="23">'RTEKTY Conv'!#REF!</definedName>
    <definedName name="btu_per_watthr">'[1]Conversion Factors'!$B$5</definedName>
    <definedName name="days_per_year" localSheetId="23">'RTEKTY Conv'!#REF!</definedName>
    <definedName name="days_per_year">'[1]Conversion Factors'!$B$3</definedName>
    <definedName name="dollar____per__m" localSheetId="23">'RTEKTY Conv'!#REF!</definedName>
    <definedName name="dollar____per__m">'[1]Conversion Factors'!$B$7</definedName>
    <definedName name="hours_per_day" localSheetId="23">'RTEKTY Conv'!#REF!</definedName>
    <definedName name="hours_per_day">'[1]Conversion Factors'!$B$2</definedName>
    <definedName name="j_per_btu" localSheetId="23">'RTEKTY Conv'!#REF!</definedName>
    <definedName name="j_per_btu">'[1]Conversion Factors'!$B$4</definedName>
    <definedName name="j_per_pj" localSheetId="23">'RTEKTY Conv'!#REF!</definedName>
    <definedName name="j_per_pj">'[1]Conversion Factors'!$B$6</definedName>
    <definedName name="kwhr_per_j" localSheetId="23">'RTEKTY Conv'!#REF!</definedName>
    <definedName name="lumens_per_billion_lumens">'[1]Conversion Factors'!$B$9</definedName>
    <definedName name="unit_per_million_unit" localSheetId="23">'RTEKTY Conv'!#REF!</definedName>
  </definedNames>
  <calcPr calcId="191029"/>
  <pivotCaches>
    <pivotCache cacheId="0" r:id="rId4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55" i="74" l="1"/>
  <c r="I19" i="74"/>
  <c r="J38" i="76"/>
  <c r="K38" i="76"/>
  <c r="L38" i="76"/>
  <c r="M38" i="76"/>
  <c r="N38" i="76"/>
  <c r="K39" i="76"/>
  <c r="L39" i="76"/>
  <c r="M39" i="76"/>
  <c r="N39" i="76"/>
  <c r="J39" i="76"/>
  <c r="K178" i="79"/>
  <c r="K174" i="79"/>
  <c r="K176" i="79" s="1"/>
  <c r="K175" i="79" s="1"/>
  <c r="A177" i="79"/>
  <c r="A173" i="79"/>
  <c r="K170" i="79"/>
  <c r="A169" i="79"/>
  <c r="A165" i="79"/>
  <c r="K166" i="79" l="1"/>
  <c r="K165" i="79" s="1"/>
  <c r="K169" i="79"/>
  <c r="K180" i="79"/>
  <c r="K177" i="79"/>
  <c r="K173" i="79"/>
  <c r="K172" i="79"/>
  <c r="K168" i="79" l="1"/>
  <c r="K179" i="79"/>
  <c r="K171" i="79"/>
  <c r="K167" i="79" l="1"/>
  <c r="M130" i="79" l="1"/>
  <c r="O76" i="79"/>
  <c r="O99" i="79" s="1"/>
  <c r="O51" i="79"/>
  <c r="O52" i="79" s="1"/>
  <c r="O28" i="79" s="1"/>
  <c r="O77" i="79" l="1"/>
  <c r="M22" i="79"/>
  <c r="Q77" i="79"/>
  <c r="P77" i="79"/>
  <c r="N77" i="79"/>
  <c r="M77" i="79"/>
  <c r="M70" i="79"/>
  <c r="B155" i="79"/>
  <c r="N155" i="79"/>
  <c r="O155" i="79" s="1"/>
  <c r="P155" i="79" s="1"/>
  <c r="Q155" i="79" s="1"/>
  <c r="N144" i="79"/>
  <c r="O144" i="79"/>
  <c r="P144" i="79"/>
  <c r="Q144" i="79"/>
  <c r="M144" i="79"/>
  <c r="F16" i="79"/>
  <c r="E16" i="79"/>
  <c r="C16" i="79"/>
  <c r="F12" i="79"/>
  <c r="E12" i="79"/>
  <c r="C12" i="79"/>
  <c r="F8" i="79"/>
  <c r="E8" i="79"/>
  <c r="C8" i="79"/>
  <c r="M48" i="79"/>
  <c r="M39" i="79"/>
  <c r="M6" i="79"/>
  <c r="O27" i="79"/>
  <c r="B27" i="79"/>
  <c r="B19" i="80" l="1"/>
  <c r="B16" i="80"/>
  <c r="B13" i="80"/>
  <c r="B10" i="80"/>
  <c r="B7" i="80"/>
  <c r="M8" i="80"/>
  <c r="M9" i="80" s="1"/>
  <c r="N20" i="80"/>
  <c r="O20" i="80"/>
  <c r="P20" i="80"/>
  <c r="Q20" i="80"/>
  <c r="M20" i="80"/>
  <c r="N17" i="80"/>
  <c r="O17" i="80"/>
  <c r="O18" i="80" s="1"/>
  <c r="P17" i="80"/>
  <c r="P18" i="80" s="1"/>
  <c r="Q17" i="80"/>
  <c r="Q18" i="80" s="1"/>
  <c r="N14" i="80"/>
  <c r="O14" i="80"/>
  <c r="P14" i="80"/>
  <c r="Q14" i="80"/>
  <c r="Q15" i="80" s="1"/>
  <c r="M14" i="80"/>
  <c r="M17" i="80"/>
  <c r="N11" i="80"/>
  <c r="O11" i="80"/>
  <c r="P11" i="80"/>
  <c r="Q11" i="80"/>
  <c r="M11" i="80"/>
  <c r="Q21" i="80"/>
  <c r="P21" i="80"/>
  <c r="O21" i="80"/>
  <c r="N21" i="80"/>
  <c r="M21" i="80"/>
  <c r="N18" i="80"/>
  <c r="M18" i="80"/>
  <c r="P15" i="80"/>
  <c r="O15" i="80"/>
  <c r="N15" i="80"/>
  <c r="M15" i="80"/>
  <c r="Q12" i="80"/>
  <c r="P12" i="80"/>
  <c r="O12" i="80"/>
  <c r="N12" i="80"/>
  <c r="M12" i="80"/>
  <c r="N8" i="80"/>
  <c r="O8" i="80"/>
  <c r="P8" i="80"/>
  <c r="P9" i="80" s="1"/>
  <c r="Q8" i="80"/>
  <c r="N9" i="80"/>
  <c r="O9" i="80"/>
  <c r="Q9" i="80"/>
  <c r="U20" i="81"/>
  <c r="T20" i="81"/>
  <c r="S20" i="81"/>
  <c r="R20" i="81"/>
  <c r="Q20" i="81"/>
  <c r="P20" i="81"/>
  <c r="O20" i="81"/>
  <c r="N20" i="81"/>
  <c r="M20" i="81"/>
  <c r="L20" i="81"/>
  <c r="K20" i="81"/>
  <c r="H20" i="81"/>
  <c r="G20" i="81"/>
  <c r="F20" i="81"/>
  <c r="E20" i="81"/>
  <c r="D20" i="81"/>
  <c r="C20" i="81"/>
  <c r="U19" i="81"/>
  <c r="T19" i="81"/>
  <c r="S19" i="81"/>
  <c r="R19" i="81"/>
  <c r="Q19" i="81"/>
  <c r="P19" i="81"/>
  <c r="O19" i="81"/>
  <c r="N19" i="81"/>
  <c r="M19" i="81"/>
  <c r="L19" i="81"/>
  <c r="K19" i="81"/>
  <c r="H19" i="81"/>
  <c r="G19" i="81"/>
  <c r="F19" i="81"/>
  <c r="E19" i="81"/>
  <c r="D19" i="81"/>
  <c r="C19" i="81"/>
  <c r="U18" i="81"/>
  <c r="T18" i="81"/>
  <c r="S18" i="81"/>
  <c r="R18" i="81"/>
  <c r="Q18" i="81"/>
  <c r="P18" i="81"/>
  <c r="O18" i="81"/>
  <c r="N18" i="81"/>
  <c r="M18" i="81"/>
  <c r="L18" i="81"/>
  <c r="K18" i="81"/>
  <c r="H18" i="81"/>
  <c r="G18" i="81"/>
  <c r="F18" i="81"/>
  <c r="E18" i="81"/>
  <c r="D18" i="81"/>
  <c r="C18" i="81"/>
  <c r="U17" i="81"/>
  <c r="T17" i="81"/>
  <c r="S17" i="81"/>
  <c r="R17" i="81"/>
  <c r="Q17" i="81"/>
  <c r="P17" i="81"/>
  <c r="O17" i="81"/>
  <c r="N17" i="81"/>
  <c r="M17" i="81"/>
  <c r="L17" i="81"/>
  <c r="K17" i="81"/>
  <c r="H17" i="81"/>
  <c r="G17" i="81"/>
  <c r="F17" i="81"/>
  <c r="E17" i="81"/>
  <c r="D17" i="81"/>
  <c r="C17" i="81"/>
  <c r="U16" i="81"/>
  <c r="T16" i="81"/>
  <c r="S16" i="81"/>
  <c r="R16" i="81"/>
  <c r="Q16" i="81"/>
  <c r="P16" i="81"/>
  <c r="O16" i="81"/>
  <c r="N16" i="81"/>
  <c r="M16" i="81"/>
  <c r="L16" i="81"/>
  <c r="K16" i="81"/>
  <c r="H16" i="81"/>
  <c r="G16" i="81"/>
  <c r="F16" i="81"/>
  <c r="E16" i="81"/>
  <c r="D16" i="81"/>
  <c r="C16" i="81"/>
  <c r="O66" i="79" l="1"/>
  <c r="M84" i="79"/>
  <c r="N84" i="79"/>
  <c r="O84" i="79"/>
  <c r="O100" i="79" s="1"/>
  <c r="P84" i="79"/>
  <c r="Q84" i="79"/>
  <c r="M67" i="79"/>
  <c r="B99" i="79"/>
  <c r="Q100" i="79"/>
  <c r="P100" i="79"/>
  <c r="N100" i="79"/>
  <c r="M100" i="79"/>
  <c r="Q78" i="79"/>
  <c r="P78" i="79"/>
  <c r="N78" i="79"/>
  <c r="M78" i="79"/>
  <c r="B76" i="79"/>
  <c r="O53" i="79"/>
  <c r="O29" i="79" s="1"/>
  <c r="B51" i="79"/>
  <c r="Q53" i="79"/>
  <c r="P53" i="79"/>
  <c r="N53" i="79"/>
  <c r="M53" i="79"/>
  <c r="O78" i="79" l="1"/>
  <c r="N67" i="79" l="1"/>
  <c r="N66" i="79"/>
  <c r="P66" i="79"/>
  <c r="Q66" i="79"/>
  <c r="M66" i="79"/>
  <c r="B96" i="79"/>
  <c r="M97" i="79"/>
  <c r="N96" i="79"/>
  <c r="N97" i="79" s="1"/>
  <c r="M24" i="79"/>
  <c r="B21" i="79"/>
  <c r="N21" i="79"/>
  <c r="B69" i="79"/>
  <c r="B24" i="79"/>
  <c r="B66" i="79"/>
  <c r="B42" i="79"/>
  <c r="N142" i="79"/>
  <c r="O142" i="79" s="1"/>
  <c r="P142" i="79" s="1"/>
  <c r="Q142" i="79" s="1"/>
  <c r="B142" i="79"/>
  <c r="M139" i="79"/>
  <c r="B139" i="79"/>
  <c r="M136" i="79"/>
  <c r="B136" i="79"/>
  <c r="B133" i="79"/>
  <c r="B129" i="79"/>
  <c r="M133" i="79"/>
  <c r="M134" i="79" s="1"/>
  <c r="N130" i="79"/>
  <c r="M129" i="79"/>
  <c r="N129" i="79" s="1"/>
  <c r="M153" i="79"/>
  <c r="M154" i="79" s="1"/>
  <c r="M126" i="79"/>
  <c r="B153" i="79"/>
  <c r="B126" i="79"/>
  <c r="B114" i="79"/>
  <c r="B111" i="79"/>
  <c r="B108" i="79"/>
  <c r="M114" i="79"/>
  <c r="M111" i="79"/>
  <c r="M108" i="79"/>
  <c r="M81" i="79"/>
  <c r="M71" i="79"/>
  <c r="N80" i="79"/>
  <c r="N81" i="79" s="1"/>
  <c r="B80" i="79"/>
  <c r="M63" i="79"/>
  <c r="B63" i="79"/>
  <c r="M90" i="79"/>
  <c r="B90" i="79"/>
  <c r="N56" i="79"/>
  <c r="O56" i="79"/>
  <c r="P56" i="79"/>
  <c r="Q56" i="79"/>
  <c r="M56" i="79"/>
  <c r="M72" i="79"/>
  <c r="N72" i="79" s="1"/>
  <c r="O72" i="79" s="1"/>
  <c r="M93" i="79"/>
  <c r="B93" i="79"/>
  <c r="B72" i="79"/>
  <c r="M23" i="79"/>
  <c r="B39" i="79"/>
  <c r="B18" i="79"/>
  <c r="M18" i="79"/>
  <c r="B14" i="79"/>
  <c r="M14" i="79"/>
  <c r="N13" i="79"/>
  <c r="O13" i="79" s="1"/>
  <c r="P13" i="79" s="1"/>
  <c r="Q13" i="79" s="1"/>
  <c r="M45" i="79"/>
  <c r="M46" i="79" s="1"/>
  <c r="M10" i="79"/>
  <c r="M11" i="79" s="1"/>
  <c r="M12" i="79" s="1"/>
  <c r="M31" i="79"/>
  <c r="N31" i="79" s="1"/>
  <c r="O31" i="79" s="1"/>
  <c r="P31" i="79" s="1"/>
  <c r="Q31" i="79" s="1"/>
  <c r="B45" i="79"/>
  <c r="B10" i="79"/>
  <c r="B6" i="79"/>
  <c r="B48" i="79"/>
  <c r="J31" i="78"/>
  <c r="K31" i="78" s="1"/>
  <c r="L31" i="78" s="1"/>
  <c r="M31" i="78" s="1"/>
  <c r="N31" i="78" s="1"/>
  <c r="O31" i="78" s="1"/>
  <c r="P31" i="78" s="1"/>
  <c r="J30" i="78"/>
  <c r="K30" i="78" s="1"/>
  <c r="L30" i="78" s="1"/>
  <c r="M30" i="78" s="1"/>
  <c r="N30" i="78" s="1"/>
  <c r="O30" i="78" s="1"/>
  <c r="P30" i="78" s="1"/>
  <c r="J29" i="78"/>
  <c r="K29" i="78" s="1"/>
  <c r="L29" i="78" s="1"/>
  <c r="M29" i="78" s="1"/>
  <c r="N29" i="78" s="1"/>
  <c r="O29" i="78" s="1"/>
  <c r="P29" i="78" s="1"/>
  <c r="J28" i="78"/>
  <c r="K28" i="78" s="1"/>
  <c r="L28" i="78" s="1"/>
  <c r="M28" i="78" s="1"/>
  <c r="N28" i="78" s="1"/>
  <c r="O28" i="78" s="1"/>
  <c r="P28" i="78" s="1"/>
  <c r="J27" i="78"/>
  <c r="K27" i="78" s="1"/>
  <c r="L27" i="78" s="1"/>
  <c r="M27" i="78" s="1"/>
  <c r="N27" i="78" s="1"/>
  <c r="O27" i="78" s="1"/>
  <c r="P27" i="78" s="1"/>
  <c r="J26" i="78"/>
  <c r="K26" i="78" s="1"/>
  <c r="L26" i="78" s="1"/>
  <c r="M26" i="78" s="1"/>
  <c r="N26" i="78" s="1"/>
  <c r="O26" i="78" s="1"/>
  <c r="P26" i="78" s="1"/>
  <c r="J25" i="78"/>
  <c r="K25" i="78" s="1"/>
  <c r="L25" i="78" s="1"/>
  <c r="M25" i="78" s="1"/>
  <c r="N25" i="78" s="1"/>
  <c r="O25" i="78" s="1"/>
  <c r="P25" i="78" s="1"/>
  <c r="J24" i="78"/>
  <c r="K24" i="78" s="1"/>
  <c r="L24" i="78" s="1"/>
  <c r="M24" i="78" s="1"/>
  <c r="N24" i="78" s="1"/>
  <c r="O24" i="78" s="1"/>
  <c r="P24" i="78" s="1"/>
  <c r="K23" i="78"/>
  <c r="L23" i="78" s="1"/>
  <c r="M23" i="78" s="1"/>
  <c r="N23" i="78" s="1"/>
  <c r="O23" i="78" s="1"/>
  <c r="P23" i="78" s="1"/>
  <c r="J23" i="78"/>
  <c r="J22" i="78"/>
  <c r="K22" i="78" s="1"/>
  <c r="L22" i="78" s="1"/>
  <c r="M22" i="78" s="1"/>
  <c r="N22" i="78" s="1"/>
  <c r="O22" i="78" s="1"/>
  <c r="P22" i="78" s="1"/>
  <c r="J21" i="78"/>
  <c r="K21" i="78" s="1"/>
  <c r="L21" i="78" s="1"/>
  <c r="M21" i="78" s="1"/>
  <c r="N21" i="78" s="1"/>
  <c r="O21" i="78" s="1"/>
  <c r="P21" i="78" s="1"/>
  <c r="J20" i="78"/>
  <c r="K20" i="78" s="1"/>
  <c r="L20" i="78" s="1"/>
  <c r="M20" i="78" s="1"/>
  <c r="N20" i="78" s="1"/>
  <c r="O20" i="78" s="1"/>
  <c r="P20" i="78" s="1"/>
  <c r="J19" i="78"/>
  <c r="K19" i="78" s="1"/>
  <c r="L19" i="78" s="1"/>
  <c r="M19" i="78" s="1"/>
  <c r="N19" i="78" s="1"/>
  <c r="O19" i="78" s="1"/>
  <c r="P19" i="78" s="1"/>
  <c r="J18" i="78"/>
  <c r="K18" i="78" s="1"/>
  <c r="L18" i="78" s="1"/>
  <c r="M18" i="78" s="1"/>
  <c r="N18" i="78" s="1"/>
  <c r="O18" i="78" s="1"/>
  <c r="P18" i="78" s="1"/>
  <c r="J17" i="78"/>
  <c r="K17" i="78" s="1"/>
  <c r="L17" i="78" s="1"/>
  <c r="M17" i="78" s="1"/>
  <c r="N17" i="78" s="1"/>
  <c r="O17" i="78" s="1"/>
  <c r="P17" i="78" s="1"/>
  <c r="J16" i="78"/>
  <c r="K16" i="78" s="1"/>
  <c r="L16" i="78" s="1"/>
  <c r="M16" i="78" s="1"/>
  <c r="N16" i="78" s="1"/>
  <c r="O16" i="78" s="1"/>
  <c r="P16" i="78" s="1"/>
  <c r="J15" i="78"/>
  <c r="K15" i="78" s="1"/>
  <c r="L15" i="78" s="1"/>
  <c r="M15" i="78" s="1"/>
  <c r="N15" i="78" s="1"/>
  <c r="O15" i="78" s="1"/>
  <c r="P15" i="78" s="1"/>
  <c r="J14" i="78"/>
  <c r="K14" i="78" s="1"/>
  <c r="L14" i="78" s="1"/>
  <c r="M14" i="78" s="1"/>
  <c r="N14" i="78" s="1"/>
  <c r="O14" i="78" s="1"/>
  <c r="P14" i="78" s="1"/>
  <c r="J13" i="78"/>
  <c r="K13" i="78" s="1"/>
  <c r="L13" i="78" s="1"/>
  <c r="M13" i="78" s="1"/>
  <c r="N13" i="78" s="1"/>
  <c r="O13" i="78" s="1"/>
  <c r="P13" i="78" s="1"/>
  <c r="J9" i="78"/>
  <c r="K9" i="78"/>
  <c r="L9" i="78"/>
  <c r="M9" i="78"/>
  <c r="N9" i="78"/>
  <c r="O9" i="78"/>
  <c r="P9" i="78"/>
  <c r="J10" i="78"/>
  <c r="K10" i="78"/>
  <c r="L10" i="78" s="1"/>
  <c r="M10" i="78" s="1"/>
  <c r="N10" i="78" s="1"/>
  <c r="O10" i="78" s="1"/>
  <c r="P10" i="78" s="1"/>
  <c r="J11" i="78"/>
  <c r="K11" i="78"/>
  <c r="L11" i="78"/>
  <c r="M11" i="78"/>
  <c r="N11" i="78"/>
  <c r="O11" i="78"/>
  <c r="P11" i="78"/>
  <c r="J12" i="78"/>
  <c r="K12" i="78"/>
  <c r="L12" i="78"/>
  <c r="M12" i="78"/>
  <c r="N12" i="78"/>
  <c r="O12" i="78"/>
  <c r="P12" i="78"/>
  <c r="I10" i="78"/>
  <c r="I11" i="78"/>
  <c r="I12" i="78"/>
  <c r="I9" i="78"/>
  <c r="K8" i="78"/>
  <c r="L8" i="78"/>
  <c r="M8" i="78"/>
  <c r="N8" i="78"/>
  <c r="O8" i="78" s="1"/>
  <c r="P8" i="78" s="1"/>
  <c r="J8" i="78"/>
  <c r="N139" i="79" l="1"/>
  <c r="M140" i="79"/>
  <c r="N136" i="79"/>
  <c r="M137" i="79"/>
  <c r="N126" i="79"/>
  <c r="N127" i="79" s="1"/>
  <c r="M127" i="79"/>
  <c r="M26" i="79"/>
  <c r="M25" i="79"/>
  <c r="O21" i="79"/>
  <c r="N22" i="79"/>
  <c r="N18" i="79"/>
  <c r="N19" i="79" s="1"/>
  <c r="M19" i="79"/>
  <c r="N114" i="79"/>
  <c r="O114" i="79" s="1"/>
  <c r="O115" i="79" s="1"/>
  <c r="M115" i="79"/>
  <c r="M113" i="79"/>
  <c r="M112" i="79"/>
  <c r="M110" i="79"/>
  <c r="M109" i="79"/>
  <c r="O67" i="79"/>
  <c r="N63" i="79"/>
  <c r="O63" i="79" s="1"/>
  <c r="M64" i="79"/>
  <c r="N14" i="79"/>
  <c r="N15" i="79" s="1"/>
  <c r="N16" i="79" s="1"/>
  <c r="M15" i="79"/>
  <c r="M16" i="79" s="1"/>
  <c r="O96" i="79"/>
  <c r="M73" i="79"/>
  <c r="P72" i="79"/>
  <c r="Q72" i="79" s="1"/>
  <c r="Q73" i="79" s="1"/>
  <c r="M94" i="79"/>
  <c r="M49" i="79"/>
  <c r="M7" i="79" s="1"/>
  <c r="M8" i="79" s="1"/>
  <c r="O130" i="79"/>
  <c r="N131" i="79"/>
  <c r="N132" i="79" s="1"/>
  <c r="M131" i="79"/>
  <c r="M132" i="79" s="1"/>
  <c r="N153" i="79"/>
  <c r="M116" i="79"/>
  <c r="O126" i="79"/>
  <c r="O127" i="79" s="1"/>
  <c r="O129" i="79"/>
  <c r="N133" i="79"/>
  <c r="N134" i="79" s="1"/>
  <c r="N108" i="79"/>
  <c r="N111" i="79"/>
  <c r="M40" i="79"/>
  <c r="M41" i="79" s="1"/>
  <c r="O80" i="79"/>
  <c r="O81" i="79" s="1"/>
  <c r="N69" i="79"/>
  <c r="N70" i="79" s="1"/>
  <c r="M65" i="79"/>
  <c r="N90" i="79"/>
  <c r="O90" i="79" s="1"/>
  <c r="O73" i="79"/>
  <c r="N73" i="79"/>
  <c r="N93" i="79"/>
  <c r="N94" i="79" s="1"/>
  <c r="N24" i="79"/>
  <c r="N39" i="79"/>
  <c r="N40" i="79" s="1"/>
  <c r="N41" i="79" s="1"/>
  <c r="N6" i="79"/>
  <c r="M20" i="79"/>
  <c r="N10" i="79"/>
  <c r="N11" i="79" s="1"/>
  <c r="N12" i="79" s="1"/>
  <c r="N48" i="79"/>
  <c r="N23" i="79"/>
  <c r="N45" i="79"/>
  <c r="N46" i="79" s="1"/>
  <c r="O139" i="79" l="1"/>
  <c r="N140" i="79"/>
  <c r="O18" i="79"/>
  <c r="O20" i="79" s="1"/>
  <c r="O136" i="79"/>
  <c r="N137" i="79"/>
  <c r="N20" i="79"/>
  <c r="O24" i="79"/>
  <c r="N25" i="79"/>
  <c r="P18" i="79"/>
  <c r="P19" i="79" s="1"/>
  <c r="O19" i="79"/>
  <c r="P21" i="79"/>
  <c r="O22" i="79"/>
  <c r="N113" i="79"/>
  <c r="N112" i="79"/>
  <c r="O108" i="79"/>
  <c r="O110" i="79" s="1"/>
  <c r="N109" i="79"/>
  <c r="N116" i="79"/>
  <c r="N115" i="79"/>
  <c r="P67" i="79"/>
  <c r="O14" i="79"/>
  <c r="O15" i="79" s="1"/>
  <c r="O16" i="79" s="1"/>
  <c r="O65" i="79"/>
  <c r="O64" i="79"/>
  <c r="N65" i="79"/>
  <c r="N64" i="79"/>
  <c r="P73" i="79"/>
  <c r="N71" i="79"/>
  <c r="P96" i="79"/>
  <c r="O97" i="79"/>
  <c r="M50" i="79"/>
  <c r="N110" i="79"/>
  <c r="P130" i="79"/>
  <c r="O131" i="79"/>
  <c r="O132" i="79" s="1"/>
  <c r="O153" i="79"/>
  <c r="N154" i="79"/>
  <c r="P114" i="79"/>
  <c r="O116" i="79"/>
  <c r="O133" i="79"/>
  <c r="O134" i="79" s="1"/>
  <c r="P129" i="79"/>
  <c r="P126" i="79"/>
  <c r="P127" i="79" s="1"/>
  <c r="O111" i="79"/>
  <c r="P80" i="79"/>
  <c r="P81" i="79" s="1"/>
  <c r="O69" i="79"/>
  <c r="O70" i="79" s="1"/>
  <c r="N26" i="79"/>
  <c r="O26" i="79"/>
  <c r="P63" i="79"/>
  <c r="O93" i="79"/>
  <c r="O94" i="79" s="1"/>
  <c r="O39" i="79"/>
  <c r="O40" i="79" s="1"/>
  <c r="O41" i="79" s="1"/>
  <c r="O48" i="79"/>
  <c r="N49" i="79"/>
  <c r="O6" i="79"/>
  <c r="O10" i="79"/>
  <c r="O45" i="79"/>
  <c r="O46" i="79" s="1"/>
  <c r="O23" i="79"/>
  <c r="P139" i="79" l="1"/>
  <c r="O140" i="79"/>
  <c r="P136" i="79"/>
  <c r="O137" i="79"/>
  <c r="P20" i="79"/>
  <c r="Q18" i="79"/>
  <c r="P24" i="79"/>
  <c r="O25" i="79"/>
  <c r="Q20" i="79"/>
  <c r="Q19" i="79"/>
  <c r="Q21" i="79"/>
  <c r="Q22" i="79" s="1"/>
  <c r="P22" i="79"/>
  <c r="P116" i="79"/>
  <c r="P115" i="79"/>
  <c r="P14" i="79"/>
  <c r="P15" i="79" s="1"/>
  <c r="P16" i="79" s="1"/>
  <c r="P108" i="79"/>
  <c r="O109" i="79"/>
  <c r="O113" i="79"/>
  <c r="O112" i="79"/>
  <c r="Q67" i="79"/>
  <c r="P65" i="79"/>
  <c r="P64" i="79"/>
  <c r="P10" i="79"/>
  <c r="P11" i="79" s="1"/>
  <c r="P12" i="79" s="1"/>
  <c r="O11" i="79"/>
  <c r="O12" i="79" s="1"/>
  <c r="O71" i="79"/>
  <c r="P97" i="79"/>
  <c r="Q96" i="79"/>
  <c r="Q97" i="79" s="1"/>
  <c r="N50" i="79"/>
  <c r="N7" i="79"/>
  <c r="N8" i="79" s="1"/>
  <c r="Q114" i="79"/>
  <c r="Q130" i="79"/>
  <c r="Q131" i="79" s="1"/>
  <c r="Q132" i="79" s="1"/>
  <c r="P131" i="79"/>
  <c r="P132" i="79" s="1"/>
  <c r="O154" i="79"/>
  <c r="P153" i="79"/>
  <c r="Q126" i="79"/>
  <c r="Q127" i="79" s="1"/>
  <c r="Q129" i="79"/>
  <c r="P133" i="79"/>
  <c r="P134" i="79" s="1"/>
  <c r="P111" i="79"/>
  <c r="Q80" i="79"/>
  <c r="Q81" i="79" s="1"/>
  <c r="P69" i="79"/>
  <c r="P70" i="79" s="1"/>
  <c r="P90" i="79"/>
  <c r="Q63" i="79"/>
  <c r="P93" i="79"/>
  <c r="P94" i="79" s="1"/>
  <c r="P39" i="79"/>
  <c r="P40" i="79" s="1"/>
  <c r="P41" i="79" s="1"/>
  <c r="P48" i="79"/>
  <c r="O49" i="79"/>
  <c r="P6" i="79"/>
  <c r="P23" i="79"/>
  <c r="P45" i="79"/>
  <c r="P46" i="79" s="1"/>
  <c r="Q139" i="79" l="1"/>
  <c r="Q140" i="79" s="1"/>
  <c r="P140" i="79"/>
  <c r="Q136" i="79"/>
  <c r="Q137" i="79" s="1"/>
  <c r="P137" i="79"/>
  <c r="P25" i="79"/>
  <c r="P26" i="79"/>
  <c r="Q24" i="79"/>
  <c r="Q14" i="79"/>
  <c r="Q15" i="79" s="1"/>
  <c r="Q16" i="79" s="1"/>
  <c r="Q108" i="79"/>
  <c r="P109" i="79"/>
  <c r="P110" i="79"/>
  <c r="Q116" i="79"/>
  <c r="Q115" i="79"/>
  <c r="Q10" i="79"/>
  <c r="Q11" i="79" s="1"/>
  <c r="Q12" i="79" s="1"/>
  <c r="P113" i="79"/>
  <c r="P112" i="79"/>
  <c r="Q65" i="79"/>
  <c r="Q64" i="79"/>
  <c r="P71" i="79"/>
  <c r="O50" i="79"/>
  <c r="O7" i="79"/>
  <c r="O8" i="79" s="1"/>
  <c r="P154" i="79"/>
  <c r="Q153" i="79"/>
  <c r="Q154" i="79" s="1"/>
  <c r="Q133" i="79"/>
  <c r="Q134" i="79" s="1"/>
  <c r="Q90" i="79"/>
  <c r="Q111" i="79"/>
  <c r="Q69" i="79"/>
  <c r="Q70" i="79" s="1"/>
  <c r="Q93" i="79"/>
  <c r="Q94" i="79" s="1"/>
  <c r="Q23" i="79"/>
  <c r="Q39" i="79"/>
  <c r="Q40" i="79" s="1"/>
  <c r="Q41" i="79" s="1"/>
  <c r="P49" i="79"/>
  <c r="Q48" i="79"/>
  <c r="Q49" i="79" s="1"/>
  <c r="Q6" i="79"/>
  <c r="Q45" i="79"/>
  <c r="Q46" i="79" s="1"/>
  <c r="Q26" i="79" l="1"/>
  <c r="Q25" i="79"/>
  <c r="Q113" i="79"/>
  <c r="Q112" i="79"/>
  <c r="Q110" i="79"/>
  <c r="Q109" i="79"/>
  <c r="Q71" i="79"/>
  <c r="Q50" i="79"/>
  <c r="Q7" i="79"/>
  <c r="Q8" i="79" s="1"/>
  <c r="P50" i="79"/>
  <c r="P7" i="79"/>
  <c r="P8" i="79" s="1"/>
  <c r="K24" i="76"/>
  <c r="L24" i="76"/>
  <c r="M24" i="76"/>
  <c r="N24" i="76"/>
  <c r="K25" i="76"/>
  <c r="L25" i="76"/>
  <c r="M25" i="76"/>
  <c r="N25" i="76"/>
  <c r="K26" i="76"/>
  <c r="L26" i="76"/>
  <c r="M26" i="76"/>
  <c r="N26" i="76"/>
  <c r="K27" i="76"/>
  <c r="L27" i="76"/>
  <c r="M27" i="76"/>
  <c r="N27" i="76"/>
  <c r="K28" i="76"/>
  <c r="L28" i="76"/>
  <c r="M28" i="76"/>
  <c r="N28" i="76"/>
  <c r="K29" i="76"/>
  <c r="L29" i="76"/>
  <c r="M29" i="76"/>
  <c r="N29" i="76"/>
  <c r="K30" i="76"/>
  <c r="L30" i="76"/>
  <c r="M30" i="76"/>
  <c r="N30" i="76"/>
  <c r="K31" i="76"/>
  <c r="L31" i="76"/>
  <c r="M31" i="76"/>
  <c r="N31" i="76"/>
  <c r="J31" i="76"/>
  <c r="J30" i="76"/>
  <c r="J29" i="76"/>
  <c r="J28" i="76"/>
  <c r="J27" i="76"/>
  <c r="J26" i="76"/>
  <c r="J25" i="76"/>
  <c r="J24" i="76"/>
  <c r="N14" i="76"/>
  <c r="M14" i="76"/>
  <c r="L14" i="76"/>
  <c r="K14" i="76"/>
  <c r="J14" i="76"/>
  <c r="N13" i="76"/>
  <c r="M13" i="76"/>
  <c r="L13" i="76"/>
  <c r="K13" i="76"/>
  <c r="J13" i="76"/>
  <c r="N12" i="76"/>
  <c r="M12" i="76"/>
  <c r="L12" i="76"/>
  <c r="K12" i="76"/>
  <c r="J12" i="76"/>
  <c r="N11" i="76"/>
  <c r="M11" i="76"/>
  <c r="L11" i="76"/>
  <c r="K11" i="76"/>
  <c r="J11" i="76"/>
  <c r="N10" i="76"/>
  <c r="M10" i="76"/>
  <c r="L10" i="76"/>
  <c r="K10" i="76"/>
  <c r="J10" i="76"/>
  <c r="N9" i="76"/>
  <c r="M9" i="76"/>
  <c r="L9" i="76"/>
  <c r="K9" i="76"/>
  <c r="J9" i="76"/>
  <c r="N8" i="76"/>
  <c r="M8" i="76"/>
  <c r="L8" i="76"/>
  <c r="K8" i="76"/>
  <c r="J8" i="76"/>
  <c r="N7" i="76"/>
  <c r="M7" i="76"/>
  <c r="L7" i="76"/>
  <c r="K7" i="76"/>
  <c r="J7" i="76"/>
  <c r="N23" i="76"/>
  <c r="M23" i="76"/>
  <c r="L23" i="76"/>
  <c r="K23" i="76"/>
  <c r="J23" i="76"/>
  <c r="N6" i="76"/>
  <c r="M6" i="76"/>
  <c r="L6" i="76"/>
  <c r="K6" i="76"/>
  <c r="J6" i="76"/>
  <c r="N5" i="76"/>
  <c r="M5" i="76"/>
  <c r="L5" i="76"/>
  <c r="K5" i="76"/>
  <c r="J5" i="76"/>
  <c r="N22" i="76"/>
  <c r="M22" i="76"/>
  <c r="L22" i="76"/>
  <c r="K22" i="76"/>
  <c r="J22" i="76"/>
  <c r="D254" i="10"/>
  <c r="D250" i="10"/>
  <c r="U65" i="72"/>
  <c r="T65" i="72"/>
  <c r="AC15" i="21"/>
  <c r="AO8" i="56"/>
  <c r="AO13" i="56" s="1"/>
  <c r="Q7" i="76" l="1"/>
  <c r="Q8" i="76"/>
  <c r="Q6" i="76"/>
  <c r="Q5" i="76"/>
  <c r="Q9" i="76" l="1"/>
  <c r="Q11" i="76" l="1"/>
  <c r="Q10" i="76"/>
  <c r="Q12" i="76" l="1"/>
  <c r="Q14" i="76" l="1"/>
  <c r="Q13" i="76"/>
  <c r="E399" i="11" l="1"/>
  <c r="D399" i="11"/>
  <c r="L7" i="56"/>
  <c r="B397" i="11"/>
  <c r="E397" i="11"/>
  <c r="D397" i="11"/>
  <c r="B389" i="11"/>
  <c r="D389" i="11"/>
  <c r="E389" i="11"/>
  <c r="B390" i="11"/>
  <c r="D390" i="11"/>
  <c r="E390" i="11"/>
  <c r="B391" i="11"/>
  <c r="D391" i="11"/>
  <c r="E391" i="11"/>
  <c r="B392" i="11"/>
  <c r="D392" i="11"/>
  <c r="E392" i="11"/>
  <c r="B393" i="11"/>
  <c r="D393" i="11"/>
  <c r="E393" i="11"/>
  <c r="B394" i="11"/>
  <c r="D394" i="11"/>
  <c r="E394" i="11"/>
  <c r="B395" i="11"/>
  <c r="D395" i="11"/>
  <c r="E395" i="11"/>
  <c r="B379" i="11"/>
  <c r="B380" i="11"/>
  <c r="D380" i="11"/>
  <c r="E380" i="11"/>
  <c r="B381" i="11"/>
  <c r="D381" i="11"/>
  <c r="E381" i="11"/>
  <c r="B382" i="11"/>
  <c r="D382" i="11"/>
  <c r="E382" i="11"/>
  <c r="B383" i="11"/>
  <c r="D383" i="11"/>
  <c r="E383" i="11"/>
  <c r="B384" i="11"/>
  <c r="D384" i="11"/>
  <c r="E384" i="11"/>
  <c r="B385" i="11"/>
  <c r="D385" i="11"/>
  <c r="E385" i="11"/>
  <c r="B386" i="11"/>
  <c r="D386" i="11"/>
  <c r="E386" i="11"/>
  <c r="B387" i="11"/>
  <c r="B388" i="11"/>
  <c r="D388" i="11"/>
  <c r="E388" i="11"/>
  <c r="B377" i="11"/>
  <c r="B378" i="11"/>
  <c r="D377" i="11"/>
  <c r="E377" i="11"/>
  <c r="D378" i="11"/>
  <c r="E378" i="11"/>
  <c r="E376" i="11"/>
  <c r="D376" i="11"/>
  <c r="B376" i="11"/>
  <c r="B371" i="11"/>
  <c r="D371" i="11"/>
  <c r="E371" i="11"/>
  <c r="B372" i="11"/>
  <c r="D372" i="11"/>
  <c r="E372" i="11"/>
  <c r="B373" i="11"/>
  <c r="D373" i="11"/>
  <c r="E373" i="11"/>
  <c r="B374" i="11"/>
  <c r="D374" i="11"/>
  <c r="E374" i="11"/>
  <c r="B319" i="11"/>
  <c r="D319" i="11"/>
  <c r="E319" i="11"/>
  <c r="B320" i="11"/>
  <c r="D320" i="11"/>
  <c r="E320" i="11"/>
  <c r="B321" i="11"/>
  <c r="D321" i="11"/>
  <c r="E321" i="11"/>
  <c r="B322" i="11"/>
  <c r="D322" i="11"/>
  <c r="E322" i="11"/>
  <c r="B323" i="11"/>
  <c r="D323" i="11"/>
  <c r="E323" i="11"/>
  <c r="B324" i="11"/>
  <c r="D324" i="11"/>
  <c r="E324" i="11"/>
  <c r="B325" i="11"/>
  <c r="D325" i="11"/>
  <c r="E325" i="11"/>
  <c r="B326" i="11"/>
  <c r="D326" i="11"/>
  <c r="E326" i="11"/>
  <c r="B327" i="11"/>
  <c r="D327" i="11"/>
  <c r="E327" i="11"/>
  <c r="B328" i="11"/>
  <c r="D328" i="11"/>
  <c r="E328" i="11"/>
  <c r="B329" i="11"/>
  <c r="D329" i="11"/>
  <c r="E329" i="11"/>
  <c r="B330" i="11"/>
  <c r="D330" i="11"/>
  <c r="E330" i="11"/>
  <c r="B331" i="11"/>
  <c r="D331" i="11"/>
  <c r="E331" i="11"/>
  <c r="B332" i="11"/>
  <c r="D332" i="11"/>
  <c r="E332" i="11"/>
  <c r="B333" i="11"/>
  <c r="D333" i="11"/>
  <c r="E333" i="11"/>
  <c r="B334" i="11"/>
  <c r="D334" i="11"/>
  <c r="E334" i="11"/>
  <c r="B335" i="11"/>
  <c r="D335" i="11"/>
  <c r="E335" i="11"/>
  <c r="B336" i="11"/>
  <c r="D336" i="11"/>
  <c r="E336" i="11"/>
  <c r="B337" i="11"/>
  <c r="D337" i="11"/>
  <c r="E337" i="11"/>
  <c r="B338" i="11"/>
  <c r="D338" i="11"/>
  <c r="E338" i="11"/>
  <c r="B339" i="11"/>
  <c r="D339" i="11"/>
  <c r="E339" i="11"/>
  <c r="B340" i="11"/>
  <c r="D340" i="11"/>
  <c r="E340" i="11"/>
  <c r="B341" i="11"/>
  <c r="D341" i="11"/>
  <c r="E341" i="11"/>
  <c r="B342" i="11"/>
  <c r="D342" i="11"/>
  <c r="E342" i="11"/>
  <c r="B343" i="11"/>
  <c r="D343" i="11"/>
  <c r="E343" i="11"/>
  <c r="B344" i="11"/>
  <c r="D344" i="11"/>
  <c r="E344" i="11"/>
  <c r="B345" i="11"/>
  <c r="D345" i="11"/>
  <c r="E345" i="11"/>
  <c r="B346" i="11"/>
  <c r="D346" i="11"/>
  <c r="E346" i="11"/>
  <c r="B347" i="11"/>
  <c r="D347" i="11"/>
  <c r="E347" i="11"/>
  <c r="B348" i="11"/>
  <c r="D348" i="11"/>
  <c r="E348" i="11"/>
  <c r="B349" i="11"/>
  <c r="D349" i="11"/>
  <c r="E349" i="11"/>
  <c r="B350" i="11"/>
  <c r="D350" i="11"/>
  <c r="E350" i="11"/>
  <c r="B351" i="11"/>
  <c r="D351" i="11"/>
  <c r="E351" i="11"/>
  <c r="B352" i="11"/>
  <c r="D352" i="11"/>
  <c r="E352" i="11"/>
  <c r="B353" i="11"/>
  <c r="D353" i="11"/>
  <c r="E353" i="11"/>
  <c r="B354" i="11"/>
  <c r="D354" i="11"/>
  <c r="E354" i="11"/>
  <c r="B355" i="11"/>
  <c r="D355" i="11"/>
  <c r="E355" i="11"/>
  <c r="B356" i="11"/>
  <c r="D356" i="11"/>
  <c r="E356" i="11"/>
  <c r="B357" i="11"/>
  <c r="D357" i="11"/>
  <c r="E357" i="11"/>
  <c r="B358" i="11"/>
  <c r="D358" i="11"/>
  <c r="E358" i="11"/>
  <c r="B359" i="11"/>
  <c r="D359" i="11"/>
  <c r="E359" i="11"/>
  <c r="B360" i="11"/>
  <c r="D360" i="11"/>
  <c r="E360" i="11"/>
  <c r="B361" i="11"/>
  <c r="D361" i="11"/>
  <c r="E361" i="11"/>
  <c r="B362" i="11"/>
  <c r="D362" i="11"/>
  <c r="E362" i="11"/>
  <c r="B363" i="11"/>
  <c r="D363" i="11"/>
  <c r="E363" i="11"/>
  <c r="B364" i="11"/>
  <c r="D364" i="11"/>
  <c r="E364" i="11"/>
  <c r="B365" i="11"/>
  <c r="D365" i="11"/>
  <c r="E365" i="11"/>
  <c r="B366" i="11"/>
  <c r="D366" i="11"/>
  <c r="E366" i="11"/>
  <c r="B367" i="11"/>
  <c r="D367" i="11"/>
  <c r="E367" i="11"/>
  <c r="B368" i="11"/>
  <c r="D368" i="11"/>
  <c r="E368" i="11"/>
  <c r="B369" i="11"/>
  <c r="D369" i="11"/>
  <c r="E369" i="11"/>
  <c r="B370" i="11"/>
  <c r="D370" i="11"/>
  <c r="E370" i="11"/>
  <c r="E318" i="11"/>
  <c r="D318" i="11"/>
  <c r="B318" i="11"/>
  <c r="E316" i="11"/>
  <c r="D316" i="11"/>
  <c r="B316" i="11"/>
  <c r="E315" i="11"/>
  <c r="D315" i="11"/>
  <c r="B315" i="11"/>
  <c r="E314" i="11"/>
  <c r="D314" i="11"/>
  <c r="B314" i="11"/>
  <c r="E313" i="11"/>
  <c r="D313" i="11"/>
  <c r="B313" i="11"/>
  <c r="E312" i="11"/>
  <c r="D312" i="11"/>
  <c r="B312" i="11"/>
  <c r="E311" i="11"/>
  <c r="D311" i="11"/>
  <c r="B311" i="11"/>
  <c r="E310" i="11"/>
  <c r="D310" i="11"/>
  <c r="B310" i="11"/>
  <c r="D297" i="11"/>
  <c r="E297" i="11"/>
  <c r="D298" i="11"/>
  <c r="E298" i="11"/>
  <c r="D299" i="11"/>
  <c r="E299" i="11"/>
  <c r="D300" i="11"/>
  <c r="E300" i="11"/>
  <c r="D301" i="11"/>
  <c r="E301" i="11"/>
  <c r="D302" i="11"/>
  <c r="E302" i="11"/>
  <c r="D303" i="11"/>
  <c r="E303" i="11"/>
  <c r="D304" i="11"/>
  <c r="E304" i="11"/>
  <c r="D305" i="11"/>
  <c r="E305" i="11"/>
  <c r="D306" i="11"/>
  <c r="E306" i="11"/>
  <c r="D307" i="11"/>
  <c r="E307" i="11"/>
  <c r="D308" i="11"/>
  <c r="E308" i="11"/>
  <c r="B297" i="11"/>
  <c r="B298" i="11"/>
  <c r="B299" i="11"/>
  <c r="B300" i="11"/>
  <c r="B301" i="11"/>
  <c r="B302" i="11"/>
  <c r="B303" i="11"/>
  <c r="B304" i="11"/>
  <c r="B305" i="11"/>
  <c r="B306" i="11"/>
  <c r="B307" i="11"/>
  <c r="B308" i="11"/>
  <c r="E296" i="11"/>
  <c r="D296" i="11"/>
  <c r="B296" i="11"/>
  <c r="B280" i="11"/>
  <c r="B281" i="11"/>
  <c r="B282" i="11"/>
  <c r="B283" i="11"/>
  <c r="B284" i="11"/>
  <c r="B285" i="11"/>
  <c r="B286" i="11"/>
  <c r="B287" i="11"/>
  <c r="B288" i="11"/>
  <c r="B289" i="11"/>
  <c r="B290" i="11"/>
  <c r="B291" i="11"/>
  <c r="B292" i="11"/>
  <c r="B293" i="11"/>
  <c r="B294" i="11"/>
  <c r="E280" i="11"/>
  <c r="E281" i="11"/>
  <c r="E282" i="11"/>
  <c r="E283" i="11"/>
  <c r="E284" i="11"/>
  <c r="E285" i="11"/>
  <c r="E286" i="11"/>
  <c r="E287" i="11"/>
  <c r="E288" i="11"/>
  <c r="E289" i="11"/>
  <c r="E290" i="11"/>
  <c r="E291" i="11"/>
  <c r="E292" i="11"/>
  <c r="E293" i="11"/>
  <c r="E294" i="11"/>
  <c r="D294" i="11"/>
  <c r="D293" i="11"/>
  <c r="D292" i="11"/>
  <c r="D291" i="11"/>
  <c r="D290" i="11"/>
  <c r="D289" i="11"/>
  <c r="D288" i="11"/>
  <c r="D287" i="11"/>
  <c r="D286" i="11"/>
  <c r="D285" i="11"/>
  <c r="D284" i="11"/>
  <c r="D283" i="11"/>
  <c r="D282" i="11"/>
  <c r="D281" i="11"/>
  <c r="D280" i="11"/>
  <c r="E278" i="11"/>
  <c r="D278" i="11"/>
  <c r="B278" i="11"/>
  <c r="E277" i="11"/>
  <c r="D277" i="11"/>
  <c r="B277" i="11"/>
  <c r="E276" i="11"/>
  <c r="D276" i="11"/>
  <c r="B276" i="11"/>
  <c r="E275" i="11"/>
  <c r="D275" i="11"/>
  <c r="B275" i="11"/>
  <c r="E274" i="11"/>
  <c r="D274" i="11"/>
  <c r="B274" i="11"/>
  <c r="E273" i="11"/>
  <c r="D273" i="11"/>
  <c r="B273" i="11"/>
  <c r="E272" i="11"/>
  <c r="D272" i="11"/>
  <c r="B272" i="11"/>
  <c r="E271" i="11"/>
  <c r="D271" i="11"/>
  <c r="B271" i="11"/>
  <c r="E269" i="11"/>
  <c r="D269" i="11"/>
  <c r="B269" i="11"/>
  <c r="E268" i="11"/>
  <c r="D268" i="11"/>
  <c r="B268" i="11"/>
  <c r="E267" i="11"/>
  <c r="D267" i="11"/>
  <c r="B267" i="11"/>
  <c r="E266" i="11"/>
  <c r="D266" i="11"/>
  <c r="B266" i="11"/>
  <c r="E264" i="11"/>
  <c r="D264" i="11"/>
  <c r="B264" i="11"/>
  <c r="E263" i="11"/>
  <c r="D263" i="11"/>
  <c r="B263" i="11"/>
  <c r="E262" i="11"/>
  <c r="D262" i="11"/>
  <c r="B262" i="11"/>
  <c r="E261" i="11"/>
  <c r="D261" i="11"/>
  <c r="B261" i="11"/>
  <c r="E260" i="11"/>
  <c r="D260" i="11"/>
  <c r="B260" i="11"/>
  <c r="E259" i="11"/>
  <c r="D259" i="11"/>
  <c r="B259" i="11"/>
  <c r="E258" i="11"/>
  <c r="D258" i="11"/>
  <c r="B258" i="11"/>
  <c r="E257" i="11"/>
  <c r="D257" i="11"/>
  <c r="B257" i="11"/>
  <c r="E256" i="11"/>
  <c r="D256" i="11"/>
  <c r="B256" i="11"/>
  <c r="E255" i="11"/>
  <c r="D255" i="11"/>
  <c r="B255" i="11"/>
  <c r="E254" i="11"/>
  <c r="D254" i="11"/>
  <c r="B254" i="11"/>
  <c r="E253" i="11"/>
  <c r="D253" i="11"/>
  <c r="B253" i="11"/>
  <c r="E252" i="11"/>
  <c r="D252" i="11"/>
  <c r="B252" i="11"/>
  <c r="E251" i="11"/>
  <c r="D251" i="11"/>
  <c r="B251" i="11"/>
  <c r="E250" i="11"/>
  <c r="D250" i="11"/>
  <c r="B250" i="11"/>
  <c r="E249" i="11"/>
  <c r="D249" i="11"/>
  <c r="B249" i="11"/>
  <c r="E248" i="11"/>
  <c r="D248" i="11"/>
  <c r="B248" i="11"/>
  <c r="E247" i="11"/>
  <c r="D247" i="11"/>
  <c r="B247" i="11"/>
  <c r="E246" i="11"/>
  <c r="D246" i="11"/>
  <c r="B246" i="11"/>
  <c r="E245" i="11"/>
  <c r="D245" i="11"/>
  <c r="B245" i="11"/>
  <c r="E244" i="11"/>
  <c r="D244" i="11"/>
  <c r="B244" i="11"/>
  <c r="E243" i="11"/>
  <c r="D243" i="11"/>
  <c r="B243" i="11"/>
  <c r="E242" i="11"/>
  <c r="D242" i="11"/>
  <c r="B242" i="11"/>
  <c r="E240" i="11"/>
  <c r="D240" i="11"/>
  <c r="B240" i="11"/>
  <c r="E239" i="11"/>
  <c r="D239" i="11"/>
  <c r="B239" i="11"/>
  <c r="E238" i="11"/>
  <c r="D238" i="11"/>
  <c r="B238" i="11"/>
  <c r="E237" i="11"/>
  <c r="D237" i="11"/>
  <c r="B237" i="11"/>
  <c r="E236" i="11"/>
  <c r="D236" i="11"/>
  <c r="B236" i="11"/>
  <c r="E235" i="11"/>
  <c r="D235" i="11"/>
  <c r="B235" i="11"/>
  <c r="E234" i="11"/>
  <c r="D234" i="11"/>
  <c r="B234" i="11"/>
  <c r="E233" i="11"/>
  <c r="D233" i="11"/>
  <c r="B233" i="11"/>
  <c r="E232" i="11"/>
  <c r="D232" i="11"/>
  <c r="B232" i="11"/>
  <c r="E231" i="11"/>
  <c r="D231" i="11"/>
  <c r="B231" i="11"/>
  <c r="E230" i="11"/>
  <c r="D230" i="11"/>
  <c r="B230" i="11"/>
  <c r="E229" i="11"/>
  <c r="D229" i="11"/>
  <c r="B229" i="11"/>
  <c r="E228" i="11"/>
  <c r="D228" i="11"/>
  <c r="B228" i="11"/>
  <c r="E227" i="11"/>
  <c r="D227" i="11"/>
  <c r="B227" i="11"/>
  <c r="E226" i="11"/>
  <c r="D226" i="11"/>
  <c r="B226" i="11"/>
  <c r="E225" i="11"/>
  <c r="D225" i="11"/>
  <c r="B225" i="11"/>
  <c r="E224" i="11"/>
  <c r="D224" i="11"/>
  <c r="B224" i="11"/>
  <c r="E223" i="11"/>
  <c r="D223" i="11"/>
  <c r="B223" i="11"/>
  <c r="E222" i="11"/>
  <c r="D222" i="11"/>
  <c r="B222" i="11"/>
  <c r="E221" i="11"/>
  <c r="D221" i="11"/>
  <c r="B221" i="11"/>
  <c r="E218" i="11"/>
  <c r="D218" i="11"/>
  <c r="B218" i="11"/>
  <c r="E217" i="11"/>
  <c r="D217" i="11"/>
  <c r="B217" i="11"/>
  <c r="E216" i="11"/>
  <c r="D216" i="11"/>
  <c r="B216" i="11"/>
  <c r="E215" i="11"/>
  <c r="D215" i="11"/>
  <c r="B215" i="11"/>
  <c r="E214" i="11"/>
  <c r="D214" i="11"/>
  <c r="B214" i="11"/>
  <c r="E213" i="11"/>
  <c r="D213" i="11"/>
  <c r="B213" i="11"/>
  <c r="E212" i="11"/>
  <c r="D212" i="11"/>
  <c r="B212" i="11"/>
  <c r="E211" i="11"/>
  <c r="D211" i="11"/>
  <c r="B211" i="11"/>
  <c r="E210" i="11"/>
  <c r="D210" i="11"/>
  <c r="B210" i="11"/>
  <c r="E209" i="11"/>
  <c r="D209" i="11"/>
  <c r="B209" i="11"/>
  <c r="E207" i="11"/>
  <c r="D207" i="11"/>
  <c r="B207" i="11"/>
  <c r="E206" i="11"/>
  <c r="D206" i="11"/>
  <c r="B206" i="11"/>
  <c r="E205" i="11"/>
  <c r="D205" i="11"/>
  <c r="B205" i="11"/>
  <c r="E204" i="11"/>
  <c r="D204" i="11"/>
  <c r="B204" i="11"/>
  <c r="E202" i="11"/>
  <c r="D202" i="11"/>
  <c r="B202" i="11"/>
  <c r="E201" i="11"/>
  <c r="D201" i="11"/>
  <c r="B201" i="11"/>
  <c r="E200" i="11"/>
  <c r="D200" i="11"/>
  <c r="B200" i="11"/>
  <c r="E199" i="11"/>
  <c r="D199" i="11"/>
  <c r="B199" i="11"/>
  <c r="E198" i="11"/>
  <c r="D198" i="11"/>
  <c r="B198" i="11"/>
  <c r="E197" i="11"/>
  <c r="D197" i="11"/>
  <c r="B197" i="11"/>
  <c r="E196" i="11"/>
  <c r="D196" i="11"/>
  <c r="B196" i="11"/>
  <c r="E195" i="11"/>
  <c r="D195" i="11"/>
  <c r="B195" i="11"/>
  <c r="E194" i="11"/>
  <c r="D194" i="11"/>
  <c r="B194" i="11"/>
  <c r="E193" i="11"/>
  <c r="D193" i="11"/>
  <c r="B193" i="11"/>
  <c r="E192" i="11"/>
  <c r="D192" i="11"/>
  <c r="B192" i="11"/>
  <c r="E191" i="11"/>
  <c r="D191" i="11"/>
  <c r="B191" i="11"/>
  <c r="E190" i="11"/>
  <c r="D190" i="11"/>
  <c r="B190" i="11"/>
  <c r="E189" i="11"/>
  <c r="D189" i="11"/>
  <c r="B189" i="11"/>
  <c r="E188" i="11"/>
  <c r="D188" i="11"/>
  <c r="B188" i="11"/>
  <c r="E187" i="11"/>
  <c r="D187" i="11"/>
  <c r="B187" i="11"/>
  <c r="E186" i="11"/>
  <c r="D186" i="11"/>
  <c r="B186" i="11"/>
  <c r="E185" i="11"/>
  <c r="D185" i="11"/>
  <c r="B185" i="11"/>
  <c r="E184" i="11"/>
  <c r="D184" i="11"/>
  <c r="B184" i="11"/>
  <c r="E183" i="11"/>
  <c r="D183" i="11"/>
  <c r="B183" i="11"/>
  <c r="E181" i="11"/>
  <c r="D181" i="11"/>
  <c r="B181" i="11"/>
  <c r="E180" i="11"/>
  <c r="D180" i="11"/>
  <c r="B180" i="11"/>
  <c r="E179" i="11"/>
  <c r="D179" i="11"/>
  <c r="B179" i="11"/>
  <c r="E178" i="11"/>
  <c r="D178" i="11"/>
  <c r="B178" i="11"/>
  <c r="E177" i="11"/>
  <c r="D177" i="11"/>
  <c r="B177" i="11"/>
  <c r="E176" i="11"/>
  <c r="D176" i="11"/>
  <c r="B176" i="11"/>
  <c r="E175" i="11"/>
  <c r="D175" i="11"/>
  <c r="B175" i="11"/>
  <c r="E174" i="11"/>
  <c r="D174" i="11"/>
  <c r="B174" i="11"/>
  <c r="E173" i="11"/>
  <c r="D173" i="11"/>
  <c r="B173" i="11"/>
  <c r="E172" i="11"/>
  <c r="D172" i="11"/>
  <c r="B172" i="11"/>
  <c r="E171" i="11"/>
  <c r="D171" i="11"/>
  <c r="B171" i="11"/>
  <c r="E170" i="11"/>
  <c r="D170" i="11"/>
  <c r="B170" i="11"/>
  <c r="E168" i="11"/>
  <c r="D168" i="11"/>
  <c r="B168" i="11"/>
  <c r="E167" i="11"/>
  <c r="D167" i="11"/>
  <c r="B167" i="11"/>
  <c r="E166" i="11"/>
  <c r="D166" i="11"/>
  <c r="B166" i="11"/>
  <c r="E165" i="11"/>
  <c r="D165" i="11"/>
  <c r="B165" i="11"/>
  <c r="E164" i="11"/>
  <c r="D164" i="11"/>
  <c r="B164" i="11"/>
  <c r="E163" i="11"/>
  <c r="D163" i="11"/>
  <c r="B163" i="11"/>
  <c r="E162" i="11"/>
  <c r="D162" i="11"/>
  <c r="B162" i="11"/>
  <c r="E161" i="11"/>
  <c r="D161" i="11"/>
  <c r="B161" i="11"/>
  <c r="E160" i="11"/>
  <c r="D160" i="11"/>
  <c r="B160" i="11"/>
  <c r="E159" i="11"/>
  <c r="D159" i="11"/>
  <c r="B159" i="11"/>
  <c r="E158" i="11"/>
  <c r="D158" i="11"/>
  <c r="B158" i="11"/>
  <c r="E157" i="11"/>
  <c r="D157" i="11"/>
  <c r="B157" i="11"/>
  <c r="E156" i="11"/>
  <c r="D156" i="11"/>
  <c r="B156" i="11"/>
  <c r="E155" i="11"/>
  <c r="D155" i="11"/>
  <c r="B155" i="11"/>
  <c r="E154" i="11"/>
  <c r="D154" i="11"/>
  <c r="B154" i="11"/>
  <c r="E153" i="11"/>
  <c r="D153" i="11"/>
  <c r="B153" i="11"/>
  <c r="E152" i="11"/>
  <c r="D152" i="11"/>
  <c r="B152" i="11"/>
  <c r="E151" i="11"/>
  <c r="D151" i="11"/>
  <c r="B151" i="11"/>
  <c r="E150" i="11"/>
  <c r="D150" i="11"/>
  <c r="B150" i="11"/>
  <c r="E149" i="11"/>
  <c r="D149" i="11"/>
  <c r="B149" i="11"/>
  <c r="E148" i="11"/>
  <c r="D148" i="11"/>
  <c r="B148" i="11"/>
  <c r="E146" i="11"/>
  <c r="D146" i="11"/>
  <c r="B146" i="11"/>
  <c r="E145" i="11"/>
  <c r="D145" i="11"/>
  <c r="B145" i="11"/>
  <c r="E144" i="11"/>
  <c r="D144" i="11"/>
  <c r="B144" i="11"/>
  <c r="E143" i="11"/>
  <c r="D143" i="11"/>
  <c r="B143" i="11"/>
  <c r="E142" i="11"/>
  <c r="D142" i="11"/>
  <c r="B142" i="11"/>
  <c r="E141" i="11"/>
  <c r="D141" i="11"/>
  <c r="B141" i="11"/>
  <c r="E140" i="11"/>
  <c r="D140" i="11"/>
  <c r="B140" i="11"/>
  <c r="E139" i="11"/>
  <c r="D139" i="11"/>
  <c r="B139" i="11"/>
  <c r="E138" i="11"/>
  <c r="D138" i="11"/>
  <c r="B138" i="11"/>
  <c r="E137" i="11"/>
  <c r="D137" i="11"/>
  <c r="B137" i="11"/>
  <c r="E136" i="11"/>
  <c r="D136" i="11"/>
  <c r="B136" i="11"/>
  <c r="E135" i="11"/>
  <c r="D135" i="11"/>
  <c r="B135" i="11"/>
  <c r="E134" i="11"/>
  <c r="D134" i="11"/>
  <c r="B134" i="11"/>
  <c r="E133" i="11"/>
  <c r="D133" i="11"/>
  <c r="B133" i="11"/>
  <c r="E132" i="11"/>
  <c r="D132" i="11"/>
  <c r="B132" i="11"/>
  <c r="E131" i="11"/>
  <c r="D131" i="11"/>
  <c r="B131" i="11"/>
  <c r="E130" i="11"/>
  <c r="D130" i="11"/>
  <c r="B130" i="11"/>
  <c r="E129" i="11"/>
  <c r="D129" i="11"/>
  <c r="B129" i="11"/>
  <c r="E128" i="11"/>
  <c r="D128" i="11"/>
  <c r="B128" i="11"/>
  <c r="E127" i="11"/>
  <c r="D127" i="11"/>
  <c r="B127" i="11"/>
  <c r="E126" i="11"/>
  <c r="D126" i="11"/>
  <c r="B126" i="11"/>
  <c r="E123" i="11"/>
  <c r="D123" i="11"/>
  <c r="B123" i="11"/>
  <c r="E122" i="11"/>
  <c r="D122" i="11"/>
  <c r="B122" i="11"/>
  <c r="E121" i="11"/>
  <c r="D121" i="11"/>
  <c r="B121" i="11"/>
  <c r="E120" i="11"/>
  <c r="D120" i="11"/>
  <c r="B120" i="11"/>
  <c r="E119" i="11"/>
  <c r="D119" i="11"/>
  <c r="B119" i="11"/>
  <c r="E118" i="11"/>
  <c r="D118" i="11"/>
  <c r="B118" i="11"/>
  <c r="E117" i="11"/>
  <c r="D117" i="11"/>
  <c r="B117" i="11"/>
  <c r="E116" i="11"/>
  <c r="D116" i="11"/>
  <c r="B116" i="11"/>
  <c r="E115" i="11"/>
  <c r="D115" i="11"/>
  <c r="B115" i="11"/>
  <c r="E114" i="11"/>
  <c r="D114" i="11"/>
  <c r="B114" i="11"/>
  <c r="E112" i="11"/>
  <c r="D112" i="11"/>
  <c r="B112" i="11"/>
  <c r="E111" i="11"/>
  <c r="D111" i="11"/>
  <c r="B111" i="11"/>
  <c r="E110" i="11"/>
  <c r="D110" i="11"/>
  <c r="B110" i="11"/>
  <c r="E109" i="11"/>
  <c r="D109" i="11"/>
  <c r="B109" i="11"/>
  <c r="E107" i="11"/>
  <c r="D107" i="11"/>
  <c r="B107" i="11"/>
  <c r="E106" i="11"/>
  <c r="D106" i="11"/>
  <c r="B106" i="11"/>
  <c r="E104" i="11"/>
  <c r="D104" i="11"/>
  <c r="B104" i="11"/>
  <c r="E103" i="11"/>
  <c r="D103" i="11"/>
  <c r="B103" i="11"/>
  <c r="E102" i="11"/>
  <c r="D102" i="11"/>
  <c r="B102" i="11"/>
  <c r="E101" i="11"/>
  <c r="D101" i="11"/>
  <c r="B101" i="11"/>
  <c r="E100" i="11"/>
  <c r="D100" i="11"/>
  <c r="B100" i="11"/>
  <c r="E98" i="11"/>
  <c r="D98" i="11"/>
  <c r="B98" i="11"/>
  <c r="E97" i="11"/>
  <c r="D97" i="11"/>
  <c r="B97" i="11"/>
  <c r="E96" i="11"/>
  <c r="D96" i="11"/>
  <c r="B96" i="11"/>
  <c r="E95" i="11"/>
  <c r="D95" i="11"/>
  <c r="B95" i="11"/>
  <c r="E94" i="11"/>
  <c r="D94" i="11"/>
  <c r="B94" i="11"/>
  <c r="E92" i="11"/>
  <c r="D92" i="11"/>
  <c r="B92" i="11"/>
  <c r="E91" i="11"/>
  <c r="D91" i="11"/>
  <c r="B91" i="11"/>
  <c r="E90" i="11"/>
  <c r="D90" i="11"/>
  <c r="B90" i="11"/>
  <c r="E89" i="11"/>
  <c r="D89" i="11"/>
  <c r="B89" i="11"/>
  <c r="E88" i="11"/>
  <c r="D88" i="11"/>
  <c r="B88" i="11"/>
  <c r="E87" i="11"/>
  <c r="D87" i="11"/>
  <c r="B87" i="11"/>
  <c r="E85" i="11"/>
  <c r="D85" i="11"/>
  <c r="B85" i="11"/>
  <c r="E84" i="11"/>
  <c r="D84" i="11"/>
  <c r="B84" i="11"/>
  <c r="E83" i="11"/>
  <c r="D83" i="11"/>
  <c r="B83" i="11"/>
  <c r="E82" i="11"/>
  <c r="D82" i="11"/>
  <c r="B82" i="11"/>
  <c r="E81" i="11"/>
  <c r="D81" i="11"/>
  <c r="B81" i="11"/>
  <c r="E79" i="11"/>
  <c r="D79" i="11"/>
  <c r="B79" i="11"/>
  <c r="E78" i="11"/>
  <c r="D78" i="11"/>
  <c r="B78" i="11"/>
  <c r="E77" i="11"/>
  <c r="D77" i="11"/>
  <c r="B77" i="11"/>
  <c r="E76" i="11"/>
  <c r="D76" i="11"/>
  <c r="B76" i="11"/>
  <c r="E75" i="11"/>
  <c r="D75" i="11"/>
  <c r="B75" i="11"/>
  <c r="E74" i="11"/>
  <c r="D74" i="11"/>
  <c r="B74" i="11"/>
  <c r="E73" i="11"/>
  <c r="D73" i="11"/>
  <c r="B73" i="11"/>
  <c r="E72" i="11"/>
  <c r="D72" i="11"/>
  <c r="B72" i="11"/>
  <c r="E71" i="11"/>
  <c r="D71" i="11"/>
  <c r="B71" i="11"/>
  <c r="E69" i="11"/>
  <c r="D69" i="11"/>
  <c r="B69" i="11"/>
  <c r="E68" i="11"/>
  <c r="D68" i="11"/>
  <c r="B68" i="11"/>
  <c r="E67" i="11"/>
  <c r="D67" i="11"/>
  <c r="B67" i="11"/>
  <c r="E66" i="11"/>
  <c r="D66" i="11"/>
  <c r="B66" i="11"/>
  <c r="E65" i="11"/>
  <c r="D65" i="11"/>
  <c r="B65" i="11"/>
  <c r="E64" i="11"/>
  <c r="D64" i="11"/>
  <c r="B64" i="11"/>
  <c r="E63" i="11"/>
  <c r="D63" i="11"/>
  <c r="B63" i="11"/>
  <c r="E62" i="11"/>
  <c r="D62" i="11"/>
  <c r="B62" i="11"/>
  <c r="E61" i="11"/>
  <c r="D61" i="11"/>
  <c r="B61" i="11"/>
  <c r="E60" i="11"/>
  <c r="D60" i="11"/>
  <c r="B60" i="11"/>
  <c r="E59" i="11"/>
  <c r="D59" i="11"/>
  <c r="B59" i="11"/>
  <c r="E58" i="11"/>
  <c r="D58" i="11"/>
  <c r="B58" i="11"/>
  <c r="E57" i="11"/>
  <c r="D57" i="11"/>
  <c r="B57" i="11"/>
  <c r="E56" i="11"/>
  <c r="D56" i="11"/>
  <c r="B56" i="11"/>
  <c r="E55" i="11"/>
  <c r="D55" i="11"/>
  <c r="B55" i="11"/>
  <c r="E54" i="11"/>
  <c r="D54" i="11"/>
  <c r="B54" i="11"/>
  <c r="E53" i="11"/>
  <c r="D53" i="11"/>
  <c r="B53" i="11"/>
  <c r="E52" i="11"/>
  <c r="D52" i="11"/>
  <c r="B52" i="11"/>
  <c r="E51" i="11"/>
  <c r="D51" i="11"/>
  <c r="B51" i="11"/>
  <c r="E50" i="11"/>
  <c r="D50" i="11"/>
  <c r="B50" i="11"/>
  <c r="E49" i="11"/>
  <c r="D49" i="11"/>
  <c r="B49" i="11"/>
  <c r="E48" i="11"/>
  <c r="D48" i="11"/>
  <c r="B48" i="11"/>
  <c r="E46" i="11"/>
  <c r="D46" i="11"/>
  <c r="B46" i="11"/>
  <c r="E45" i="11"/>
  <c r="D45" i="11"/>
  <c r="B45" i="11"/>
  <c r="E44" i="11"/>
  <c r="D44" i="11"/>
  <c r="B44" i="11"/>
  <c r="E43" i="11"/>
  <c r="D43" i="11"/>
  <c r="B43" i="11"/>
  <c r="E42" i="11"/>
  <c r="D42" i="11"/>
  <c r="B42" i="11"/>
  <c r="E41" i="11"/>
  <c r="D41" i="11"/>
  <c r="B41" i="11"/>
  <c r="E40" i="11"/>
  <c r="D40" i="11"/>
  <c r="B40" i="11"/>
  <c r="E39" i="11"/>
  <c r="D39" i="11"/>
  <c r="B39" i="11"/>
  <c r="E38" i="11"/>
  <c r="D38" i="11"/>
  <c r="B38" i="11"/>
  <c r="E37" i="11"/>
  <c r="D37" i="11"/>
  <c r="B37" i="11"/>
  <c r="E36" i="11"/>
  <c r="D36" i="11"/>
  <c r="B36" i="11"/>
  <c r="E35" i="11"/>
  <c r="D35" i="11"/>
  <c r="B35" i="11"/>
  <c r="E34" i="11"/>
  <c r="D34" i="11"/>
  <c r="B34" i="11"/>
  <c r="E33" i="11"/>
  <c r="D33" i="11"/>
  <c r="B33" i="11"/>
  <c r="E32" i="11"/>
  <c r="D32" i="11"/>
  <c r="B32" i="11"/>
  <c r="E31" i="11"/>
  <c r="D31" i="11"/>
  <c r="B31" i="11"/>
  <c r="E30" i="11"/>
  <c r="D30" i="11"/>
  <c r="B30" i="11"/>
  <c r="E29" i="11"/>
  <c r="D29" i="11"/>
  <c r="B29" i="11"/>
  <c r="E28" i="11"/>
  <c r="D28" i="11"/>
  <c r="B28" i="11"/>
  <c r="E27" i="11"/>
  <c r="D27" i="11"/>
  <c r="B27" i="11"/>
  <c r="E25" i="11"/>
  <c r="D25" i="11"/>
  <c r="B25" i="11"/>
  <c r="E24" i="11"/>
  <c r="D24" i="11"/>
  <c r="B24" i="11"/>
  <c r="E23" i="11"/>
  <c r="D23" i="11"/>
  <c r="B23" i="11"/>
  <c r="E22" i="11"/>
  <c r="D22" i="11"/>
  <c r="B22" i="11"/>
  <c r="E21" i="11"/>
  <c r="D21" i="11"/>
  <c r="B21" i="11"/>
  <c r="E20" i="11"/>
  <c r="D20" i="11"/>
  <c r="B20" i="11"/>
  <c r="E19" i="11"/>
  <c r="D19" i="11"/>
  <c r="B19" i="11"/>
  <c r="E18" i="11"/>
  <c r="D18" i="11"/>
  <c r="B18" i="11"/>
  <c r="E17" i="11"/>
  <c r="D17" i="11"/>
  <c r="B17" i="11"/>
  <c r="E16" i="11"/>
  <c r="D16" i="11"/>
  <c r="B16" i="11"/>
  <c r="E15" i="11"/>
  <c r="D15" i="11"/>
  <c r="B15" i="11"/>
  <c r="E14" i="11"/>
  <c r="D14" i="11"/>
  <c r="B14" i="11"/>
  <c r="E13" i="11"/>
  <c r="D13" i="11"/>
  <c r="B13" i="11"/>
  <c r="E10" i="11"/>
  <c r="E11" i="11"/>
  <c r="D11" i="11"/>
  <c r="D10" i="11"/>
  <c r="B11" i="11"/>
  <c r="B10" i="11"/>
  <c r="J8" i="56" l="1"/>
  <c r="J9" i="56"/>
  <c r="J10" i="56"/>
  <c r="J11" i="56"/>
  <c r="J12" i="56"/>
  <c r="J7" i="56"/>
  <c r="F74" i="15" l="1"/>
  <c r="F75" i="15"/>
  <c r="F76" i="15"/>
  <c r="F77" i="15"/>
  <c r="F50" i="15"/>
  <c r="F51" i="15"/>
  <c r="F52" i="15"/>
  <c r="F53" i="15"/>
  <c r="F54" i="15"/>
  <c r="F55" i="15"/>
  <c r="F56" i="15"/>
  <c r="F57" i="15"/>
  <c r="F30" i="15"/>
  <c r="F31" i="15"/>
  <c r="F32" i="15"/>
  <c r="F33" i="15"/>
  <c r="F34" i="15"/>
  <c r="F35" i="15"/>
  <c r="F36" i="15"/>
  <c r="F14" i="15"/>
  <c r="F15" i="15"/>
  <c r="F16" i="15"/>
  <c r="F17" i="15"/>
  <c r="F18" i="15"/>
  <c r="V117" i="72" l="1"/>
  <c r="AA120" i="72"/>
  <c r="AA118" i="72"/>
  <c r="AA117" i="72"/>
  <c r="AC116" i="72"/>
  <c r="AB116" i="72"/>
  <c r="AA116" i="72"/>
  <c r="R117" i="72"/>
  <c r="Q118" i="72"/>
  <c r="Q117" i="72"/>
  <c r="P116" i="72"/>
  <c r="AV11" i="15" l="1"/>
  <c r="AW11" i="15" s="1"/>
  <c r="AX11" i="15" s="1"/>
  <c r="AY11" i="15" s="1"/>
  <c r="AZ11" i="15" s="1"/>
  <c r="BA11" i="15" s="1"/>
  <c r="BB11" i="15" s="1"/>
  <c r="K34" i="74" l="1"/>
  <c r="M42" i="79" l="1"/>
  <c r="N42" i="79" l="1"/>
  <c r="M43" i="79"/>
  <c r="M44" i="79" s="1"/>
  <c r="O42" i="79" l="1"/>
  <c r="N43" i="79"/>
  <c r="N44" i="79" s="1"/>
  <c r="P42" i="79" l="1"/>
  <c r="O43" i="79"/>
  <c r="O44" i="79" s="1"/>
  <c r="M4" i="68"/>
  <c r="M3" i="68"/>
  <c r="M2" i="68"/>
  <c r="N5" i="68"/>
  <c r="N3" i="68"/>
  <c r="N4" i="68"/>
  <c r="N2" i="68"/>
  <c r="Q42" i="79" l="1"/>
  <c r="Q43" i="79" s="1"/>
  <c r="Q44" i="79" s="1"/>
  <c r="P43" i="79"/>
  <c r="P44" i="79" s="1"/>
  <c r="F25" i="15" l="1"/>
  <c r="F24" i="15"/>
  <c r="F23" i="15"/>
  <c r="F22" i="15"/>
  <c r="F21" i="15"/>
  <c r="F20" i="15"/>
  <c r="F19" i="15"/>
  <c r="F13" i="15"/>
  <c r="F69" i="15" l="1"/>
  <c r="F68" i="15"/>
  <c r="F67" i="15"/>
  <c r="F66" i="15"/>
  <c r="F65" i="15"/>
  <c r="F64" i="15"/>
  <c r="F63" i="15"/>
  <c r="F62" i="15"/>
  <c r="G14" i="71" l="1"/>
  <c r="I7" i="68"/>
  <c r="J7" i="68"/>
  <c r="D24" i="71" l="1"/>
  <c r="I5" i="68" l="1"/>
  <c r="K24" i="71" l="1"/>
  <c r="H131" i="60" l="1"/>
  <c r="J131" i="60" s="1"/>
  <c r="H133" i="60"/>
  <c r="J133" i="60" s="1"/>
  <c r="H139" i="60"/>
  <c r="J139" i="60" s="1"/>
  <c r="G130" i="60"/>
  <c r="I130" i="60" s="1"/>
  <c r="G133" i="60"/>
  <c r="G134" i="60"/>
  <c r="I134" i="60" s="1"/>
  <c r="G137" i="60"/>
  <c r="I137" i="60" s="1"/>
  <c r="G138" i="60"/>
  <c r="I138" i="60" s="1"/>
  <c r="F131" i="60"/>
  <c r="F132" i="60"/>
  <c r="H132" i="60" s="1"/>
  <c r="J132" i="60" s="1"/>
  <c r="F133" i="60"/>
  <c r="F134" i="60"/>
  <c r="F135" i="60"/>
  <c r="H135" i="60" s="1"/>
  <c r="J135" i="60" s="1"/>
  <c r="F136" i="60"/>
  <c r="H136" i="60" s="1"/>
  <c r="J136" i="60" s="1"/>
  <c r="F137" i="60"/>
  <c r="H137" i="60" s="1"/>
  <c r="J137" i="60" s="1"/>
  <c r="F138" i="60"/>
  <c r="H138" i="60" s="1"/>
  <c r="J138" i="60" s="1"/>
  <c r="F139" i="60"/>
  <c r="F140" i="60"/>
  <c r="H140" i="60" s="1"/>
  <c r="J140" i="60" s="1"/>
  <c r="F130" i="60"/>
  <c r="H130" i="60" s="1"/>
  <c r="E131" i="60"/>
  <c r="G131" i="60" s="1"/>
  <c r="I131" i="60" s="1"/>
  <c r="E132" i="60"/>
  <c r="G132" i="60" s="1"/>
  <c r="I132" i="60" s="1"/>
  <c r="E133" i="60"/>
  <c r="E134" i="60"/>
  <c r="E135" i="60"/>
  <c r="E30" i="60" s="1"/>
  <c r="E136" i="60"/>
  <c r="G136" i="60" s="1"/>
  <c r="I136" i="60" s="1"/>
  <c r="E137" i="60"/>
  <c r="E138" i="60"/>
  <c r="E139" i="60"/>
  <c r="G139" i="60" s="1"/>
  <c r="I139" i="60" s="1"/>
  <c r="E140" i="60"/>
  <c r="G140" i="60" s="1"/>
  <c r="I140" i="60" s="1"/>
  <c r="E130" i="60"/>
  <c r="J130" i="60" l="1"/>
  <c r="F141" i="60"/>
  <c r="E141" i="60"/>
  <c r="H134" i="60"/>
  <c r="J134" i="60" s="1"/>
  <c r="J141" i="60" s="1"/>
  <c r="G135" i="60"/>
  <c r="I135" i="60" s="1"/>
  <c r="I141" i="60" s="1"/>
  <c r="I133" i="60"/>
  <c r="G141" i="60" l="1"/>
  <c r="H141" i="60"/>
  <c r="E26" i="60" l="1"/>
  <c r="O124" i="72" l="1"/>
  <c r="K124" i="72"/>
  <c r="M124" i="72"/>
  <c r="J124" i="72"/>
  <c r="R124" i="72" s="1"/>
  <c r="N124" i="72"/>
  <c r="G124" i="72"/>
  <c r="H124" i="72"/>
  <c r="F124" i="72"/>
  <c r="C124" i="72"/>
  <c r="D124" i="72"/>
  <c r="B124" i="72"/>
  <c r="AF123" i="72"/>
  <c r="R123" i="72" l="1"/>
  <c r="Q121" i="72"/>
  <c r="Q119" i="72"/>
  <c r="R114" i="72"/>
  <c r="R113" i="72"/>
  <c r="J112" i="72"/>
  <c r="R112" i="72" s="1"/>
  <c r="R111" i="72"/>
  <c r="P110" i="72"/>
  <c r="Q112" i="72" s="1"/>
  <c r="R109" i="72"/>
  <c r="R108" i="72"/>
  <c r="R107" i="72"/>
  <c r="R106" i="72"/>
  <c r="R105" i="72"/>
  <c r="R104" i="72"/>
  <c r="J103" i="72"/>
  <c r="R103" i="72" s="1"/>
  <c r="R102" i="72"/>
  <c r="P101" i="72"/>
  <c r="Q103" i="72" s="1"/>
  <c r="M101" i="72"/>
  <c r="R100" i="72"/>
  <c r="R99" i="72"/>
  <c r="R98" i="72"/>
  <c r="R97" i="72"/>
  <c r="R96" i="72"/>
  <c r="J95" i="72"/>
  <c r="R95" i="72" s="1"/>
  <c r="R94" i="72"/>
  <c r="P93" i="72"/>
  <c r="Q95" i="72" s="1"/>
  <c r="M93" i="72"/>
  <c r="R91" i="72"/>
  <c r="R90" i="72"/>
  <c r="R89" i="72"/>
  <c r="P87" i="72"/>
  <c r="M87" i="72"/>
  <c r="R86" i="72"/>
  <c r="R85" i="72"/>
  <c r="R84" i="72"/>
  <c r="R83" i="72"/>
  <c r="R82" i="72"/>
  <c r="R81" i="72"/>
  <c r="R80" i="72"/>
  <c r="R79" i="72"/>
  <c r="R78" i="72"/>
  <c r="R77" i="72"/>
  <c r="R76" i="72"/>
  <c r="R75" i="72"/>
  <c r="R74" i="72"/>
  <c r="R72" i="72"/>
  <c r="R71" i="72"/>
  <c r="R70" i="72"/>
  <c r="R69" i="72"/>
  <c r="R68" i="72"/>
  <c r="R67" i="72"/>
  <c r="R66" i="72"/>
  <c r="R65" i="72"/>
  <c r="R64" i="72"/>
  <c r="R62" i="72"/>
  <c r="R61" i="72"/>
  <c r="R60" i="72"/>
  <c r="R59" i="72"/>
  <c r="R58" i="72"/>
  <c r="R57" i="72"/>
  <c r="R56" i="72"/>
  <c r="P54" i="72"/>
  <c r="Q65" i="72" s="1"/>
  <c r="M54" i="72"/>
  <c r="R52" i="72"/>
  <c r="R51" i="72"/>
  <c r="R50" i="72"/>
  <c r="R48" i="72"/>
  <c r="R47" i="72"/>
  <c r="R46" i="72"/>
  <c r="J45" i="72"/>
  <c r="R45" i="72" s="1"/>
  <c r="R44" i="72"/>
  <c r="R42" i="72"/>
  <c r="R41" i="72"/>
  <c r="R40" i="72"/>
  <c r="J39" i="72"/>
  <c r="R39" i="72" s="1"/>
  <c r="R38" i="72"/>
  <c r="M36" i="72"/>
  <c r="R35" i="72"/>
  <c r="R34" i="72"/>
  <c r="R33" i="72"/>
  <c r="R32" i="72"/>
  <c r="R31" i="72"/>
  <c r="R29" i="72"/>
  <c r="R28" i="72"/>
  <c r="R27" i="72"/>
  <c r="R26" i="72"/>
  <c r="R25" i="72"/>
  <c r="R24" i="72"/>
  <c r="M22" i="72"/>
  <c r="R21" i="72"/>
  <c r="R20" i="72"/>
  <c r="R19" i="72"/>
  <c r="R18" i="72"/>
  <c r="R17" i="72"/>
  <c r="R16" i="72"/>
  <c r="R15" i="72"/>
  <c r="R14" i="72"/>
  <c r="R13" i="72"/>
  <c r="R12" i="72"/>
  <c r="R11" i="72"/>
  <c r="R10" i="72"/>
  <c r="R9" i="72"/>
  <c r="R7" i="72"/>
  <c r="R6" i="72"/>
  <c r="Q4" i="72"/>
  <c r="M4" i="72"/>
  <c r="Q75" i="72" l="1"/>
  <c r="Q57" i="72"/>
  <c r="F107" i="71" l="1"/>
  <c r="E106" i="71"/>
  <c r="C39" i="71"/>
  <c r="B38" i="71"/>
  <c r="B31" i="71"/>
  <c r="B12" i="71"/>
  <c r="F4" i="71"/>
  <c r="E4" i="71"/>
  <c r="D4" i="71"/>
  <c r="C4" i="71"/>
  <c r="B4" i="71"/>
  <c r="F3" i="71"/>
  <c r="E3" i="71"/>
  <c r="D3" i="71"/>
  <c r="C3" i="71"/>
  <c r="B3" i="71"/>
  <c r="F2" i="71"/>
  <c r="E2" i="71"/>
  <c r="D2" i="71"/>
  <c r="C2" i="71"/>
  <c r="B2" i="71"/>
  <c r="C79" i="70"/>
  <c r="D78" i="70"/>
  <c r="B77" i="70"/>
  <c r="I73" i="70"/>
  <c r="D73" i="70"/>
  <c r="C73" i="70"/>
  <c r="B73" i="70"/>
  <c r="I72" i="70"/>
  <c r="E72" i="70"/>
  <c r="D72" i="70"/>
  <c r="N72" i="70" s="1"/>
  <c r="D111" i="71" s="1"/>
  <c r="C72" i="70"/>
  <c r="B72" i="70"/>
  <c r="I71" i="70"/>
  <c r="E71" i="70"/>
  <c r="D71" i="70"/>
  <c r="C71" i="70"/>
  <c r="B71" i="70"/>
  <c r="I68" i="70"/>
  <c r="D68" i="70"/>
  <c r="C68" i="70"/>
  <c r="B68" i="70"/>
  <c r="I67" i="70"/>
  <c r="O67" i="70" s="1"/>
  <c r="E67" i="70"/>
  <c r="D67" i="70"/>
  <c r="C67" i="70"/>
  <c r="B67" i="70"/>
  <c r="L67" i="70" s="1"/>
  <c r="B106" i="71" s="1"/>
  <c r="I66" i="70"/>
  <c r="E66" i="70"/>
  <c r="D66" i="70"/>
  <c r="C66" i="70"/>
  <c r="B66" i="70"/>
  <c r="I62" i="70"/>
  <c r="D62" i="70"/>
  <c r="C62" i="70"/>
  <c r="M62" i="70" s="1"/>
  <c r="C40" i="71" s="1"/>
  <c r="B62" i="70"/>
  <c r="I61" i="70"/>
  <c r="E61" i="70"/>
  <c r="D61" i="70"/>
  <c r="C61" i="70"/>
  <c r="B61" i="70"/>
  <c r="I60" i="70"/>
  <c r="R60" i="70" s="1"/>
  <c r="H38" i="71" s="1"/>
  <c r="E60" i="70"/>
  <c r="D60" i="70"/>
  <c r="C60" i="70"/>
  <c r="B60" i="70"/>
  <c r="L60" i="70" s="1"/>
  <c r="C55" i="70"/>
  <c r="B55" i="70"/>
  <c r="I54" i="70"/>
  <c r="E54" i="70"/>
  <c r="D54" i="70"/>
  <c r="N54" i="70" s="1"/>
  <c r="D32" i="71" s="1"/>
  <c r="C54" i="70"/>
  <c r="B54" i="70"/>
  <c r="I53" i="70"/>
  <c r="R53" i="70" s="1"/>
  <c r="E53" i="70"/>
  <c r="F53" i="70" s="1"/>
  <c r="P53" i="70" s="1"/>
  <c r="F31" i="71" s="1"/>
  <c r="D53" i="70"/>
  <c r="C53" i="70"/>
  <c r="B53" i="70"/>
  <c r="L53" i="70" s="1"/>
  <c r="R73" i="70"/>
  <c r="H112" i="71" s="1"/>
  <c r="P73" i="70"/>
  <c r="F112" i="71" s="1"/>
  <c r="L73" i="70"/>
  <c r="B112" i="71" s="1"/>
  <c r="H72" i="70"/>
  <c r="R72" i="70" s="1"/>
  <c r="H111" i="71" s="1"/>
  <c r="M72" i="70"/>
  <c r="C111" i="71" s="1"/>
  <c r="Q71" i="70"/>
  <c r="G110" i="71" s="1"/>
  <c r="L71" i="70"/>
  <c r="B110" i="71" s="1"/>
  <c r="K70" i="70"/>
  <c r="P68" i="70"/>
  <c r="L68" i="70"/>
  <c r="B107" i="71" s="1"/>
  <c r="Q67" i="70"/>
  <c r="G106" i="71" s="1"/>
  <c r="P67" i="70"/>
  <c r="F106" i="71" s="1"/>
  <c r="R66" i="70"/>
  <c r="H105" i="71" s="1"/>
  <c r="M66" i="70"/>
  <c r="C105" i="71" s="1"/>
  <c r="K65" i="70"/>
  <c r="R62" i="70"/>
  <c r="H40" i="71" s="1"/>
  <c r="P62" i="70"/>
  <c r="F40" i="71" s="1"/>
  <c r="L62" i="70"/>
  <c r="B40" i="71" s="1"/>
  <c r="O62" i="70"/>
  <c r="E40" i="71" s="1"/>
  <c r="H61" i="70"/>
  <c r="R61" i="70" s="1"/>
  <c r="H39" i="71" s="1"/>
  <c r="N61" i="70"/>
  <c r="D39" i="71" s="1"/>
  <c r="M61" i="70"/>
  <c r="M60" i="70"/>
  <c r="C38" i="71" s="1"/>
  <c r="K59" i="70"/>
  <c r="I55" i="70"/>
  <c r="M55" i="70" s="1"/>
  <c r="C33" i="71" s="1"/>
  <c r="R54" i="70"/>
  <c r="L54" i="70"/>
  <c r="B32" i="71" s="1"/>
  <c r="M53" i="70"/>
  <c r="C31" i="71" s="1"/>
  <c r="K52" i="70"/>
  <c r="G37" i="69"/>
  <c r="F37" i="69"/>
  <c r="F45" i="69" s="1"/>
  <c r="F9" i="71" s="1"/>
  <c r="E37" i="69"/>
  <c r="D37" i="69"/>
  <c r="C37" i="69"/>
  <c r="B37" i="69"/>
  <c r="B45" i="69" s="1"/>
  <c r="B9" i="71" s="1"/>
  <c r="G36" i="69"/>
  <c r="F36" i="69"/>
  <c r="E36" i="69"/>
  <c r="D36" i="69"/>
  <c r="C36" i="69"/>
  <c r="B36" i="69"/>
  <c r="G35" i="69"/>
  <c r="F35" i="69"/>
  <c r="F43" i="69" s="1"/>
  <c r="F11" i="71" s="1"/>
  <c r="E35" i="69"/>
  <c r="D35" i="69"/>
  <c r="C35" i="69"/>
  <c r="B35" i="69"/>
  <c r="B43" i="69" s="1"/>
  <c r="B11" i="71" s="1"/>
  <c r="G34" i="69"/>
  <c r="F34" i="69"/>
  <c r="E34" i="69"/>
  <c r="D34" i="69"/>
  <c r="D38" i="69" s="1"/>
  <c r="C34" i="69"/>
  <c r="B34" i="69"/>
  <c r="G33" i="69"/>
  <c r="F33" i="69"/>
  <c r="F38" i="69" s="1"/>
  <c r="E33" i="69"/>
  <c r="E38" i="69" s="1"/>
  <c r="D33" i="69"/>
  <c r="C33" i="69"/>
  <c r="B33" i="69"/>
  <c r="B38" i="69" s="1"/>
  <c r="G30" i="69"/>
  <c r="G44" i="69" s="1"/>
  <c r="G12" i="71" s="1"/>
  <c r="F30" i="69"/>
  <c r="F44" i="69" s="1"/>
  <c r="F12" i="71" s="1"/>
  <c r="E30" i="69"/>
  <c r="D30" i="69"/>
  <c r="D45" i="69" s="1"/>
  <c r="D9" i="71" s="1"/>
  <c r="C30" i="69"/>
  <c r="C44" i="69" s="1"/>
  <c r="C12" i="71" s="1"/>
  <c r="K12" i="71" s="1"/>
  <c r="B30" i="69"/>
  <c r="B44" i="69" s="1"/>
  <c r="G29" i="69"/>
  <c r="F29" i="69"/>
  <c r="E29" i="69"/>
  <c r="D29" i="69"/>
  <c r="C29" i="69"/>
  <c r="B29" i="69"/>
  <c r="H3" i="68"/>
  <c r="H4" i="68"/>
  <c r="H5" i="68"/>
  <c r="H6" i="68"/>
  <c r="K25" i="71" s="1"/>
  <c r="H7" i="68"/>
  <c r="H8" i="68"/>
  <c r="H9" i="68"/>
  <c r="H10" i="68"/>
  <c r="H11" i="68"/>
  <c r="H12" i="68"/>
  <c r="H13" i="68"/>
  <c r="H14" i="68"/>
  <c r="H15" i="68"/>
  <c r="H16" i="68"/>
  <c r="H17" i="68"/>
  <c r="H18" i="68"/>
  <c r="H19" i="68"/>
  <c r="H20" i="68"/>
  <c r="H2" i="68"/>
  <c r="N9" i="71" l="1"/>
  <c r="N12" i="71"/>
  <c r="I31" i="71"/>
  <c r="O68" i="70"/>
  <c r="E107" i="71" s="1"/>
  <c r="R68" i="70"/>
  <c r="H107" i="71" s="1"/>
  <c r="N68" i="70"/>
  <c r="D107" i="71" s="1"/>
  <c r="G73" i="70"/>
  <c r="Q73" i="70" s="1"/>
  <c r="G112" i="71" s="1"/>
  <c r="M73" i="70"/>
  <c r="C112" i="71" s="1"/>
  <c r="J12" i="71"/>
  <c r="K26" i="71"/>
  <c r="K27" i="71" s="1"/>
  <c r="E45" i="69"/>
  <c r="E9" i="71" s="1"/>
  <c r="M9" i="71" s="1"/>
  <c r="C38" i="69"/>
  <c r="G38" i="69"/>
  <c r="G62" i="70"/>
  <c r="Q62" i="70" s="1"/>
  <c r="G40" i="71" s="1"/>
  <c r="N66" i="70"/>
  <c r="D105" i="71" s="1"/>
  <c r="M67" i="70"/>
  <c r="C106" i="71" s="1"/>
  <c r="G68" i="70"/>
  <c r="Q68" i="70" s="1"/>
  <c r="G107" i="71" s="1"/>
  <c r="N71" i="70"/>
  <c r="D110" i="71" s="1"/>
  <c r="O72" i="70"/>
  <c r="E111" i="71" s="1"/>
  <c r="N73" i="70"/>
  <c r="D112" i="71" s="1"/>
  <c r="G4" i="71"/>
  <c r="F25" i="71" s="1"/>
  <c r="P25" i="71" s="1"/>
  <c r="G2" i="71"/>
  <c r="D26" i="71" s="1"/>
  <c r="D25" i="71"/>
  <c r="N25" i="71" s="1"/>
  <c r="G3" i="71"/>
  <c r="F24" i="71" s="1"/>
  <c r="P24" i="71" s="1"/>
  <c r="B25" i="71"/>
  <c r="I110" i="71"/>
  <c r="N53" i="70"/>
  <c r="D31" i="71" s="1"/>
  <c r="Q53" i="70"/>
  <c r="G31" i="71" s="1"/>
  <c r="Q60" i="70"/>
  <c r="G38" i="71" s="1"/>
  <c r="N62" i="70"/>
  <c r="O71" i="70"/>
  <c r="E110" i="71" s="1"/>
  <c r="R71" i="70"/>
  <c r="H110" i="71" s="1"/>
  <c r="O53" i="70"/>
  <c r="E31" i="71" s="1"/>
  <c r="O60" i="70"/>
  <c r="E38" i="71" s="1"/>
  <c r="M71" i="70"/>
  <c r="C110" i="71" s="1"/>
  <c r="O55" i="70"/>
  <c r="E33" i="71" s="1"/>
  <c r="P55" i="70"/>
  <c r="F33" i="71" s="1"/>
  <c r="L55" i="70"/>
  <c r="B33" i="71" s="1"/>
  <c r="R55" i="70"/>
  <c r="N55" i="70"/>
  <c r="D33" i="71" s="1"/>
  <c r="Q55" i="70"/>
  <c r="G33" i="71" s="1"/>
  <c r="O61" i="70"/>
  <c r="E39" i="71" s="1"/>
  <c r="P54" i="70"/>
  <c r="F60" i="70"/>
  <c r="P60" i="70" s="1"/>
  <c r="F38" i="71" s="1"/>
  <c r="N60" i="70"/>
  <c r="L61" i="70"/>
  <c r="B39" i="71" s="1"/>
  <c r="P61" i="70"/>
  <c r="F39" i="71" s="1"/>
  <c r="L66" i="70"/>
  <c r="B105" i="71" s="1"/>
  <c r="I105" i="71" s="1"/>
  <c r="H67" i="70"/>
  <c r="R67" i="70" s="1"/>
  <c r="H106" i="71" s="1"/>
  <c r="N67" i="70"/>
  <c r="D106" i="71" s="1"/>
  <c r="M68" i="70"/>
  <c r="F71" i="70"/>
  <c r="P71" i="70" s="1"/>
  <c r="F110" i="71" s="1"/>
  <c r="L72" i="70"/>
  <c r="B111" i="71" s="1"/>
  <c r="I111" i="71" s="1"/>
  <c r="P72" i="70"/>
  <c r="F111" i="71" s="1"/>
  <c r="O73" i="70"/>
  <c r="M54" i="70"/>
  <c r="C32" i="71" s="1"/>
  <c r="Q54" i="70"/>
  <c r="G32" i="71" s="1"/>
  <c r="Q61" i="70"/>
  <c r="G39" i="71" s="1"/>
  <c r="Q66" i="70"/>
  <c r="G105" i="71" s="1"/>
  <c r="Q72" i="70"/>
  <c r="G111" i="71" s="1"/>
  <c r="O54" i="70"/>
  <c r="E32" i="71" s="1"/>
  <c r="O66" i="70"/>
  <c r="E105" i="71" s="1"/>
  <c r="F66" i="70"/>
  <c r="P66" i="70" s="1"/>
  <c r="F105" i="71" s="1"/>
  <c r="B41" i="69"/>
  <c r="C41" i="69"/>
  <c r="C8" i="71" s="1"/>
  <c r="G41" i="69"/>
  <c r="G8" i="71" s="1"/>
  <c r="E42" i="69"/>
  <c r="E10" i="71" s="1"/>
  <c r="C43" i="69"/>
  <c r="C11" i="71" s="1"/>
  <c r="G43" i="69"/>
  <c r="G11" i="71" s="1"/>
  <c r="N11" i="71" s="1"/>
  <c r="E44" i="69"/>
  <c r="E12" i="71" s="1"/>
  <c r="M12" i="71" s="1"/>
  <c r="C45" i="69"/>
  <c r="C9" i="71" s="1"/>
  <c r="G45" i="69"/>
  <c r="G9" i="71" s="1"/>
  <c r="L9" i="71" s="1"/>
  <c r="F41" i="69"/>
  <c r="F8" i="71" s="1"/>
  <c r="N8" i="71" s="1"/>
  <c r="D42" i="69"/>
  <c r="D10" i="71" s="1"/>
  <c r="D44" i="69"/>
  <c r="D12" i="71" s="1"/>
  <c r="L12" i="71" s="1"/>
  <c r="D41" i="69"/>
  <c r="D8" i="71" s="1"/>
  <c r="L8" i="71" s="1"/>
  <c r="B42" i="69"/>
  <c r="B10" i="71" s="1"/>
  <c r="J10" i="71" s="1"/>
  <c r="F42" i="69"/>
  <c r="F10" i="71" s="1"/>
  <c r="D43" i="69"/>
  <c r="D11" i="71" s="1"/>
  <c r="E41" i="69"/>
  <c r="E8" i="71" s="1"/>
  <c r="M8" i="71" s="1"/>
  <c r="C42" i="69"/>
  <c r="C10" i="71" s="1"/>
  <c r="K10" i="71" s="1"/>
  <c r="G42" i="69"/>
  <c r="G10" i="71" s="1"/>
  <c r="E43" i="69"/>
  <c r="E11" i="71" s="1"/>
  <c r="AP30" i="63"/>
  <c r="AQ30" i="63"/>
  <c r="AR30" i="63"/>
  <c r="AN30" i="63"/>
  <c r="AO30" i="63"/>
  <c r="AM30" i="63"/>
  <c r="AL30" i="63"/>
  <c r="AK30" i="63"/>
  <c r="AJ30" i="63"/>
  <c r="AH30" i="63"/>
  <c r="AI30" i="63"/>
  <c r="AB30" i="63"/>
  <c r="AC30" i="63"/>
  <c r="AD30" i="63"/>
  <c r="AE30" i="63"/>
  <c r="AF30" i="63"/>
  <c r="AG30" i="63"/>
  <c r="P30" i="63"/>
  <c r="Q30" i="63"/>
  <c r="R30" i="63"/>
  <c r="S30" i="63"/>
  <c r="T30" i="63"/>
  <c r="U30" i="63"/>
  <c r="V30" i="63"/>
  <c r="W30" i="63"/>
  <c r="X30" i="63"/>
  <c r="Y30" i="63"/>
  <c r="Z30" i="63"/>
  <c r="AA30" i="63"/>
  <c r="F30" i="63"/>
  <c r="G30" i="63"/>
  <c r="H30" i="63"/>
  <c r="I30" i="63"/>
  <c r="J30" i="63"/>
  <c r="K30" i="63"/>
  <c r="L30" i="63"/>
  <c r="M30" i="63"/>
  <c r="E79" i="70" s="1"/>
  <c r="O30" i="63"/>
  <c r="N30" i="63"/>
  <c r="N26" i="71" l="1"/>
  <c r="E78" i="70"/>
  <c r="K11" i="71"/>
  <c r="B46" i="69"/>
  <c r="B8" i="71"/>
  <c r="E14" i="71"/>
  <c r="E17" i="71" s="1"/>
  <c r="D14" i="71"/>
  <c r="D16" i="71" s="1"/>
  <c r="J11" i="71"/>
  <c r="J9" i="71"/>
  <c r="M11" i="71"/>
  <c r="L11" i="71"/>
  <c r="K9" i="71"/>
  <c r="M10" i="71"/>
  <c r="S73" i="70"/>
  <c r="E112" i="71"/>
  <c r="I112" i="71" s="1"/>
  <c r="S68" i="70"/>
  <c r="C107" i="71"/>
  <c r="I107" i="71" s="1"/>
  <c r="S54" i="70"/>
  <c r="F32" i="71"/>
  <c r="S53" i="70"/>
  <c r="O12" i="71"/>
  <c r="C14" i="71"/>
  <c r="C17" i="71" s="1"/>
  <c r="K8" i="71"/>
  <c r="I32" i="71"/>
  <c r="S60" i="70"/>
  <c r="D38" i="71"/>
  <c r="I38" i="71" s="1"/>
  <c r="S62" i="70"/>
  <c r="D40" i="71"/>
  <c r="I40" i="71" s="1"/>
  <c r="F14" i="71"/>
  <c r="F17" i="71" s="1"/>
  <c r="N10" i="71"/>
  <c r="L10" i="71"/>
  <c r="O10" i="71" s="1"/>
  <c r="I39" i="71"/>
  <c r="I33" i="71"/>
  <c r="C25" i="71"/>
  <c r="M25" i="71" s="1"/>
  <c r="V39" i="71" s="1"/>
  <c r="E25" i="71"/>
  <c r="O25" i="71" s="1"/>
  <c r="I106" i="71"/>
  <c r="O9" i="71"/>
  <c r="L25" i="71"/>
  <c r="Q25" i="71" s="1"/>
  <c r="C24" i="71"/>
  <c r="M24" i="71" s="1"/>
  <c r="E24" i="71"/>
  <c r="O24" i="71" s="1"/>
  <c r="B24" i="71"/>
  <c r="BC39" i="71"/>
  <c r="L39" i="71"/>
  <c r="AG39" i="71"/>
  <c r="AR39" i="71"/>
  <c r="B26" i="71"/>
  <c r="F26" i="71"/>
  <c r="P26" i="71" s="1"/>
  <c r="N24" i="71"/>
  <c r="E16" i="71"/>
  <c r="E26" i="71"/>
  <c r="O26" i="71" s="1"/>
  <c r="C26" i="71"/>
  <c r="M26" i="71" s="1"/>
  <c r="S67" i="70"/>
  <c r="S71" i="70"/>
  <c r="S61" i="70"/>
  <c r="S72" i="70"/>
  <c r="S66" i="70"/>
  <c r="S55" i="70"/>
  <c r="G46" i="69"/>
  <c r="F46" i="69"/>
  <c r="C46" i="69"/>
  <c r="E46" i="69"/>
  <c r="D46" i="69"/>
  <c r="B120" i="72"/>
  <c r="D17" i="71" l="1"/>
  <c r="F16" i="71"/>
  <c r="J8" i="71"/>
  <c r="O8" i="71" s="1"/>
  <c r="B14" i="71"/>
  <c r="C16" i="71"/>
  <c r="G25" i="71"/>
  <c r="O11" i="71"/>
  <c r="AR40" i="71"/>
  <c r="BC40" i="71"/>
  <c r="V40" i="71"/>
  <c r="AG40" i="71"/>
  <c r="L40" i="71"/>
  <c r="L26" i="71"/>
  <c r="Q26" i="71" s="1"/>
  <c r="G26" i="71"/>
  <c r="P39" i="71"/>
  <c r="Q39" i="71"/>
  <c r="U25" i="71"/>
  <c r="S39" i="71"/>
  <c r="N39" i="71"/>
  <c r="O39" i="71"/>
  <c r="R39" i="71"/>
  <c r="M39" i="71"/>
  <c r="V38" i="71"/>
  <c r="AG38" i="71"/>
  <c r="BC38" i="71"/>
  <c r="AR38" i="71"/>
  <c r="L38" i="71"/>
  <c r="V32" i="71"/>
  <c r="BC32" i="71"/>
  <c r="L32" i="71"/>
  <c r="AG32" i="71"/>
  <c r="R25" i="71"/>
  <c r="AR32" i="71"/>
  <c r="AM39" i="71"/>
  <c r="AI39" i="71"/>
  <c r="AJ39" i="71"/>
  <c r="AL39" i="71"/>
  <c r="AN39" i="71"/>
  <c r="AH39" i="71"/>
  <c r="AK39" i="71"/>
  <c r="AW39" i="71"/>
  <c r="AS39" i="71"/>
  <c r="AV39" i="71"/>
  <c r="AY39" i="71"/>
  <c r="AT39" i="71"/>
  <c r="AU39" i="71"/>
  <c r="AX39" i="71"/>
  <c r="BG39" i="71"/>
  <c r="BI39" i="71"/>
  <c r="BD39" i="71"/>
  <c r="BF39" i="71"/>
  <c r="BH39" i="71"/>
  <c r="BJ39" i="71"/>
  <c r="BE39" i="71"/>
  <c r="AC39" i="71"/>
  <c r="Y39" i="71"/>
  <c r="AB39" i="71"/>
  <c r="W39" i="71"/>
  <c r="Z39" i="71"/>
  <c r="AA39" i="71"/>
  <c r="X39" i="71"/>
  <c r="G24" i="71"/>
  <c r="L24" i="71"/>
  <c r="Q24" i="71" s="1"/>
  <c r="B17" i="71" l="1"/>
  <c r="B16" i="71"/>
  <c r="BK39" i="71"/>
  <c r="AO39" i="71"/>
  <c r="AD39" i="71"/>
  <c r="T39" i="71"/>
  <c r="AZ39" i="71"/>
  <c r="AX38" i="71"/>
  <c r="AT38" i="71"/>
  <c r="AY38" i="71"/>
  <c r="AS38" i="71"/>
  <c r="AW38" i="71"/>
  <c r="AV38" i="71"/>
  <c r="AU38" i="71"/>
  <c r="BI32" i="71"/>
  <c r="H68" i="71" s="1"/>
  <c r="BE32" i="71"/>
  <c r="D68" i="71" s="1"/>
  <c r="BJ32" i="71"/>
  <c r="I68" i="71" s="1"/>
  <c r="BD32" i="71"/>
  <c r="C68" i="71" s="1"/>
  <c r="BH32" i="71"/>
  <c r="G68" i="71" s="1"/>
  <c r="BG32" i="71"/>
  <c r="F68" i="71" s="1"/>
  <c r="BF32" i="71"/>
  <c r="E68" i="71" s="1"/>
  <c r="AB40" i="71"/>
  <c r="X40" i="71"/>
  <c r="AA40" i="71"/>
  <c r="Y40" i="71"/>
  <c r="Z40" i="71"/>
  <c r="AC40" i="71"/>
  <c r="W40" i="71"/>
  <c r="AD40" i="71" s="1"/>
  <c r="Z32" i="71"/>
  <c r="F53" i="71" s="1"/>
  <c r="AC32" i="71"/>
  <c r="I53" i="71" s="1"/>
  <c r="Y32" i="71"/>
  <c r="E53" i="71" s="1"/>
  <c r="W32" i="71"/>
  <c r="C53" i="71" s="1"/>
  <c r="AB32" i="71"/>
  <c r="H53" i="71" s="1"/>
  <c r="AA32" i="71"/>
  <c r="G53" i="71" s="1"/>
  <c r="X32" i="71"/>
  <c r="D53" i="71" s="1"/>
  <c r="AN38" i="71"/>
  <c r="AJ38" i="71"/>
  <c r="AL38" i="71"/>
  <c r="AI38" i="71"/>
  <c r="AK38" i="71"/>
  <c r="AM38" i="71"/>
  <c r="AH38" i="71"/>
  <c r="AG33" i="71"/>
  <c r="BC33" i="71"/>
  <c r="V33" i="71"/>
  <c r="R26" i="71"/>
  <c r="AR33" i="71"/>
  <c r="L33" i="71"/>
  <c r="BJ40" i="71"/>
  <c r="BF40" i="71"/>
  <c r="BH40" i="71"/>
  <c r="BE40" i="71"/>
  <c r="BG40" i="71"/>
  <c r="BI40" i="71"/>
  <c r="BD40" i="71"/>
  <c r="Q32" i="71"/>
  <c r="G48" i="71" s="1"/>
  <c r="M32" i="71"/>
  <c r="C48" i="71" s="1"/>
  <c r="P32" i="71"/>
  <c r="F48" i="71" s="1"/>
  <c r="T25" i="71"/>
  <c r="N32" i="71"/>
  <c r="D48" i="71" s="1"/>
  <c r="S32" i="71"/>
  <c r="I48" i="71" s="1"/>
  <c r="R32" i="71"/>
  <c r="H48" i="71" s="1"/>
  <c r="O32" i="71"/>
  <c r="E48" i="71" s="1"/>
  <c r="AL40" i="71"/>
  <c r="AH40" i="71"/>
  <c r="AN40" i="71"/>
  <c r="AI40" i="71"/>
  <c r="AM40" i="71"/>
  <c r="AK40" i="71"/>
  <c r="AJ40" i="71"/>
  <c r="AX32" i="71"/>
  <c r="H63" i="71" s="1"/>
  <c r="AT32" i="71"/>
  <c r="D63" i="71" s="1"/>
  <c r="AW32" i="71"/>
  <c r="G63" i="71" s="1"/>
  <c r="AS32" i="71"/>
  <c r="C63" i="71" s="1"/>
  <c r="AY32" i="71"/>
  <c r="I63" i="71" s="1"/>
  <c r="AU32" i="71"/>
  <c r="E63" i="71" s="1"/>
  <c r="AV32" i="71"/>
  <c r="F63" i="71" s="1"/>
  <c r="BH38" i="71"/>
  <c r="BD38" i="71"/>
  <c r="BF38" i="71"/>
  <c r="BI38" i="71"/>
  <c r="BJ38" i="71"/>
  <c r="BE38" i="71"/>
  <c r="BG38" i="71"/>
  <c r="V31" i="71"/>
  <c r="BC31" i="71"/>
  <c r="L31" i="71"/>
  <c r="AR31" i="71"/>
  <c r="AG31" i="71"/>
  <c r="R24" i="71"/>
  <c r="AN32" i="71"/>
  <c r="I58" i="71" s="1"/>
  <c r="AJ32" i="71"/>
  <c r="E58" i="71" s="1"/>
  <c r="AM32" i="71"/>
  <c r="H58" i="71" s="1"/>
  <c r="AI32" i="71"/>
  <c r="D58" i="71" s="1"/>
  <c r="AL32" i="71"/>
  <c r="G58" i="71" s="1"/>
  <c r="AK32" i="71"/>
  <c r="F58" i="71" s="1"/>
  <c r="AH32" i="71"/>
  <c r="C58" i="71" s="1"/>
  <c r="Q38" i="71"/>
  <c r="M38" i="71"/>
  <c r="S38" i="71"/>
  <c r="N38" i="71"/>
  <c r="U24" i="71"/>
  <c r="R38" i="71"/>
  <c r="P38" i="71"/>
  <c r="O38" i="71"/>
  <c r="Z38" i="71"/>
  <c r="Y38" i="71"/>
  <c r="W38" i="71"/>
  <c r="AC38" i="71"/>
  <c r="X38" i="71"/>
  <c r="AB38" i="71"/>
  <c r="AA38" i="71"/>
  <c r="S40" i="71"/>
  <c r="O40" i="71"/>
  <c r="P40" i="71"/>
  <c r="R40" i="71"/>
  <c r="M40" i="71"/>
  <c r="N40" i="71"/>
  <c r="U26" i="71"/>
  <c r="Q40" i="71"/>
  <c r="AV40" i="71"/>
  <c r="AU40" i="71"/>
  <c r="AX40" i="71"/>
  <c r="AS40" i="71"/>
  <c r="AY40" i="71"/>
  <c r="AT40" i="71"/>
  <c r="AW40" i="71"/>
  <c r="G73" i="71" l="1"/>
  <c r="D73" i="71"/>
  <c r="T93" i="72" s="1"/>
  <c r="E73" i="71"/>
  <c r="T87" i="72" s="1"/>
  <c r="T40" i="71"/>
  <c r="H73" i="71"/>
  <c r="F73" i="71"/>
  <c r="R58" i="71"/>
  <c r="S58" i="71"/>
  <c r="I73" i="71"/>
  <c r="D23" i="60" s="1"/>
  <c r="C73" i="71"/>
  <c r="T22" i="72" s="1"/>
  <c r="U58" i="71"/>
  <c r="T38" i="71"/>
  <c r="BK40" i="71"/>
  <c r="AZ38" i="71"/>
  <c r="AD38" i="71"/>
  <c r="AO38" i="71"/>
  <c r="BK38" i="71"/>
  <c r="AZ40" i="71"/>
  <c r="AO40" i="71"/>
  <c r="B48" i="71"/>
  <c r="Z31" i="71"/>
  <c r="F52" i="71" s="1"/>
  <c r="Y31" i="71"/>
  <c r="E52" i="71" s="1"/>
  <c r="AC31" i="71"/>
  <c r="I52" i="71" s="1"/>
  <c r="X31" i="71"/>
  <c r="D52" i="71" s="1"/>
  <c r="W31" i="71"/>
  <c r="C52" i="71" s="1"/>
  <c r="AB31" i="71"/>
  <c r="H52" i="71" s="1"/>
  <c r="AA31" i="71"/>
  <c r="G52" i="71" s="1"/>
  <c r="B68" i="71"/>
  <c r="AX31" i="71"/>
  <c r="H62" i="71" s="1"/>
  <c r="AT31" i="71"/>
  <c r="D62" i="71" s="1"/>
  <c r="AW31" i="71"/>
  <c r="G62" i="71" s="1"/>
  <c r="AS31" i="71"/>
  <c r="C62" i="71" s="1"/>
  <c r="AY31" i="71"/>
  <c r="I62" i="71" s="1"/>
  <c r="AV31" i="71"/>
  <c r="F62" i="71" s="1"/>
  <c r="AU31" i="71"/>
  <c r="E62" i="71" s="1"/>
  <c r="B63" i="71"/>
  <c r="AO32" i="71"/>
  <c r="Q31" i="71"/>
  <c r="G47" i="71" s="1"/>
  <c r="M31" i="71"/>
  <c r="C47" i="71" s="1"/>
  <c r="P31" i="71"/>
  <c r="F47" i="71" s="1"/>
  <c r="T24" i="71"/>
  <c r="O31" i="71"/>
  <c r="E47" i="71" s="1"/>
  <c r="E50" i="71" s="1"/>
  <c r="N31" i="71"/>
  <c r="D47" i="71" s="1"/>
  <c r="S31" i="71"/>
  <c r="I47" i="71" s="1"/>
  <c r="R31" i="71"/>
  <c r="H47" i="71" s="1"/>
  <c r="R33" i="71"/>
  <c r="H49" i="71" s="1"/>
  <c r="N33" i="71"/>
  <c r="D49" i="71" s="1"/>
  <c r="P33" i="71"/>
  <c r="F49" i="71" s="1"/>
  <c r="O33" i="71"/>
  <c r="E49" i="71" s="1"/>
  <c r="M33" i="71"/>
  <c r="C49" i="71" s="1"/>
  <c r="T26" i="71"/>
  <c r="S33" i="71"/>
  <c r="I49" i="71" s="1"/>
  <c r="Q33" i="71"/>
  <c r="G49" i="71" s="1"/>
  <c r="BI33" i="71"/>
  <c r="H69" i="71" s="1"/>
  <c r="BE33" i="71"/>
  <c r="D69" i="71" s="1"/>
  <c r="BH33" i="71"/>
  <c r="G69" i="71" s="1"/>
  <c r="BG33" i="71"/>
  <c r="F69" i="71" s="1"/>
  <c r="BF33" i="71"/>
  <c r="E69" i="71" s="1"/>
  <c r="BD33" i="71"/>
  <c r="C69" i="71" s="1"/>
  <c r="BJ33" i="71"/>
  <c r="I69" i="71" s="1"/>
  <c r="BK32" i="71"/>
  <c r="AN31" i="71"/>
  <c r="I57" i="71" s="1"/>
  <c r="AJ31" i="71"/>
  <c r="E57" i="71" s="1"/>
  <c r="AI31" i="71"/>
  <c r="D57" i="71" s="1"/>
  <c r="AM31" i="71"/>
  <c r="H57" i="71" s="1"/>
  <c r="AH31" i="71"/>
  <c r="C57" i="71" s="1"/>
  <c r="AL31" i="71"/>
  <c r="G57" i="71" s="1"/>
  <c r="AK31" i="71"/>
  <c r="F57" i="71" s="1"/>
  <c r="AZ32" i="71"/>
  <c r="AA33" i="71"/>
  <c r="G54" i="71" s="1"/>
  <c r="W33" i="71"/>
  <c r="C54" i="71" s="1"/>
  <c r="AB33" i="71"/>
  <c r="H54" i="71" s="1"/>
  <c r="Z33" i="71"/>
  <c r="F54" i="71" s="1"/>
  <c r="Y33" i="71"/>
  <c r="E54" i="71" s="1"/>
  <c r="X33" i="71"/>
  <c r="D54" i="71" s="1"/>
  <c r="AC33" i="71"/>
  <c r="I54" i="71" s="1"/>
  <c r="B58" i="71"/>
  <c r="BH31" i="71"/>
  <c r="G67" i="71" s="1"/>
  <c r="BD31" i="71"/>
  <c r="C67" i="71" s="1"/>
  <c r="BG31" i="71"/>
  <c r="F67" i="71" s="1"/>
  <c r="BJ31" i="71"/>
  <c r="I67" i="71" s="1"/>
  <c r="I70" i="71" s="1"/>
  <c r="BI31" i="71"/>
  <c r="H67" i="71" s="1"/>
  <c r="H70" i="71" s="1"/>
  <c r="BF31" i="71"/>
  <c r="E67" i="71" s="1"/>
  <c r="BE31" i="71"/>
  <c r="D67" i="71" s="1"/>
  <c r="T32" i="71"/>
  <c r="AY33" i="71"/>
  <c r="I64" i="71" s="1"/>
  <c r="AU33" i="71"/>
  <c r="E64" i="71" s="1"/>
  <c r="AV33" i="71"/>
  <c r="F64" i="71" s="1"/>
  <c r="AT33" i="71"/>
  <c r="D64" i="71" s="1"/>
  <c r="AX33" i="71"/>
  <c r="H64" i="71" s="1"/>
  <c r="AW33" i="71"/>
  <c r="G64" i="71" s="1"/>
  <c r="AS33" i="71"/>
  <c r="C64" i="71" s="1"/>
  <c r="AK33" i="71"/>
  <c r="F59" i="71" s="1"/>
  <c r="AN33" i="71"/>
  <c r="I59" i="71" s="1"/>
  <c r="AI33" i="71"/>
  <c r="D59" i="71" s="1"/>
  <c r="AM33" i="71"/>
  <c r="H59" i="71" s="1"/>
  <c r="AH33" i="71"/>
  <c r="C59" i="71" s="1"/>
  <c r="AL33" i="71"/>
  <c r="G59" i="71" s="1"/>
  <c r="AJ33" i="71"/>
  <c r="E59" i="71" s="1"/>
  <c r="B53" i="71"/>
  <c r="AD32" i="71"/>
  <c r="E60" i="71" l="1"/>
  <c r="B69" i="71"/>
  <c r="C50" i="71"/>
  <c r="E65" i="71"/>
  <c r="I55" i="71"/>
  <c r="H55" i="71"/>
  <c r="AO31" i="71"/>
  <c r="G70" i="71"/>
  <c r="D72" i="71"/>
  <c r="D50" i="71"/>
  <c r="G55" i="71"/>
  <c r="C60" i="71"/>
  <c r="H74" i="71"/>
  <c r="G50" i="71"/>
  <c r="F65" i="71"/>
  <c r="J48" i="71"/>
  <c r="D70" i="71"/>
  <c r="F70" i="71"/>
  <c r="F60" i="71"/>
  <c r="H60" i="71"/>
  <c r="G74" i="71"/>
  <c r="E74" i="71"/>
  <c r="H50" i="71"/>
  <c r="I65" i="71"/>
  <c r="H65" i="71"/>
  <c r="C55" i="71"/>
  <c r="F55" i="71"/>
  <c r="T58" i="71"/>
  <c r="D74" i="71"/>
  <c r="T110" i="72" s="1"/>
  <c r="G65" i="71"/>
  <c r="I60" i="71"/>
  <c r="C74" i="71"/>
  <c r="T36" i="72" s="1"/>
  <c r="D65" i="71"/>
  <c r="E55" i="71"/>
  <c r="T90" i="72"/>
  <c r="U90" i="72"/>
  <c r="E70" i="71"/>
  <c r="C70" i="71"/>
  <c r="G60" i="71"/>
  <c r="S52" i="71"/>
  <c r="D60" i="71"/>
  <c r="I74" i="71"/>
  <c r="F74" i="71"/>
  <c r="I50" i="71"/>
  <c r="F50" i="71"/>
  <c r="C65" i="71"/>
  <c r="D55" i="71"/>
  <c r="B73" i="71"/>
  <c r="Q58" i="71"/>
  <c r="T95" i="72"/>
  <c r="U95" i="72"/>
  <c r="C72" i="71"/>
  <c r="E72" i="71"/>
  <c r="G72" i="71"/>
  <c r="Q52" i="71" s="1"/>
  <c r="H72" i="71"/>
  <c r="H75" i="71" s="1"/>
  <c r="I72" i="71"/>
  <c r="I75" i="71" s="1"/>
  <c r="F72" i="71"/>
  <c r="U46" i="71" s="1"/>
  <c r="B59" i="71"/>
  <c r="AO33" i="71"/>
  <c r="AZ33" i="71"/>
  <c r="B67" i="71"/>
  <c r="AD33" i="71"/>
  <c r="B57" i="71"/>
  <c r="B64" i="71"/>
  <c r="B54" i="71"/>
  <c r="BK33" i="71"/>
  <c r="B49" i="71"/>
  <c r="T31" i="71"/>
  <c r="AZ31" i="71"/>
  <c r="B52" i="71"/>
  <c r="BK31" i="71"/>
  <c r="T33" i="71"/>
  <c r="B47" i="71"/>
  <c r="B62" i="71"/>
  <c r="AD31" i="71"/>
  <c r="S46" i="71" l="1"/>
  <c r="G75" i="71"/>
  <c r="D22" i="60"/>
  <c r="E22" i="60" s="1"/>
  <c r="T52" i="71"/>
  <c r="R52" i="71"/>
  <c r="U52" i="71"/>
  <c r="T4" i="72"/>
  <c r="C75" i="71"/>
  <c r="Q70" i="71" s="1"/>
  <c r="B74" i="71"/>
  <c r="T112" i="72"/>
  <c r="U112" i="72"/>
  <c r="D75" i="71"/>
  <c r="S64" i="71" s="1"/>
  <c r="T101" i="72"/>
  <c r="G72" i="27"/>
  <c r="T115" i="72"/>
  <c r="T116" i="72"/>
  <c r="F75" i="71"/>
  <c r="T54" i="72"/>
  <c r="E75" i="71"/>
  <c r="Q46" i="71"/>
  <c r="R46" i="71"/>
  <c r="T46" i="71"/>
  <c r="B72" i="71"/>
  <c r="B45" i="71" s="1"/>
  <c r="J47" i="71"/>
  <c r="AI24" i="71"/>
  <c r="J49" i="71"/>
  <c r="T64" i="71" l="1"/>
  <c r="U64" i="71"/>
  <c r="Q64" i="71"/>
  <c r="S70" i="71"/>
  <c r="U103" i="72"/>
  <c r="U92" i="72" s="1"/>
  <c r="D20" i="60" s="1"/>
  <c r="E20" i="60" s="1"/>
  <c r="T103" i="72"/>
  <c r="U70" i="71"/>
  <c r="T75" i="72"/>
  <c r="U57" i="72"/>
  <c r="U75" i="72"/>
  <c r="T57" i="72"/>
  <c r="R64" i="71"/>
  <c r="T70" i="71"/>
  <c r="R70" i="71"/>
  <c r="U53" i="72" l="1"/>
  <c r="D18" i="60" l="1"/>
  <c r="E18" i="60" s="1"/>
  <c r="C77" i="60"/>
  <c r="C76" i="60"/>
  <c r="C75" i="60"/>
  <c r="C74" i="60"/>
  <c r="C73" i="60"/>
  <c r="R121" i="27" l="1"/>
  <c r="P121" i="27"/>
  <c r="L121" i="27"/>
  <c r="M121" i="27"/>
  <c r="N121" i="27"/>
  <c r="O121" i="27"/>
  <c r="K121" i="27"/>
  <c r="Q121" i="27" l="1"/>
  <c r="J96" i="27" l="1"/>
  <c r="W37" i="63" l="1"/>
  <c r="W36" i="63"/>
  <c r="W35" i="63"/>
  <c r="W34" i="63"/>
  <c r="W38" i="63" l="1"/>
  <c r="X35" i="63" l="1"/>
  <c r="X37" i="63" l="1"/>
  <c r="X36" i="63"/>
  <c r="X34" i="63"/>
  <c r="E77" i="70" s="1"/>
  <c r="S116" i="65" l="1"/>
  <c r="R116" i="65"/>
  <c r="Q116" i="65"/>
  <c r="P116" i="65"/>
  <c r="O116" i="65"/>
  <c r="N116" i="65"/>
  <c r="M116" i="65"/>
  <c r="L116" i="65"/>
  <c r="X70" i="65"/>
  <c r="W70" i="65"/>
  <c r="V70" i="65"/>
  <c r="U70" i="65"/>
  <c r="T70" i="65"/>
  <c r="X64" i="65"/>
  <c r="W64" i="65"/>
  <c r="V64" i="65"/>
  <c r="U64" i="65"/>
  <c r="T64" i="65"/>
  <c r="S86" i="65"/>
  <c r="X57" i="65"/>
  <c r="X76" i="65" s="1"/>
  <c r="W57" i="65"/>
  <c r="V57" i="65"/>
  <c r="V76" i="65" s="1"/>
  <c r="U57" i="65"/>
  <c r="U76" i="65" s="1"/>
  <c r="T57" i="65"/>
  <c r="T76" i="65" s="1"/>
  <c r="Y51" i="65"/>
  <c r="Y70" i="65" s="1"/>
  <c r="Y45" i="65"/>
  <c r="Y64" i="65" s="1"/>
  <c r="P32" i="65"/>
  <c r="O32" i="65"/>
  <c r="N32" i="65"/>
  <c r="M32" i="65"/>
  <c r="L32" i="65"/>
  <c r="P31" i="65"/>
  <c r="P35" i="65" s="1"/>
  <c r="W52" i="65" s="1"/>
  <c r="W71" i="65" s="1"/>
  <c r="O31" i="65"/>
  <c r="N31" i="65"/>
  <c r="N35" i="65" s="1"/>
  <c r="M31" i="65"/>
  <c r="L31" i="65"/>
  <c r="L35" i="65" s="1"/>
  <c r="U46" i="65" s="1"/>
  <c r="U65" i="65" s="1"/>
  <c r="M35" i="65" l="1"/>
  <c r="O35" i="65"/>
  <c r="Y57" i="65"/>
  <c r="Y76" i="65" s="1"/>
  <c r="AF71" i="65"/>
  <c r="AP11" i="56" s="1"/>
  <c r="V46" i="65"/>
  <c r="V65" i="65" s="1"/>
  <c r="AE65" i="65" s="1"/>
  <c r="AO10" i="56" s="1"/>
  <c r="L10" i="56" s="1"/>
  <c r="N36" i="65"/>
  <c r="V59" i="65" s="1"/>
  <c r="V78" i="65" s="1"/>
  <c r="AE78" i="65" s="1"/>
  <c r="V52" i="65"/>
  <c r="V71" i="65" s="1"/>
  <c r="AE71" i="65" s="1"/>
  <c r="AP10" i="56" s="1"/>
  <c r="T52" i="65"/>
  <c r="T46" i="65"/>
  <c r="T58" i="65"/>
  <c r="M36" i="65"/>
  <c r="X52" i="65"/>
  <c r="X71" i="65" s="1"/>
  <c r="AG71" i="65" s="1"/>
  <c r="AP12" i="56" s="1"/>
  <c r="O36" i="65"/>
  <c r="X46" i="65"/>
  <c r="X65" i="65" s="1"/>
  <c r="AG65" i="65" s="1"/>
  <c r="AO12" i="56" s="1"/>
  <c r="L12" i="56" s="1"/>
  <c r="X58" i="65"/>
  <c r="X77" i="65" s="1"/>
  <c r="AG77" i="65" s="1"/>
  <c r="AQ12" i="56" s="1"/>
  <c r="AN84" i="65"/>
  <c r="AZ11" i="56" s="1"/>
  <c r="U86" i="65"/>
  <c r="T86" i="65"/>
  <c r="AD65" i="65"/>
  <c r="AO9" i="56" s="1"/>
  <c r="L9" i="56" s="1"/>
  <c r="P36" i="65"/>
  <c r="W46" i="65"/>
  <c r="W65" i="65" s="1"/>
  <c r="AF65" i="65" s="1"/>
  <c r="AO11" i="56" s="1"/>
  <c r="L11" i="56" s="1"/>
  <c r="U52" i="65"/>
  <c r="U71" i="65" s="1"/>
  <c r="AD71" i="65" s="1"/>
  <c r="AP9" i="56" s="1"/>
  <c r="S82" i="65"/>
  <c r="V58" i="65"/>
  <c r="V77" i="65" s="1"/>
  <c r="AE77" i="65" s="1"/>
  <c r="AQ10" i="56" s="1"/>
  <c r="S84" i="65"/>
  <c r="S83" i="65"/>
  <c r="L36" i="65"/>
  <c r="S85" i="65"/>
  <c r="W76" i="65"/>
  <c r="W58" i="65"/>
  <c r="W77" i="65" s="1"/>
  <c r="AF77" i="65" s="1"/>
  <c r="AQ11" i="56" s="1"/>
  <c r="U58" i="65"/>
  <c r="U77" i="65" s="1"/>
  <c r="AD77" i="65" s="1"/>
  <c r="AQ9" i="56" s="1"/>
  <c r="AN126" i="65" l="1"/>
  <c r="BF11" i="56" s="1"/>
  <c r="AN119" i="65"/>
  <c r="BE11" i="56" s="1"/>
  <c r="AN105" i="65"/>
  <c r="BC11" i="56" s="1"/>
  <c r="AN91" i="65"/>
  <c r="BA11" i="56" s="1"/>
  <c r="AN77" i="65"/>
  <c r="AY11" i="56" s="1"/>
  <c r="AN98" i="65"/>
  <c r="BB11" i="56" s="1"/>
  <c r="AN112" i="65"/>
  <c r="BD11" i="56" s="1"/>
  <c r="U47" i="65"/>
  <c r="U66" i="65" s="1"/>
  <c r="AD66" i="65" s="1"/>
  <c r="AD64" i="65" s="1"/>
  <c r="U59" i="65"/>
  <c r="U78" i="65" s="1"/>
  <c r="AD78" i="65" s="1"/>
  <c r="AD76" i="65" s="1"/>
  <c r="U53" i="65"/>
  <c r="U72" i="65" s="1"/>
  <c r="AD72" i="65" s="1"/>
  <c r="AD70" i="65" s="1"/>
  <c r="W53" i="65"/>
  <c r="W72" i="65" s="1"/>
  <c r="AF72" i="65" s="1"/>
  <c r="W47" i="65"/>
  <c r="W66" i="65" s="1"/>
  <c r="AF66" i="65" s="1"/>
  <c r="AF64" i="65" s="1"/>
  <c r="Y52" i="65"/>
  <c r="Y71" i="65" s="1"/>
  <c r="T71" i="65"/>
  <c r="AC71" i="65" s="1"/>
  <c r="AP8" i="56" s="1"/>
  <c r="AP13" i="56" s="1"/>
  <c r="W59" i="65"/>
  <c r="W78" i="65" s="1"/>
  <c r="AF78" i="65" s="1"/>
  <c r="U82" i="65"/>
  <c r="T82" i="65"/>
  <c r="U84" i="65"/>
  <c r="T84" i="65"/>
  <c r="AE84" i="65" s="1"/>
  <c r="AR10" i="56" s="1"/>
  <c r="AL126" i="65"/>
  <c r="BF9" i="56" s="1"/>
  <c r="AL119" i="65"/>
  <c r="BE9" i="56" s="1"/>
  <c r="AL112" i="65"/>
  <c r="BD9" i="56" s="1"/>
  <c r="AL105" i="65"/>
  <c r="BC9" i="56" s="1"/>
  <c r="AL98" i="65"/>
  <c r="BB9" i="56" s="1"/>
  <c r="AL91" i="65"/>
  <c r="BA9" i="56" s="1"/>
  <c r="AL77" i="65"/>
  <c r="AY9" i="56" s="1"/>
  <c r="AL84" i="65"/>
  <c r="AZ9" i="56" s="1"/>
  <c r="Y58" i="65"/>
  <c r="Y77" i="65" s="1"/>
  <c r="T77" i="65"/>
  <c r="AC77" i="65" s="1"/>
  <c r="AQ8" i="56" s="1"/>
  <c r="AQ13" i="56" s="1"/>
  <c r="V53" i="65"/>
  <c r="V72" i="65" s="1"/>
  <c r="AE72" i="65" s="1"/>
  <c r="AE70" i="65" s="1"/>
  <c r="V47" i="65"/>
  <c r="V66" i="65" s="1"/>
  <c r="AE66" i="65" s="1"/>
  <c r="AE64" i="65" s="1"/>
  <c r="AE76" i="65"/>
  <c r="AO119" i="65"/>
  <c r="BE12" i="56" s="1"/>
  <c r="AO91" i="65"/>
  <c r="BA12" i="56" s="1"/>
  <c r="AO84" i="65"/>
  <c r="AZ12" i="56" s="1"/>
  <c r="AO126" i="65"/>
  <c r="BF12" i="56" s="1"/>
  <c r="AO98" i="65"/>
  <c r="BB12" i="56" s="1"/>
  <c r="AO105" i="65"/>
  <c r="BC12" i="56" s="1"/>
  <c r="AO77" i="65"/>
  <c r="AY12" i="56" s="1"/>
  <c r="AO112" i="65"/>
  <c r="BD12" i="56" s="1"/>
  <c r="T83" i="65"/>
  <c r="AD84" i="65" s="1"/>
  <c r="AR9" i="56" s="1"/>
  <c r="U83" i="65"/>
  <c r="AG84" i="65"/>
  <c r="AR12" i="56" s="1"/>
  <c r="T59" i="65"/>
  <c r="T47" i="65"/>
  <c r="T53" i="65"/>
  <c r="AM77" i="65"/>
  <c r="AY10" i="56" s="1"/>
  <c r="AM105" i="65"/>
  <c r="BC10" i="56" s="1"/>
  <c r="AM112" i="65"/>
  <c r="BD10" i="56" s="1"/>
  <c r="AM84" i="65"/>
  <c r="AZ10" i="56" s="1"/>
  <c r="AM91" i="65"/>
  <c r="BA10" i="56" s="1"/>
  <c r="AM98" i="65"/>
  <c r="BB10" i="56" s="1"/>
  <c r="AM126" i="65"/>
  <c r="BF10" i="56" s="1"/>
  <c r="AM119" i="65"/>
  <c r="BE10" i="56" s="1"/>
  <c r="T85" i="65"/>
  <c r="AF84" i="65" s="1"/>
  <c r="AR11" i="56" s="1"/>
  <c r="U85" i="65"/>
  <c r="AE85" i="65"/>
  <c r="AE92" i="65" s="1"/>
  <c r="AE99" i="65" s="1"/>
  <c r="AE106" i="65" s="1"/>
  <c r="X59" i="65"/>
  <c r="X78" i="65" s="1"/>
  <c r="AG78" i="65" s="1"/>
  <c r="AG85" i="65" s="1"/>
  <c r="AG92" i="65" s="1"/>
  <c r="AG99" i="65" s="1"/>
  <c r="AG106" i="65" s="1"/>
  <c r="X53" i="65"/>
  <c r="X72" i="65" s="1"/>
  <c r="AG72" i="65" s="1"/>
  <c r="X47" i="65"/>
  <c r="X66" i="65" s="1"/>
  <c r="AG66" i="65" s="1"/>
  <c r="AG64" i="65" s="1"/>
  <c r="T65" i="65"/>
  <c r="Y46" i="65"/>
  <c r="Y65" i="65" s="1"/>
  <c r="AC65" i="65"/>
  <c r="L8" i="56" l="1"/>
  <c r="AF85" i="65"/>
  <c r="AF92" i="65" s="1"/>
  <c r="AF99" i="65" s="1"/>
  <c r="AF106" i="65" s="1"/>
  <c r="AF113" i="65" s="1"/>
  <c r="AF120" i="65" s="1"/>
  <c r="AF127" i="65" s="1"/>
  <c r="AG113" i="65"/>
  <c r="AG120" i="65" s="1"/>
  <c r="AG127" i="65" s="1"/>
  <c r="AD85" i="65"/>
  <c r="AD92" i="65" s="1"/>
  <c r="AD99" i="65" s="1"/>
  <c r="AD106" i="65" s="1"/>
  <c r="AD113" i="65" s="1"/>
  <c r="AD120" i="65" s="1"/>
  <c r="AD127" i="65" s="1"/>
  <c r="AE83" i="65"/>
  <c r="AE91" i="65"/>
  <c r="AS10" i="56" s="1"/>
  <c r="AF91" i="65"/>
  <c r="AS11" i="56" s="1"/>
  <c r="AH65" i="65"/>
  <c r="T66" i="65"/>
  <c r="Y47" i="65"/>
  <c r="Y66" i="65" s="1"/>
  <c r="AC57" i="65"/>
  <c r="Z65" i="65"/>
  <c r="AH77" i="65"/>
  <c r="AC84" i="65"/>
  <c r="AR8" i="56" s="1"/>
  <c r="AR13" i="56" s="1"/>
  <c r="AK126" i="65"/>
  <c r="BF8" i="56" s="1"/>
  <c r="BF13" i="56" s="1"/>
  <c r="AK98" i="65"/>
  <c r="BB8" i="56" s="1"/>
  <c r="BB13" i="56" s="1"/>
  <c r="AK105" i="65"/>
  <c r="BC8" i="56" s="1"/>
  <c r="BC13" i="56" s="1"/>
  <c r="AK77" i="65"/>
  <c r="AY8" i="56" s="1"/>
  <c r="AY13" i="56" s="1"/>
  <c r="AH71" i="65"/>
  <c r="AK112" i="65"/>
  <c r="BD8" i="56" s="1"/>
  <c r="BD13" i="56" s="1"/>
  <c r="AK119" i="65"/>
  <c r="BE8" i="56" s="1"/>
  <c r="BE13" i="56" s="1"/>
  <c r="AK91" i="65"/>
  <c r="BA8" i="56" s="1"/>
  <c r="BA13" i="56" s="1"/>
  <c r="AK84" i="65"/>
  <c r="AZ8" i="56" s="1"/>
  <c r="AZ13" i="56" s="1"/>
  <c r="AN120" i="65"/>
  <c r="AN118" i="65" s="1"/>
  <c r="AN92" i="65"/>
  <c r="AN90" i="65" s="1"/>
  <c r="AN127" i="65"/>
  <c r="AN125" i="65" s="1"/>
  <c r="AN99" i="65"/>
  <c r="AN97" i="65" s="1"/>
  <c r="AN85" i="65"/>
  <c r="AN83" i="65" s="1"/>
  <c r="AN78" i="65"/>
  <c r="AN76" i="65" s="1"/>
  <c r="AN106" i="65"/>
  <c r="AN104" i="65" s="1"/>
  <c r="AN113" i="65"/>
  <c r="AN111" i="65" s="1"/>
  <c r="AF70" i="65"/>
  <c r="AF76" i="65"/>
  <c r="AO85" i="65"/>
  <c r="AO83" i="65" s="1"/>
  <c r="AO78" i="65"/>
  <c r="AO76" i="65" s="1"/>
  <c r="AO127" i="65"/>
  <c r="AO125" i="65" s="1"/>
  <c r="AO99" i="65"/>
  <c r="AO97" i="65" s="1"/>
  <c r="AO106" i="65"/>
  <c r="AO104" i="65" s="1"/>
  <c r="AO92" i="65"/>
  <c r="AO90" i="65" s="1"/>
  <c r="AO120" i="65"/>
  <c r="AO118" i="65" s="1"/>
  <c r="AO113" i="65"/>
  <c r="AO111" i="65" s="1"/>
  <c r="AE113" i="65"/>
  <c r="AE120" i="65" s="1"/>
  <c r="AE127" i="65" s="1"/>
  <c r="AD83" i="65"/>
  <c r="AD91" i="65"/>
  <c r="AS9" i="56" s="1"/>
  <c r="T78" i="65"/>
  <c r="AC78" i="65" s="1"/>
  <c r="AC76" i="65" s="1"/>
  <c r="Y59" i="65"/>
  <c r="Y78" i="65" s="1"/>
  <c r="AM113" i="65"/>
  <c r="AM111" i="65" s="1"/>
  <c r="AM120" i="65"/>
  <c r="AM118" i="65" s="1"/>
  <c r="AM92" i="65"/>
  <c r="AM90" i="65" s="1"/>
  <c r="AM127" i="65"/>
  <c r="AM125" i="65" s="1"/>
  <c r="AM78" i="65"/>
  <c r="AM76" i="65" s="1"/>
  <c r="AM99" i="65"/>
  <c r="AM97" i="65" s="1"/>
  <c r="AM106" i="65"/>
  <c r="AM104" i="65" s="1"/>
  <c r="AM85" i="65"/>
  <c r="AM83" i="65" s="1"/>
  <c r="AG76" i="65"/>
  <c r="T72" i="65"/>
  <c r="AC72" i="65" s="1"/>
  <c r="AC70" i="65" s="1"/>
  <c r="Y53" i="65"/>
  <c r="Y72" i="65" s="1"/>
  <c r="AG83" i="65"/>
  <c r="AG91" i="65"/>
  <c r="AS12" i="56" s="1"/>
  <c r="AG70" i="65"/>
  <c r="AL127" i="65"/>
  <c r="AL125" i="65" s="1"/>
  <c r="AL120" i="65"/>
  <c r="AL118" i="65" s="1"/>
  <c r="AL113" i="65"/>
  <c r="AL111" i="65" s="1"/>
  <c r="AL106" i="65"/>
  <c r="AL104" i="65" s="1"/>
  <c r="AL99" i="65"/>
  <c r="AL97" i="65" s="1"/>
  <c r="AL92" i="65"/>
  <c r="AL90" i="65" s="1"/>
  <c r="AL78" i="65"/>
  <c r="AL76" i="65" s="1"/>
  <c r="AL85" i="65"/>
  <c r="AL83" i="65" s="1"/>
  <c r="AF83" i="65" l="1"/>
  <c r="AG98" i="65"/>
  <c r="AT12" i="56" s="1"/>
  <c r="AG90" i="65"/>
  <c r="AP98" i="65"/>
  <c r="AD98" i="65"/>
  <c r="AT9" i="56" s="1"/>
  <c r="AD90" i="65"/>
  <c r="AP126" i="65"/>
  <c r="AC66" i="65"/>
  <c r="Z66" i="65"/>
  <c r="AP119" i="65"/>
  <c r="AP77" i="65"/>
  <c r="AE90" i="65"/>
  <c r="AE98" i="65"/>
  <c r="AT10" i="56" s="1"/>
  <c r="AP84" i="65"/>
  <c r="AH84" i="65"/>
  <c r="AC91" i="65"/>
  <c r="AS8" i="56" s="1"/>
  <c r="AS13" i="56" s="1"/>
  <c r="AP91" i="65"/>
  <c r="AF98" i="65"/>
  <c r="AT11" i="56" s="1"/>
  <c r="AF90" i="65"/>
  <c r="AK85" i="65"/>
  <c r="AP85" i="65" s="1"/>
  <c r="AK78" i="65"/>
  <c r="AP78" i="65" s="1"/>
  <c r="AK106" i="65"/>
  <c r="AP106" i="65" s="1"/>
  <c r="AH72" i="65"/>
  <c r="AH70" i="65" s="1"/>
  <c r="AK113" i="65"/>
  <c r="AP113" i="65" s="1"/>
  <c r="AK92" i="65"/>
  <c r="AP92" i="65" s="1"/>
  <c r="AK127" i="65"/>
  <c r="AP127" i="65" s="1"/>
  <c r="AK120" i="65"/>
  <c r="AP120" i="65" s="1"/>
  <c r="AK99" i="65"/>
  <c r="AP99" i="65" s="1"/>
  <c r="AC85" i="65"/>
  <c r="AC83" i="65" s="1"/>
  <c r="AH78" i="65"/>
  <c r="AH76" i="65" s="1"/>
  <c r="AP112" i="65"/>
  <c r="AK111" i="65"/>
  <c r="AP105" i="65"/>
  <c r="AK104" i="65"/>
  <c r="AP76" i="65" l="1"/>
  <c r="AK76" i="65"/>
  <c r="AP125" i="65"/>
  <c r="AP90" i="65"/>
  <c r="AP118" i="65"/>
  <c r="AP83" i="65"/>
  <c r="AP111" i="65"/>
  <c r="AH66" i="65"/>
  <c r="AH64" i="65" s="1"/>
  <c r="AC64" i="65"/>
  <c r="AK97" i="65"/>
  <c r="AH91" i="65"/>
  <c r="AC98" i="65"/>
  <c r="AT8" i="56" s="1"/>
  <c r="AT13" i="56" s="1"/>
  <c r="AK83" i="65"/>
  <c r="AP97" i="65"/>
  <c r="AF105" i="65"/>
  <c r="AU11" i="56" s="1"/>
  <c r="AF97" i="65"/>
  <c r="AE105" i="65"/>
  <c r="AU10" i="56" s="1"/>
  <c r="AE97" i="65"/>
  <c r="AP104" i="65"/>
  <c r="AH85" i="65"/>
  <c r="AH83" i="65" s="1"/>
  <c r="AC92" i="65"/>
  <c r="AC90" i="65" s="1"/>
  <c r="AK90" i="65"/>
  <c r="AK118" i="65"/>
  <c r="AK125" i="65"/>
  <c r="AD105" i="65"/>
  <c r="AU9" i="56" s="1"/>
  <c r="AD97" i="65"/>
  <c r="AG105" i="65"/>
  <c r="AU12" i="56" s="1"/>
  <c r="AG97" i="65"/>
  <c r="AD104" i="65" l="1"/>
  <c r="AD112" i="65"/>
  <c r="AV9" i="56" s="1"/>
  <c r="AG112" i="65"/>
  <c r="AV12" i="56" s="1"/>
  <c r="AG104" i="65"/>
  <c r="AF112" i="65"/>
  <c r="AV11" i="56" s="1"/>
  <c r="AF104" i="65"/>
  <c r="AH98" i="65"/>
  <c r="AC105" i="65"/>
  <c r="AU8" i="56" s="1"/>
  <c r="AU13" i="56" s="1"/>
  <c r="AC99" i="65"/>
  <c r="AH92" i="65"/>
  <c r="AH90" i="65" s="1"/>
  <c r="AE112" i="65"/>
  <c r="AV10" i="56" s="1"/>
  <c r="AE104" i="65"/>
  <c r="AH99" i="65" l="1"/>
  <c r="AH97" i="65" s="1"/>
  <c r="AC106" i="65"/>
  <c r="AC97" i="65"/>
  <c r="AD111" i="65"/>
  <c r="AD119" i="65"/>
  <c r="AW9" i="56" s="1"/>
  <c r="AG119" i="65"/>
  <c r="AW12" i="56" s="1"/>
  <c r="AG111" i="65"/>
  <c r="AF119" i="65"/>
  <c r="AW11" i="56" s="1"/>
  <c r="AF111" i="65"/>
  <c r="AE119" i="65"/>
  <c r="AW10" i="56" s="1"/>
  <c r="AE111" i="65"/>
  <c r="AC112" i="65"/>
  <c r="AV8" i="56" s="1"/>
  <c r="AV13" i="56" s="1"/>
  <c r="AH105" i="65"/>
  <c r="AE118" i="65" l="1"/>
  <c r="AE126" i="65"/>
  <c r="AG118" i="65"/>
  <c r="AG126" i="65"/>
  <c r="AH106" i="65"/>
  <c r="AH104" i="65" s="1"/>
  <c r="AC113" i="65"/>
  <c r="AC111" i="65" s="1"/>
  <c r="AC104" i="65"/>
  <c r="AD126" i="65"/>
  <c r="AD118" i="65"/>
  <c r="AC119" i="65"/>
  <c r="AW8" i="56" s="1"/>
  <c r="AW13" i="56" s="1"/>
  <c r="AH112" i="65"/>
  <c r="AF126" i="65"/>
  <c r="AF118" i="65"/>
  <c r="AG125" i="65" l="1"/>
  <c r="AX12" i="56"/>
  <c r="AD125" i="65"/>
  <c r="AX9" i="56"/>
  <c r="AE125" i="65"/>
  <c r="AX10" i="56"/>
  <c r="AF125" i="65"/>
  <c r="AX11" i="56"/>
  <c r="AH119" i="65"/>
  <c r="AC126" i="65"/>
  <c r="AX8" i="56" s="1"/>
  <c r="AH113" i="65"/>
  <c r="AH111" i="65" s="1"/>
  <c r="AC120" i="65"/>
  <c r="AC118" i="65" s="1"/>
  <c r="AX13" i="56" l="1"/>
  <c r="AH126" i="65"/>
  <c r="AC127" i="65"/>
  <c r="AH127" i="65" s="1"/>
  <c r="AH120" i="65"/>
  <c r="AH118" i="65" s="1"/>
  <c r="AC125" i="65" l="1"/>
  <c r="AH125" i="65"/>
  <c r="C67" i="27" l="1"/>
  <c r="F116" i="15" l="1"/>
  <c r="F115" i="15"/>
  <c r="F114" i="15"/>
  <c r="F112" i="15"/>
  <c r="F111" i="15"/>
  <c r="F110" i="15"/>
  <c r="F109" i="15"/>
  <c r="F107" i="15"/>
  <c r="F106" i="15"/>
  <c r="F102" i="15"/>
  <c r="F103" i="15"/>
  <c r="F104" i="15"/>
  <c r="F101" i="15"/>
  <c r="F100" i="15"/>
  <c r="F96" i="15"/>
  <c r="F97" i="15"/>
  <c r="F98" i="15"/>
  <c r="F95" i="15"/>
  <c r="F94" i="15"/>
  <c r="F88" i="15"/>
  <c r="F89" i="15"/>
  <c r="F90" i="15"/>
  <c r="F91" i="15"/>
  <c r="F92" i="15"/>
  <c r="F87" i="15"/>
  <c r="F82" i="15"/>
  <c r="F83" i="15"/>
  <c r="F84" i="15"/>
  <c r="F85" i="15"/>
  <c r="F81" i="15"/>
  <c r="F73" i="15"/>
  <c r="F78" i="15"/>
  <c r="F79" i="15"/>
  <c r="F72" i="15"/>
  <c r="F71" i="15"/>
  <c r="F58" i="15"/>
  <c r="F59" i="15"/>
  <c r="F60" i="15"/>
  <c r="F61" i="15"/>
  <c r="F49" i="15"/>
  <c r="F48" i="15"/>
  <c r="F37" i="15"/>
  <c r="F38" i="15"/>
  <c r="F39" i="15"/>
  <c r="F40" i="15"/>
  <c r="F41" i="15"/>
  <c r="F42" i="15"/>
  <c r="F43" i="15"/>
  <c r="F44" i="15"/>
  <c r="F45" i="15"/>
  <c r="F46" i="15"/>
  <c r="F29" i="15"/>
  <c r="F28" i="15"/>
  <c r="F27" i="15"/>
  <c r="F11" i="15"/>
  <c r="F10" i="15"/>
  <c r="G38" i="64" l="1"/>
  <c r="G37" i="64"/>
  <c r="C30" i="63"/>
  <c r="D27" i="63" s="1"/>
  <c r="AZ28" i="63"/>
  <c r="AY28" i="63"/>
  <c r="AX28" i="63"/>
  <c r="AW28" i="63"/>
  <c r="AV28" i="63"/>
  <c r="AU28" i="63"/>
  <c r="AT28" i="63"/>
  <c r="AS28" i="63"/>
  <c r="AZ27" i="63"/>
  <c r="AY27" i="63"/>
  <c r="AX27" i="63"/>
  <c r="AW27" i="63"/>
  <c r="AV27" i="63"/>
  <c r="AU27" i="63"/>
  <c r="AT27" i="63"/>
  <c r="AS27" i="63"/>
  <c r="AZ26" i="63"/>
  <c r="AY26" i="63"/>
  <c r="AX26" i="63"/>
  <c r="AW26" i="63"/>
  <c r="AV26" i="63"/>
  <c r="AU26" i="63"/>
  <c r="AT26" i="63"/>
  <c r="AS26" i="63"/>
  <c r="AZ25" i="63"/>
  <c r="AY25" i="63"/>
  <c r="AX25" i="63"/>
  <c r="AW25" i="63"/>
  <c r="AV25" i="63"/>
  <c r="AU25" i="63"/>
  <c r="AT25" i="63"/>
  <c r="AS25" i="63"/>
  <c r="AZ24" i="63"/>
  <c r="AY24" i="63"/>
  <c r="AX24" i="63"/>
  <c r="AW24" i="63"/>
  <c r="AV24" i="63"/>
  <c r="AU24" i="63"/>
  <c r="AT24" i="63"/>
  <c r="AS24" i="63"/>
  <c r="AZ23" i="63"/>
  <c r="AY23" i="63"/>
  <c r="AX23" i="63"/>
  <c r="AW23" i="63"/>
  <c r="AV23" i="63"/>
  <c r="AU23" i="63"/>
  <c r="AT23" i="63"/>
  <c r="AS23" i="63"/>
  <c r="AZ22" i="63"/>
  <c r="AY22" i="63"/>
  <c r="AX22" i="63"/>
  <c r="AW22" i="63"/>
  <c r="AV22" i="63"/>
  <c r="AU22" i="63"/>
  <c r="AT22" i="63"/>
  <c r="AS22" i="63"/>
  <c r="AZ21" i="63"/>
  <c r="AY21" i="63"/>
  <c r="AX21" i="63"/>
  <c r="AW21" i="63"/>
  <c r="AV21" i="63"/>
  <c r="AU21" i="63"/>
  <c r="AT21" i="63"/>
  <c r="AS21" i="63"/>
  <c r="AZ20" i="63"/>
  <c r="AY20" i="63"/>
  <c r="AX20" i="63"/>
  <c r="AW20" i="63"/>
  <c r="AV20" i="63"/>
  <c r="AU20" i="63"/>
  <c r="AT20" i="63"/>
  <c r="AS20" i="63"/>
  <c r="AZ19" i="63"/>
  <c r="AY19" i="63"/>
  <c r="AX19" i="63"/>
  <c r="AW19" i="63"/>
  <c r="AV19" i="63"/>
  <c r="AU19" i="63"/>
  <c r="AT19" i="63"/>
  <c r="AS19" i="63"/>
  <c r="AZ18" i="63"/>
  <c r="AY18" i="63"/>
  <c r="AX18" i="63"/>
  <c r="AW18" i="63"/>
  <c r="AV18" i="63"/>
  <c r="AU18" i="63"/>
  <c r="AT18" i="63"/>
  <c r="AS18" i="63"/>
  <c r="AZ17" i="63"/>
  <c r="AY17" i="63"/>
  <c r="AX17" i="63"/>
  <c r="AW17" i="63"/>
  <c r="AV17" i="63"/>
  <c r="AU17" i="63"/>
  <c r="AT17" i="63"/>
  <c r="AS17" i="63"/>
  <c r="AZ16" i="63"/>
  <c r="AY16" i="63"/>
  <c r="AX16" i="63"/>
  <c r="AW16" i="63"/>
  <c r="AV16" i="63"/>
  <c r="AU16" i="63"/>
  <c r="AT16" i="63"/>
  <c r="AS16" i="63"/>
  <c r="AZ15" i="63"/>
  <c r="AY15" i="63"/>
  <c r="AX15" i="63"/>
  <c r="AW15" i="63"/>
  <c r="AV15" i="63"/>
  <c r="AU15" i="63"/>
  <c r="AT15" i="63"/>
  <c r="AS15" i="63"/>
  <c r="AZ14" i="63"/>
  <c r="AY14" i="63"/>
  <c r="AX14" i="63"/>
  <c r="AW14" i="63"/>
  <c r="AV14" i="63"/>
  <c r="AU14" i="63"/>
  <c r="AT14" i="63"/>
  <c r="AS14" i="63"/>
  <c r="AZ13" i="63"/>
  <c r="AY13" i="63"/>
  <c r="AX13" i="63"/>
  <c r="AW13" i="63"/>
  <c r="AV13" i="63"/>
  <c r="AU13" i="63"/>
  <c r="AT13" i="63"/>
  <c r="AS13" i="63"/>
  <c r="AZ12" i="63"/>
  <c r="AY12" i="63"/>
  <c r="AX12" i="63"/>
  <c r="AW12" i="63"/>
  <c r="AV12" i="63"/>
  <c r="AU12" i="63"/>
  <c r="AT12" i="63"/>
  <c r="AS12" i="63"/>
  <c r="AZ11" i="63"/>
  <c r="AY11" i="63"/>
  <c r="AX11" i="63"/>
  <c r="AW11" i="63"/>
  <c r="AV11" i="63"/>
  <c r="AU11" i="63"/>
  <c r="AT11" i="63"/>
  <c r="AS11" i="63"/>
  <c r="AZ10" i="63"/>
  <c r="AY10" i="63"/>
  <c r="AX10" i="63"/>
  <c r="AW10" i="63"/>
  <c r="AV10" i="63"/>
  <c r="AU10" i="63"/>
  <c r="AT10" i="63"/>
  <c r="AS10" i="63"/>
  <c r="AZ9" i="63"/>
  <c r="AY9" i="63"/>
  <c r="AX9" i="63"/>
  <c r="AW9" i="63"/>
  <c r="AV9" i="63"/>
  <c r="AU9" i="63"/>
  <c r="AT9" i="63"/>
  <c r="AS9" i="63"/>
  <c r="AZ8" i="63"/>
  <c r="AY8" i="63"/>
  <c r="AX8" i="63"/>
  <c r="AW8" i="63"/>
  <c r="AV8" i="63"/>
  <c r="AU8" i="63"/>
  <c r="AT8" i="63"/>
  <c r="AS8" i="63"/>
  <c r="AZ7" i="63"/>
  <c r="AY7" i="63"/>
  <c r="AX7" i="63"/>
  <c r="AW7" i="63"/>
  <c r="AV7" i="63"/>
  <c r="AU7" i="63"/>
  <c r="AT7" i="63"/>
  <c r="AS7" i="63"/>
  <c r="AZ6" i="63"/>
  <c r="AY6" i="63"/>
  <c r="AX6" i="63"/>
  <c r="AW6" i="63"/>
  <c r="AV6" i="63"/>
  <c r="AU6" i="63"/>
  <c r="AT6" i="63"/>
  <c r="AS6" i="63"/>
  <c r="AZ5" i="63"/>
  <c r="AY5" i="63"/>
  <c r="AX5" i="63"/>
  <c r="AW5" i="63"/>
  <c r="AV5" i="63"/>
  <c r="AU5" i="63"/>
  <c r="AT5" i="63"/>
  <c r="AS5" i="63"/>
  <c r="AZ4" i="63"/>
  <c r="AY4" i="63"/>
  <c r="AX4" i="63"/>
  <c r="AW4" i="63"/>
  <c r="AV4" i="63"/>
  <c r="AU4" i="63"/>
  <c r="AT4" i="63"/>
  <c r="AS4" i="63"/>
  <c r="AZ3" i="63"/>
  <c r="AY3" i="63"/>
  <c r="H38" i="64" s="1"/>
  <c r="AX3" i="63"/>
  <c r="G40" i="64" s="1"/>
  <c r="AW3" i="63"/>
  <c r="AV3" i="63"/>
  <c r="AU3" i="63"/>
  <c r="D39" i="64" s="1"/>
  <c r="AT3" i="63"/>
  <c r="C38" i="64" s="1"/>
  <c r="AS3" i="63"/>
  <c r="D67" i="26"/>
  <c r="E67" i="26"/>
  <c r="F67" i="26"/>
  <c r="G67" i="26"/>
  <c r="H67" i="26"/>
  <c r="I67" i="26"/>
  <c r="J67" i="26"/>
  <c r="L151" i="26"/>
  <c r="L150" i="26"/>
  <c r="L149" i="26"/>
  <c r="L148" i="26"/>
  <c r="L147" i="26"/>
  <c r="L146" i="26"/>
  <c r="L145" i="26"/>
  <c r="L144" i="26"/>
  <c r="L143" i="26"/>
  <c r="L142" i="26"/>
  <c r="M96" i="26"/>
  <c r="Q292" i="60"/>
  <c r="Q293" i="60" s="1"/>
  <c r="P292" i="60"/>
  <c r="P293" i="60" s="1"/>
  <c r="O292" i="60"/>
  <c r="O293" i="60" s="1"/>
  <c r="N292" i="60"/>
  <c r="N293" i="60" s="1"/>
  <c r="M292" i="60"/>
  <c r="M293" i="60" s="1"/>
  <c r="L292" i="60"/>
  <c r="L293" i="60" s="1"/>
  <c r="L294" i="60" s="1"/>
  <c r="K274" i="60"/>
  <c r="Q272" i="60"/>
  <c r="Q273" i="60" s="1"/>
  <c r="P272" i="60"/>
  <c r="P273" i="60" s="1"/>
  <c r="O272" i="60"/>
  <c r="O273" i="60" s="1"/>
  <c r="N272" i="60"/>
  <c r="N273" i="60" s="1"/>
  <c r="M272" i="60"/>
  <c r="M273" i="60" s="1"/>
  <c r="L272" i="60"/>
  <c r="L273" i="60" s="1"/>
  <c r="J269" i="60"/>
  <c r="J287" i="60" s="1"/>
  <c r="I269" i="60"/>
  <c r="I287" i="60" s="1"/>
  <c r="H269" i="60"/>
  <c r="H287" i="60" s="1"/>
  <c r="G269" i="60"/>
  <c r="F269" i="60"/>
  <c r="F287" i="60" s="1"/>
  <c r="E269" i="60"/>
  <c r="E287" i="60" s="1"/>
  <c r="D269" i="60"/>
  <c r="D287" i="60" s="1"/>
  <c r="C269" i="60"/>
  <c r="J260" i="60"/>
  <c r="I260" i="60"/>
  <c r="H260" i="60"/>
  <c r="G260" i="60"/>
  <c r="F260" i="60"/>
  <c r="E260" i="60"/>
  <c r="D260" i="60"/>
  <c r="C260" i="60"/>
  <c r="J255" i="60"/>
  <c r="I255" i="60"/>
  <c r="H255" i="60"/>
  <c r="G255" i="60"/>
  <c r="F255" i="60"/>
  <c r="E255" i="60"/>
  <c r="D255" i="60"/>
  <c r="C255" i="60"/>
  <c r="J249" i="60"/>
  <c r="I249" i="60"/>
  <c r="H249" i="60"/>
  <c r="G249" i="60"/>
  <c r="F249" i="60"/>
  <c r="E249" i="60"/>
  <c r="D249" i="60"/>
  <c r="C249" i="60"/>
  <c r="J241" i="60"/>
  <c r="J286" i="60" s="1"/>
  <c r="I241" i="60"/>
  <c r="I286" i="60" s="1"/>
  <c r="H241" i="60"/>
  <c r="H286" i="60" s="1"/>
  <c r="G241" i="60"/>
  <c r="G286" i="60" s="1"/>
  <c r="F241" i="60"/>
  <c r="F286" i="60" s="1"/>
  <c r="E241" i="60"/>
  <c r="E286" i="60" s="1"/>
  <c r="D241" i="60"/>
  <c r="D286" i="60" s="1"/>
  <c r="C241" i="60"/>
  <c r="C286" i="60" s="1"/>
  <c r="J217" i="60"/>
  <c r="I217" i="60"/>
  <c r="H217" i="60"/>
  <c r="G217" i="60"/>
  <c r="F217" i="60"/>
  <c r="E217" i="60"/>
  <c r="D217" i="60"/>
  <c r="C217" i="60"/>
  <c r="J216" i="60"/>
  <c r="I216" i="60"/>
  <c r="H216" i="60"/>
  <c r="G216" i="60"/>
  <c r="F216" i="60"/>
  <c r="E216" i="60"/>
  <c r="D216" i="60"/>
  <c r="C216" i="60"/>
  <c r="J215" i="60"/>
  <c r="I215" i="60"/>
  <c r="H215" i="60"/>
  <c r="G215" i="60"/>
  <c r="F215" i="60"/>
  <c r="E215" i="60"/>
  <c r="D215" i="60"/>
  <c r="C215" i="60"/>
  <c r="C144" i="60"/>
  <c r="C169" i="60" s="1"/>
  <c r="I101" i="60"/>
  <c r="H101" i="60"/>
  <c r="G101" i="60"/>
  <c r="F101" i="60"/>
  <c r="E101" i="60"/>
  <c r="D101" i="60"/>
  <c r="C101" i="60"/>
  <c r="I100" i="60"/>
  <c r="H100" i="60"/>
  <c r="G100" i="60"/>
  <c r="F100" i="60"/>
  <c r="E100" i="60"/>
  <c r="D100" i="60"/>
  <c r="C100" i="60"/>
  <c r="I99" i="60"/>
  <c r="H99" i="60"/>
  <c r="G99" i="60"/>
  <c r="F99" i="60"/>
  <c r="E99" i="60"/>
  <c r="D99" i="60"/>
  <c r="C99" i="60"/>
  <c r="I98" i="60"/>
  <c r="H98" i="60"/>
  <c r="G98" i="60"/>
  <c r="F98" i="60"/>
  <c r="E98" i="60"/>
  <c r="D98" i="60"/>
  <c r="C98" i="60"/>
  <c r="I93" i="60"/>
  <c r="H93" i="60"/>
  <c r="G93" i="60"/>
  <c r="F93" i="60"/>
  <c r="E93" i="60"/>
  <c r="D93" i="60"/>
  <c r="C93" i="60"/>
  <c r="I92" i="60"/>
  <c r="H92" i="60"/>
  <c r="G92" i="60"/>
  <c r="F92" i="60"/>
  <c r="E92" i="60"/>
  <c r="D92" i="60"/>
  <c r="C92" i="60"/>
  <c r="I91" i="60"/>
  <c r="H91" i="60"/>
  <c r="G91" i="60"/>
  <c r="F91" i="60"/>
  <c r="E91" i="60"/>
  <c r="D91" i="60"/>
  <c r="C91" i="60"/>
  <c r="I90" i="60"/>
  <c r="H90" i="60"/>
  <c r="G90" i="60"/>
  <c r="F90" i="60"/>
  <c r="E90" i="60"/>
  <c r="D90" i="60"/>
  <c r="C90" i="60"/>
  <c r="I89" i="60"/>
  <c r="H89" i="60"/>
  <c r="G89" i="60"/>
  <c r="F89" i="60"/>
  <c r="E89" i="60"/>
  <c r="D89" i="60"/>
  <c r="C89" i="60"/>
  <c r="I88" i="60"/>
  <c r="F88" i="60"/>
  <c r="E88" i="60"/>
  <c r="C64" i="60"/>
  <c r="M58" i="60"/>
  <c r="L58" i="60"/>
  <c r="K58" i="60"/>
  <c r="J58" i="60"/>
  <c r="I58" i="60"/>
  <c r="H58" i="60"/>
  <c r="G58" i="60"/>
  <c r="F58" i="60"/>
  <c r="E58" i="60"/>
  <c r="D58" i="60"/>
  <c r="C58" i="60"/>
  <c r="F54" i="60"/>
  <c r="E54" i="60"/>
  <c r="E5" i="60" s="1"/>
  <c r="D54" i="60"/>
  <c r="D5" i="60" s="1"/>
  <c r="C54" i="60"/>
  <c r="I45" i="60"/>
  <c r="H45" i="60"/>
  <c r="G45" i="60"/>
  <c r="F45" i="60"/>
  <c r="E45" i="60"/>
  <c r="D45" i="60"/>
  <c r="C45" i="60"/>
  <c r="M42" i="60"/>
  <c r="L42" i="60"/>
  <c r="L41" i="60" s="1"/>
  <c r="K42" i="60"/>
  <c r="J42" i="60"/>
  <c r="I42" i="60"/>
  <c r="H42" i="60"/>
  <c r="G42" i="60"/>
  <c r="F42" i="60"/>
  <c r="E42" i="60"/>
  <c r="D42" i="60"/>
  <c r="D41" i="60" s="1"/>
  <c r="C42" i="60"/>
  <c r="C40" i="60"/>
  <c r="C39" i="60" s="1"/>
  <c r="I34" i="60"/>
  <c r="H34" i="60"/>
  <c r="G34" i="60"/>
  <c r="F34" i="60"/>
  <c r="D34" i="60"/>
  <c r="E34" i="60" s="1"/>
  <c r="C34" i="60"/>
  <c r="I33" i="60"/>
  <c r="I60" i="60" s="1"/>
  <c r="I10" i="60" s="1"/>
  <c r="H33" i="60"/>
  <c r="H60" i="60" s="1"/>
  <c r="H10" i="60" s="1"/>
  <c r="G33" i="60"/>
  <c r="G60" i="60" s="1"/>
  <c r="G10" i="60" s="1"/>
  <c r="F33" i="60"/>
  <c r="F60" i="60" s="1"/>
  <c r="F10" i="60" s="1"/>
  <c r="E33" i="60"/>
  <c r="E60" i="60" s="1"/>
  <c r="E10" i="60" s="1"/>
  <c r="D33" i="60"/>
  <c r="D60" i="60" s="1"/>
  <c r="D10" i="60" s="1"/>
  <c r="C33" i="60"/>
  <c r="C60" i="60" s="1"/>
  <c r="C10" i="60" s="1"/>
  <c r="D32" i="60"/>
  <c r="C32" i="60"/>
  <c r="I31" i="60"/>
  <c r="H31" i="60"/>
  <c r="G31" i="60"/>
  <c r="F31" i="60"/>
  <c r="E31" i="60"/>
  <c r="D31" i="60"/>
  <c r="C31" i="60"/>
  <c r="I30" i="60"/>
  <c r="H30" i="60"/>
  <c r="H51" i="60" s="1"/>
  <c r="G30" i="60"/>
  <c r="G51" i="60" s="1"/>
  <c r="F30" i="60"/>
  <c r="F51" i="60" s="1"/>
  <c r="D30" i="60"/>
  <c r="C30" i="60"/>
  <c r="C51" i="60" s="1"/>
  <c r="I29" i="60"/>
  <c r="H29" i="60"/>
  <c r="G29" i="60"/>
  <c r="F29" i="60"/>
  <c r="E29" i="60"/>
  <c r="D29" i="60"/>
  <c r="C29" i="60"/>
  <c r="D9" i="60"/>
  <c r="M5" i="60"/>
  <c r="K5" i="60"/>
  <c r="J5" i="60"/>
  <c r="I5" i="60"/>
  <c r="H5" i="60"/>
  <c r="G5" i="60"/>
  <c r="F5" i="60"/>
  <c r="C5" i="60"/>
  <c r="C5" i="28"/>
  <c r="C13" i="28" s="1"/>
  <c r="J66" i="28"/>
  <c r="R66" i="28" s="1"/>
  <c r="H66" i="28"/>
  <c r="J65" i="28"/>
  <c r="H65" i="28"/>
  <c r="P65" i="28" s="1"/>
  <c r="J64" i="28"/>
  <c r="H64" i="28"/>
  <c r="J63" i="28"/>
  <c r="H63" i="28"/>
  <c r="J62" i="28"/>
  <c r="H62" i="28"/>
  <c r="J61" i="28"/>
  <c r="H61" i="28"/>
  <c r="F61" i="28"/>
  <c r="C61" i="28"/>
  <c r="B61" i="28"/>
  <c r="F53" i="28"/>
  <c r="C53" i="28"/>
  <c r="B53" i="28"/>
  <c r="D13" i="28"/>
  <c r="E13" i="28"/>
  <c r="F13" i="28"/>
  <c r="G13" i="28"/>
  <c r="H13" i="28"/>
  <c r="I13" i="28"/>
  <c r="J13" i="28"/>
  <c r="K13" i="28"/>
  <c r="L13" i="28"/>
  <c r="M13" i="28"/>
  <c r="N13" i="28"/>
  <c r="K62" i="26"/>
  <c r="L62" i="26" s="1"/>
  <c r="M62" i="26" s="1"/>
  <c r="N62" i="26" s="1"/>
  <c r="K61" i="26"/>
  <c r="D35" i="26"/>
  <c r="D36" i="26" s="1"/>
  <c r="C35" i="26"/>
  <c r="C36" i="26" s="1"/>
  <c r="H7" i="70" l="1"/>
  <c r="H13" i="70"/>
  <c r="D15" i="70"/>
  <c r="H18" i="70"/>
  <c r="D20" i="70"/>
  <c r="D21" i="70"/>
  <c r="D23" i="70"/>
  <c r="H26" i="70"/>
  <c r="D27" i="70"/>
  <c r="H39" i="64"/>
  <c r="H88" i="60"/>
  <c r="E29" i="70"/>
  <c r="AV31" i="63"/>
  <c r="I2" i="70"/>
  <c r="AZ31" i="63"/>
  <c r="E6" i="70"/>
  <c r="I7" i="70"/>
  <c r="I9" i="70"/>
  <c r="E10" i="70"/>
  <c r="I11" i="70"/>
  <c r="E13" i="70"/>
  <c r="E15" i="70"/>
  <c r="I16" i="70"/>
  <c r="E17" i="70"/>
  <c r="I18" i="70"/>
  <c r="I20" i="70"/>
  <c r="I21" i="70"/>
  <c r="E23" i="70"/>
  <c r="I26" i="70"/>
  <c r="E27" i="70"/>
  <c r="H37" i="64"/>
  <c r="D40" i="64"/>
  <c r="Q47" i="71"/>
  <c r="AY29" i="63"/>
  <c r="AY31" i="63"/>
  <c r="D10" i="70"/>
  <c r="D16" i="70"/>
  <c r="P61" i="28"/>
  <c r="N61" i="28" s="1"/>
  <c r="D88" i="60"/>
  <c r="AS31" i="63"/>
  <c r="F29" i="70"/>
  <c r="AW31" i="63"/>
  <c r="F3" i="70"/>
  <c r="F5" i="70"/>
  <c r="B7" i="70"/>
  <c r="F7" i="70"/>
  <c r="B9" i="70"/>
  <c r="F9" i="70"/>
  <c r="B11" i="70"/>
  <c r="F11" i="70"/>
  <c r="F12" i="70"/>
  <c r="B16" i="70"/>
  <c r="F16" i="70"/>
  <c r="B18" i="70"/>
  <c r="F18" i="70"/>
  <c r="B20" i="70"/>
  <c r="B21" i="70"/>
  <c r="F21" i="70"/>
  <c r="B23" i="70"/>
  <c r="F24" i="70"/>
  <c r="B26" i="70"/>
  <c r="F26" i="70"/>
  <c r="C37" i="64"/>
  <c r="D29" i="70"/>
  <c r="AU31" i="63"/>
  <c r="H9" i="70"/>
  <c r="D12" i="70"/>
  <c r="H17" i="70"/>
  <c r="D51" i="60"/>
  <c r="N22" i="60"/>
  <c r="C57" i="60"/>
  <c r="E32" i="60"/>
  <c r="F32" i="60" s="1"/>
  <c r="C63" i="60"/>
  <c r="E94" i="60"/>
  <c r="D102" i="60"/>
  <c r="H102" i="60"/>
  <c r="H103" i="60" s="1"/>
  <c r="O284" i="60"/>
  <c r="O285" i="60" s="1"/>
  <c r="L274" i="60"/>
  <c r="AT31" i="63"/>
  <c r="C2" i="70"/>
  <c r="AX29" i="63"/>
  <c r="AX31" i="63"/>
  <c r="C5" i="70"/>
  <c r="C6" i="70"/>
  <c r="G6" i="70"/>
  <c r="G9" i="70"/>
  <c r="G10" i="70"/>
  <c r="C12" i="70"/>
  <c r="G12" i="70"/>
  <c r="C13" i="70"/>
  <c r="G13" i="70"/>
  <c r="G15" i="70"/>
  <c r="G17" i="70"/>
  <c r="G18" i="70"/>
  <c r="G20" i="70"/>
  <c r="G21" i="70"/>
  <c r="C23" i="70"/>
  <c r="G23" i="70"/>
  <c r="C27" i="70"/>
  <c r="G27" i="70"/>
  <c r="D37" i="64"/>
  <c r="D38" i="64"/>
  <c r="G39" i="64"/>
  <c r="G41" i="64" s="1"/>
  <c r="H40" i="64"/>
  <c r="E51" i="60"/>
  <c r="C9" i="60"/>
  <c r="C39" i="64"/>
  <c r="C40" i="64"/>
  <c r="AT29" i="63"/>
  <c r="I36" i="26"/>
  <c r="C37" i="26"/>
  <c r="G41" i="60"/>
  <c r="K41" i="60"/>
  <c r="L61" i="26"/>
  <c r="K67" i="26"/>
  <c r="P63" i="28"/>
  <c r="L63" i="28" s="1"/>
  <c r="R63" i="28"/>
  <c r="M63" i="28" s="1"/>
  <c r="C287" i="60"/>
  <c r="C88" i="60"/>
  <c r="C94" i="60" s="1"/>
  <c r="C95" i="60" s="1"/>
  <c r="G287" i="60"/>
  <c r="G88" i="60"/>
  <c r="G94" i="60" s="1"/>
  <c r="D35" i="60"/>
  <c r="D37" i="26"/>
  <c r="J36" i="26"/>
  <c r="J30" i="60"/>
  <c r="J34" i="60"/>
  <c r="F94" i="60"/>
  <c r="J29" i="60"/>
  <c r="K29" i="60" s="1"/>
  <c r="L29" i="60" s="1"/>
  <c r="M29" i="60" s="1"/>
  <c r="D57" i="60"/>
  <c r="H41" i="60"/>
  <c r="D103" i="60"/>
  <c r="AV29" i="63"/>
  <c r="E40" i="64"/>
  <c r="E39" i="64"/>
  <c r="E38" i="64"/>
  <c r="E37" i="64"/>
  <c r="AZ29" i="63"/>
  <c r="I40" i="64"/>
  <c r="I39" i="64"/>
  <c r="I38" i="64"/>
  <c r="I37" i="64"/>
  <c r="E6" i="64"/>
  <c r="I7" i="64"/>
  <c r="E13" i="64"/>
  <c r="I18" i="64"/>
  <c r="I26" i="64"/>
  <c r="E27" i="64"/>
  <c r="R61" i="28"/>
  <c r="R62" i="28"/>
  <c r="R64" i="28"/>
  <c r="C35" i="60"/>
  <c r="J31" i="60"/>
  <c r="K31" i="60" s="1"/>
  <c r="L31" i="60" s="1"/>
  <c r="M31" i="60" s="1"/>
  <c r="I94" i="60"/>
  <c r="C102" i="60"/>
  <c r="C103" i="60" s="1"/>
  <c r="G102" i="60"/>
  <c r="G103" i="60" s="1"/>
  <c r="AS29" i="63"/>
  <c r="B40" i="64"/>
  <c r="B39" i="64"/>
  <c r="B38" i="64"/>
  <c r="B37" i="64"/>
  <c r="AW29" i="63"/>
  <c r="F40" i="64"/>
  <c r="F39" i="64"/>
  <c r="F38" i="64"/>
  <c r="F37" i="64"/>
  <c r="BA4" i="63"/>
  <c r="E3" i="64" s="1"/>
  <c r="B3" i="64"/>
  <c r="BA5" i="63"/>
  <c r="BA6" i="63"/>
  <c r="H30" i="70" s="1"/>
  <c r="B5" i="64"/>
  <c r="BA7" i="63"/>
  <c r="I6" i="70" s="1"/>
  <c r="B6" i="64"/>
  <c r="F6" i="64"/>
  <c r="BA8" i="63"/>
  <c r="E7" i="64" s="1"/>
  <c r="B7" i="64"/>
  <c r="F7" i="64"/>
  <c r="BA9" i="63"/>
  <c r="I8" i="70" s="1"/>
  <c r="BA10" i="63"/>
  <c r="E9" i="64" s="1"/>
  <c r="B9" i="64"/>
  <c r="BA11" i="63"/>
  <c r="I10" i="70" s="1"/>
  <c r="B10" i="64"/>
  <c r="BA12" i="63"/>
  <c r="E11" i="64" s="1"/>
  <c r="B11" i="64"/>
  <c r="F11" i="64"/>
  <c r="BA13" i="63"/>
  <c r="E12" i="70" s="1"/>
  <c r="BA14" i="63"/>
  <c r="I13" i="70" s="1"/>
  <c r="B13" i="64"/>
  <c r="BA15" i="63"/>
  <c r="C14" i="70" s="1"/>
  <c r="BA16" i="63"/>
  <c r="I15" i="70" s="1"/>
  <c r="B15" i="64"/>
  <c r="BA17" i="63"/>
  <c r="H16" i="70" s="1"/>
  <c r="BA18" i="63"/>
  <c r="I17" i="70" s="1"/>
  <c r="B17" i="64"/>
  <c r="BA19" i="63"/>
  <c r="C18" i="70" s="1"/>
  <c r="B18" i="64"/>
  <c r="F18" i="64"/>
  <c r="BA20" i="63"/>
  <c r="I19" i="70" s="1"/>
  <c r="BA21" i="63"/>
  <c r="D32" i="70" s="1"/>
  <c r="F20" i="64"/>
  <c r="BA22" i="63"/>
  <c r="E21" i="64" s="1"/>
  <c r="B21" i="64"/>
  <c r="F21" i="64"/>
  <c r="BA23" i="63"/>
  <c r="I22" i="70" s="1"/>
  <c r="BA24" i="63"/>
  <c r="H33" i="70" s="1"/>
  <c r="F23" i="64"/>
  <c r="BA25" i="63"/>
  <c r="E24" i="64" s="1"/>
  <c r="BA26" i="63"/>
  <c r="H25" i="70" s="1"/>
  <c r="BA27" i="63"/>
  <c r="C26" i="70" s="1"/>
  <c r="B26" i="64"/>
  <c r="F26" i="64"/>
  <c r="BA28" i="63"/>
  <c r="H27" i="70" s="1"/>
  <c r="B27" i="64"/>
  <c r="F27" i="64"/>
  <c r="M41" i="60"/>
  <c r="E102" i="60"/>
  <c r="I102" i="60"/>
  <c r="L284" i="60"/>
  <c r="L285" i="60" s="1"/>
  <c r="L286" i="60" s="1"/>
  <c r="M286" i="60" s="1"/>
  <c r="P284" i="60"/>
  <c r="P285" i="60" s="1"/>
  <c r="AT33" i="63"/>
  <c r="D94" i="60"/>
  <c r="H94" i="60"/>
  <c r="F102" i="60"/>
  <c r="F103" i="60" s="1"/>
  <c r="AU29" i="63"/>
  <c r="D75" i="26"/>
  <c r="H75" i="26"/>
  <c r="G75" i="26"/>
  <c r="J75" i="26"/>
  <c r="F75" i="26"/>
  <c r="I75" i="26"/>
  <c r="E75" i="26"/>
  <c r="D4" i="63"/>
  <c r="D6" i="63"/>
  <c r="D8" i="63"/>
  <c r="D10" i="63"/>
  <c r="D12" i="63"/>
  <c r="D14" i="63"/>
  <c r="D16" i="63"/>
  <c r="D18" i="63"/>
  <c r="D20" i="63"/>
  <c r="D22" i="63"/>
  <c r="D24" i="63"/>
  <c r="D26" i="63"/>
  <c r="D28" i="63"/>
  <c r="BA3" i="63"/>
  <c r="E2" i="70" s="1"/>
  <c r="D3" i="63"/>
  <c r="D5" i="63"/>
  <c r="D7" i="63"/>
  <c r="D9" i="63"/>
  <c r="D11" i="63"/>
  <c r="D13" i="63"/>
  <c r="D15" i="63"/>
  <c r="D17" i="63"/>
  <c r="D19" i="63"/>
  <c r="D21" i="63"/>
  <c r="D23" i="63"/>
  <c r="D25" i="63"/>
  <c r="L5" i="60"/>
  <c r="N284" i="60"/>
  <c r="N285" i="60" s="1"/>
  <c r="J51" i="60"/>
  <c r="K30" i="60"/>
  <c r="K34" i="60"/>
  <c r="M274" i="60"/>
  <c r="D40" i="60"/>
  <c r="D39" i="60" s="1"/>
  <c r="M294" i="60"/>
  <c r="N294" i="60" s="1"/>
  <c r="O294" i="60" s="1"/>
  <c r="P294" i="60" s="1"/>
  <c r="Q294" i="60" s="1"/>
  <c r="D64" i="60"/>
  <c r="D63" i="60" s="1"/>
  <c r="E103" i="60"/>
  <c r="I103" i="60"/>
  <c r="M284" i="60"/>
  <c r="M285" i="60" s="1"/>
  <c r="Q284" i="60"/>
  <c r="Q285" i="60" s="1"/>
  <c r="J33" i="60"/>
  <c r="E41" i="60"/>
  <c r="I41" i="60"/>
  <c r="I51" i="60"/>
  <c r="F41" i="60"/>
  <c r="J41" i="60"/>
  <c r="M61" i="28"/>
  <c r="N63" i="28"/>
  <c r="P62" i="28"/>
  <c r="P64" i="28"/>
  <c r="M64" i="28" s="1"/>
  <c r="R65" i="28"/>
  <c r="M65" i="28" s="1"/>
  <c r="P66" i="28"/>
  <c r="E35" i="60" l="1"/>
  <c r="E57" i="60"/>
  <c r="E9" i="60"/>
  <c r="F9" i="60" s="1"/>
  <c r="E19" i="64"/>
  <c r="AZ30" i="63"/>
  <c r="G25" i="70"/>
  <c r="G22" i="70"/>
  <c r="H31" i="70"/>
  <c r="D30" i="70"/>
  <c r="J23" i="70"/>
  <c r="Q53" i="71"/>
  <c r="Q48" i="71"/>
  <c r="I33" i="70"/>
  <c r="E22" i="70"/>
  <c r="E19" i="70"/>
  <c r="E41" i="64"/>
  <c r="G33" i="70"/>
  <c r="C22" i="70"/>
  <c r="C19" i="70"/>
  <c r="C15" i="70"/>
  <c r="C31" i="70"/>
  <c r="C10" i="70"/>
  <c r="C30" i="70"/>
  <c r="G2" i="70"/>
  <c r="C29" i="70"/>
  <c r="D8" i="70"/>
  <c r="H3" i="70"/>
  <c r="J18" i="70"/>
  <c r="F31" i="70"/>
  <c r="F30" i="70"/>
  <c r="B3" i="70"/>
  <c r="D24" i="70"/>
  <c r="H14" i="70"/>
  <c r="H8" i="70"/>
  <c r="H2" i="70"/>
  <c r="E20" i="70"/>
  <c r="J20" i="70" s="1"/>
  <c r="I14" i="70"/>
  <c r="E25" i="64"/>
  <c r="I11" i="64"/>
  <c r="I5" i="64"/>
  <c r="G26" i="70"/>
  <c r="G24" i="70"/>
  <c r="C20" i="70"/>
  <c r="G16" i="70"/>
  <c r="G14" i="70"/>
  <c r="G11" i="70"/>
  <c r="G7" i="70"/>
  <c r="G5" i="70"/>
  <c r="G3" i="70"/>
  <c r="G29" i="70"/>
  <c r="BA31" i="63"/>
  <c r="D22" i="70"/>
  <c r="D14" i="70"/>
  <c r="D31" i="70"/>
  <c r="H6" i="70"/>
  <c r="F27" i="70"/>
  <c r="F25" i="70"/>
  <c r="F23" i="70"/>
  <c r="F22" i="70"/>
  <c r="F20" i="70"/>
  <c r="F19" i="70"/>
  <c r="F17" i="70"/>
  <c r="F15" i="70"/>
  <c r="F13" i="70"/>
  <c r="B12" i="70"/>
  <c r="F10" i="70"/>
  <c r="F8" i="70"/>
  <c r="F6" i="70"/>
  <c r="B5" i="70"/>
  <c r="B2" i="70"/>
  <c r="H19" i="70"/>
  <c r="D13" i="70"/>
  <c r="D7" i="70"/>
  <c r="H29" i="70"/>
  <c r="H41" i="64"/>
  <c r="E26" i="70"/>
  <c r="E24" i="70"/>
  <c r="E33" i="70"/>
  <c r="E21" i="70"/>
  <c r="E32" i="70"/>
  <c r="E18" i="70"/>
  <c r="E16" i="70"/>
  <c r="E14" i="70"/>
  <c r="I12" i="70"/>
  <c r="E11" i="70"/>
  <c r="E9" i="70"/>
  <c r="E7" i="70"/>
  <c r="I5" i="70"/>
  <c r="E3" i="70"/>
  <c r="D26" i="70"/>
  <c r="J26" i="70" s="1"/>
  <c r="H23" i="70"/>
  <c r="H22" i="70"/>
  <c r="H32" i="70"/>
  <c r="D18" i="70"/>
  <c r="D11" i="70"/>
  <c r="I14" i="64"/>
  <c r="G19" i="70"/>
  <c r="G8" i="70"/>
  <c r="F14" i="70"/>
  <c r="E25" i="70"/>
  <c r="E31" i="70"/>
  <c r="E8" i="70"/>
  <c r="E30" i="70"/>
  <c r="D25" i="70"/>
  <c r="L61" i="28"/>
  <c r="I31" i="64"/>
  <c r="AV30" i="63"/>
  <c r="C25" i="70"/>
  <c r="G32" i="70"/>
  <c r="C17" i="70"/>
  <c r="C8" i="70"/>
  <c r="G32" i="60"/>
  <c r="F57" i="60"/>
  <c r="H15" i="70"/>
  <c r="B24" i="70"/>
  <c r="B33" i="70"/>
  <c r="B32" i="70"/>
  <c r="B14" i="70"/>
  <c r="J14" i="70" s="1"/>
  <c r="I24" i="70"/>
  <c r="I31" i="70"/>
  <c r="I30" i="70"/>
  <c r="I3" i="70"/>
  <c r="I29" i="70"/>
  <c r="H24" i="70"/>
  <c r="D33" i="70"/>
  <c r="H20" i="70"/>
  <c r="H5" i="70"/>
  <c r="F19" i="64"/>
  <c r="F14" i="64"/>
  <c r="E17" i="64"/>
  <c r="AT30" i="63"/>
  <c r="U47" i="71"/>
  <c r="S47" i="71"/>
  <c r="R47" i="71"/>
  <c r="T47" i="71"/>
  <c r="B25" i="64"/>
  <c r="B19" i="64"/>
  <c r="F15" i="64"/>
  <c r="B14" i="64"/>
  <c r="F10" i="64"/>
  <c r="F5" i="64"/>
  <c r="F3" i="64"/>
  <c r="I21" i="64"/>
  <c r="E15" i="64"/>
  <c r="E10" i="64"/>
  <c r="I3" i="64"/>
  <c r="F35" i="60"/>
  <c r="D41" i="64"/>
  <c r="C24" i="70"/>
  <c r="C33" i="70"/>
  <c r="C21" i="70"/>
  <c r="J21" i="70" s="1"/>
  <c r="C32" i="70"/>
  <c r="C16" i="70"/>
  <c r="J16" i="70" s="1"/>
  <c r="G31" i="70"/>
  <c r="C11" i="70"/>
  <c r="J11" i="70" s="1"/>
  <c r="C9" i="70"/>
  <c r="J9" i="70" s="1"/>
  <c r="C7" i="70"/>
  <c r="J7" i="70" s="1"/>
  <c r="G30" i="70"/>
  <c r="C3" i="70"/>
  <c r="D19" i="70"/>
  <c r="H12" i="70"/>
  <c r="H10" i="70"/>
  <c r="D5" i="70"/>
  <c r="D2" i="70"/>
  <c r="B27" i="70"/>
  <c r="B25" i="70"/>
  <c r="F33" i="70"/>
  <c r="B22" i="70"/>
  <c r="F32" i="70"/>
  <c r="B19" i="70"/>
  <c r="B17" i="70"/>
  <c r="B15" i="70"/>
  <c r="J15" i="70" s="1"/>
  <c r="B13" i="70"/>
  <c r="J13" i="70" s="1"/>
  <c r="B31" i="70"/>
  <c r="B10" i="70"/>
  <c r="B8" i="70"/>
  <c r="B6" i="70"/>
  <c r="J6" i="70" s="1"/>
  <c r="B30" i="70"/>
  <c r="F2" i="70"/>
  <c r="B29" i="70"/>
  <c r="J29" i="70" s="1"/>
  <c r="D17" i="70"/>
  <c r="H11" i="70"/>
  <c r="D6" i="70"/>
  <c r="AY30" i="63"/>
  <c r="I27" i="70"/>
  <c r="I25" i="70"/>
  <c r="I23" i="70"/>
  <c r="I32" i="70"/>
  <c r="E5" i="70"/>
  <c r="H21" i="70"/>
  <c r="D9" i="70"/>
  <c r="D3" i="70"/>
  <c r="C41" i="64"/>
  <c r="K75" i="26"/>
  <c r="C30" i="64"/>
  <c r="C2" i="64"/>
  <c r="H30" i="64"/>
  <c r="H2" i="64"/>
  <c r="G30" i="64"/>
  <c r="G2" i="64"/>
  <c r="D30" i="64"/>
  <c r="D2" i="64"/>
  <c r="C22" i="64"/>
  <c r="H22" i="64"/>
  <c r="G22" i="64"/>
  <c r="D22" i="64"/>
  <c r="C33" i="64"/>
  <c r="C20" i="64"/>
  <c r="H33" i="64"/>
  <c r="H20" i="64"/>
  <c r="G33" i="64"/>
  <c r="G20" i="64"/>
  <c r="D33" i="64"/>
  <c r="D20" i="64"/>
  <c r="C16" i="64"/>
  <c r="H16" i="64"/>
  <c r="G16" i="64"/>
  <c r="D16" i="64"/>
  <c r="C32" i="64"/>
  <c r="C12" i="64"/>
  <c r="H32" i="64"/>
  <c r="H12" i="64"/>
  <c r="G32" i="64"/>
  <c r="G12" i="64"/>
  <c r="D32" i="64"/>
  <c r="D12" i="64"/>
  <c r="I33" i="64"/>
  <c r="C34" i="64"/>
  <c r="C23" i="64"/>
  <c r="H34" i="64"/>
  <c r="H23" i="64"/>
  <c r="G34" i="64"/>
  <c r="G23" i="64"/>
  <c r="D34" i="64"/>
  <c r="D23" i="64"/>
  <c r="I24" i="64"/>
  <c r="I12" i="64"/>
  <c r="I9" i="64"/>
  <c r="I41" i="64"/>
  <c r="M61" i="26"/>
  <c r="L67" i="26"/>
  <c r="B34" i="64"/>
  <c r="C8" i="64"/>
  <c r="H8" i="64"/>
  <c r="G8" i="64"/>
  <c r="D8" i="64"/>
  <c r="F31" i="64"/>
  <c r="F2" i="64"/>
  <c r="B2" i="64"/>
  <c r="E22" i="64"/>
  <c r="E31" i="64"/>
  <c r="D38" i="26"/>
  <c r="J37" i="26"/>
  <c r="BA29" i="63"/>
  <c r="AS30" i="63" s="1"/>
  <c r="C25" i="64"/>
  <c r="H25" i="64"/>
  <c r="G25" i="64"/>
  <c r="D25" i="64"/>
  <c r="B12" i="64"/>
  <c r="F30" i="64"/>
  <c r="B30" i="64"/>
  <c r="E23" i="64"/>
  <c r="E20" i="64"/>
  <c r="I16" i="64"/>
  <c r="C26" i="64"/>
  <c r="J26" i="64" s="1"/>
  <c r="H26" i="64"/>
  <c r="G26" i="64"/>
  <c r="D26" i="64"/>
  <c r="F24" i="64"/>
  <c r="F34" i="64"/>
  <c r="F22" i="64"/>
  <c r="B20" i="64"/>
  <c r="C18" i="64"/>
  <c r="H18" i="64"/>
  <c r="G18" i="64"/>
  <c r="D18" i="64"/>
  <c r="F16" i="64"/>
  <c r="C14" i="64"/>
  <c r="H14" i="64"/>
  <c r="G14" i="64"/>
  <c r="D14" i="64"/>
  <c r="F12" i="64"/>
  <c r="B32" i="64"/>
  <c r="C10" i="64"/>
  <c r="H10" i="64"/>
  <c r="G10" i="64"/>
  <c r="D10" i="64"/>
  <c r="F8" i="64"/>
  <c r="C6" i="64"/>
  <c r="H6" i="64"/>
  <c r="G6" i="64"/>
  <c r="D6" i="64"/>
  <c r="B31" i="64"/>
  <c r="F41" i="64"/>
  <c r="B41" i="64"/>
  <c r="E26" i="64"/>
  <c r="E34" i="64"/>
  <c r="E33" i="64"/>
  <c r="E18" i="64"/>
  <c r="E16" i="64"/>
  <c r="E14" i="64"/>
  <c r="I32" i="64"/>
  <c r="E2" i="64"/>
  <c r="I37" i="26"/>
  <c r="C38" i="26"/>
  <c r="C24" i="64"/>
  <c r="H24" i="64"/>
  <c r="G24" i="64"/>
  <c r="D24" i="64"/>
  <c r="I34" i="64"/>
  <c r="E32" i="64"/>
  <c r="E8" i="64"/>
  <c r="I30" i="64"/>
  <c r="F33" i="64"/>
  <c r="C17" i="64"/>
  <c r="H17" i="64"/>
  <c r="G17" i="64"/>
  <c r="D17" i="64"/>
  <c r="C13" i="64"/>
  <c r="H13" i="64"/>
  <c r="G13" i="64"/>
  <c r="D13" i="64"/>
  <c r="C9" i="64"/>
  <c r="H9" i="64"/>
  <c r="G9" i="64"/>
  <c r="D9" i="64"/>
  <c r="D30" i="63"/>
  <c r="C27" i="64"/>
  <c r="H27" i="64"/>
  <c r="G27" i="64"/>
  <c r="D27" i="64"/>
  <c r="F25" i="64"/>
  <c r="B24" i="64"/>
  <c r="B23" i="64"/>
  <c r="B22" i="64"/>
  <c r="C21" i="64"/>
  <c r="H21" i="64"/>
  <c r="G21" i="64"/>
  <c r="D21" i="64"/>
  <c r="B33" i="64"/>
  <c r="C19" i="64"/>
  <c r="H19" i="64"/>
  <c r="G19" i="64"/>
  <c r="D19" i="64"/>
  <c r="F17" i="64"/>
  <c r="B16" i="64"/>
  <c r="C15" i="64"/>
  <c r="H15" i="64"/>
  <c r="G15" i="64"/>
  <c r="D15" i="64"/>
  <c r="F13" i="64"/>
  <c r="F32" i="64"/>
  <c r="C11" i="64"/>
  <c r="J11" i="64" s="1"/>
  <c r="H11" i="64"/>
  <c r="G11" i="64"/>
  <c r="D11" i="64"/>
  <c r="F9" i="64"/>
  <c r="B8" i="64"/>
  <c r="C7" i="64"/>
  <c r="H7" i="64"/>
  <c r="G7" i="64"/>
  <c r="D7" i="64"/>
  <c r="C31" i="64"/>
  <c r="C5" i="64"/>
  <c r="J5" i="64" s="1"/>
  <c r="H31" i="64"/>
  <c r="H5" i="64"/>
  <c r="G31" i="64"/>
  <c r="G5" i="64"/>
  <c r="D31" i="64"/>
  <c r="D5" i="64"/>
  <c r="C3" i="64"/>
  <c r="H3" i="64"/>
  <c r="G3" i="64"/>
  <c r="D3" i="64"/>
  <c r="I27" i="64"/>
  <c r="I25" i="64"/>
  <c r="I23" i="64"/>
  <c r="I22" i="64"/>
  <c r="I20" i="64"/>
  <c r="I19" i="64"/>
  <c r="I17" i="64"/>
  <c r="I15" i="64"/>
  <c r="I13" i="64"/>
  <c r="E12" i="64"/>
  <c r="I10" i="64"/>
  <c r="I8" i="64"/>
  <c r="I6" i="64"/>
  <c r="E5" i="64"/>
  <c r="I2" i="64"/>
  <c r="E30" i="64"/>
  <c r="E64" i="60"/>
  <c r="E63" i="60" s="1"/>
  <c r="N286" i="60"/>
  <c r="L34" i="60"/>
  <c r="J60" i="60"/>
  <c r="J10" i="60" s="1"/>
  <c r="K33" i="60"/>
  <c r="D95" i="60"/>
  <c r="E40" i="60"/>
  <c r="E39" i="60" s="1"/>
  <c r="N274" i="60"/>
  <c r="K51" i="60"/>
  <c r="L30" i="60"/>
  <c r="N62" i="28"/>
  <c r="L62" i="28"/>
  <c r="L66" i="28"/>
  <c r="N66" i="28"/>
  <c r="M66" i="28"/>
  <c r="M62" i="28"/>
  <c r="N65" i="28"/>
  <c r="L65" i="28"/>
  <c r="N64" i="28"/>
  <c r="L64" i="28"/>
  <c r="J27" i="70" l="1"/>
  <c r="J21" i="64"/>
  <c r="J8" i="70"/>
  <c r="J22" i="70"/>
  <c r="R53" i="71"/>
  <c r="R48" i="71"/>
  <c r="R49" i="71" s="1"/>
  <c r="J3" i="70"/>
  <c r="Q59" i="71"/>
  <c r="Q54" i="71"/>
  <c r="J15" i="64"/>
  <c r="J22" i="64"/>
  <c r="J9" i="64"/>
  <c r="J13" i="64"/>
  <c r="J17" i="64"/>
  <c r="J10" i="70"/>
  <c r="J17" i="70"/>
  <c r="AX30" i="63"/>
  <c r="S53" i="71"/>
  <c r="S48" i="71"/>
  <c r="S49" i="71" s="1"/>
  <c r="AW30" i="63"/>
  <c r="J32" i="70"/>
  <c r="J2" i="70"/>
  <c r="T53" i="71"/>
  <c r="T48" i="71"/>
  <c r="T49" i="71" s="1"/>
  <c r="J24" i="70"/>
  <c r="Q49" i="71"/>
  <c r="J10" i="64"/>
  <c r="J14" i="64"/>
  <c r="J25" i="64"/>
  <c r="J30" i="70"/>
  <c r="J31" i="70"/>
  <c r="J19" i="70"/>
  <c r="J25" i="70"/>
  <c r="AU30" i="63"/>
  <c r="BA30" i="63" s="1"/>
  <c r="U53" i="71"/>
  <c r="U48" i="71"/>
  <c r="U49" i="71" s="1"/>
  <c r="J33" i="70"/>
  <c r="H32" i="60"/>
  <c r="G57" i="60"/>
  <c r="G35" i="60"/>
  <c r="J5" i="70"/>
  <c r="J12" i="70"/>
  <c r="G9" i="60"/>
  <c r="J20" i="64"/>
  <c r="J16" i="64"/>
  <c r="J23" i="64"/>
  <c r="J32" i="64"/>
  <c r="J12" i="64"/>
  <c r="J2" i="64"/>
  <c r="J34" i="64"/>
  <c r="N61" i="26"/>
  <c r="M67" i="26"/>
  <c r="I38" i="26"/>
  <c r="C39" i="26"/>
  <c r="J3" i="64"/>
  <c r="J7" i="64"/>
  <c r="J19" i="64"/>
  <c r="J24" i="64"/>
  <c r="J30" i="64"/>
  <c r="L75" i="26"/>
  <c r="D39" i="26"/>
  <c r="J38" i="26"/>
  <c r="J8" i="64"/>
  <c r="J33" i="64"/>
  <c r="J27" i="64"/>
  <c r="J31" i="64"/>
  <c r="J6" i="64"/>
  <c r="J18" i="64"/>
  <c r="K60" i="60"/>
  <c r="K10" i="60" s="1"/>
  <c r="L33" i="60"/>
  <c r="O286" i="60"/>
  <c r="F64" i="60"/>
  <c r="F63" i="60" s="1"/>
  <c r="O274" i="60"/>
  <c r="F40" i="60"/>
  <c r="F39" i="60" s="1"/>
  <c r="E95" i="60"/>
  <c r="M34" i="60"/>
  <c r="M30" i="60"/>
  <c r="M51" i="60" s="1"/>
  <c r="L51" i="60"/>
  <c r="H9" i="60" l="1"/>
  <c r="S59" i="71"/>
  <c r="S54" i="71"/>
  <c r="S55" i="71" s="1"/>
  <c r="I32" i="60"/>
  <c r="H57" i="60"/>
  <c r="H35" i="60"/>
  <c r="T59" i="71"/>
  <c r="T54" i="71"/>
  <c r="T55" i="71" s="1"/>
  <c r="Q55" i="71"/>
  <c r="R59" i="71"/>
  <c r="R54" i="71"/>
  <c r="R55" i="71" s="1"/>
  <c r="U59" i="71"/>
  <c r="U54" i="71"/>
  <c r="U55" i="71" s="1"/>
  <c r="V48" i="71"/>
  <c r="Q65" i="71"/>
  <c r="Q60" i="71"/>
  <c r="C40" i="26"/>
  <c r="I39" i="26"/>
  <c r="D40" i="26"/>
  <c r="J39" i="26"/>
  <c r="N67" i="26"/>
  <c r="M75" i="26"/>
  <c r="M33" i="60"/>
  <c r="M60" i="60" s="1"/>
  <c r="M10" i="60" s="1"/>
  <c r="L60" i="60"/>
  <c r="L10" i="60" s="1"/>
  <c r="F95" i="60"/>
  <c r="P274" i="60"/>
  <c r="G40" i="60"/>
  <c r="G39" i="60" s="1"/>
  <c r="G64" i="60"/>
  <c r="G63" i="60" s="1"/>
  <c r="P286" i="60"/>
  <c r="Q61" i="71" l="1"/>
  <c r="Q66" i="71"/>
  <c r="Q71" i="71"/>
  <c r="Q72" i="71" s="1"/>
  <c r="S65" i="71"/>
  <c r="S60" i="71"/>
  <c r="S61" i="71" s="1"/>
  <c r="J32" i="60"/>
  <c r="I35" i="60"/>
  <c r="J35" i="60" s="1"/>
  <c r="K35" i="60" s="1"/>
  <c r="L35" i="60" s="1"/>
  <c r="M35" i="60" s="1"/>
  <c r="I57" i="60"/>
  <c r="R65" i="71"/>
  <c r="R60" i="71"/>
  <c r="R61" i="71" s="1"/>
  <c r="T65" i="71"/>
  <c r="T60" i="71"/>
  <c r="T61" i="71" s="1"/>
  <c r="U65" i="71"/>
  <c r="U60" i="71"/>
  <c r="U61" i="71" s="1"/>
  <c r="V54" i="71"/>
  <c r="I9" i="60"/>
  <c r="N75" i="26"/>
  <c r="D41" i="26"/>
  <c r="J40" i="26"/>
  <c r="C41" i="26"/>
  <c r="I40" i="26"/>
  <c r="Q274" i="60"/>
  <c r="I40" i="60" s="1"/>
  <c r="H40" i="60"/>
  <c r="H39" i="60" s="1"/>
  <c r="H64" i="60"/>
  <c r="H63" i="60" s="1"/>
  <c r="Q286" i="60"/>
  <c r="I64" i="60" s="1"/>
  <c r="G95" i="60"/>
  <c r="J9" i="60" l="1"/>
  <c r="K32" i="60"/>
  <c r="J57" i="60"/>
  <c r="Q67" i="71"/>
  <c r="T71" i="71"/>
  <c r="T72" i="71" s="1"/>
  <c r="T73" i="71" s="1"/>
  <c r="T66" i="71"/>
  <c r="T67" i="71" s="1"/>
  <c r="V60" i="71"/>
  <c r="U71" i="71"/>
  <c r="U72" i="71" s="1"/>
  <c r="U73" i="71" s="1"/>
  <c r="U66" i="71"/>
  <c r="U67" i="71" s="1"/>
  <c r="Q73" i="71"/>
  <c r="R71" i="71"/>
  <c r="R72" i="71" s="1"/>
  <c r="R73" i="71" s="1"/>
  <c r="R66" i="71"/>
  <c r="R67" i="71" s="1"/>
  <c r="S71" i="71"/>
  <c r="S72" i="71" s="1"/>
  <c r="S73" i="71" s="1"/>
  <c r="S66" i="71"/>
  <c r="S67" i="71" s="1"/>
  <c r="C42" i="26"/>
  <c r="I42" i="26" s="1"/>
  <c r="I41" i="26"/>
  <c r="D42" i="26"/>
  <c r="J42" i="26" s="1"/>
  <c r="J41" i="26"/>
  <c r="J64" i="60"/>
  <c r="I63" i="60"/>
  <c r="H95" i="60"/>
  <c r="J40" i="60"/>
  <c r="I39" i="60"/>
  <c r="L32" i="60" l="1"/>
  <c r="K57" i="60"/>
  <c r="V72" i="71"/>
  <c r="V66" i="71"/>
  <c r="K9" i="60"/>
  <c r="L9" i="60" s="1"/>
  <c r="I95" i="60"/>
  <c r="K40" i="60"/>
  <c r="J39" i="60"/>
  <c r="K64" i="60"/>
  <c r="J63" i="60"/>
  <c r="M32" i="60" l="1"/>
  <c r="M57" i="60" s="1"/>
  <c r="L57" i="60"/>
  <c r="L40" i="60"/>
  <c r="K39" i="60"/>
  <c r="L64" i="60"/>
  <c r="K63" i="60"/>
  <c r="M9" i="60" l="1"/>
  <c r="M64" i="60"/>
  <c r="M63" i="60" s="1"/>
  <c r="L63" i="60"/>
  <c r="M40" i="60"/>
  <c r="M39" i="60" s="1"/>
  <c r="L39" i="60"/>
  <c r="C22" i="60" l="1"/>
  <c r="C8" i="60" s="1"/>
  <c r="D8" i="60"/>
  <c r="C18" i="60" l="1"/>
  <c r="F22" i="60"/>
  <c r="E8" i="60"/>
  <c r="C4" i="60" l="1"/>
  <c r="D4" i="60"/>
  <c r="G22" i="60"/>
  <c r="F8" i="60"/>
  <c r="E4" i="60" l="1"/>
  <c r="F18" i="60"/>
  <c r="H22" i="60"/>
  <c r="G8" i="60"/>
  <c r="H8" i="60" l="1"/>
  <c r="I22" i="60"/>
  <c r="F4" i="60"/>
  <c r="G18" i="60"/>
  <c r="J22" i="60" l="1"/>
  <c r="I8" i="60"/>
  <c r="H18" i="60"/>
  <c r="G4" i="60"/>
  <c r="I18" i="60" l="1"/>
  <c r="H4" i="60"/>
  <c r="J8" i="60"/>
  <c r="K22" i="60"/>
  <c r="K8" i="60" l="1"/>
  <c r="L22" i="60"/>
  <c r="J18" i="60"/>
  <c r="I4" i="60"/>
  <c r="L8" i="60" l="1"/>
  <c r="M22" i="60"/>
  <c r="M8" i="60" s="1"/>
  <c r="K18" i="60"/>
  <c r="J4" i="60"/>
  <c r="L18" i="60" l="1"/>
  <c r="K4" i="60"/>
  <c r="M18" i="60" l="1"/>
  <c r="M4" i="60" s="1"/>
  <c r="L4" i="60"/>
  <c r="D253" i="10" l="1"/>
  <c r="D252" i="10"/>
  <c r="D251" i="10"/>
  <c r="D249" i="10"/>
  <c r="D248" i="10"/>
  <c r="D247" i="10"/>
  <c r="K223" i="50" l="1"/>
  <c r="K227" i="50"/>
  <c r="K228" i="50"/>
  <c r="K220" i="50" s="1"/>
  <c r="K222" i="50" l="1"/>
  <c r="K226" i="50"/>
  <c r="K225" i="50"/>
  <c r="K221" i="50"/>
  <c r="K219" i="50"/>
  <c r="K224" i="50"/>
  <c r="M147" i="51" l="1"/>
  <c r="M138" i="51"/>
  <c r="M201" i="51" l="1"/>
  <c r="M192" i="51"/>
  <c r="M174" i="51"/>
  <c r="M183" i="51"/>
  <c r="M84" i="51"/>
  <c r="M75" i="51"/>
  <c r="M57" i="51"/>
  <c r="M48" i="51"/>
  <c r="M39" i="51"/>
  <c r="M21" i="51"/>
  <c r="B487" i="51"/>
  <c r="C487" i="51"/>
  <c r="D487" i="51"/>
  <c r="E487" i="51"/>
  <c r="G487" i="51"/>
  <c r="H487" i="51"/>
  <c r="I487" i="51"/>
  <c r="B488" i="51"/>
  <c r="C488" i="51"/>
  <c r="D488" i="51"/>
  <c r="E488" i="51"/>
  <c r="G488" i="51"/>
  <c r="H488" i="51"/>
  <c r="I488" i="51"/>
  <c r="B489" i="51"/>
  <c r="C489" i="51"/>
  <c r="D489" i="51"/>
  <c r="E489" i="51"/>
  <c r="G489" i="51"/>
  <c r="H489" i="51"/>
  <c r="I489" i="51"/>
  <c r="B490" i="51"/>
  <c r="C490" i="51"/>
  <c r="D490" i="51"/>
  <c r="E490" i="51"/>
  <c r="G490" i="51"/>
  <c r="H490" i="51"/>
  <c r="I490" i="51"/>
  <c r="B491" i="51"/>
  <c r="C491" i="51"/>
  <c r="D491" i="51"/>
  <c r="E491" i="51"/>
  <c r="G491" i="51"/>
  <c r="H491" i="51"/>
  <c r="I491" i="51"/>
  <c r="B492" i="51"/>
  <c r="C492" i="51"/>
  <c r="D492" i="51"/>
  <c r="E492" i="51"/>
  <c r="G492" i="51"/>
  <c r="H492" i="51"/>
  <c r="I492" i="51"/>
  <c r="B493" i="51"/>
  <c r="C493" i="51"/>
  <c r="D493" i="51"/>
  <c r="E493" i="51"/>
  <c r="G493" i="51"/>
  <c r="H493" i="51"/>
  <c r="I493" i="51"/>
  <c r="B494" i="51"/>
  <c r="C494" i="51"/>
  <c r="D494" i="51"/>
  <c r="E494" i="51"/>
  <c r="G494" i="51"/>
  <c r="H494" i="51"/>
  <c r="I494" i="51"/>
  <c r="B495" i="51"/>
  <c r="C495" i="51"/>
  <c r="D495" i="51"/>
  <c r="E495" i="51"/>
  <c r="G495" i="51"/>
  <c r="H495" i="51"/>
  <c r="I495" i="51"/>
  <c r="B496" i="51"/>
  <c r="C496" i="51"/>
  <c r="D496" i="51"/>
  <c r="E496" i="51"/>
  <c r="G496" i="51"/>
  <c r="H496" i="51"/>
  <c r="I496" i="51"/>
  <c r="B497" i="51"/>
  <c r="C497" i="51"/>
  <c r="D497" i="51"/>
  <c r="E497" i="51"/>
  <c r="G497" i="51"/>
  <c r="H497" i="51"/>
  <c r="I497" i="51"/>
  <c r="B498" i="51"/>
  <c r="C498" i="51"/>
  <c r="D498" i="51"/>
  <c r="E498" i="51"/>
  <c r="G498" i="51"/>
  <c r="H498" i="51"/>
  <c r="I498" i="51"/>
  <c r="B499" i="51"/>
  <c r="C499" i="51"/>
  <c r="D499" i="51"/>
  <c r="E499" i="51"/>
  <c r="G499" i="51"/>
  <c r="H499" i="51"/>
  <c r="I499" i="51"/>
  <c r="B500" i="51"/>
  <c r="C500" i="51"/>
  <c r="D500" i="51"/>
  <c r="E500" i="51"/>
  <c r="G500" i="51"/>
  <c r="H500" i="51"/>
  <c r="I500" i="51"/>
  <c r="B501" i="51"/>
  <c r="C501" i="51"/>
  <c r="D501" i="51"/>
  <c r="E501" i="51"/>
  <c r="G501" i="51"/>
  <c r="H501" i="51"/>
  <c r="I501" i="51"/>
  <c r="B502" i="51"/>
  <c r="C502" i="51"/>
  <c r="D502" i="51"/>
  <c r="E502" i="51"/>
  <c r="G502" i="51"/>
  <c r="H502" i="51"/>
  <c r="I502" i="51"/>
  <c r="B503" i="51"/>
  <c r="C503" i="51"/>
  <c r="D503" i="51"/>
  <c r="E503" i="51"/>
  <c r="G503" i="51"/>
  <c r="H503" i="51"/>
  <c r="I503" i="51"/>
  <c r="B504" i="51"/>
  <c r="C504" i="51"/>
  <c r="D504" i="51"/>
  <c r="E504" i="51"/>
  <c r="G504" i="51"/>
  <c r="H504" i="51"/>
  <c r="I504" i="51"/>
  <c r="B505" i="51"/>
  <c r="C505" i="51"/>
  <c r="D505" i="51"/>
  <c r="E505" i="51"/>
  <c r="G505" i="51"/>
  <c r="H505" i="51"/>
  <c r="I505" i="51"/>
  <c r="B506" i="51"/>
  <c r="C506" i="51"/>
  <c r="D506" i="51"/>
  <c r="E506" i="51"/>
  <c r="G506" i="51"/>
  <c r="H506" i="51"/>
  <c r="I506" i="51"/>
  <c r="B507" i="51"/>
  <c r="C507" i="51"/>
  <c r="D507" i="51"/>
  <c r="E507" i="51"/>
  <c r="G507" i="51"/>
  <c r="H507" i="51"/>
  <c r="I507" i="51"/>
  <c r="B508" i="51"/>
  <c r="C508" i="51"/>
  <c r="D508" i="51"/>
  <c r="E508" i="51"/>
  <c r="G508" i="51"/>
  <c r="H508" i="51"/>
  <c r="I508" i="51"/>
  <c r="B509" i="51"/>
  <c r="C509" i="51"/>
  <c r="D509" i="51"/>
  <c r="E509" i="51"/>
  <c r="G509" i="51"/>
  <c r="H509" i="51"/>
  <c r="I509" i="51"/>
  <c r="B510" i="51"/>
  <c r="C510" i="51"/>
  <c r="D510" i="51"/>
  <c r="E510" i="51"/>
  <c r="G510" i="51"/>
  <c r="H510" i="51"/>
  <c r="I510" i="51"/>
  <c r="B511" i="51"/>
  <c r="C511" i="51"/>
  <c r="D511" i="51"/>
  <c r="E511" i="51"/>
  <c r="G511" i="51"/>
  <c r="H511" i="51"/>
  <c r="I511" i="51"/>
  <c r="B512" i="51"/>
  <c r="C512" i="51"/>
  <c r="D512" i="51"/>
  <c r="E512" i="51"/>
  <c r="G512" i="51"/>
  <c r="H512" i="51"/>
  <c r="I512" i="51"/>
  <c r="B513" i="51"/>
  <c r="C513" i="51"/>
  <c r="D513" i="51"/>
  <c r="E513" i="51"/>
  <c r="G513" i="51"/>
  <c r="H513" i="51"/>
  <c r="I513" i="51"/>
  <c r="B514" i="51"/>
  <c r="C514" i="51"/>
  <c r="D514" i="51"/>
  <c r="E514" i="51"/>
  <c r="G514" i="51"/>
  <c r="H514" i="51"/>
  <c r="I514" i="51"/>
  <c r="B515" i="51"/>
  <c r="C515" i="51"/>
  <c r="D515" i="51"/>
  <c r="E515" i="51"/>
  <c r="G515" i="51"/>
  <c r="H515" i="51"/>
  <c r="I515" i="51"/>
  <c r="B516" i="51"/>
  <c r="C516" i="51"/>
  <c r="D516" i="51"/>
  <c r="E516" i="51"/>
  <c r="G516" i="51"/>
  <c r="H516" i="51"/>
  <c r="I516" i="51"/>
  <c r="B517" i="51"/>
  <c r="C517" i="51"/>
  <c r="D517" i="51"/>
  <c r="E517" i="51"/>
  <c r="G517" i="51"/>
  <c r="H517" i="51"/>
  <c r="I517" i="51"/>
  <c r="B518" i="51"/>
  <c r="C518" i="51"/>
  <c r="D518" i="51"/>
  <c r="E518" i="51"/>
  <c r="G518" i="51"/>
  <c r="H518" i="51"/>
  <c r="I518" i="51"/>
  <c r="B519" i="51"/>
  <c r="C519" i="51"/>
  <c r="D519" i="51"/>
  <c r="E519" i="51"/>
  <c r="G519" i="51"/>
  <c r="H519" i="51"/>
  <c r="I519" i="51"/>
  <c r="B520" i="51"/>
  <c r="C520" i="51"/>
  <c r="D520" i="51"/>
  <c r="E520" i="51"/>
  <c r="G520" i="51"/>
  <c r="H520" i="51"/>
  <c r="I520" i="51"/>
  <c r="B521" i="51"/>
  <c r="C521" i="51"/>
  <c r="D521" i="51"/>
  <c r="E521" i="51"/>
  <c r="G521" i="51"/>
  <c r="H521" i="51"/>
  <c r="I521" i="51"/>
  <c r="B522" i="51"/>
  <c r="C522" i="51"/>
  <c r="D522" i="51"/>
  <c r="E522" i="51"/>
  <c r="G522" i="51"/>
  <c r="H522" i="51"/>
  <c r="I522" i="51"/>
  <c r="B523" i="51"/>
  <c r="C523" i="51"/>
  <c r="D523" i="51"/>
  <c r="E523" i="51"/>
  <c r="G523" i="51"/>
  <c r="H523" i="51"/>
  <c r="I523" i="51"/>
  <c r="B524" i="51"/>
  <c r="C524" i="51"/>
  <c r="D524" i="51"/>
  <c r="E524" i="51"/>
  <c r="G524" i="51"/>
  <c r="H524" i="51"/>
  <c r="I524" i="51"/>
  <c r="B525" i="51"/>
  <c r="C525" i="51"/>
  <c r="D525" i="51"/>
  <c r="E525" i="51"/>
  <c r="G525" i="51"/>
  <c r="H525" i="51"/>
  <c r="I525" i="51"/>
  <c r="B526" i="51"/>
  <c r="C526" i="51"/>
  <c r="D526" i="51"/>
  <c r="E526" i="51"/>
  <c r="G526" i="51"/>
  <c r="H526" i="51"/>
  <c r="I526" i="51"/>
  <c r="B527" i="51"/>
  <c r="C527" i="51"/>
  <c r="D527" i="51"/>
  <c r="E527" i="51"/>
  <c r="G527" i="51"/>
  <c r="H527" i="51"/>
  <c r="I527" i="51"/>
  <c r="B528" i="51"/>
  <c r="C528" i="51"/>
  <c r="D528" i="51"/>
  <c r="E528" i="51"/>
  <c r="G528" i="51"/>
  <c r="H528" i="51"/>
  <c r="I528" i="51"/>
  <c r="B529" i="51"/>
  <c r="C529" i="51"/>
  <c r="D529" i="51"/>
  <c r="E529" i="51"/>
  <c r="G529" i="51"/>
  <c r="H529" i="51"/>
  <c r="I529" i="51"/>
  <c r="B530" i="51"/>
  <c r="C530" i="51"/>
  <c r="D530" i="51"/>
  <c r="E530" i="51"/>
  <c r="G530" i="51"/>
  <c r="H530" i="51"/>
  <c r="I530" i="51"/>
  <c r="B531" i="51"/>
  <c r="C531" i="51"/>
  <c r="D531" i="51"/>
  <c r="E531" i="51"/>
  <c r="G531" i="51"/>
  <c r="H531" i="51"/>
  <c r="I531" i="51"/>
  <c r="B532" i="51"/>
  <c r="C532" i="51"/>
  <c r="D532" i="51"/>
  <c r="E532" i="51"/>
  <c r="G532" i="51"/>
  <c r="H532" i="51"/>
  <c r="I532" i="51"/>
  <c r="B533" i="51"/>
  <c r="C533" i="51"/>
  <c r="D533" i="51"/>
  <c r="E533" i="51"/>
  <c r="G533" i="51"/>
  <c r="H533" i="51"/>
  <c r="I533" i="51"/>
  <c r="B534" i="51"/>
  <c r="C534" i="51"/>
  <c r="D534" i="51"/>
  <c r="E534" i="51"/>
  <c r="G534" i="51"/>
  <c r="H534" i="51"/>
  <c r="I534" i="51"/>
  <c r="B5" i="51"/>
  <c r="C5" i="51"/>
  <c r="D5" i="51"/>
  <c r="E5" i="51"/>
  <c r="G5" i="51"/>
  <c r="H5" i="51"/>
  <c r="I5" i="51"/>
  <c r="B6" i="51"/>
  <c r="C6" i="51"/>
  <c r="D6" i="51"/>
  <c r="E6" i="51"/>
  <c r="G6" i="51"/>
  <c r="H6" i="51"/>
  <c r="I6" i="51"/>
  <c r="B7" i="51"/>
  <c r="C7" i="51"/>
  <c r="D7" i="51"/>
  <c r="E7" i="51"/>
  <c r="G7" i="51"/>
  <c r="H7" i="51"/>
  <c r="I7" i="51"/>
  <c r="B8" i="51"/>
  <c r="C8" i="51"/>
  <c r="D8" i="51"/>
  <c r="E8" i="51"/>
  <c r="G8" i="51"/>
  <c r="H8" i="51"/>
  <c r="I8" i="51"/>
  <c r="B9" i="51"/>
  <c r="C9" i="51"/>
  <c r="D9" i="51"/>
  <c r="E9" i="51"/>
  <c r="G9" i="51"/>
  <c r="H9" i="51"/>
  <c r="I9" i="51"/>
  <c r="B10" i="51"/>
  <c r="C10" i="51"/>
  <c r="D10" i="51"/>
  <c r="E10" i="51"/>
  <c r="G10" i="51"/>
  <c r="H10" i="51"/>
  <c r="I10" i="51"/>
  <c r="B11" i="51"/>
  <c r="C11" i="51"/>
  <c r="D11" i="51"/>
  <c r="E11" i="51"/>
  <c r="G11" i="51"/>
  <c r="H11" i="51"/>
  <c r="I11" i="51"/>
  <c r="B12" i="51"/>
  <c r="C12" i="51"/>
  <c r="D12" i="51"/>
  <c r="E12" i="51"/>
  <c r="G12" i="51"/>
  <c r="H12" i="51"/>
  <c r="I12" i="51"/>
  <c r="B13" i="51"/>
  <c r="C13" i="51"/>
  <c r="D13" i="51"/>
  <c r="E13" i="51"/>
  <c r="G13" i="51"/>
  <c r="H13" i="51"/>
  <c r="I13" i="51"/>
  <c r="B14" i="51"/>
  <c r="C14" i="51"/>
  <c r="D14" i="51"/>
  <c r="E14" i="51"/>
  <c r="G14" i="51"/>
  <c r="H14" i="51"/>
  <c r="I14" i="51"/>
  <c r="B15" i="51"/>
  <c r="C15" i="51"/>
  <c r="D15" i="51"/>
  <c r="E15" i="51"/>
  <c r="G15" i="51"/>
  <c r="H15" i="51"/>
  <c r="I15" i="51"/>
  <c r="B16" i="51"/>
  <c r="C16" i="51"/>
  <c r="D16" i="51"/>
  <c r="E16" i="51"/>
  <c r="G16" i="51"/>
  <c r="H16" i="51"/>
  <c r="I16" i="51"/>
  <c r="B17" i="51"/>
  <c r="C17" i="51"/>
  <c r="D17" i="51"/>
  <c r="E17" i="51"/>
  <c r="G17" i="51"/>
  <c r="H17" i="51"/>
  <c r="I17" i="51"/>
  <c r="B18" i="51"/>
  <c r="C18" i="51"/>
  <c r="D18" i="51"/>
  <c r="E18" i="51"/>
  <c r="G18" i="51"/>
  <c r="H18" i="51"/>
  <c r="I18" i="51"/>
  <c r="B19" i="51"/>
  <c r="C19" i="51"/>
  <c r="D19" i="51"/>
  <c r="E19" i="51"/>
  <c r="G19" i="51"/>
  <c r="H19" i="51"/>
  <c r="I19" i="51"/>
  <c r="B20" i="51"/>
  <c r="C20" i="51"/>
  <c r="D20" i="51"/>
  <c r="E20" i="51"/>
  <c r="G20" i="51"/>
  <c r="H20" i="51"/>
  <c r="I20" i="51"/>
  <c r="B21" i="51"/>
  <c r="C21" i="51"/>
  <c r="D21" i="51"/>
  <c r="E21" i="51"/>
  <c r="G21" i="51"/>
  <c r="H21" i="51"/>
  <c r="I21" i="51"/>
  <c r="B22" i="51"/>
  <c r="C22" i="51"/>
  <c r="D22" i="51"/>
  <c r="E22" i="51"/>
  <c r="G22" i="51"/>
  <c r="H22" i="51"/>
  <c r="I22" i="51"/>
  <c r="B23" i="51"/>
  <c r="C23" i="51"/>
  <c r="D23" i="51"/>
  <c r="E23" i="51"/>
  <c r="G23" i="51"/>
  <c r="H23" i="51"/>
  <c r="I23" i="51"/>
  <c r="B24" i="51"/>
  <c r="C24" i="51"/>
  <c r="D24" i="51"/>
  <c r="E24" i="51"/>
  <c r="G24" i="51"/>
  <c r="H24" i="51"/>
  <c r="I24" i="51"/>
  <c r="B25" i="51"/>
  <c r="C25" i="51"/>
  <c r="D25" i="51"/>
  <c r="E25" i="51"/>
  <c r="G25" i="51"/>
  <c r="H25" i="51"/>
  <c r="I25" i="51"/>
  <c r="B26" i="51"/>
  <c r="C26" i="51"/>
  <c r="D26" i="51"/>
  <c r="E26" i="51"/>
  <c r="G26" i="51"/>
  <c r="H26" i="51"/>
  <c r="I26" i="51"/>
  <c r="B27" i="51"/>
  <c r="C27" i="51"/>
  <c r="D27" i="51"/>
  <c r="E27" i="51"/>
  <c r="G27" i="51"/>
  <c r="H27" i="51"/>
  <c r="I27" i="51"/>
  <c r="B28" i="51"/>
  <c r="C28" i="51"/>
  <c r="D28" i="51"/>
  <c r="E28" i="51"/>
  <c r="G28" i="51"/>
  <c r="H28" i="51"/>
  <c r="I28" i="51"/>
  <c r="B29" i="51"/>
  <c r="C29" i="51"/>
  <c r="D29" i="51"/>
  <c r="E29" i="51"/>
  <c r="G29" i="51"/>
  <c r="H29" i="51"/>
  <c r="I29" i="51"/>
  <c r="B30" i="51"/>
  <c r="C30" i="51"/>
  <c r="D30" i="51"/>
  <c r="E30" i="51"/>
  <c r="G30" i="51"/>
  <c r="H30" i="51"/>
  <c r="I30" i="51"/>
  <c r="B31" i="51"/>
  <c r="C31" i="51"/>
  <c r="D31" i="51"/>
  <c r="E31" i="51"/>
  <c r="G31" i="51"/>
  <c r="H31" i="51"/>
  <c r="I31" i="51"/>
  <c r="B32" i="51"/>
  <c r="C32" i="51"/>
  <c r="D32" i="51"/>
  <c r="E32" i="51"/>
  <c r="G32" i="51"/>
  <c r="H32" i="51"/>
  <c r="I32" i="51"/>
  <c r="B33" i="51"/>
  <c r="C33" i="51"/>
  <c r="D33" i="51"/>
  <c r="E33" i="51"/>
  <c r="G33" i="51"/>
  <c r="H33" i="51"/>
  <c r="I33" i="51"/>
  <c r="B34" i="51"/>
  <c r="C34" i="51"/>
  <c r="D34" i="51"/>
  <c r="E34" i="51"/>
  <c r="G34" i="51"/>
  <c r="H34" i="51"/>
  <c r="I34" i="51"/>
  <c r="B35" i="51"/>
  <c r="C35" i="51"/>
  <c r="D35" i="51"/>
  <c r="E35" i="51"/>
  <c r="G35" i="51"/>
  <c r="H35" i="51"/>
  <c r="I35" i="51"/>
  <c r="B36" i="51"/>
  <c r="C36" i="51"/>
  <c r="D36" i="51"/>
  <c r="E36" i="51"/>
  <c r="G36" i="51"/>
  <c r="H36" i="51"/>
  <c r="I36" i="51"/>
  <c r="B37" i="51"/>
  <c r="C37" i="51"/>
  <c r="D37" i="51"/>
  <c r="E37" i="51"/>
  <c r="G37" i="51"/>
  <c r="H37" i="51"/>
  <c r="I37" i="51"/>
  <c r="B38" i="51"/>
  <c r="C38" i="51"/>
  <c r="D38" i="51"/>
  <c r="E38" i="51"/>
  <c r="G38" i="51"/>
  <c r="H38" i="51"/>
  <c r="I38" i="51"/>
  <c r="B39" i="51"/>
  <c r="C39" i="51"/>
  <c r="D39" i="51"/>
  <c r="E39" i="51"/>
  <c r="G39" i="51"/>
  <c r="H39" i="51"/>
  <c r="I39" i="51"/>
  <c r="B40" i="51"/>
  <c r="C40" i="51"/>
  <c r="D40" i="51"/>
  <c r="E40" i="51"/>
  <c r="G40" i="51"/>
  <c r="H40" i="51"/>
  <c r="I40" i="51"/>
  <c r="B41" i="51"/>
  <c r="B42" i="51"/>
  <c r="C42" i="51"/>
  <c r="D42" i="51"/>
  <c r="E42" i="51"/>
  <c r="G42" i="51"/>
  <c r="H42" i="51"/>
  <c r="I42" i="51"/>
  <c r="B43" i="51"/>
  <c r="C43" i="51"/>
  <c r="D43" i="51"/>
  <c r="E43" i="51"/>
  <c r="G43" i="51"/>
  <c r="H43" i="51"/>
  <c r="I43" i="51"/>
  <c r="B44" i="51"/>
  <c r="C44" i="51"/>
  <c r="D44" i="51"/>
  <c r="E44" i="51"/>
  <c r="G44" i="51"/>
  <c r="H44" i="51"/>
  <c r="I44" i="51"/>
  <c r="B45" i="51"/>
  <c r="C45" i="51"/>
  <c r="D45" i="51"/>
  <c r="E45" i="51"/>
  <c r="G45" i="51"/>
  <c r="H45" i="51"/>
  <c r="I45" i="51"/>
  <c r="B46" i="51"/>
  <c r="C46" i="51"/>
  <c r="D46" i="51"/>
  <c r="E46" i="51"/>
  <c r="G46" i="51"/>
  <c r="H46" i="51"/>
  <c r="I46" i="51"/>
  <c r="B47" i="51"/>
  <c r="C47" i="51"/>
  <c r="D47" i="51"/>
  <c r="E47" i="51"/>
  <c r="G47" i="51"/>
  <c r="H47" i="51"/>
  <c r="I47" i="51"/>
  <c r="B48" i="51"/>
  <c r="C48" i="51"/>
  <c r="D48" i="51"/>
  <c r="E48" i="51"/>
  <c r="G48" i="51"/>
  <c r="H48" i="51"/>
  <c r="I48" i="51"/>
  <c r="B49" i="51"/>
  <c r="C49" i="51"/>
  <c r="D49" i="51"/>
  <c r="E49" i="51"/>
  <c r="G49" i="51"/>
  <c r="H49" i="51"/>
  <c r="I49" i="51"/>
  <c r="B50" i="51"/>
  <c r="B51" i="51"/>
  <c r="C51" i="51"/>
  <c r="D51" i="51"/>
  <c r="E51" i="51"/>
  <c r="G51" i="51"/>
  <c r="H51" i="51"/>
  <c r="I51" i="51"/>
  <c r="B52" i="51"/>
  <c r="C52" i="51"/>
  <c r="D52" i="51"/>
  <c r="E52" i="51"/>
  <c r="G52" i="51"/>
  <c r="H52" i="51"/>
  <c r="I52" i="51"/>
  <c r="B53" i="51"/>
  <c r="C53" i="51"/>
  <c r="D53" i="51"/>
  <c r="E53" i="51"/>
  <c r="G53" i="51"/>
  <c r="H53" i="51"/>
  <c r="I53" i="51"/>
  <c r="B54" i="51"/>
  <c r="C54" i="51"/>
  <c r="D54" i="51"/>
  <c r="E54" i="51"/>
  <c r="G54" i="51"/>
  <c r="H54" i="51"/>
  <c r="I54" i="51"/>
  <c r="B55" i="51"/>
  <c r="C55" i="51"/>
  <c r="D55" i="51"/>
  <c r="E55" i="51"/>
  <c r="G55" i="51"/>
  <c r="H55" i="51"/>
  <c r="I55" i="51"/>
  <c r="B56" i="51"/>
  <c r="C56" i="51"/>
  <c r="D56" i="51"/>
  <c r="E56" i="51"/>
  <c r="G56" i="51"/>
  <c r="H56" i="51"/>
  <c r="I56" i="51"/>
  <c r="B57" i="51"/>
  <c r="C57" i="51"/>
  <c r="D57" i="51"/>
  <c r="E57" i="51"/>
  <c r="G57" i="51"/>
  <c r="H57" i="51"/>
  <c r="I57" i="51"/>
  <c r="B58" i="51"/>
  <c r="C58" i="51"/>
  <c r="D58" i="51"/>
  <c r="E58" i="51"/>
  <c r="G58" i="51"/>
  <c r="H58" i="51"/>
  <c r="I58" i="51"/>
  <c r="B59" i="51"/>
  <c r="C59" i="51"/>
  <c r="D59" i="51"/>
  <c r="E59" i="51"/>
  <c r="G59" i="51"/>
  <c r="H59" i="51"/>
  <c r="I59" i="51"/>
  <c r="B60" i="51"/>
  <c r="C60" i="51"/>
  <c r="D60" i="51"/>
  <c r="E60" i="51"/>
  <c r="G60" i="51"/>
  <c r="H60" i="51"/>
  <c r="I60" i="51"/>
  <c r="B61" i="51"/>
  <c r="C61" i="51"/>
  <c r="D61" i="51"/>
  <c r="E61" i="51"/>
  <c r="G61" i="51"/>
  <c r="H61" i="51"/>
  <c r="I61" i="51"/>
  <c r="B62" i="51"/>
  <c r="C62" i="51"/>
  <c r="D62" i="51"/>
  <c r="E62" i="51"/>
  <c r="G62" i="51"/>
  <c r="H62" i="51"/>
  <c r="I62" i="51"/>
  <c r="B63" i="51"/>
  <c r="C63" i="51"/>
  <c r="D63" i="51"/>
  <c r="E63" i="51"/>
  <c r="G63" i="51"/>
  <c r="H63" i="51"/>
  <c r="I63" i="51"/>
  <c r="B64" i="51"/>
  <c r="C64" i="51"/>
  <c r="D64" i="51"/>
  <c r="E64" i="51"/>
  <c r="G64" i="51"/>
  <c r="H64" i="51"/>
  <c r="I64" i="51"/>
  <c r="B65" i="51"/>
  <c r="C65" i="51"/>
  <c r="D65" i="51"/>
  <c r="E65" i="51"/>
  <c r="G65" i="51"/>
  <c r="H65" i="51"/>
  <c r="I65" i="51"/>
  <c r="B66" i="51"/>
  <c r="C66" i="51"/>
  <c r="D66" i="51"/>
  <c r="E66" i="51"/>
  <c r="G66" i="51"/>
  <c r="H66" i="51"/>
  <c r="I66" i="51"/>
  <c r="B67" i="51"/>
  <c r="C67" i="51"/>
  <c r="D67" i="51"/>
  <c r="E67" i="51"/>
  <c r="G67" i="51"/>
  <c r="H67" i="51"/>
  <c r="I67" i="51"/>
  <c r="B68" i="51"/>
  <c r="C68" i="51"/>
  <c r="D68" i="51"/>
  <c r="E68" i="51"/>
  <c r="G68" i="51"/>
  <c r="H68" i="51"/>
  <c r="I68" i="51"/>
  <c r="B69" i="51"/>
  <c r="C69" i="51"/>
  <c r="D69" i="51"/>
  <c r="E69" i="51"/>
  <c r="G69" i="51"/>
  <c r="H69" i="51"/>
  <c r="I69" i="51"/>
  <c r="B70" i="51"/>
  <c r="C70" i="51"/>
  <c r="D70" i="51"/>
  <c r="E70" i="51"/>
  <c r="G70" i="51"/>
  <c r="H70" i="51"/>
  <c r="I70" i="51"/>
  <c r="B71" i="51"/>
  <c r="C71" i="51"/>
  <c r="D71" i="51"/>
  <c r="E71" i="51"/>
  <c r="G71" i="51"/>
  <c r="H71" i="51"/>
  <c r="I71" i="51"/>
  <c r="B72" i="51"/>
  <c r="C72" i="51"/>
  <c r="D72" i="51"/>
  <c r="E72" i="51"/>
  <c r="G72" i="51"/>
  <c r="H72" i="51"/>
  <c r="I72" i="51"/>
  <c r="B73" i="51"/>
  <c r="C73" i="51"/>
  <c r="D73" i="51"/>
  <c r="E73" i="51"/>
  <c r="G73" i="51"/>
  <c r="H73" i="51"/>
  <c r="I73" i="51"/>
  <c r="B74" i="51"/>
  <c r="C74" i="51"/>
  <c r="D74" i="51"/>
  <c r="E74" i="51"/>
  <c r="G74" i="51"/>
  <c r="H74" i="51"/>
  <c r="I74" i="51"/>
  <c r="B75" i="51"/>
  <c r="C75" i="51"/>
  <c r="D75" i="51"/>
  <c r="E75" i="51"/>
  <c r="G75" i="51"/>
  <c r="H75" i="51"/>
  <c r="I75" i="51"/>
  <c r="B76" i="51"/>
  <c r="C76" i="51"/>
  <c r="D76" i="51"/>
  <c r="E76" i="51"/>
  <c r="G76" i="51"/>
  <c r="H76" i="51"/>
  <c r="I76" i="51"/>
  <c r="B77" i="51"/>
  <c r="H77" i="51"/>
  <c r="B78" i="51"/>
  <c r="C78" i="51"/>
  <c r="D78" i="51"/>
  <c r="E78" i="51"/>
  <c r="G78" i="51"/>
  <c r="H78" i="51"/>
  <c r="I78" i="51"/>
  <c r="B79" i="51"/>
  <c r="C79" i="51"/>
  <c r="D79" i="51"/>
  <c r="E79" i="51"/>
  <c r="G79" i="51"/>
  <c r="H79" i="51"/>
  <c r="I79" i="51"/>
  <c r="B80" i="51"/>
  <c r="C80" i="51"/>
  <c r="D80" i="51"/>
  <c r="E80" i="51"/>
  <c r="G80" i="51"/>
  <c r="H80" i="51"/>
  <c r="I80" i="51"/>
  <c r="B81" i="51"/>
  <c r="C81" i="51"/>
  <c r="D81" i="51"/>
  <c r="E81" i="51"/>
  <c r="G81" i="51"/>
  <c r="H81" i="51"/>
  <c r="I81" i="51"/>
  <c r="B82" i="51"/>
  <c r="C82" i="51"/>
  <c r="D82" i="51"/>
  <c r="E82" i="51"/>
  <c r="G82" i="51"/>
  <c r="H82" i="51"/>
  <c r="I82" i="51"/>
  <c r="B83" i="51"/>
  <c r="C83" i="51"/>
  <c r="D83" i="51"/>
  <c r="E83" i="51"/>
  <c r="G83" i="51"/>
  <c r="H83" i="51"/>
  <c r="I83" i="51"/>
  <c r="B84" i="51"/>
  <c r="C84" i="51"/>
  <c r="D84" i="51"/>
  <c r="E84" i="51"/>
  <c r="G84" i="51"/>
  <c r="H84" i="51"/>
  <c r="I84" i="51"/>
  <c r="B85" i="51"/>
  <c r="C85" i="51"/>
  <c r="D85" i="51"/>
  <c r="E85" i="51"/>
  <c r="G85" i="51"/>
  <c r="H85" i="51"/>
  <c r="I85" i="51"/>
  <c r="B86" i="51"/>
  <c r="C86" i="51"/>
  <c r="D86" i="51"/>
  <c r="E86" i="51"/>
  <c r="G86" i="51"/>
  <c r="H86" i="51"/>
  <c r="I86" i="51"/>
  <c r="B87" i="51"/>
  <c r="C87" i="51"/>
  <c r="D87" i="51"/>
  <c r="E87" i="51"/>
  <c r="G87" i="51"/>
  <c r="H87" i="51"/>
  <c r="I87" i="51"/>
  <c r="B88" i="51"/>
  <c r="C88" i="51"/>
  <c r="D88" i="51"/>
  <c r="E88" i="51"/>
  <c r="G88" i="51"/>
  <c r="H88" i="51"/>
  <c r="I88" i="51"/>
  <c r="B89" i="51"/>
  <c r="C89" i="51"/>
  <c r="D89" i="51"/>
  <c r="E89" i="51"/>
  <c r="G89" i="51"/>
  <c r="H89" i="51"/>
  <c r="I89" i="51"/>
  <c r="B90" i="51"/>
  <c r="C90" i="51"/>
  <c r="D90" i="51"/>
  <c r="E90" i="51"/>
  <c r="G90" i="51"/>
  <c r="H90" i="51"/>
  <c r="I90" i="51"/>
  <c r="B91" i="51"/>
  <c r="C91" i="51"/>
  <c r="D91" i="51"/>
  <c r="E91" i="51"/>
  <c r="G91" i="51"/>
  <c r="H91" i="51"/>
  <c r="I91" i="51"/>
  <c r="B92" i="51"/>
  <c r="C92" i="51"/>
  <c r="D92" i="51"/>
  <c r="E92" i="51"/>
  <c r="G92" i="51"/>
  <c r="H92" i="51"/>
  <c r="I92" i="51"/>
  <c r="B93" i="51"/>
  <c r="C93" i="51"/>
  <c r="D93" i="51"/>
  <c r="E93" i="51"/>
  <c r="G93" i="51"/>
  <c r="H93" i="51"/>
  <c r="I93" i="51"/>
  <c r="B94" i="51"/>
  <c r="C94" i="51"/>
  <c r="D94" i="51"/>
  <c r="E94" i="51"/>
  <c r="G94" i="51"/>
  <c r="H94" i="51"/>
  <c r="I94" i="51"/>
  <c r="B95" i="51"/>
  <c r="C95" i="51"/>
  <c r="D95" i="51"/>
  <c r="E95" i="51"/>
  <c r="G95" i="51"/>
  <c r="H95" i="51"/>
  <c r="I95" i="51"/>
  <c r="B96" i="51"/>
  <c r="C96" i="51"/>
  <c r="D96" i="51"/>
  <c r="E96" i="51"/>
  <c r="G96" i="51"/>
  <c r="H96" i="51"/>
  <c r="I96" i="51"/>
  <c r="B97" i="51"/>
  <c r="C97" i="51"/>
  <c r="D97" i="51"/>
  <c r="E97" i="51"/>
  <c r="G97" i="51"/>
  <c r="H97" i="51"/>
  <c r="I97" i="51"/>
  <c r="B98" i="51"/>
  <c r="C98" i="51"/>
  <c r="D98" i="51"/>
  <c r="E98" i="51"/>
  <c r="G98" i="51"/>
  <c r="H98" i="51"/>
  <c r="I98" i="51"/>
  <c r="B99" i="51"/>
  <c r="C99" i="51"/>
  <c r="D99" i="51"/>
  <c r="E99" i="51"/>
  <c r="G99" i="51"/>
  <c r="H99" i="51"/>
  <c r="I99" i="51"/>
  <c r="B100" i="51"/>
  <c r="C100" i="51"/>
  <c r="D100" i="51"/>
  <c r="E100" i="51"/>
  <c r="G100" i="51"/>
  <c r="H100" i="51"/>
  <c r="I100" i="51"/>
  <c r="B101" i="51"/>
  <c r="C101" i="51"/>
  <c r="D101" i="51"/>
  <c r="E101" i="51"/>
  <c r="G101" i="51"/>
  <c r="H101" i="51"/>
  <c r="I101" i="51"/>
  <c r="B102" i="51"/>
  <c r="C102" i="51"/>
  <c r="D102" i="51"/>
  <c r="E102" i="51"/>
  <c r="G102" i="51"/>
  <c r="H102" i="51"/>
  <c r="I102" i="51"/>
  <c r="B103" i="51"/>
  <c r="C103" i="51"/>
  <c r="D103" i="51"/>
  <c r="E103" i="51"/>
  <c r="G103" i="51"/>
  <c r="H103" i="51"/>
  <c r="I103" i="51"/>
  <c r="B104" i="51"/>
  <c r="C104" i="51"/>
  <c r="D104" i="51"/>
  <c r="E104" i="51"/>
  <c r="G104" i="51"/>
  <c r="H104" i="51"/>
  <c r="I104" i="51"/>
  <c r="B105" i="51"/>
  <c r="C105" i="51"/>
  <c r="D105" i="51"/>
  <c r="E105" i="51"/>
  <c r="G105" i="51"/>
  <c r="H105" i="51"/>
  <c r="I105" i="51"/>
  <c r="B106" i="51"/>
  <c r="C106" i="51"/>
  <c r="D106" i="51"/>
  <c r="E106" i="51"/>
  <c r="G106" i="51"/>
  <c r="H106" i="51"/>
  <c r="I106" i="51"/>
  <c r="B107" i="51"/>
  <c r="C107" i="51"/>
  <c r="D107" i="51"/>
  <c r="E107" i="51"/>
  <c r="G107" i="51"/>
  <c r="H107" i="51"/>
  <c r="I107" i="51"/>
  <c r="B108" i="51"/>
  <c r="C108" i="51"/>
  <c r="D108" i="51"/>
  <c r="E108" i="51"/>
  <c r="G108" i="51"/>
  <c r="H108" i="51"/>
  <c r="I108" i="51"/>
  <c r="B109" i="51"/>
  <c r="C109" i="51"/>
  <c r="D109" i="51"/>
  <c r="E109" i="51"/>
  <c r="G109" i="51"/>
  <c r="H109" i="51"/>
  <c r="I109" i="51"/>
  <c r="B110" i="51"/>
  <c r="C110" i="51"/>
  <c r="D110" i="51"/>
  <c r="E110" i="51"/>
  <c r="G110" i="51"/>
  <c r="H110" i="51"/>
  <c r="I110" i="51"/>
  <c r="B111" i="51"/>
  <c r="C111" i="51"/>
  <c r="D111" i="51"/>
  <c r="E111" i="51"/>
  <c r="G111" i="51"/>
  <c r="H111" i="51"/>
  <c r="I111" i="51"/>
  <c r="B112" i="51"/>
  <c r="C112" i="51"/>
  <c r="D112" i="51"/>
  <c r="E112" i="51"/>
  <c r="G112" i="51"/>
  <c r="H112" i="51"/>
  <c r="I112" i="51"/>
  <c r="B113" i="51"/>
  <c r="C113" i="51"/>
  <c r="D113" i="51"/>
  <c r="E113" i="51"/>
  <c r="G113" i="51"/>
  <c r="H113" i="51"/>
  <c r="I113" i="51"/>
  <c r="B114" i="51"/>
  <c r="C114" i="51"/>
  <c r="D114" i="51"/>
  <c r="E114" i="51"/>
  <c r="G114" i="51"/>
  <c r="H114" i="51"/>
  <c r="I114" i="51"/>
  <c r="B115" i="51"/>
  <c r="C115" i="51"/>
  <c r="D115" i="51"/>
  <c r="E115" i="51"/>
  <c r="G115" i="51"/>
  <c r="H115" i="51"/>
  <c r="I115" i="51"/>
  <c r="B116" i="51"/>
  <c r="C116" i="51"/>
  <c r="D116" i="51"/>
  <c r="E116" i="51"/>
  <c r="G116" i="51"/>
  <c r="H116" i="51"/>
  <c r="I116" i="51"/>
  <c r="B117" i="51"/>
  <c r="C117" i="51"/>
  <c r="D117" i="51"/>
  <c r="E117" i="51"/>
  <c r="G117" i="51"/>
  <c r="H117" i="51"/>
  <c r="I117" i="51"/>
  <c r="B118" i="51"/>
  <c r="C118" i="51"/>
  <c r="D118" i="51"/>
  <c r="E118" i="51"/>
  <c r="G118" i="51"/>
  <c r="H118" i="51"/>
  <c r="I118" i="51"/>
  <c r="B119" i="51"/>
  <c r="C119" i="51"/>
  <c r="D119" i="51"/>
  <c r="E119" i="51"/>
  <c r="G119" i="51"/>
  <c r="H119" i="51"/>
  <c r="I119" i="51"/>
  <c r="B120" i="51"/>
  <c r="C120" i="51"/>
  <c r="D120" i="51"/>
  <c r="E120" i="51"/>
  <c r="G120" i="51"/>
  <c r="H120" i="51"/>
  <c r="I120" i="51"/>
  <c r="B121" i="51"/>
  <c r="C121" i="51"/>
  <c r="D121" i="51"/>
  <c r="E121" i="51"/>
  <c r="G121" i="51"/>
  <c r="H121" i="51"/>
  <c r="I121" i="51"/>
  <c r="B122" i="51"/>
  <c r="C122" i="51"/>
  <c r="D122" i="51"/>
  <c r="E122" i="51"/>
  <c r="G122" i="51"/>
  <c r="H122" i="51"/>
  <c r="I122" i="51"/>
  <c r="B123" i="51"/>
  <c r="C123" i="51"/>
  <c r="D123" i="51"/>
  <c r="E123" i="51"/>
  <c r="G123" i="51"/>
  <c r="H123" i="51"/>
  <c r="I123" i="51"/>
  <c r="B124" i="51"/>
  <c r="C124" i="51"/>
  <c r="D124" i="51"/>
  <c r="E124" i="51"/>
  <c r="G124" i="51"/>
  <c r="H124" i="51"/>
  <c r="I124" i="51"/>
  <c r="B125" i="51"/>
  <c r="C125" i="51"/>
  <c r="D125" i="51"/>
  <c r="E125" i="51"/>
  <c r="G125" i="51"/>
  <c r="H125" i="51"/>
  <c r="I125" i="51"/>
  <c r="B126" i="51"/>
  <c r="C126" i="51"/>
  <c r="D126" i="51"/>
  <c r="E126" i="51"/>
  <c r="G126" i="51"/>
  <c r="H126" i="51"/>
  <c r="I126" i="51"/>
  <c r="B127" i="51"/>
  <c r="C127" i="51"/>
  <c r="D127" i="51"/>
  <c r="E127" i="51"/>
  <c r="G127" i="51"/>
  <c r="H127" i="51"/>
  <c r="I127" i="51"/>
  <c r="B128" i="51"/>
  <c r="C128" i="51"/>
  <c r="D128" i="51"/>
  <c r="E128" i="51"/>
  <c r="G128" i="51"/>
  <c r="H128" i="51"/>
  <c r="I128" i="51"/>
  <c r="B129" i="51"/>
  <c r="C129" i="51"/>
  <c r="D129" i="51"/>
  <c r="E129" i="51"/>
  <c r="G129" i="51"/>
  <c r="H129" i="51"/>
  <c r="I129" i="51"/>
  <c r="B130" i="51"/>
  <c r="C130" i="51"/>
  <c r="D130" i="51"/>
  <c r="E130" i="51"/>
  <c r="G130" i="51"/>
  <c r="H130" i="51"/>
  <c r="I130" i="51"/>
  <c r="B131" i="51"/>
  <c r="C131" i="51"/>
  <c r="D131" i="51"/>
  <c r="E131" i="51"/>
  <c r="G131" i="51"/>
  <c r="H131" i="51"/>
  <c r="I131" i="51"/>
  <c r="B132" i="51"/>
  <c r="C132" i="51"/>
  <c r="D132" i="51"/>
  <c r="E132" i="51"/>
  <c r="G132" i="51"/>
  <c r="H132" i="51"/>
  <c r="I132" i="51"/>
  <c r="B133" i="51"/>
  <c r="C133" i="51"/>
  <c r="D133" i="51"/>
  <c r="E133" i="51"/>
  <c r="G133" i="51"/>
  <c r="H133" i="51"/>
  <c r="I133" i="51"/>
  <c r="B134" i="51"/>
  <c r="C134" i="51"/>
  <c r="D134" i="51"/>
  <c r="E134" i="51"/>
  <c r="G134" i="51"/>
  <c r="H134" i="51"/>
  <c r="I134" i="51"/>
  <c r="B135" i="51"/>
  <c r="C135" i="51"/>
  <c r="D135" i="51"/>
  <c r="E135" i="51"/>
  <c r="G135" i="51"/>
  <c r="H135" i="51"/>
  <c r="I135" i="51"/>
  <c r="B136" i="51"/>
  <c r="C136" i="51"/>
  <c r="D136" i="51"/>
  <c r="E136" i="51"/>
  <c r="G136" i="51"/>
  <c r="H136" i="51"/>
  <c r="I136" i="51"/>
  <c r="B137" i="51"/>
  <c r="C137" i="51"/>
  <c r="D137" i="51"/>
  <c r="E137" i="51"/>
  <c r="G137" i="51"/>
  <c r="H137" i="51"/>
  <c r="I137" i="51"/>
  <c r="B138" i="51"/>
  <c r="C138" i="51"/>
  <c r="D138" i="51"/>
  <c r="E138" i="51"/>
  <c r="G138" i="51"/>
  <c r="H138" i="51"/>
  <c r="I138" i="51"/>
  <c r="B139" i="51"/>
  <c r="C139" i="51"/>
  <c r="D139" i="51"/>
  <c r="E139" i="51"/>
  <c r="G139" i="51"/>
  <c r="H139" i="51"/>
  <c r="I139" i="51"/>
  <c r="B140" i="51"/>
  <c r="C140" i="51"/>
  <c r="D140" i="51"/>
  <c r="E140" i="51"/>
  <c r="G140" i="51"/>
  <c r="H140" i="51"/>
  <c r="I140" i="51"/>
  <c r="B141" i="51"/>
  <c r="C141" i="51"/>
  <c r="D141" i="51"/>
  <c r="E141" i="51"/>
  <c r="G141" i="51"/>
  <c r="H141" i="51"/>
  <c r="I141" i="51"/>
  <c r="B142" i="51"/>
  <c r="C142" i="51"/>
  <c r="D142" i="51"/>
  <c r="E142" i="51"/>
  <c r="G142" i="51"/>
  <c r="H142" i="51"/>
  <c r="I142" i="51"/>
  <c r="B143" i="51"/>
  <c r="C143" i="51"/>
  <c r="D143" i="51"/>
  <c r="E143" i="51"/>
  <c r="G143" i="51"/>
  <c r="H143" i="51"/>
  <c r="I143" i="51"/>
  <c r="B144" i="51"/>
  <c r="C144" i="51"/>
  <c r="D144" i="51"/>
  <c r="E144" i="51"/>
  <c r="G144" i="51"/>
  <c r="H144" i="51"/>
  <c r="I144" i="51"/>
  <c r="B145" i="51"/>
  <c r="C145" i="51"/>
  <c r="D145" i="51"/>
  <c r="E145" i="51"/>
  <c r="G145" i="51"/>
  <c r="H145" i="51"/>
  <c r="I145" i="51"/>
  <c r="B146" i="51"/>
  <c r="C146" i="51"/>
  <c r="D146" i="51"/>
  <c r="E146" i="51"/>
  <c r="G146" i="51"/>
  <c r="H146" i="51"/>
  <c r="I146" i="51"/>
  <c r="B147" i="51"/>
  <c r="C147" i="51"/>
  <c r="D147" i="51"/>
  <c r="E147" i="51"/>
  <c r="G147" i="51"/>
  <c r="H147" i="51"/>
  <c r="I147" i="51"/>
  <c r="B148" i="51"/>
  <c r="C148" i="51"/>
  <c r="D148" i="51"/>
  <c r="E148" i="51"/>
  <c r="G148" i="51"/>
  <c r="H148" i="51"/>
  <c r="I148" i="51"/>
  <c r="B149" i="51"/>
  <c r="C149" i="51"/>
  <c r="D149" i="51"/>
  <c r="E149" i="51"/>
  <c r="G149" i="51"/>
  <c r="H149" i="51"/>
  <c r="I149" i="51"/>
  <c r="B150" i="51"/>
  <c r="C150" i="51"/>
  <c r="D150" i="51"/>
  <c r="E150" i="51"/>
  <c r="G150" i="51"/>
  <c r="H150" i="51"/>
  <c r="I150" i="51"/>
  <c r="B151" i="51"/>
  <c r="C151" i="51"/>
  <c r="D151" i="51"/>
  <c r="E151" i="51"/>
  <c r="G151" i="51"/>
  <c r="H151" i="51"/>
  <c r="I151" i="51"/>
  <c r="B152" i="51"/>
  <c r="C152" i="51"/>
  <c r="D152" i="51"/>
  <c r="E152" i="51"/>
  <c r="G152" i="51"/>
  <c r="H152" i="51"/>
  <c r="I152" i="51"/>
  <c r="B153" i="51"/>
  <c r="C153" i="51"/>
  <c r="D153" i="51"/>
  <c r="E153" i="51"/>
  <c r="G153" i="51"/>
  <c r="H153" i="51"/>
  <c r="I153" i="51"/>
  <c r="B154" i="51"/>
  <c r="C154" i="51"/>
  <c r="D154" i="51"/>
  <c r="E154" i="51"/>
  <c r="G154" i="51"/>
  <c r="H154" i="51"/>
  <c r="I154" i="51"/>
  <c r="B155" i="51"/>
  <c r="C155" i="51"/>
  <c r="D155" i="51"/>
  <c r="E155" i="51"/>
  <c r="G155" i="51"/>
  <c r="H155" i="51"/>
  <c r="I155" i="51"/>
  <c r="B156" i="51"/>
  <c r="C156" i="51"/>
  <c r="D156" i="51"/>
  <c r="E156" i="51"/>
  <c r="G156" i="51"/>
  <c r="H156" i="51"/>
  <c r="I156" i="51"/>
  <c r="B157" i="51"/>
  <c r="C157" i="51"/>
  <c r="D157" i="51"/>
  <c r="E157" i="51"/>
  <c r="G157" i="51"/>
  <c r="H157" i="51"/>
  <c r="I157" i="51"/>
  <c r="B158" i="51"/>
  <c r="C158" i="51"/>
  <c r="D158" i="51"/>
  <c r="E158" i="51"/>
  <c r="G158" i="51"/>
  <c r="H158" i="51"/>
  <c r="I158" i="51"/>
  <c r="B159" i="51"/>
  <c r="C159" i="51"/>
  <c r="D159" i="51"/>
  <c r="E159" i="51"/>
  <c r="G159" i="51"/>
  <c r="H159" i="51"/>
  <c r="I159" i="51"/>
  <c r="B160" i="51"/>
  <c r="C160" i="51"/>
  <c r="D160" i="51"/>
  <c r="E160" i="51"/>
  <c r="G160" i="51"/>
  <c r="H160" i="51"/>
  <c r="I160" i="51"/>
  <c r="B161" i="51"/>
  <c r="C161" i="51"/>
  <c r="D161" i="51"/>
  <c r="E161" i="51"/>
  <c r="G161" i="51"/>
  <c r="H161" i="51"/>
  <c r="I161" i="51"/>
  <c r="B162" i="51"/>
  <c r="C162" i="51"/>
  <c r="D162" i="51"/>
  <c r="E162" i="51"/>
  <c r="G162" i="51"/>
  <c r="H162" i="51"/>
  <c r="I162" i="51"/>
  <c r="B163" i="51"/>
  <c r="C163" i="51"/>
  <c r="D163" i="51"/>
  <c r="E163" i="51"/>
  <c r="G163" i="51"/>
  <c r="H163" i="51"/>
  <c r="I163" i="51"/>
  <c r="B164" i="51"/>
  <c r="C164" i="51"/>
  <c r="D164" i="51"/>
  <c r="E164" i="51"/>
  <c r="G164" i="51"/>
  <c r="H164" i="51"/>
  <c r="I164" i="51"/>
  <c r="B165" i="51"/>
  <c r="C165" i="51"/>
  <c r="D165" i="51"/>
  <c r="E165" i="51"/>
  <c r="G165" i="51"/>
  <c r="H165" i="51"/>
  <c r="I165" i="51"/>
  <c r="B166" i="51"/>
  <c r="C166" i="51"/>
  <c r="D166" i="51"/>
  <c r="E166" i="51"/>
  <c r="G166" i="51"/>
  <c r="H166" i="51"/>
  <c r="I166" i="51"/>
  <c r="B167" i="51"/>
  <c r="C167" i="51"/>
  <c r="D167" i="51"/>
  <c r="E167" i="51"/>
  <c r="G167" i="51"/>
  <c r="H167" i="51"/>
  <c r="I167" i="51"/>
  <c r="B168" i="51"/>
  <c r="C168" i="51"/>
  <c r="D168" i="51"/>
  <c r="E168" i="51"/>
  <c r="G168" i="51"/>
  <c r="H168" i="51"/>
  <c r="I168" i="51"/>
  <c r="B169" i="51"/>
  <c r="C169" i="51"/>
  <c r="D169" i="51"/>
  <c r="E169" i="51"/>
  <c r="G169" i="51"/>
  <c r="H169" i="51"/>
  <c r="I169" i="51"/>
  <c r="B170" i="51"/>
  <c r="C170" i="51"/>
  <c r="D170" i="51"/>
  <c r="E170" i="51"/>
  <c r="G170" i="51"/>
  <c r="H170" i="51"/>
  <c r="I170" i="51"/>
  <c r="B171" i="51"/>
  <c r="C171" i="51"/>
  <c r="D171" i="51"/>
  <c r="E171" i="51"/>
  <c r="G171" i="51"/>
  <c r="H171" i="51"/>
  <c r="I171" i="51"/>
  <c r="B172" i="51"/>
  <c r="C172" i="51"/>
  <c r="D172" i="51"/>
  <c r="E172" i="51"/>
  <c r="G172" i="51"/>
  <c r="H172" i="51"/>
  <c r="I172" i="51"/>
  <c r="B173" i="51"/>
  <c r="C173" i="51"/>
  <c r="D173" i="51"/>
  <c r="E173" i="51"/>
  <c r="G173" i="51"/>
  <c r="H173" i="51"/>
  <c r="I173" i="51"/>
  <c r="B174" i="51"/>
  <c r="C174" i="51"/>
  <c r="D174" i="51"/>
  <c r="E174" i="51"/>
  <c r="G174" i="51"/>
  <c r="H174" i="51"/>
  <c r="I174" i="51"/>
  <c r="B175" i="51"/>
  <c r="C175" i="51"/>
  <c r="D175" i="51"/>
  <c r="E175" i="51"/>
  <c r="G175" i="51"/>
  <c r="H175" i="51"/>
  <c r="I175" i="51"/>
  <c r="B176" i="51"/>
  <c r="C176" i="51"/>
  <c r="D176" i="51"/>
  <c r="E176" i="51"/>
  <c r="G176" i="51"/>
  <c r="H176" i="51"/>
  <c r="I176" i="51"/>
  <c r="B177" i="51"/>
  <c r="C177" i="51"/>
  <c r="D177" i="51"/>
  <c r="E177" i="51"/>
  <c r="G177" i="51"/>
  <c r="H177" i="51"/>
  <c r="I177" i="51"/>
  <c r="B178" i="51"/>
  <c r="C178" i="51"/>
  <c r="D178" i="51"/>
  <c r="E178" i="51"/>
  <c r="G178" i="51"/>
  <c r="H178" i="51"/>
  <c r="I178" i="51"/>
  <c r="B179" i="51"/>
  <c r="C179" i="51"/>
  <c r="D179" i="51"/>
  <c r="E179" i="51"/>
  <c r="G179" i="51"/>
  <c r="H179" i="51"/>
  <c r="I179" i="51"/>
  <c r="B180" i="51"/>
  <c r="C180" i="51"/>
  <c r="D180" i="51"/>
  <c r="E180" i="51"/>
  <c r="G180" i="51"/>
  <c r="H180" i="51"/>
  <c r="I180" i="51"/>
  <c r="B181" i="51"/>
  <c r="C181" i="51"/>
  <c r="D181" i="51"/>
  <c r="E181" i="51"/>
  <c r="G181" i="51"/>
  <c r="H181" i="51"/>
  <c r="I181" i="51"/>
  <c r="B182" i="51"/>
  <c r="C182" i="51"/>
  <c r="D182" i="51"/>
  <c r="E182" i="51"/>
  <c r="G182" i="51"/>
  <c r="H182" i="51"/>
  <c r="I182" i="51"/>
  <c r="B183" i="51"/>
  <c r="C183" i="51"/>
  <c r="D183" i="51"/>
  <c r="E183" i="51"/>
  <c r="G183" i="51"/>
  <c r="H183" i="51"/>
  <c r="I183" i="51"/>
  <c r="B184" i="51"/>
  <c r="C184" i="51"/>
  <c r="D184" i="51"/>
  <c r="E184" i="51"/>
  <c r="G184" i="51"/>
  <c r="H184" i="51"/>
  <c r="I184" i="51"/>
  <c r="B185" i="51"/>
  <c r="C185" i="51"/>
  <c r="D185" i="51"/>
  <c r="E185" i="51"/>
  <c r="G185" i="51"/>
  <c r="H185" i="51"/>
  <c r="I185" i="51"/>
  <c r="B186" i="51"/>
  <c r="C186" i="51"/>
  <c r="D186" i="51"/>
  <c r="E186" i="51"/>
  <c r="G186" i="51"/>
  <c r="H186" i="51"/>
  <c r="I186" i="51"/>
  <c r="B187" i="51"/>
  <c r="C187" i="51"/>
  <c r="D187" i="51"/>
  <c r="E187" i="51"/>
  <c r="G187" i="51"/>
  <c r="H187" i="51"/>
  <c r="I187" i="51"/>
  <c r="B188" i="51"/>
  <c r="C188" i="51"/>
  <c r="D188" i="51"/>
  <c r="E188" i="51"/>
  <c r="G188" i="51"/>
  <c r="H188" i="51"/>
  <c r="I188" i="51"/>
  <c r="B189" i="51"/>
  <c r="C189" i="51"/>
  <c r="D189" i="51"/>
  <c r="E189" i="51"/>
  <c r="G189" i="51"/>
  <c r="H189" i="51"/>
  <c r="I189" i="51"/>
  <c r="B190" i="51"/>
  <c r="C190" i="51"/>
  <c r="D190" i="51"/>
  <c r="E190" i="51"/>
  <c r="G190" i="51"/>
  <c r="H190" i="51"/>
  <c r="I190" i="51"/>
  <c r="B191" i="51"/>
  <c r="C191" i="51"/>
  <c r="D191" i="51"/>
  <c r="E191" i="51"/>
  <c r="G191" i="51"/>
  <c r="H191" i="51"/>
  <c r="I191" i="51"/>
  <c r="B192" i="51"/>
  <c r="C192" i="51"/>
  <c r="D192" i="51"/>
  <c r="E192" i="51"/>
  <c r="G192" i="51"/>
  <c r="H192" i="51"/>
  <c r="I192" i="51"/>
  <c r="B193" i="51"/>
  <c r="C193" i="51"/>
  <c r="D193" i="51"/>
  <c r="E193" i="51"/>
  <c r="G193" i="51"/>
  <c r="H193" i="51"/>
  <c r="I193" i="51"/>
  <c r="B194" i="51"/>
  <c r="C194" i="51"/>
  <c r="D194" i="51"/>
  <c r="E194" i="51"/>
  <c r="G194" i="51"/>
  <c r="H194" i="51"/>
  <c r="I194" i="51"/>
  <c r="B195" i="51"/>
  <c r="C195" i="51"/>
  <c r="D195" i="51"/>
  <c r="E195" i="51"/>
  <c r="G195" i="51"/>
  <c r="H195" i="51"/>
  <c r="I195" i="51"/>
  <c r="B196" i="51"/>
  <c r="C196" i="51"/>
  <c r="D196" i="51"/>
  <c r="E196" i="51"/>
  <c r="G196" i="51"/>
  <c r="H196" i="51"/>
  <c r="I196" i="51"/>
  <c r="B197" i="51"/>
  <c r="C197" i="51"/>
  <c r="D197" i="51"/>
  <c r="E197" i="51"/>
  <c r="G197" i="51"/>
  <c r="H197" i="51"/>
  <c r="I197" i="51"/>
  <c r="B198" i="51"/>
  <c r="C198" i="51"/>
  <c r="D198" i="51"/>
  <c r="E198" i="51"/>
  <c r="G198" i="51"/>
  <c r="H198" i="51"/>
  <c r="I198" i="51"/>
  <c r="B199" i="51"/>
  <c r="C199" i="51"/>
  <c r="D199" i="51"/>
  <c r="E199" i="51"/>
  <c r="G199" i="51"/>
  <c r="H199" i="51"/>
  <c r="I199" i="51"/>
  <c r="B200" i="51"/>
  <c r="C200" i="51"/>
  <c r="D200" i="51"/>
  <c r="E200" i="51"/>
  <c r="G200" i="51"/>
  <c r="H200" i="51"/>
  <c r="I200" i="51"/>
  <c r="B201" i="51"/>
  <c r="C201" i="51"/>
  <c r="D201" i="51"/>
  <c r="E201" i="51"/>
  <c r="G201" i="51"/>
  <c r="H201" i="51"/>
  <c r="I201" i="51"/>
  <c r="B202" i="51"/>
  <c r="C202" i="51"/>
  <c r="D202" i="51"/>
  <c r="E202" i="51"/>
  <c r="G202" i="51"/>
  <c r="H202" i="51"/>
  <c r="I202" i="51"/>
  <c r="B203" i="51"/>
  <c r="C203" i="51"/>
  <c r="D203" i="51"/>
  <c r="E203" i="51"/>
  <c r="G203" i="51"/>
  <c r="H203" i="51"/>
  <c r="I203" i="51"/>
  <c r="B204" i="51"/>
  <c r="C204" i="51"/>
  <c r="D204" i="51"/>
  <c r="E204" i="51"/>
  <c r="G204" i="51"/>
  <c r="H204" i="51"/>
  <c r="I204" i="51"/>
  <c r="B205" i="51"/>
  <c r="C205" i="51"/>
  <c r="D205" i="51"/>
  <c r="E205" i="51"/>
  <c r="G205" i="51"/>
  <c r="H205" i="51"/>
  <c r="I205" i="51"/>
  <c r="B206" i="51"/>
  <c r="C206" i="51"/>
  <c r="D206" i="51"/>
  <c r="E206" i="51"/>
  <c r="G206" i="51"/>
  <c r="H206" i="51"/>
  <c r="I206" i="51"/>
  <c r="B207" i="51"/>
  <c r="C207" i="51"/>
  <c r="D207" i="51"/>
  <c r="E207" i="51"/>
  <c r="G207" i="51"/>
  <c r="H207" i="51"/>
  <c r="I207" i="51"/>
  <c r="B208" i="51"/>
  <c r="C208" i="51"/>
  <c r="D208" i="51"/>
  <c r="E208" i="51"/>
  <c r="G208" i="51"/>
  <c r="H208" i="51"/>
  <c r="I208" i="51"/>
  <c r="B209" i="51"/>
  <c r="C209" i="51"/>
  <c r="D209" i="51"/>
  <c r="E209" i="51"/>
  <c r="G209" i="51"/>
  <c r="H209" i="51"/>
  <c r="I209" i="51"/>
  <c r="B210" i="51"/>
  <c r="C210" i="51"/>
  <c r="D210" i="51"/>
  <c r="E210" i="51"/>
  <c r="G210" i="51"/>
  <c r="H210" i="51"/>
  <c r="I210" i="51"/>
  <c r="B211" i="51"/>
  <c r="C211" i="51"/>
  <c r="D211" i="51"/>
  <c r="E211" i="51"/>
  <c r="G211" i="51"/>
  <c r="H211" i="51"/>
  <c r="I211" i="51"/>
  <c r="B212" i="51"/>
  <c r="C212" i="51"/>
  <c r="D212" i="51"/>
  <c r="E212" i="51"/>
  <c r="G212" i="51"/>
  <c r="H212" i="51"/>
  <c r="I212" i="51"/>
  <c r="B213" i="51"/>
  <c r="C213" i="51"/>
  <c r="D213" i="51"/>
  <c r="E213" i="51"/>
  <c r="G213" i="51"/>
  <c r="H213" i="51"/>
  <c r="I213" i="51"/>
  <c r="B214" i="51"/>
  <c r="C214" i="51"/>
  <c r="D214" i="51"/>
  <c r="E214" i="51"/>
  <c r="G214" i="51"/>
  <c r="H214" i="51"/>
  <c r="I214" i="51"/>
  <c r="B215" i="51"/>
  <c r="C215" i="51"/>
  <c r="D215" i="51"/>
  <c r="E215" i="51"/>
  <c r="G215" i="51"/>
  <c r="H215" i="51"/>
  <c r="I215" i="51"/>
  <c r="B216" i="51"/>
  <c r="C216" i="51"/>
  <c r="D216" i="51"/>
  <c r="E216" i="51"/>
  <c r="G216" i="51"/>
  <c r="H216" i="51"/>
  <c r="I216" i="51"/>
  <c r="B217" i="51"/>
  <c r="C217" i="51"/>
  <c r="D217" i="51"/>
  <c r="E217" i="51"/>
  <c r="G217" i="51"/>
  <c r="H217" i="51"/>
  <c r="I217" i="51"/>
  <c r="B218" i="51"/>
  <c r="C218" i="51"/>
  <c r="D218" i="51"/>
  <c r="E218" i="51"/>
  <c r="G218" i="51"/>
  <c r="H218" i="51"/>
  <c r="I218" i="51"/>
  <c r="B219" i="51"/>
  <c r="C219" i="51"/>
  <c r="D219" i="51"/>
  <c r="E219" i="51"/>
  <c r="G219" i="51"/>
  <c r="H219" i="51"/>
  <c r="I219" i="51"/>
  <c r="B220" i="51"/>
  <c r="C220" i="51"/>
  <c r="D220" i="51"/>
  <c r="E220" i="51"/>
  <c r="G220" i="51"/>
  <c r="H220" i="51"/>
  <c r="I220" i="51"/>
  <c r="B221" i="51"/>
  <c r="C221" i="51"/>
  <c r="D221" i="51"/>
  <c r="E221" i="51"/>
  <c r="G221" i="51"/>
  <c r="H221" i="51"/>
  <c r="I221" i="51"/>
  <c r="B222" i="51"/>
  <c r="C222" i="51"/>
  <c r="D222" i="51"/>
  <c r="E222" i="51"/>
  <c r="G222" i="51"/>
  <c r="H222" i="51"/>
  <c r="I222" i="51"/>
  <c r="B223" i="51"/>
  <c r="C223" i="51"/>
  <c r="D223" i="51"/>
  <c r="E223" i="51"/>
  <c r="G223" i="51"/>
  <c r="H223" i="51"/>
  <c r="I223" i="51"/>
  <c r="B224" i="51"/>
  <c r="C224" i="51"/>
  <c r="D224" i="51"/>
  <c r="E224" i="51"/>
  <c r="G224" i="51"/>
  <c r="H224" i="51"/>
  <c r="I224" i="51"/>
  <c r="B225" i="51"/>
  <c r="C225" i="51"/>
  <c r="D225" i="51"/>
  <c r="E225" i="51"/>
  <c r="G225" i="51"/>
  <c r="H225" i="51"/>
  <c r="I225" i="51"/>
  <c r="B226" i="51"/>
  <c r="C226" i="51"/>
  <c r="D226" i="51"/>
  <c r="E226" i="51"/>
  <c r="G226" i="51"/>
  <c r="H226" i="51"/>
  <c r="I226" i="51"/>
  <c r="B227" i="51"/>
  <c r="C227" i="51"/>
  <c r="D227" i="51"/>
  <c r="E227" i="51"/>
  <c r="G227" i="51"/>
  <c r="H227" i="51"/>
  <c r="I227" i="51"/>
  <c r="B228" i="51"/>
  <c r="C228" i="51"/>
  <c r="D228" i="51"/>
  <c r="E228" i="51"/>
  <c r="G228" i="51"/>
  <c r="H228" i="51"/>
  <c r="I228" i="51"/>
  <c r="B229" i="51"/>
  <c r="C229" i="51"/>
  <c r="D229" i="51"/>
  <c r="E229" i="51"/>
  <c r="G229" i="51"/>
  <c r="H229" i="51"/>
  <c r="I229" i="51"/>
  <c r="B230" i="51"/>
  <c r="C230" i="51"/>
  <c r="D230" i="51"/>
  <c r="E230" i="51"/>
  <c r="G230" i="51"/>
  <c r="H230" i="51"/>
  <c r="I230" i="51"/>
  <c r="B231" i="51"/>
  <c r="C231" i="51"/>
  <c r="D231" i="51"/>
  <c r="E231" i="51"/>
  <c r="G231" i="51"/>
  <c r="H231" i="51"/>
  <c r="I231" i="51"/>
  <c r="B232" i="51"/>
  <c r="C232" i="51"/>
  <c r="D232" i="51"/>
  <c r="E232" i="51"/>
  <c r="G232" i="51"/>
  <c r="H232" i="51"/>
  <c r="I232" i="51"/>
  <c r="B233" i="51"/>
  <c r="C233" i="51"/>
  <c r="D233" i="51"/>
  <c r="E233" i="51"/>
  <c r="G233" i="51"/>
  <c r="H233" i="51"/>
  <c r="I233" i="51"/>
  <c r="B234" i="51"/>
  <c r="C234" i="51"/>
  <c r="D234" i="51"/>
  <c r="E234" i="51"/>
  <c r="G234" i="51"/>
  <c r="H234" i="51"/>
  <c r="I234" i="51"/>
  <c r="B235" i="51"/>
  <c r="C235" i="51"/>
  <c r="D235" i="51"/>
  <c r="E235" i="51"/>
  <c r="G235" i="51"/>
  <c r="H235" i="51"/>
  <c r="I235" i="51"/>
  <c r="B236" i="51"/>
  <c r="C236" i="51"/>
  <c r="D236" i="51"/>
  <c r="E236" i="51"/>
  <c r="G236" i="51"/>
  <c r="H236" i="51"/>
  <c r="I236" i="51"/>
  <c r="B237" i="51"/>
  <c r="C237" i="51"/>
  <c r="D237" i="51"/>
  <c r="E237" i="51"/>
  <c r="G237" i="51"/>
  <c r="H237" i="51"/>
  <c r="I237" i="51"/>
  <c r="B238" i="51"/>
  <c r="C238" i="51"/>
  <c r="D238" i="51"/>
  <c r="E238" i="51"/>
  <c r="G238" i="51"/>
  <c r="H238" i="51"/>
  <c r="I238" i="51"/>
  <c r="B239" i="51"/>
  <c r="C239" i="51"/>
  <c r="D239" i="51"/>
  <c r="E239" i="51"/>
  <c r="G239" i="51"/>
  <c r="H239" i="51"/>
  <c r="I239" i="51"/>
  <c r="B240" i="51"/>
  <c r="C240" i="51"/>
  <c r="D240" i="51"/>
  <c r="E240" i="51"/>
  <c r="G240" i="51"/>
  <c r="H240" i="51"/>
  <c r="I240" i="51"/>
  <c r="B241" i="51"/>
  <c r="C241" i="51"/>
  <c r="D241" i="51"/>
  <c r="E241" i="51"/>
  <c r="G241" i="51"/>
  <c r="H241" i="51"/>
  <c r="I241" i="51"/>
  <c r="B242" i="51"/>
  <c r="C242" i="51"/>
  <c r="D242" i="51"/>
  <c r="E242" i="51"/>
  <c r="G242" i="51"/>
  <c r="H242" i="51"/>
  <c r="I242" i="51"/>
  <c r="B243" i="51"/>
  <c r="C243" i="51"/>
  <c r="D243" i="51"/>
  <c r="E243" i="51"/>
  <c r="G243" i="51"/>
  <c r="H243" i="51"/>
  <c r="I243" i="51"/>
  <c r="B244" i="51"/>
  <c r="C244" i="51"/>
  <c r="D244" i="51"/>
  <c r="E244" i="51"/>
  <c r="G244" i="51"/>
  <c r="H244" i="51"/>
  <c r="I244" i="51"/>
  <c r="B245" i="51"/>
  <c r="C245" i="51"/>
  <c r="D245" i="51"/>
  <c r="E245" i="51"/>
  <c r="G245" i="51"/>
  <c r="H245" i="51"/>
  <c r="I245" i="51"/>
  <c r="B246" i="51"/>
  <c r="C246" i="51"/>
  <c r="D246" i="51"/>
  <c r="E246" i="51"/>
  <c r="G246" i="51"/>
  <c r="H246" i="51"/>
  <c r="I246" i="51"/>
  <c r="B247" i="51"/>
  <c r="C247" i="51"/>
  <c r="D247" i="51"/>
  <c r="E247" i="51"/>
  <c r="G247" i="51"/>
  <c r="H247" i="51"/>
  <c r="I247" i="51"/>
  <c r="B248" i="51"/>
  <c r="C248" i="51"/>
  <c r="D248" i="51"/>
  <c r="E248" i="51"/>
  <c r="G248" i="51"/>
  <c r="H248" i="51"/>
  <c r="I248" i="51"/>
  <c r="B249" i="51"/>
  <c r="C249" i="51"/>
  <c r="D249" i="51"/>
  <c r="E249" i="51"/>
  <c r="G249" i="51"/>
  <c r="H249" i="51"/>
  <c r="I249" i="51"/>
  <c r="B250" i="51"/>
  <c r="C250" i="51"/>
  <c r="D250" i="51"/>
  <c r="E250" i="51"/>
  <c r="G250" i="51"/>
  <c r="H250" i="51"/>
  <c r="I250" i="51"/>
  <c r="B251" i="51"/>
  <c r="C251" i="51"/>
  <c r="D251" i="51"/>
  <c r="E251" i="51"/>
  <c r="G251" i="51"/>
  <c r="H251" i="51"/>
  <c r="I251" i="51"/>
  <c r="B252" i="51"/>
  <c r="C252" i="51"/>
  <c r="D252" i="51"/>
  <c r="E252" i="51"/>
  <c r="G252" i="51"/>
  <c r="H252" i="51"/>
  <c r="I252" i="51"/>
  <c r="B253" i="51"/>
  <c r="C253" i="51"/>
  <c r="D253" i="51"/>
  <c r="E253" i="51"/>
  <c r="G253" i="51"/>
  <c r="H253" i="51"/>
  <c r="I253" i="51"/>
  <c r="B254" i="51"/>
  <c r="C254" i="51"/>
  <c r="D254" i="51"/>
  <c r="E254" i="51"/>
  <c r="G254" i="51"/>
  <c r="H254" i="51"/>
  <c r="I254" i="51"/>
  <c r="B255" i="51"/>
  <c r="C255" i="51"/>
  <c r="D255" i="51"/>
  <c r="E255" i="51"/>
  <c r="G255" i="51"/>
  <c r="H255" i="51"/>
  <c r="I255" i="51"/>
  <c r="B256" i="51"/>
  <c r="C256" i="51"/>
  <c r="D256" i="51"/>
  <c r="E256" i="51"/>
  <c r="G256" i="51"/>
  <c r="H256" i="51"/>
  <c r="I256" i="51"/>
  <c r="B257" i="51"/>
  <c r="C257" i="51"/>
  <c r="D257" i="51"/>
  <c r="E257" i="51"/>
  <c r="G257" i="51"/>
  <c r="H257" i="51"/>
  <c r="I257" i="51"/>
  <c r="B258" i="51"/>
  <c r="C258" i="51"/>
  <c r="D258" i="51"/>
  <c r="E258" i="51"/>
  <c r="G258" i="51"/>
  <c r="H258" i="51"/>
  <c r="I258" i="51"/>
  <c r="B259" i="51"/>
  <c r="C259" i="51"/>
  <c r="D259" i="51"/>
  <c r="E259" i="51"/>
  <c r="G259" i="51"/>
  <c r="H259" i="51"/>
  <c r="I259" i="51"/>
  <c r="B260" i="51"/>
  <c r="C260" i="51"/>
  <c r="D260" i="51"/>
  <c r="E260" i="51"/>
  <c r="G260" i="51"/>
  <c r="H260" i="51"/>
  <c r="I260" i="51"/>
  <c r="B261" i="51"/>
  <c r="C261" i="51"/>
  <c r="D261" i="51"/>
  <c r="E261" i="51"/>
  <c r="G261" i="51"/>
  <c r="H261" i="51"/>
  <c r="I261" i="51"/>
  <c r="B262" i="51"/>
  <c r="C262" i="51"/>
  <c r="D262" i="51"/>
  <c r="E262" i="51"/>
  <c r="G262" i="51"/>
  <c r="H262" i="51"/>
  <c r="I262" i="51"/>
  <c r="B263" i="51"/>
  <c r="C263" i="51"/>
  <c r="D263" i="51"/>
  <c r="E263" i="51"/>
  <c r="G263" i="51"/>
  <c r="H263" i="51"/>
  <c r="I263" i="51"/>
  <c r="B264" i="51"/>
  <c r="C264" i="51"/>
  <c r="D264" i="51"/>
  <c r="E264" i="51"/>
  <c r="G264" i="51"/>
  <c r="H264" i="51"/>
  <c r="I264" i="51"/>
  <c r="B265" i="51"/>
  <c r="C265" i="51"/>
  <c r="D265" i="51"/>
  <c r="E265" i="51"/>
  <c r="G265" i="51"/>
  <c r="H265" i="51"/>
  <c r="I265" i="51"/>
  <c r="B266" i="51"/>
  <c r="C266" i="51"/>
  <c r="D266" i="51"/>
  <c r="E266" i="51"/>
  <c r="G266" i="51"/>
  <c r="H266" i="51"/>
  <c r="I266" i="51"/>
  <c r="B267" i="51"/>
  <c r="C267" i="51"/>
  <c r="D267" i="51"/>
  <c r="E267" i="51"/>
  <c r="G267" i="51"/>
  <c r="H267" i="51"/>
  <c r="I267" i="51"/>
  <c r="B268" i="51"/>
  <c r="C268" i="51"/>
  <c r="D268" i="51"/>
  <c r="E268" i="51"/>
  <c r="G268" i="51"/>
  <c r="H268" i="51"/>
  <c r="I268" i="51"/>
  <c r="B269" i="51"/>
  <c r="C269" i="51"/>
  <c r="D269" i="51"/>
  <c r="E269" i="51"/>
  <c r="G269" i="51"/>
  <c r="H269" i="51"/>
  <c r="I269" i="51"/>
  <c r="B270" i="51"/>
  <c r="C270" i="51"/>
  <c r="D270" i="51"/>
  <c r="E270" i="51"/>
  <c r="G270" i="51"/>
  <c r="H270" i="51"/>
  <c r="I270" i="51"/>
  <c r="B271" i="51"/>
  <c r="C271" i="51"/>
  <c r="D271" i="51"/>
  <c r="E271" i="51"/>
  <c r="G271" i="51"/>
  <c r="H271" i="51"/>
  <c r="I271" i="51"/>
  <c r="B272" i="51"/>
  <c r="C272" i="51"/>
  <c r="D272" i="51"/>
  <c r="E272" i="51"/>
  <c r="G272" i="51"/>
  <c r="H272" i="51"/>
  <c r="I272" i="51"/>
  <c r="B273" i="51"/>
  <c r="C273" i="51"/>
  <c r="D273" i="51"/>
  <c r="E273" i="51"/>
  <c r="G273" i="51"/>
  <c r="H273" i="51"/>
  <c r="I273" i="51"/>
  <c r="B274" i="51"/>
  <c r="C274" i="51"/>
  <c r="D274" i="51"/>
  <c r="E274" i="51"/>
  <c r="G274" i="51"/>
  <c r="H274" i="51"/>
  <c r="I274" i="51"/>
  <c r="B275" i="51"/>
  <c r="C275" i="51"/>
  <c r="D275" i="51"/>
  <c r="E275" i="51"/>
  <c r="G275" i="51"/>
  <c r="H275" i="51"/>
  <c r="I275" i="51"/>
  <c r="B276" i="51"/>
  <c r="C276" i="51"/>
  <c r="D276" i="51"/>
  <c r="E276" i="51"/>
  <c r="G276" i="51"/>
  <c r="H276" i="51"/>
  <c r="I276" i="51"/>
  <c r="B277" i="51"/>
  <c r="C277" i="51"/>
  <c r="D277" i="51"/>
  <c r="E277" i="51"/>
  <c r="G277" i="51"/>
  <c r="H277" i="51"/>
  <c r="I277" i="51"/>
  <c r="B278" i="51"/>
  <c r="C278" i="51"/>
  <c r="D278" i="51"/>
  <c r="E278" i="51"/>
  <c r="G278" i="51"/>
  <c r="H278" i="51"/>
  <c r="I278" i="51"/>
  <c r="B279" i="51"/>
  <c r="C279" i="51"/>
  <c r="D279" i="51"/>
  <c r="E279" i="51"/>
  <c r="G279" i="51"/>
  <c r="H279" i="51"/>
  <c r="I279" i="51"/>
  <c r="B280" i="51"/>
  <c r="C280" i="51"/>
  <c r="D280" i="51"/>
  <c r="E280" i="51"/>
  <c r="G280" i="51"/>
  <c r="H280" i="51"/>
  <c r="I280" i="51"/>
  <c r="B281" i="51"/>
  <c r="C281" i="51"/>
  <c r="D281" i="51"/>
  <c r="E281" i="51"/>
  <c r="G281" i="51"/>
  <c r="H281" i="51"/>
  <c r="I281" i="51"/>
  <c r="B282" i="51"/>
  <c r="C282" i="51"/>
  <c r="D282" i="51"/>
  <c r="E282" i="51"/>
  <c r="G282" i="51"/>
  <c r="H282" i="51"/>
  <c r="I282" i="51"/>
  <c r="B283" i="51"/>
  <c r="C283" i="51"/>
  <c r="D283" i="51"/>
  <c r="E283" i="51"/>
  <c r="G283" i="51"/>
  <c r="H283" i="51"/>
  <c r="I283" i="51"/>
  <c r="B284" i="51"/>
  <c r="C284" i="51"/>
  <c r="D284" i="51"/>
  <c r="E284" i="51"/>
  <c r="G284" i="51"/>
  <c r="H284" i="51"/>
  <c r="I284" i="51"/>
  <c r="B285" i="51"/>
  <c r="C285" i="51"/>
  <c r="D285" i="51"/>
  <c r="E285" i="51"/>
  <c r="G285" i="51"/>
  <c r="H285" i="51"/>
  <c r="I285" i="51"/>
  <c r="B286" i="51"/>
  <c r="C286" i="51"/>
  <c r="D286" i="51"/>
  <c r="E286" i="51"/>
  <c r="G286" i="51"/>
  <c r="H286" i="51"/>
  <c r="I286" i="51"/>
  <c r="B287" i="51"/>
  <c r="C287" i="51"/>
  <c r="D287" i="51"/>
  <c r="E287" i="51"/>
  <c r="G287" i="51"/>
  <c r="H287" i="51"/>
  <c r="I287" i="51"/>
  <c r="B288" i="51"/>
  <c r="C288" i="51"/>
  <c r="D288" i="51"/>
  <c r="E288" i="51"/>
  <c r="G288" i="51"/>
  <c r="H288" i="51"/>
  <c r="I288" i="51"/>
  <c r="B289" i="51"/>
  <c r="C289" i="51"/>
  <c r="D289" i="51"/>
  <c r="E289" i="51"/>
  <c r="G289" i="51"/>
  <c r="H289" i="51"/>
  <c r="I289" i="51"/>
  <c r="B290" i="51"/>
  <c r="C290" i="51"/>
  <c r="D290" i="51"/>
  <c r="E290" i="51"/>
  <c r="G290" i="51"/>
  <c r="H290" i="51"/>
  <c r="I290" i="51"/>
  <c r="B291" i="51"/>
  <c r="C291" i="51"/>
  <c r="D291" i="51"/>
  <c r="E291" i="51"/>
  <c r="G291" i="51"/>
  <c r="H291" i="51"/>
  <c r="I291" i="51"/>
  <c r="B292" i="51"/>
  <c r="C292" i="51"/>
  <c r="D292" i="51"/>
  <c r="E292" i="51"/>
  <c r="G292" i="51"/>
  <c r="H292" i="51"/>
  <c r="I292" i="51"/>
  <c r="B293" i="51"/>
  <c r="C293" i="51"/>
  <c r="D293" i="51"/>
  <c r="E293" i="51"/>
  <c r="G293" i="51"/>
  <c r="H293" i="51"/>
  <c r="I293" i="51"/>
  <c r="B294" i="51"/>
  <c r="C294" i="51"/>
  <c r="D294" i="51"/>
  <c r="E294" i="51"/>
  <c r="G294" i="51"/>
  <c r="H294" i="51"/>
  <c r="I294" i="51"/>
  <c r="B295" i="51"/>
  <c r="C295" i="51"/>
  <c r="D295" i="51"/>
  <c r="E295" i="51"/>
  <c r="G295" i="51"/>
  <c r="H295" i="51"/>
  <c r="I295" i="51"/>
  <c r="B296" i="51"/>
  <c r="C296" i="51"/>
  <c r="D296" i="51"/>
  <c r="E296" i="51"/>
  <c r="G296" i="51"/>
  <c r="H296" i="51"/>
  <c r="I296" i="51"/>
  <c r="B297" i="51"/>
  <c r="C297" i="51"/>
  <c r="D297" i="51"/>
  <c r="E297" i="51"/>
  <c r="G297" i="51"/>
  <c r="H297" i="51"/>
  <c r="I297" i="51"/>
  <c r="B298" i="51"/>
  <c r="C298" i="51"/>
  <c r="D298" i="51"/>
  <c r="E298" i="51"/>
  <c r="G298" i="51"/>
  <c r="H298" i="51"/>
  <c r="I298" i="51"/>
  <c r="B299" i="51"/>
  <c r="C299" i="51"/>
  <c r="D299" i="51"/>
  <c r="E299" i="51"/>
  <c r="G299" i="51"/>
  <c r="H299" i="51"/>
  <c r="I299" i="51"/>
  <c r="B300" i="51"/>
  <c r="C300" i="51"/>
  <c r="D300" i="51"/>
  <c r="E300" i="51"/>
  <c r="G300" i="51"/>
  <c r="H300" i="51"/>
  <c r="I300" i="51"/>
  <c r="B301" i="51"/>
  <c r="C301" i="51"/>
  <c r="D301" i="51"/>
  <c r="E301" i="51"/>
  <c r="G301" i="51"/>
  <c r="H301" i="51"/>
  <c r="I301" i="51"/>
  <c r="B302" i="51"/>
  <c r="C302" i="51"/>
  <c r="D302" i="51"/>
  <c r="E302" i="51"/>
  <c r="G302" i="51"/>
  <c r="H302" i="51"/>
  <c r="I302" i="51"/>
  <c r="B303" i="51"/>
  <c r="C303" i="51"/>
  <c r="D303" i="51"/>
  <c r="E303" i="51"/>
  <c r="G303" i="51"/>
  <c r="H303" i="51"/>
  <c r="I303" i="51"/>
  <c r="B304" i="51"/>
  <c r="C304" i="51"/>
  <c r="D304" i="51"/>
  <c r="E304" i="51"/>
  <c r="G304" i="51"/>
  <c r="H304" i="51"/>
  <c r="I304" i="51"/>
  <c r="B305" i="51"/>
  <c r="C305" i="51"/>
  <c r="D305" i="51"/>
  <c r="E305" i="51"/>
  <c r="G305" i="51"/>
  <c r="H305" i="51"/>
  <c r="I305" i="51"/>
  <c r="B306" i="51"/>
  <c r="C306" i="51"/>
  <c r="D306" i="51"/>
  <c r="E306" i="51"/>
  <c r="G306" i="51"/>
  <c r="H306" i="51"/>
  <c r="I306" i="51"/>
  <c r="B307" i="51"/>
  <c r="C307" i="51"/>
  <c r="D307" i="51"/>
  <c r="E307" i="51"/>
  <c r="G307" i="51"/>
  <c r="H307" i="51"/>
  <c r="I307" i="51"/>
  <c r="B308" i="51"/>
  <c r="C308" i="51"/>
  <c r="D308" i="51"/>
  <c r="E308" i="51"/>
  <c r="G308" i="51"/>
  <c r="H308" i="51"/>
  <c r="I308" i="51"/>
  <c r="B309" i="51"/>
  <c r="C309" i="51"/>
  <c r="D309" i="51"/>
  <c r="E309" i="51"/>
  <c r="G309" i="51"/>
  <c r="H309" i="51"/>
  <c r="I309" i="51"/>
  <c r="B310" i="51"/>
  <c r="C310" i="51"/>
  <c r="D310" i="51"/>
  <c r="E310" i="51"/>
  <c r="G310" i="51"/>
  <c r="H310" i="51"/>
  <c r="I310" i="51"/>
  <c r="B311" i="51"/>
  <c r="C311" i="51"/>
  <c r="D311" i="51"/>
  <c r="E311" i="51"/>
  <c r="G311" i="51"/>
  <c r="H311" i="51"/>
  <c r="I311" i="51"/>
  <c r="B312" i="51"/>
  <c r="C312" i="51"/>
  <c r="D312" i="51"/>
  <c r="E312" i="51"/>
  <c r="G312" i="51"/>
  <c r="H312" i="51"/>
  <c r="I312" i="51"/>
  <c r="B313" i="51"/>
  <c r="C313" i="51"/>
  <c r="D313" i="51"/>
  <c r="E313" i="51"/>
  <c r="G313" i="51"/>
  <c r="H313" i="51"/>
  <c r="I313" i="51"/>
  <c r="B314" i="51"/>
  <c r="C314" i="51"/>
  <c r="D314" i="51"/>
  <c r="E314" i="51"/>
  <c r="G314" i="51"/>
  <c r="H314" i="51"/>
  <c r="I314" i="51"/>
  <c r="B315" i="51"/>
  <c r="C315" i="51"/>
  <c r="D315" i="51"/>
  <c r="E315" i="51"/>
  <c r="G315" i="51"/>
  <c r="H315" i="51"/>
  <c r="I315" i="51"/>
  <c r="B316" i="51"/>
  <c r="C316" i="51"/>
  <c r="D316" i="51"/>
  <c r="E316" i="51"/>
  <c r="G316" i="51"/>
  <c r="H316" i="51"/>
  <c r="I316" i="51"/>
  <c r="B317" i="51"/>
  <c r="C317" i="51"/>
  <c r="D317" i="51"/>
  <c r="E317" i="51"/>
  <c r="G317" i="51"/>
  <c r="H317" i="51"/>
  <c r="I317" i="51"/>
  <c r="B318" i="51"/>
  <c r="C318" i="51"/>
  <c r="D318" i="51"/>
  <c r="E318" i="51"/>
  <c r="G318" i="51"/>
  <c r="H318" i="51"/>
  <c r="I318" i="51"/>
  <c r="B319" i="51"/>
  <c r="C319" i="51"/>
  <c r="D319" i="51"/>
  <c r="E319" i="51"/>
  <c r="G319" i="51"/>
  <c r="H319" i="51"/>
  <c r="I319" i="51"/>
  <c r="B320" i="51"/>
  <c r="C320" i="51"/>
  <c r="D320" i="51"/>
  <c r="E320" i="51"/>
  <c r="G320" i="51"/>
  <c r="H320" i="51"/>
  <c r="I320" i="51"/>
  <c r="B321" i="51"/>
  <c r="C321" i="51"/>
  <c r="D321" i="51"/>
  <c r="E321" i="51"/>
  <c r="G321" i="51"/>
  <c r="H321" i="51"/>
  <c r="I321" i="51"/>
  <c r="B322" i="51"/>
  <c r="C322" i="51"/>
  <c r="D322" i="51"/>
  <c r="E322" i="51"/>
  <c r="G322" i="51"/>
  <c r="H322" i="51"/>
  <c r="I322" i="51"/>
  <c r="B323" i="51"/>
  <c r="C323" i="51"/>
  <c r="D323" i="51"/>
  <c r="E323" i="51"/>
  <c r="G323" i="51"/>
  <c r="H323" i="51"/>
  <c r="I323" i="51"/>
  <c r="B324" i="51"/>
  <c r="C324" i="51"/>
  <c r="D324" i="51"/>
  <c r="E324" i="51"/>
  <c r="G324" i="51"/>
  <c r="H324" i="51"/>
  <c r="I324" i="51"/>
  <c r="B325" i="51"/>
  <c r="C325" i="51"/>
  <c r="D325" i="51"/>
  <c r="E325" i="51"/>
  <c r="G325" i="51"/>
  <c r="H325" i="51"/>
  <c r="I325" i="51"/>
  <c r="B326" i="51"/>
  <c r="C326" i="51"/>
  <c r="D326" i="51"/>
  <c r="E326" i="51"/>
  <c r="G326" i="51"/>
  <c r="H326" i="51"/>
  <c r="I326" i="51"/>
  <c r="B327" i="51"/>
  <c r="C327" i="51"/>
  <c r="D327" i="51"/>
  <c r="E327" i="51"/>
  <c r="G327" i="51"/>
  <c r="H327" i="51"/>
  <c r="I327" i="51"/>
  <c r="B328" i="51"/>
  <c r="C328" i="51"/>
  <c r="D328" i="51"/>
  <c r="E328" i="51"/>
  <c r="G328" i="51"/>
  <c r="H328" i="51"/>
  <c r="I328" i="51"/>
  <c r="B329" i="51"/>
  <c r="C329" i="51"/>
  <c r="D329" i="51"/>
  <c r="E329" i="51"/>
  <c r="G329" i="51"/>
  <c r="H329" i="51"/>
  <c r="I329" i="51"/>
  <c r="B330" i="51"/>
  <c r="C330" i="51"/>
  <c r="D330" i="51"/>
  <c r="E330" i="51"/>
  <c r="G330" i="51"/>
  <c r="H330" i="51"/>
  <c r="I330" i="51"/>
  <c r="B331" i="51"/>
  <c r="C331" i="51"/>
  <c r="D331" i="51"/>
  <c r="E331" i="51"/>
  <c r="G331" i="51"/>
  <c r="H331" i="51"/>
  <c r="I331" i="51"/>
  <c r="B332" i="51"/>
  <c r="C332" i="51"/>
  <c r="D332" i="51"/>
  <c r="E332" i="51"/>
  <c r="G332" i="51"/>
  <c r="H332" i="51"/>
  <c r="I332" i="51"/>
  <c r="B333" i="51"/>
  <c r="C333" i="51"/>
  <c r="D333" i="51"/>
  <c r="E333" i="51"/>
  <c r="G333" i="51"/>
  <c r="H333" i="51"/>
  <c r="I333" i="51"/>
  <c r="B334" i="51"/>
  <c r="C334" i="51"/>
  <c r="D334" i="51"/>
  <c r="E334" i="51"/>
  <c r="G334" i="51"/>
  <c r="H334" i="51"/>
  <c r="I334" i="51"/>
  <c r="B335" i="51"/>
  <c r="C335" i="51"/>
  <c r="D335" i="51"/>
  <c r="E335" i="51"/>
  <c r="G335" i="51"/>
  <c r="H335" i="51"/>
  <c r="I335" i="51"/>
  <c r="B336" i="51"/>
  <c r="C336" i="51"/>
  <c r="D336" i="51"/>
  <c r="E336" i="51"/>
  <c r="G336" i="51"/>
  <c r="H336" i="51"/>
  <c r="I336" i="51"/>
  <c r="B337" i="51"/>
  <c r="C337" i="51"/>
  <c r="D337" i="51"/>
  <c r="E337" i="51"/>
  <c r="G337" i="51"/>
  <c r="H337" i="51"/>
  <c r="I337" i="51"/>
  <c r="B338" i="51"/>
  <c r="C338" i="51"/>
  <c r="D338" i="51"/>
  <c r="E338" i="51"/>
  <c r="G338" i="51"/>
  <c r="H338" i="51"/>
  <c r="I338" i="51"/>
  <c r="B339" i="51"/>
  <c r="C339" i="51"/>
  <c r="D339" i="51"/>
  <c r="E339" i="51"/>
  <c r="G339" i="51"/>
  <c r="H339" i="51"/>
  <c r="I339" i="51"/>
  <c r="B340" i="51"/>
  <c r="C340" i="51"/>
  <c r="D340" i="51"/>
  <c r="E340" i="51"/>
  <c r="G340" i="51"/>
  <c r="H340" i="51"/>
  <c r="I340" i="51"/>
  <c r="B341" i="51"/>
  <c r="C341" i="51"/>
  <c r="D341" i="51"/>
  <c r="E341" i="51"/>
  <c r="G341" i="51"/>
  <c r="H341" i="51"/>
  <c r="I341" i="51"/>
  <c r="B342" i="51"/>
  <c r="C342" i="51"/>
  <c r="D342" i="51"/>
  <c r="E342" i="51"/>
  <c r="G342" i="51"/>
  <c r="H342" i="51"/>
  <c r="I342" i="51"/>
  <c r="B343" i="51"/>
  <c r="C343" i="51"/>
  <c r="D343" i="51"/>
  <c r="E343" i="51"/>
  <c r="G343" i="51"/>
  <c r="H343" i="51"/>
  <c r="I343" i="51"/>
  <c r="B344" i="51"/>
  <c r="C344" i="51"/>
  <c r="D344" i="51"/>
  <c r="E344" i="51"/>
  <c r="G344" i="51"/>
  <c r="H344" i="51"/>
  <c r="I344" i="51"/>
  <c r="B345" i="51"/>
  <c r="C345" i="51"/>
  <c r="D345" i="51"/>
  <c r="E345" i="51"/>
  <c r="G345" i="51"/>
  <c r="H345" i="51"/>
  <c r="I345" i="51"/>
  <c r="B346" i="51"/>
  <c r="C346" i="51"/>
  <c r="D346" i="51"/>
  <c r="E346" i="51"/>
  <c r="G346" i="51"/>
  <c r="H346" i="51"/>
  <c r="I346" i="51"/>
  <c r="B347" i="51"/>
  <c r="C347" i="51"/>
  <c r="D347" i="51"/>
  <c r="E347" i="51"/>
  <c r="G347" i="51"/>
  <c r="H347" i="51"/>
  <c r="I347" i="51"/>
  <c r="B348" i="51"/>
  <c r="C348" i="51"/>
  <c r="D348" i="51"/>
  <c r="E348" i="51"/>
  <c r="G348" i="51"/>
  <c r="H348" i="51"/>
  <c r="I348" i="51"/>
  <c r="B349" i="51"/>
  <c r="C349" i="51"/>
  <c r="D349" i="51"/>
  <c r="E349" i="51"/>
  <c r="G349" i="51"/>
  <c r="H349" i="51"/>
  <c r="I349" i="51"/>
  <c r="B350" i="51"/>
  <c r="C350" i="51"/>
  <c r="D350" i="51"/>
  <c r="E350" i="51"/>
  <c r="G350" i="51"/>
  <c r="H350" i="51"/>
  <c r="I350" i="51"/>
  <c r="B351" i="51"/>
  <c r="C351" i="51"/>
  <c r="D351" i="51"/>
  <c r="E351" i="51"/>
  <c r="G351" i="51"/>
  <c r="H351" i="51"/>
  <c r="I351" i="51"/>
  <c r="B352" i="51"/>
  <c r="C352" i="51"/>
  <c r="D352" i="51"/>
  <c r="E352" i="51"/>
  <c r="G352" i="51"/>
  <c r="H352" i="51"/>
  <c r="I352" i="51"/>
  <c r="B353" i="51"/>
  <c r="C353" i="51"/>
  <c r="D353" i="51"/>
  <c r="E353" i="51"/>
  <c r="G353" i="51"/>
  <c r="H353" i="51"/>
  <c r="I353" i="51"/>
  <c r="B354" i="51"/>
  <c r="C354" i="51"/>
  <c r="D354" i="51"/>
  <c r="E354" i="51"/>
  <c r="G354" i="51"/>
  <c r="H354" i="51"/>
  <c r="I354" i="51"/>
  <c r="B355" i="51"/>
  <c r="C355" i="51"/>
  <c r="D355" i="51"/>
  <c r="E355" i="51"/>
  <c r="G355" i="51"/>
  <c r="H355" i="51"/>
  <c r="I355" i="51"/>
  <c r="B356" i="51"/>
  <c r="C356" i="51"/>
  <c r="D356" i="51"/>
  <c r="E356" i="51"/>
  <c r="G356" i="51"/>
  <c r="H356" i="51"/>
  <c r="I356" i="51"/>
  <c r="B357" i="51"/>
  <c r="C357" i="51"/>
  <c r="D357" i="51"/>
  <c r="E357" i="51"/>
  <c r="G357" i="51"/>
  <c r="H357" i="51"/>
  <c r="I357" i="51"/>
  <c r="B358" i="51"/>
  <c r="C358" i="51"/>
  <c r="D358" i="51"/>
  <c r="E358" i="51"/>
  <c r="G358" i="51"/>
  <c r="H358" i="51"/>
  <c r="I358" i="51"/>
  <c r="B359" i="51"/>
  <c r="C359" i="51"/>
  <c r="D359" i="51"/>
  <c r="E359" i="51"/>
  <c r="G359" i="51"/>
  <c r="H359" i="51"/>
  <c r="I359" i="51"/>
  <c r="B360" i="51"/>
  <c r="C360" i="51"/>
  <c r="D360" i="51"/>
  <c r="E360" i="51"/>
  <c r="G360" i="51"/>
  <c r="H360" i="51"/>
  <c r="I360" i="51"/>
  <c r="B361" i="51"/>
  <c r="C361" i="51"/>
  <c r="D361" i="51"/>
  <c r="E361" i="51"/>
  <c r="G361" i="51"/>
  <c r="H361" i="51"/>
  <c r="I361" i="51"/>
  <c r="B362" i="51"/>
  <c r="C362" i="51"/>
  <c r="D362" i="51"/>
  <c r="E362" i="51"/>
  <c r="G362" i="51"/>
  <c r="H362" i="51"/>
  <c r="I362" i="51"/>
  <c r="B363" i="51"/>
  <c r="C363" i="51"/>
  <c r="D363" i="51"/>
  <c r="E363" i="51"/>
  <c r="G363" i="51"/>
  <c r="H363" i="51"/>
  <c r="I363" i="51"/>
  <c r="B364" i="51"/>
  <c r="C364" i="51"/>
  <c r="D364" i="51"/>
  <c r="E364" i="51"/>
  <c r="G364" i="51"/>
  <c r="H364" i="51"/>
  <c r="I364" i="51"/>
  <c r="B365" i="51"/>
  <c r="C365" i="51"/>
  <c r="D365" i="51"/>
  <c r="E365" i="51"/>
  <c r="G365" i="51"/>
  <c r="H365" i="51"/>
  <c r="I365" i="51"/>
  <c r="B366" i="51"/>
  <c r="C366" i="51"/>
  <c r="D366" i="51"/>
  <c r="E366" i="51"/>
  <c r="G366" i="51"/>
  <c r="H366" i="51"/>
  <c r="I366" i="51"/>
  <c r="B367" i="51"/>
  <c r="C367" i="51"/>
  <c r="D367" i="51"/>
  <c r="E367" i="51"/>
  <c r="G367" i="51"/>
  <c r="H367" i="51"/>
  <c r="I367" i="51"/>
  <c r="B368" i="51"/>
  <c r="C368" i="51"/>
  <c r="D368" i="51"/>
  <c r="E368" i="51"/>
  <c r="G368" i="51"/>
  <c r="H368" i="51"/>
  <c r="I368" i="51"/>
  <c r="B369" i="51"/>
  <c r="C369" i="51"/>
  <c r="D369" i="51"/>
  <c r="E369" i="51"/>
  <c r="G369" i="51"/>
  <c r="H369" i="51"/>
  <c r="I369" i="51"/>
  <c r="B370" i="51"/>
  <c r="C370" i="51"/>
  <c r="D370" i="51"/>
  <c r="E370" i="51"/>
  <c r="G370" i="51"/>
  <c r="H370" i="51"/>
  <c r="I370" i="51"/>
  <c r="B371" i="51"/>
  <c r="C371" i="51"/>
  <c r="D371" i="51"/>
  <c r="E371" i="51"/>
  <c r="G371" i="51"/>
  <c r="H371" i="51"/>
  <c r="I371" i="51"/>
  <c r="B372" i="51"/>
  <c r="C372" i="51"/>
  <c r="D372" i="51"/>
  <c r="E372" i="51"/>
  <c r="G372" i="51"/>
  <c r="H372" i="51"/>
  <c r="I372" i="51"/>
  <c r="B373" i="51"/>
  <c r="C373" i="51"/>
  <c r="D373" i="51"/>
  <c r="E373" i="51"/>
  <c r="G373" i="51"/>
  <c r="H373" i="51"/>
  <c r="I373" i="51"/>
  <c r="B374" i="51"/>
  <c r="C374" i="51"/>
  <c r="D374" i="51"/>
  <c r="E374" i="51"/>
  <c r="G374" i="51"/>
  <c r="H374" i="51"/>
  <c r="I374" i="51"/>
  <c r="B375" i="51"/>
  <c r="C375" i="51"/>
  <c r="D375" i="51"/>
  <c r="E375" i="51"/>
  <c r="G375" i="51"/>
  <c r="H375" i="51"/>
  <c r="I375" i="51"/>
  <c r="B376" i="51"/>
  <c r="C376" i="51"/>
  <c r="D376" i="51"/>
  <c r="E376" i="51"/>
  <c r="G376" i="51"/>
  <c r="H376" i="51"/>
  <c r="I376" i="51"/>
  <c r="B377" i="51"/>
  <c r="C377" i="51"/>
  <c r="D377" i="51"/>
  <c r="E377" i="51"/>
  <c r="G377" i="51"/>
  <c r="H377" i="51"/>
  <c r="I377" i="51"/>
  <c r="B378" i="51"/>
  <c r="C378" i="51"/>
  <c r="D378" i="51"/>
  <c r="E378" i="51"/>
  <c r="G378" i="51"/>
  <c r="H378" i="51"/>
  <c r="I378" i="51"/>
  <c r="B379" i="51"/>
  <c r="C379" i="51"/>
  <c r="D379" i="51"/>
  <c r="E379" i="51"/>
  <c r="G379" i="51"/>
  <c r="H379" i="51"/>
  <c r="I379" i="51"/>
  <c r="B380" i="51"/>
  <c r="C380" i="51"/>
  <c r="D380" i="51"/>
  <c r="E380" i="51"/>
  <c r="G380" i="51"/>
  <c r="H380" i="51"/>
  <c r="I380" i="51"/>
  <c r="B381" i="51"/>
  <c r="C381" i="51"/>
  <c r="D381" i="51"/>
  <c r="E381" i="51"/>
  <c r="G381" i="51"/>
  <c r="H381" i="51"/>
  <c r="I381" i="51"/>
  <c r="B382" i="51"/>
  <c r="C382" i="51"/>
  <c r="D382" i="51"/>
  <c r="E382" i="51"/>
  <c r="G382" i="51"/>
  <c r="H382" i="51"/>
  <c r="I382" i="51"/>
  <c r="B383" i="51"/>
  <c r="C383" i="51"/>
  <c r="D383" i="51"/>
  <c r="E383" i="51"/>
  <c r="G383" i="51"/>
  <c r="H383" i="51"/>
  <c r="I383" i="51"/>
  <c r="B384" i="51"/>
  <c r="C384" i="51"/>
  <c r="D384" i="51"/>
  <c r="E384" i="51"/>
  <c r="G384" i="51"/>
  <c r="H384" i="51"/>
  <c r="I384" i="51"/>
  <c r="B385" i="51"/>
  <c r="C385" i="51"/>
  <c r="D385" i="51"/>
  <c r="E385" i="51"/>
  <c r="G385" i="51"/>
  <c r="H385" i="51"/>
  <c r="I385" i="51"/>
  <c r="B386" i="51"/>
  <c r="C386" i="51"/>
  <c r="D386" i="51"/>
  <c r="E386" i="51"/>
  <c r="G386" i="51"/>
  <c r="H386" i="51"/>
  <c r="I386" i="51"/>
  <c r="B387" i="51"/>
  <c r="C387" i="51"/>
  <c r="D387" i="51"/>
  <c r="E387" i="51"/>
  <c r="G387" i="51"/>
  <c r="H387" i="51"/>
  <c r="I387" i="51"/>
  <c r="B388" i="51"/>
  <c r="C388" i="51"/>
  <c r="D388" i="51"/>
  <c r="E388" i="51"/>
  <c r="G388" i="51"/>
  <c r="H388" i="51"/>
  <c r="I388" i="51"/>
  <c r="B389" i="51"/>
  <c r="C389" i="51"/>
  <c r="D389" i="51"/>
  <c r="E389" i="51"/>
  <c r="G389" i="51"/>
  <c r="H389" i="51"/>
  <c r="I389" i="51"/>
  <c r="B390" i="51"/>
  <c r="C390" i="51"/>
  <c r="D390" i="51"/>
  <c r="E390" i="51"/>
  <c r="G390" i="51"/>
  <c r="H390" i="51"/>
  <c r="I390" i="51"/>
  <c r="B391" i="51"/>
  <c r="C391" i="51"/>
  <c r="D391" i="51"/>
  <c r="E391" i="51"/>
  <c r="G391" i="51"/>
  <c r="H391" i="51"/>
  <c r="I391" i="51"/>
  <c r="B392" i="51"/>
  <c r="C392" i="51"/>
  <c r="D392" i="51"/>
  <c r="E392" i="51"/>
  <c r="G392" i="51"/>
  <c r="H392" i="51"/>
  <c r="I392" i="51"/>
  <c r="B393" i="51"/>
  <c r="C393" i="51"/>
  <c r="D393" i="51"/>
  <c r="E393" i="51"/>
  <c r="G393" i="51"/>
  <c r="H393" i="51"/>
  <c r="I393" i="51"/>
  <c r="B394" i="51"/>
  <c r="C394" i="51"/>
  <c r="D394" i="51"/>
  <c r="E394" i="51"/>
  <c r="G394" i="51"/>
  <c r="H394" i="51"/>
  <c r="I394" i="51"/>
  <c r="B395" i="51"/>
  <c r="C395" i="51"/>
  <c r="D395" i="51"/>
  <c r="E395" i="51"/>
  <c r="G395" i="51"/>
  <c r="H395" i="51"/>
  <c r="I395" i="51"/>
  <c r="B396" i="51"/>
  <c r="C396" i="51"/>
  <c r="D396" i="51"/>
  <c r="E396" i="51"/>
  <c r="G396" i="51"/>
  <c r="H396" i="51"/>
  <c r="I396" i="51"/>
  <c r="B397" i="51"/>
  <c r="C397" i="51"/>
  <c r="D397" i="51"/>
  <c r="E397" i="51"/>
  <c r="G397" i="51"/>
  <c r="H397" i="51"/>
  <c r="I397" i="51"/>
  <c r="B398" i="51"/>
  <c r="C398" i="51"/>
  <c r="D398" i="51"/>
  <c r="E398" i="51"/>
  <c r="G398" i="51"/>
  <c r="H398" i="51"/>
  <c r="I398" i="51"/>
  <c r="B399" i="51"/>
  <c r="C399" i="51"/>
  <c r="D399" i="51"/>
  <c r="E399" i="51"/>
  <c r="G399" i="51"/>
  <c r="H399" i="51"/>
  <c r="I399" i="51"/>
  <c r="B400" i="51"/>
  <c r="C400" i="51"/>
  <c r="D400" i="51"/>
  <c r="E400" i="51"/>
  <c r="G400" i="51"/>
  <c r="H400" i="51"/>
  <c r="I400" i="51"/>
  <c r="B401" i="51"/>
  <c r="C401" i="51"/>
  <c r="D401" i="51"/>
  <c r="E401" i="51"/>
  <c r="G401" i="51"/>
  <c r="H401" i="51"/>
  <c r="I401" i="51"/>
  <c r="B402" i="51"/>
  <c r="C402" i="51"/>
  <c r="D402" i="51"/>
  <c r="E402" i="51"/>
  <c r="G402" i="51"/>
  <c r="H402" i="51"/>
  <c r="I402" i="51"/>
  <c r="B403" i="51"/>
  <c r="C403" i="51"/>
  <c r="D403" i="51"/>
  <c r="E403" i="51"/>
  <c r="G403" i="51"/>
  <c r="H403" i="51"/>
  <c r="I403" i="51"/>
  <c r="B404" i="51"/>
  <c r="C404" i="51"/>
  <c r="D404" i="51"/>
  <c r="E404" i="51"/>
  <c r="G404" i="51"/>
  <c r="H404" i="51"/>
  <c r="I404" i="51"/>
  <c r="B405" i="51"/>
  <c r="C405" i="51"/>
  <c r="D405" i="51"/>
  <c r="E405" i="51"/>
  <c r="G405" i="51"/>
  <c r="H405" i="51"/>
  <c r="I405" i="51"/>
  <c r="B406" i="51"/>
  <c r="C406" i="51"/>
  <c r="D406" i="51"/>
  <c r="E406" i="51"/>
  <c r="G406" i="51"/>
  <c r="H406" i="51"/>
  <c r="I406" i="51"/>
  <c r="B407" i="51"/>
  <c r="C407" i="51"/>
  <c r="D407" i="51"/>
  <c r="E407" i="51"/>
  <c r="G407" i="51"/>
  <c r="H407" i="51"/>
  <c r="I407" i="51"/>
  <c r="B408" i="51"/>
  <c r="C408" i="51"/>
  <c r="D408" i="51"/>
  <c r="E408" i="51"/>
  <c r="G408" i="51"/>
  <c r="H408" i="51"/>
  <c r="I408" i="51"/>
  <c r="B409" i="51"/>
  <c r="C409" i="51"/>
  <c r="D409" i="51"/>
  <c r="E409" i="51"/>
  <c r="G409" i="51"/>
  <c r="H409" i="51"/>
  <c r="I409" i="51"/>
  <c r="B410" i="51"/>
  <c r="C410" i="51"/>
  <c r="D410" i="51"/>
  <c r="E410" i="51"/>
  <c r="G410" i="51"/>
  <c r="H410" i="51"/>
  <c r="I410" i="51"/>
  <c r="B411" i="51"/>
  <c r="C411" i="51"/>
  <c r="D411" i="51"/>
  <c r="E411" i="51"/>
  <c r="G411" i="51"/>
  <c r="H411" i="51"/>
  <c r="I411" i="51"/>
  <c r="B412" i="51"/>
  <c r="C412" i="51"/>
  <c r="D412" i="51"/>
  <c r="E412" i="51"/>
  <c r="G412" i="51"/>
  <c r="H412" i="51"/>
  <c r="I412" i="51"/>
  <c r="B413" i="51"/>
  <c r="C413" i="51"/>
  <c r="D413" i="51"/>
  <c r="E413" i="51"/>
  <c r="G413" i="51"/>
  <c r="H413" i="51"/>
  <c r="I413" i="51"/>
  <c r="B414" i="51"/>
  <c r="C414" i="51"/>
  <c r="D414" i="51"/>
  <c r="E414" i="51"/>
  <c r="G414" i="51"/>
  <c r="H414" i="51"/>
  <c r="I414" i="51"/>
  <c r="B415" i="51"/>
  <c r="C415" i="51"/>
  <c r="D415" i="51"/>
  <c r="E415" i="51"/>
  <c r="G415" i="51"/>
  <c r="H415" i="51"/>
  <c r="I415" i="51"/>
  <c r="B416" i="51"/>
  <c r="C416" i="51"/>
  <c r="D416" i="51"/>
  <c r="E416" i="51"/>
  <c r="G416" i="51"/>
  <c r="H416" i="51"/>
  <c r="I416" i="51"/>
  <c r="B417" i="51"/>
  <c r="C417" i="51"/>
  <c r="D417" i="51"/>
  <c r="E417" i="51"/>
  <c r="G417" i="51"/>
  <c r="H417" i="51"/>
  <c r="I417" i="51"/>
  <c r="B418" i="51"/>
  <c r="C418" i="51"/>
  <c r="D418" i="51"/>
  <c r="E418" i="51"/>
  <c r="G418" i="51"/>
  <c r="H418" i="51"/>
  <c r="I418" i="51"/>
  <c r="B419" i="51"/>
  <c r="C419" i="51"/>
  <c r="D419" i="51"/>
  <c r="E419" i="51"/>
  <c r="G419" i="51"/>
  <c r="H419" i="51"/>
  <c r="I419" i="51"/>
  <c r="B420" i="51"/>
  <c r="C420" i="51"/>
  <c r="D420" i="51"/>
  <c r="E420" i="51"/>
  <c r="G420" i="51"/>
  <c r="H420" i="51"/>
  <c r="I420" i="51"/>
  <c r="B421" i="51"/>
  <c r="C421" i="51"/>
  <c r="D421" i="51"/>
  <c r="E421" i="51"/>
  <c r="G421" i="51"/>
  <c r="H421" i="51"/>
  <c r="I421" i="51"/>
  <c r="B422" i="51"/>
  <c r="C422" i="51"/>
  <c r="D422" i="51"/>
  <c r="E422" i="51"/>
  <c r="G422" i="51"/>
  <c r="H422" i="51"/>
  <c r="I422" i="51"/>
  <c r="B423" i="51"/>
  <c r="C423" i="51"/>
  <c r="D423" i="51"/>
  <c r="E423" i="51"/>
  <c r="G423" i="51"/>
  <c r="H423" i="51"/>
  <c r="I423" i="51"/>
  <c r="B424" i="51"/>
  <c r="C424" i="51"/>
  <c r="D424" i="51"/>
  <c r="E424" i="51"/>
  <c r="G424" i="51"/>
  <c r="H424" i="51"/>
  <c r="I424" i="51"/>
  <c r="B425" i="51"/>
  <c r="C425" i="51"/>
  <c r="D425" i="51"/>
  <c r="E425" i="51"/>
  <c r="G425" i="51"/>
  <c r="H425" i="51"/>
  <c r="I425" i="51"/>
  <c r="B426" i="51"/>
  <c r="C426" i="51"/>
  <c r="D426" i="51"/>
  <c r="E426" i="51"/>
  <c r="G426" i="51"/>
  <c r="H426" i="51"/>
  <c r="I426" i="51"/>
  <c r="B427" i="51"/>
  <c r="C427" i="51"/>
  <c r="D427" i="51"/>
  <c r="E427" i="51"/>
  <c r="G427" i="51"/>
  <c r="H427" i="51"/>
  <c r="I427" i="51"/>
  <c r="B428" i="51"/>
  <c r="C428" i="51"/>
  <c r="D428" i="51"/>
  <c r="E428" i="51"/>
  <c r="G428" i="51"/>
  <c r="H428" i="51"/>
  <c r="I428" i="51"/>
  <c r="B429" i="51"/>
  <c r="C429" i="51"/>
  <c r="D429" i="51"/>
  <c r="E429" i="51"/>
  <c r="G429" i="51"/>
  <c r="H429" i="51"/>
  <c r="I429" i="51"/>
  <c r="B430" i="51"/>
  <c r="C430" i="51"/>
  <c r="D430" i="51"/>
  <c r="E430" i="51"/>
  <c r="G430" i="51"/>
  <c r="H430" i="51"/>
  <c r="I430" i="51"/>
  <c r="B431" i="51"/>
  <c r="C431" i="51"/>
  <c r="D431" i="51"/>
  <c r="E431" i="51"/>
  <c r="G431" i="51"/>
  <c r="H431" i="51"/>
  <c r="I431" i="51"/>
  <c r="B432" i="51"/>
  <c r="C432" i="51"/>
  <c r="D432" i="51"/>
  <c r="E432" i="51"/>
  <c r="G432" i="51"/>
  <c r="H432" i="51"/>
  <c r="I432" i="51"/>
  <c r="B433" i="51"/>
  <c r="C433" i="51"/>
  <c r="D433" i="51"/>
  <c r="E433" i="51"/>
  <c r="G433" i="51"/>
  <c r="H433" i="51"/>
  <c r="I433" i="51"/>
  <c r="B434" i="51"/>
  <c r="C434" i="51"/>
  <c r="D434" i="51"/>
  <c r="E434" i="51"/>
  <c r="G434" i="51"/>
  <c r="H434" i="51"/>
  <c r="I434" i="51"/>
  <c r="B435" i="51"/>
  <c r="C435" i="51"/>
  <c r="D435" i="51"/>
  <c r="E435" i="51"/>
  <c r="G435" i="51"/>
  <c r="H435" i="51"/>
  <c r="I435" i="51"/>
  <c r="B436" i="51"/>
  <c r="C436" i="51"/>
  <c r="D436" i="51"/>
  <c r="E436" i="51"/>
  <c r="G436" i="51"/>
  <c r="H436" i="51"/>
  <c r="I436" i="51"/>
  <c r="B437" i="51"/>
  <c r="C437" i="51"/>
  <c r="D437" i="51"/>
  <c r="E437" i="51"/>
  <c r="G437" i="51"/>
  <c r="H437" i="51"/>
  <c r="I437" i="51"/>
  <c r="B438" i="51"/>
  <c r="C438" i="51"/>
  <c r="D438" i="51"/>
  <c r="E438" i="51"/>
  <c r="G438" i="51"/>
  <c r="H438" i="51"/>
  <c r="I438" i="51"/>
  <c r="B439" i="51"/>
  <c r="C439" i="51"/>
  <c r="D439" i="51"/>
  <c r="E439" i="51"/>
  <c r="G439" i="51"/>
  <c r="H439" i="51"/>
  <c r="I439" i="51"/>
  <c r="B440" i="51"/>
  <c r="C440" i="51"/>
  <c r="D440" i="51"/>
  <c r="E440" i="51"/>
  <c r="G440" i="51"/>
  <c r="H440" i="51"/>
  <c r="I440" i="51"/>
  <c r="B441" i="51"/>
  <c r="C441" i="51"/>
  <c r="D441" i="51"/>
  <c r="E441" i="51"/>
  <c r="G441" i="51"/>
  <c r="H441" i="51"/>
  <c r="I441" i="51"/>
  <c r="B442" i="51"/>
  <c r="C442" i="51"/>
  <c r="D442" i="51"/>
  <c r="E442" i="51"/>
  <c r="G442" i="51"/>
  <c r="H442" i="51"/>
  <c r="I442" i="51"/>
  <c r="B443" i="51"/>
  <c r="C443" i="51"/>
  <c r="D443" i="51"/>
  <c r="E443" i="51"/>
  <c r="G443" i="51"/>
  <c r="H443" i="51"/>
  <c r="I443" i="51"/>
  <c r="B444" i="51"/>
  <c r="C444" i="51"/>
  <c r="D444" i="51"/>
  <c r="E444" i="51"/>
  <c r="G444" i="51"/>
  <c r="H444" i="51"/>
  <c r="I444" i="51"/>
  <c r="B445" i="51"/>
  <c r="C445" i="51"/>
  <c r="D445" i="51"/>
  <c r="E445" i="51"/>
  <c r="G445" i="51"/>
  <c r="H445" i="51"/>
  <c r="I445" i="51"/>
  <c r="B446" i="51"/>
  <c r="C446" i="51"/>
  <c r="D446" i="51"/>
  <c r="E446" i="51"/>
  <c r="G446" i="51"/>
  <c r="H446" i="51"/>
  <c r="I446" i="51"/>
  <c r="B447" i="51"/>
  <c r="C447" i="51"/>
  <c r="D447" i="51"/>
  <c r="E447" i="51"/>
  <c r="G447" i="51"/>
  <c r="H447" i="51"/>
  <c r="I447" i="51"/>
  <c r="B448" i="51"/>
  <c r="C448" i="51"/>
  <c r="D448" i="51"/>
  <c r="E448" i="51"/>
  <c r="G448" i="51"/>
  <c r="H448" i="51"/>
  <c r="I448" i="51"/>
  <c r="B449" i="51"/>
  <c r="C449" i="51"/>
  <c r="D449" i="51"/>
  <c r="E449" i="51"/>
  <c r="G449" i="51"/>
  <c r="H449" i="51"/>
  <c r="I449" i="51"/>
  <c r="B450" i="51"/>
  <c r="C450" i="51"/>
  <c r="D450" i="51"/>
  <c r="E450" i="51"/>
  <c r="G450" i="51"/>
  <c r="H450" i="51"/>
  <c r="I450" i="51"/>
  <c r="B451" i="51"/>
  <c r="C451" i="51"/>
  <c r="D451" i="51"/>
  <c r="E451" i="51"/>
  <c r="G451" i="51"/>
  <c r="H451" i="51"/>
  <c r="I451" i="51"/>
  <c r="B452" i="51"/>
  <c r="C452" i="51"/>
  <c r="D452" i="51"/>
  <c r="E452" i="51"/>
  <c r="G452" i="51"/>
  <c r="H452" i="51"/>
  <c r="I452" i="51"/>
  <c r="B453" i="51"/>
  <c r="C453" i="51"/>
  <c r="D453" i="51"/>
  <c r="E453" i="51"/>
  <c r="G453" i="51"/>
  <c r="H453" i="51"/>
  <c r="I453" i="51"/>
  <c r="B454" i="51"/>
  <c r="C454" i="51"/>
  <c r="D454" i="51"/>
  <c r="E454" i="51"/>
  <c r="G454" i="51"/>
  <c r="H454" i="51"/>
  <c r="I454" i="51"/>
  <c r="B455" i="51"/>
  <c r="C455" i="51"/>
  <c r="D455" i="51"/>
  <c r="E455" i="51"/>
  <c r="G455" i="51"/>
  <c r="H455" i="51"/>
  <c r="I455" i="51"/>
  <c r="B456" i="51"/>
  <c r="C456" i="51"/>
  <c r="D456" i="51"/>
  <c r="E456" i="51"/>
  <c r="G456" i="51"/>
  <c r="H456" i="51"/>
  <c r="I456" i="51"/>
  <c r="B457" i="51"/>
  <c r="C457" i="51"/>
  <c r="D457" i="51"/>
  <c r="E457" i="51"/>
  <c r="G457" i="51"/>
  <c r="H457" i="51"/>
  <c r="I457" i="51"/>
  <c r="B458" i="51"/>
  <c r="C458" i="51"/>
  <c r="D458" i="51"/>
  <c r="E458" i="51"/>
  <c r="G458" i="51"/>
  <c r="H458" i="51"/>
  <c r="I458" i="51"/>
  <c r="B459" i="51"/>
  <c r="C459" i="51"/>
  <c r="D459" i="51"/>
  <c r="E459" i="51"/>
  <c r="G459" i="51"/>
  <c r="H459" i="51"/>
  <c r="I459" i="51"/>
  <c r="B460" i="51"/>
  <c r="C460" i="51"/>
  <c r="D460" i="51"/>
  <c r="E460" i="51"/>
  <c r="G460" i="51"/>
  <c r="H460" i="51"/>
  <c r="I460" i="51"/>
  <c r="B461" i="51"/>
  <c r="C461" i="51"/>
  <c r="D461" i="51"/>
  <c r="E461" i="51"/>
  <c r="G461" i="51"/>
  <c r="H461" i="51"/>
  <c r="I461" i="51"/>
  <c r="B462" i="51"/>
  <c r="C462" i="51"/>
  <c r="D462" i="51"/>
  <c r="E462" i="51"/>
  <c r="G462" i="51"/>
  <c r="H462" i="51"/>
  <c r="I462" i="51"/>
  <c r="B463" i="51"/>
  <c r="C463" i="51"/>
  <c r="D463" i="51"/>
  <c r="E463" i="51"/>
  <c r="G463" i="51"/>
  <c r="H463" i="51"/>
  <c r="I463" i="51"/>
  <c r="B464" i="51"/>
  <c r="C464" i="51"/>
  <c r="D464" i="51"/>
  <c r="E464" i="51"/>
  <c r="G464" i="51"/>
  <c r="H464" i="51"/>
  <c r="I464" i="51"/>
  <c r="B465" i="51"/>
  <c r="C465" i="51"/>
  <c r="D465" i="51"/>
  <c r="E465" i="51"/>
  <c r="G465" i="51"/>
  <c r="H465" i="51"/>
  <c r="I465" i="51"/>
  <c r="B466" i="51"/>
  <c r="C466" i="51"/>
  <c r="D466" i="51"/>
  <c r="E466" i="51"/>
  <c r="G466" i="51"/>
  <c r="H466" i="51"/>
  <c r="I466" i="51"/>
  <c r="B467" i="51"/>
  <c r="C467" i="51"/>
  <c r="D467" i="51"/>
  <c r="E467" i="51"/>
  <c r="G467" i="51"/>
  <c r="H467" i="51"/>
  <c r="I467" i="51"/>
  <c r="B468" i="51"/>
  <c r="C468" i="51"/>
  <c r="D468" i="51"/>
  <c r="E468" i="51"/>
  <c r="G468" i="51"/>
  <c r="H468" i="51"/>
  <c r="I468" i="51"/>
  <c r="B469" i="51"/>
  <c r="C469" i="51"/>
  <c r="D469" i="51"/>
  <c r="E469" i="51"/>
  <c r="G469" i="51"/>
  <c r="H469" i="51"/>
  <c r="I469" i="51"/>
  <c r="B470" i="51"/>
  <c r="C470" i="51"/>
  <c r="D470" i="51"/>
  <c r="E470" i="51"/>
  <c r="G470" i="51"/>
  <c r="H470" i="51"/>
  <c r="I470" i="51"/>
  <c r="B471" i="51"/>
  <c r="C471" i="51"/>
  <c r="D471" i="51"/>
  <c r="E471" i="51"/>
  <c r="G471" i="51"/>
  <c r="H471" i="51"/>
  <c r="I471" i="51"/>
  <c r="B472" i="51"/>
  <c r="C472" i="51"/>
  <c r="D472" i="51"/>
  <c r="E472" i="51"/>
  <c r="G472" i="51"/>
  <c r="H472" i="51"/>
  <c r="I472" i="51"/>
  <c r="B473" i="51"/>
  <c r="C473" i="51"/>
  <c r="D473" i="51"/>
  <c r="E473" i="51"/>
  <c r="G473" i="51"/>
  <c r="H473" i="51"/>
  <c r="I473" i="51"/>
  <c r="B474" i="51"/>
  <c r="C474" i="51"/>
  <c r="D474" i="51"/>
  <c r="E474" i="51"/>
  <c r="G474" i="51"/>
  <c r="H474" i="51"/>
  <c r="I474" i="51"/>
  <c r="B475" i="51"/>
  <c r="C475" i="51"/>
  <c r="D475" i="51"/>
  <c r="E475" i="51"/>
  <c r="G475" i="51"/>
  <c r="H475" i="51"/>
  <c r="I475" i="51"/>
  <c r="B476" i="51"/>
  <c r="C476" i="51"/>
  <c r="D476" i="51"/>
  <c r="E476" i="51"/>
  <c r="G476" i="51"/>
  <c r="H476" i="51"/>
  <c r="I476" i="51"/>
  <c r="B477" i="51"/>
  <c r="C477" i="51"/>
  <c r="D477" i="51"/>
  <c r="E477" i="51"/>
  <c r="G477" i="51"/>
  <c r="H477" i="51"/>
  <c r="I477" i="51"/>
  <c r="B478" i="51"/>
  <c r="C478" i="51"/>
  <c r="D478" i="51"/>
  <c r="E478" i="51"/>
  <c r="G478" i="51"/>
  <c r="H478" i="51"/>
  <c r="I478" i="51"/>
  <c r="B479" i="51"/>
  <c r="C479" i="51"/>
  <c r="D479" i="51"/>
  <c r="E479" i="51"/>
  <c r="G479" i="51"/>
  <c r="H479" i="51"/>
  <c r="I479" i="51"/>
  <c r="B480" i="51"/>
  <c r="C480" i="51"/>
  <c r="D480" i="51"/>
  <c r="E480" i="51"/>
  <c r="G480" i="51"/>
  <c r="H480" i="51"/>
  <c r="I480" i="51"/>
  <c r="B481" i="51"/>
  <c r="C481" i="51"/>
  <c r="D481" i="51"/>
  <c r="E481" i="51"/>
  <c r="G481" i="51"/>
  <c r="H481" i="51"/>
  <c r="I481" i="51"/>
  <c r="B482" i="51"/>
  <c r="C482" i="51"/>
  <c r="D482" i="51"/>
  <c r="E482" i="51"/>
  <c r="G482" i="51"/>
  <c r="H482" i="51"/>
  <c r="I482" i="51"/>
  <c r="B483" i="51"/>
  <c r="C483" i="51"/>
  <c r="D483" i="51"/>
  <c r="E483" i="51"/>
  <c r="G483" i="51"/>
  <c r="H483" i="51"/>
  <c r="I483" i="51"/>
  <c r="B484" i="51"/>
  <c r="C484" i="51"/>
  <c r="D484" i="51"/>
  <c r="E484" i="51"/>
  <c r="G484" i="51"/>
  <c r="H484" i="51"/>
  <c r="I484" i="51"/>
  <c r="B485" i="51"/>
  <c r="C485" i="51"/>
  <c r="D485" i="51"/>
  <c r="E485" i="51"/>
  <c r="G485" i="51"/>
  <c r="H485" i="51"/>
  <c r="I485" i="51"/>
  <c r="B486" i="51"/>
  <c r="C486" i="51"/>
  <c r="D486" i="51"/>
  <c r="E486" i="51"/>
  <c r="G486" i="51"/>
  <c r="H486" i="51"/>
  <c r="I486" i="51"/>
  <c r="H4" i="51"/>
  <c r="I4" i="51"/>
  <c r="G4" i="51"/>
  <c r="D4" i="51"/>
  <c r="E4" i="51"/>
  <c r="C4" i="51"/>
  <c r="B4" i="51"/>
  <c r="K506" i="51" l="1"/>
  <c r="N506" i="51" s="1"/>
  <c r="K502" i="51"/>
  <c r="N502" i="51" s="1"/>
  <c r="K507" i="51"/>
  <c r="N507" i="51" s="1"/>
  <c r="K503" i="51"/>
  <c r="N503" i="51" s="1"/>
  <c r="K499" i="51"/>
  <c r="K504" i="51"/>
  <c r="N504" i="51" s="1"/>
  <c r="K500" i="51"/>
  <c r="N500" i="51" s="1"/>
  <c r="K505" i="51"/>
  <c r="N505" i="51" s="1"/>
  <c r="K501" i="51"/>
  <c r="N501" i="51" s="1"/>
  <c r="K16" i="51"/>
  <c r="N16" i="51" s="1"/>
  <c r="K14" i="51"/>
  <c r="N14" i="51" s="1"/>
  <c r="K12" i="51"/>
  <c r="N12" i="51" s="1"/>
  <c r="K10" i="51"/>
  <c r="N10" i="51" s="1"/>
  <c r="K8" i="51"/>
  <c r="N8" i="51" s="1"/>
  <c r="K6" i="51"/>
  <c r="N6" i="51" s="1"/>
  <c r="K4" i="51"/>
  <c r="N4" i="51" s="1"/>
  <c r="K15" i="51"/>
  <c r="N15" i="51" s="1"/>
  <c r="K13" i="51"/>
  <c r="N13" i="51" s="1"/>
  <c r="K11" i="51"/>
  <c r="N11" i="51" s="1"/>
  <c r="K9" i="51"/>
  <c r="N9" i="51" s="1"/>
  <c r="K7" i="51"/>
  <c r="N7" i="51" s="1"/>
  <c r="K5" i="51"/>
  <c r="N5" i="51" s="1"/>
  <c r="K273" i="51"/>
  <c r="N273" i="51" s="1"/>
  <c r="K271" i="51"/>
  <c r="N271" i="51" s="1"/>
  <c r="K269" i="51"/>
  <c r="N269" i="51" s="1"/>
  <c r="K267" i="51"/>
  <c r="N267" i="51" s="1"/>
  <c r="K265" i="51"/>
  <c r="K263" i="51"/>
  <c r="N263" i="51" s="1"/>
  <c r="K261" i="51"/>
  <c r="N261" i="51" s="1"/>
  <c r="K259" i="51"/>
  <c r="N259" i="51" s="1"/>
  <c r="K257" i="51"/>
  <c r="N257" i="51" s="1"/>
  <c r="K255" i="51"/>
  <c r="N255" i="51" s="1"/>
  <c r="K253" i="51"/>
  <c r="N253" i="51" s="1"/>
  <c r="K251" i="51"/>
  <c r="N251" i="51" s="1"/>
  <c r="K249" i="51"/>
  <c r="N249" i="51" s="1"/>
  <c r="K247" i="51"/>
  <c r="N247" i="51" s="1"/>
  <c r="K245" i="51"/>
  <c r="N245" i="51" s="1"/>
  <c r="K243" i="51"/>
  <c r="N243" i="51" s="1"/>
  <c r="K241" i="51"/>
  <c r="N241" i="51" s="1"/>
  <c r="K239" i="51"/>
  <c r="N239" i="51" s="1"/>
  <c r="K237" i="51"/>
  <c r="N237" i="51" s="1"/>
  <c r="K235" i="51"/>
  <c r="N235" i="51" s="1"/>
  <c r="K233" i="51"/>
  <c r="N233" i="51" s="1"/>
  <c r="K231" i="51"/>
  <c r="N231" i="51" s="1"/>
  <c r="K229" i="51"/>
  <c r="K227" i="51"/>
  <c r="N227" i="51" s="1"/>
  <c r="K225" i="51"/>
  <c r="N225" i="51" s="1"/>
  <c r="K223" i="51"/>
  <c r="N223" i="51" s="1"/>
  <c r="K221" i="51"/>
  <c r="N221" i="51" s="1"/>
  <c r="K219" i="51"/>
  <c r="N219" i="51" s="1"/>
  <c r="K217" i="51"/>
  <c r="N217" i="51" s="1"/>
  <c r="K215" i="51"/>
  <c r="N215" i="51" s="1"/>
  <c r="K213" i="51"/>
  <c r="N213" i="51" s="1"/>
  <c r="K211" i="51"/>
  <c r="K209" i="51"/>
  <c r="N209" i="51" s="1"/>
  <c r="K207" i="51"/>
  <c r="N207" i="51" s="1"/>
  <c r="K205" i="51"/>
  <c r="N205" i="51" s="1"/>
  <c r="K203" i="51"/>
  <c r="N203" i="51" s="1"/>
  <c r="K201" i="51"/>
  <c r="N201" i="51" s="1"/>
  <c r="K199" i="51"/>
  <c r="N199" i="51" s="1"/>
  <c r="K197" i="51"/>
  <c r="N197" i="51" s="1"/>
  <c r="K195" i="51"/>
  <c r="N195" i="51" s="1"/>
  <c r="K193" i="51"/>
  <c r="K191" i="51"/>
  <c r="N191" i="51" s="1"/>
  <c r="K189" i="51"/>
  <c r="N189" i="51" s="1"/>
  <c r="K187" i="51"/>
  <c r="N187" i="51" s="1"/>
  <c r="K185" i="51"/>
  <c r="N185" i="51" s="1"/>
  <c r="K183" i="51"/>
  <c r="N183" i="51" s="1"/>
  <c r="K181" i="51"/>
  <c r="N181" i="51" s="1"/>
  <c r="K179" i="51"/>
  <c r="N179" i="51" s="1"/>
  <c r="K177" i="51"/>
  <c r="N177" i="51" s="1"/>
  <c r="K175" i="51"/>
  <c r="K173" i="51"/>
  <c r="N173" i="51" s="1"/>
  <c r="K171" i="51"/>
  <c r="N171" i="51" s="1"/>
  <c r="K169" i="51"/>
  <c r="N169" i="51" s="1"/>
  <c r="K167" i="51"/>
  <c r="N167" i="51" s="1"/>
  <c r="K165" i="51"/>
  <c r="N165" i="51" s="1"/>
  <c r="K272" i="51"/>
  <c r="N272" i="51" s="1"/>
  <c r="K270" i="51"/>
  <c r="N270" i="51" s="1"/>
  <c r="K268" i="51"/>
  <c r="N268" i="51" s="1"/>
  <c r="K266" i="51"/>
  <c r="N266" i="51" s="1"/>
  <c r="K264" i="51"/>
  <c r="N264" i="51" s="1"/>
  <c r="K262" i="51"/>
  <c r="N262" i="51" s="1"/>
  <c r="K260" i="51"/>
  <c r="N260" i="51" s="1"/>
  <c r="K258" i="51"/>
  <c r="N258" i="51" s="1"/>
  <c r="K256" i="51"/>
  <c r="K254" i="51"/>
  <c r="N254" i="51" s="1"/>
  <c r="K252" i="51"/>
  <c r="N252" i="51" s="1"/>
  <c r="K250" i="51"/>
  <c r="N250" i="51" s="1"/>
  <c r="K248" i="51"/>
  <c r="N248" i="51" s="1"/>
  <c r="K246" i="51"/>
  <c r="N246" i="51" s="1"/>
  <c r="K244" i="51"/>
  <c r="N244" i="51" s="1"/>
  <c r="K242" i="51"/>
  <c r="N242" i="51" s="1"/>
  <c r="K240" i="51"/>
  <c r="N240" i="51" s="1"/>
  <c r="K238" i="51"/>
  <c r="N238" i="51" s="1"/>
  <c r="K236" i="51"/>
  <c r="N236" i="51" s="1"/>
  <c r="K234" i="51"/>
  <c r="N234" i="51" s="1"/>
  <c r="K232" i="51"/>
  <c r="N232" i="51" s="1"/>
  <c r="K230" i="51"/>
  <c r="N230" i="51" s="1"/>
  <c r="K228" i="51"/>
  <c r="N228" i="51" s="1"/>
  <c r="K226" i="51"/>
  <c r="N226" i="51" s="1"/>
  <c r="K224" i="51"/>
  <c r="N224" i="51" s="1"/>
  <c r="K222" i="51"/>
  <c r="N222" i="51" s="1"/>
  <c r="K220" i="51"/>
  <c r="K218" i="51"/>
  <c r="N218" i="51" s="1"/>
  <c r="K216" i="51"/>
  <c r="N216" i="51" s="1"/>
  <c r="K214" i="51"/>
  <c r="N214" i="51" s="1"/>
  <c r="K212" i="51"/>
  <c r="N212" i="51" s="1"/>
  <c r="K210" i="51"/>
  <c r="N210" i="51" s="1"/>
  <c r="K208" i="51"/>
  <c r="N208" i="51" s="1"/>
  <c r="K206" i="51"/>
  <c r="N206" i="51" s="1"/>
  <c r="K204" i="51"/>
  <c r="N204" i="51" s="1"/>
  <c r="K202" i="51"/>
  <c r="K200" i="51"/>
  <c r="N200" i="51" s="1"/>
  <c r="K198" i="51"/>
  <c r="N198" i="51" s="1"/>
  <c r="K196" i="51"/>
  <c r="N196" i="51" s="1"/>
  <c r="K194" i="51"/>
  <c r="N194" i="51" s="1"/>
  <c r="K192" i="51"/>
  <c r="N192" i="51" s="1"/>
  <c r="K190" i="51"/>
  <c r="N190" i="51" s="1"/>
  <c r="K188" i="51"/>
  <c r="N188" i="51" s="1"/>
  <c r="K186" i="51"/>
  <c r="N186" i="51" s="1"/>
  <c r="K184" i="51"/>
  <c r="K182" i="51"/>
  <c r="N182" i="51" s="1"/>
  <c r="K180" i="51"/>
  <c r="N180" i="51" s="1"/>
  <c r="K178" i="51"/>
  <c r="N178" i="51" s="1"/>
  <c r="K176" i="51"/>
  <c r="N176" i="51" s="1"/>
  <c r="K174" i="51"/>
  <c r="N174" i="51" s="1"/>
  <c r="K172" i="51"/>
  <c r="N172" i="51" s="1"/>
  <c r="K170" i="51"/>
  <c r="N170" i="51" s="1"/>
  <c r="K168" i="51"/>
  <c r="N168" i="51" s="1"/>
  <c r="K166" i="51"/>
  <c r="N166" i="51" s="1"/>
  <c r="K164" i="51"/>
  <c r="N164" i="51" s="1"/>
  <c r="K162" i="51"/>
  <c r="N162" i="51" s="1"/>
  <c r="K160" i="51"/>
  <c r="N160" i="51" s="1"/>
  <c r="K158" i="51"/>
  <c r="N158" i="51" s="1"/>
  <c r="K156" i="51"/>
  <c r="K154" i="51"/>
  <c r="K152" i="51"/>
  <c r="K150" i="51"/>
  <c r="K148" i="51"/>
  <c r="K146" i="51"/>
  <c r="N146" i="51" s="1"/>
  <c r="K144" i="51"/>
  <c r="N144" i="51" s="1"/>
  <c r="K142" i="51"/>
  <c r="N142" i="51" s="1"/>
  <c r="K140" i="51"/>
  <c r="N140" i="51" s="1"/>
  <c r="K138" i="51"/>
  <c r="N138" i="51" s="1"/>
  <c r="K136" i="51"/>
  <c r="N136" i="51" s="1"/>
  <c r="K134" i="51"/>
  <c r="N134" i="51" s="1"/>
  <c r="K132" i="51"/>
  <c r="N132" i="51" s="1"/>
  <c r="K130" i="51"/>
  <c r="N130" i="51" s="1"/>
  <c r="K128" i="51"/>
  <c r="N128" i="51" s="1"/>
  <c r="K126" i="51"/>
  <c r="N126" i="51" s="1"/>
  <c r="K124" i="51"/>
  <c r="N124" i="51" s="1"/>
  <c r="K122" i="51"/>
  <c r="N122" i="51" s="1"/>
  <c r="K120" i="51"/>
  <c r="N120" i="51" s="1"/>
  <c r="K118" i="51"/>
  <c r="N118" i="51" s="1"/>
  <c r="K116" i="51"/>
  <c r="N116" i="51" s="1"/>
  <c r="K114" i="51"/>
  <c r="N114" i="51" s="1"/>
  <c r="K112" i="51"/>
  <c r="N112" i="51" s="1"/>
  <c r="K110" i="51"/>
  <c r="N110" i="51" s="1"/>
  <c r="K108" i="51"/>
  <c r="N108" i="51" s="1"/>
  <c r="K106" i="51"/>
  <c r="N106" i="51" s="1"/>
  <c r="K104" i="51"/>
  <c r="N104" i="51" s="1"/>
  <c r="K102" i="51"/>
  <c r="N102" i="51" s="1"/>
  <c r="K100" i="51"/>
  <c r="N100" i="51" s="1"/>
  <c r="K98" i="51"/>
  <c r="N98" i="51" s="1"/>
  <c r="K96" i="51"/>
  <c r="N96" i="51" s="1"/>
  <c r="K94" i="51"/>
  <c r="K92" i="51"/>
  <c r="N92" i="51" s="1"/>
  <c r="K90" i="51"/>
  <c r="N90" i="51" s="1"/>
  <c r="K88" i="51"/>
  <c r="N88" i="51" s="1"/>
  <c r="K86" i="51"/>
  <c r="N86" i="51" s="1"/>
  <c r="K84" i="51"/>
  <c r="N84" i="51" s="1"/>
  <c r="K82" i="51"/>
  <c r="N82" i="51" s="1"/>
  <c r="K80" i="51"/>
  <c r="N80" i="51" s="1"/>
  <c r="K78" i="51"/>
  <c r="N78" i="51" s="1"/>
  <c r="K76" i="51"/>
  <c r="K74" i="51"/>
  <c r="N74" i="51" s="1"/>
  <c r="K72" i="51"/>
  <c r="N72" i="51" s="1"/>
  <c r="K70" i="51"/>
  <c r="N70" i="51" s="1"/>
  <c r="K68" i="51"/>
  <c r="N68" i="51" s="1"/>
  <c r="K66" i="51"/>
  <c r="N66" i="51" s="1"/>
  <c r="K64" i="51"/>
  <c r="N64" i="51" s="1"/>
  <c r="K62" i="51"/>
  <c r="N62" i="51" s="1"/>
  <c r="K60" i="51"/>
  <c r="N60" i="51" s="1"/>
  <c r="K58" i="51"/>
  <c r="K56" i="51"/>
  <c r="N56" i="51" s="1"/>
  <c r="K54" i="51"/>
  <c r="N54" i="51" s="1"/>
  <c r="K52" i="51"/>
  <c r="N52" i="51" s="1"/>
  <c r="K50" i="51"/>
  <c r="N50" i="51" s="1"/>
  <c r="K48" i="51"/>
  <c r="N48" i="51" s="1"/>
  <c r="K46" i="51"/>
  <c r="N46" i="51" s="1"/>
  <c r="K44" i="51"/>
  <c r="N44" i="51" s="1"/>
  <c r="K42" i="51"/>
  <c r="N42" i="51" s="1"/>
  <c r="K40" i="51"/>
  <c r="K38" i="51"/>
  <c r="N38" i="51" s="1"/>
  <c r="K36" i="51"/>
  <c r="N36" i="51" s="1"/>
  <c r="K34" i="51"/>
  <c r="N34" i="51" s="1"/>
  <c r="K32" i="51"/>
  <c r="N32" i="51" s="1"/>
  <c r="K30" i="51"/>
  <c r="N30" i="51" s="1"/>
  <c r="K28" i="51"/>
  <c r="N28" i="51" s="1"/>
  <c r="K26" i="51"/>
  <c r="N26" i="51" s="1"/>
  <c r="K24" i="51"/>
  <c r="N24" i="51" s="1"/>
  <c r="K22" i="51"/>
  <c r="N22" i="51" s="1"/>
  <c r="K20" i="51"/>
  <c r="N20" i="51" s="1"/>
  <c r="K18" i="51"/>
  <c r="N18" i="51" s="1"/>
  <c r="K163" i="51"/>
  <c r="N163" i="51" s="1"/>
  <c r="K161" i="51"/>
  <c r="N161" i="51" s="1"/>
  <c r="K159" i="51"/>
  <c r="N159" i="51" s="1"/>
  <c r="K157" i="51"/>
  <c r="N157" i="51" s="1"/>
  <c r="K155" i="51"/>
  <c r="K153" i="51"/>
  <c r="K151" i="51"/>
  <c r="K149" i="51"/>
  <c r="K147" i="51"/>
  <c r="N147" i="51" s="1"/>
  <c r="K145" i="51"/>
  <c r="N145" i="51" s="1"/>
  <c r="K143" i="51"/>
  <c r="N143" i="51" s="1"/>
  <c r="K141" i="51"/>
  <c r="N141" i="51" s="1"/>
  <c r="K139" i="51"/>
  <c r="K137" i="51"/>
  <c r="N137" i="51" s="1"/>
  <c r="K135" i="51"/>
  <c r="N135" i="51" s="1"/>
  <c r="K133" i="51"/>
  <c r="N133" i="51" s="1"/>
  <c r="K131" i="51"/>
  <c r="N131" i="51" s="1"/>
  <c r="K129" i="51"/>
  <c r="N129" i="51" s="1"/>
  <c r="K127" i="51"/>
  <c r="N127" i="51" s="1"/>
  <c r="K125" i="51"/>
  <c r="N125" i="51" s="1"/>
  <c r="K123" i="51"/>
  <c r="N123" i="51" s="1"/>
  <c r="K121" i="51"/>
  <c r="N121" i="51" s="1"/>
  <c r="K119" i="51"/>
  <c r="N119" i="51" s="1"/>
  <c r="K117" i="51"/>
  <c r="N117" i="51" s="1"/>
  <c r="K115" i="51"/>
  <c r="N115" i="51" s="1"/>
  <c r="K113" i="51"/>
  <c r="N113" i="51" s="1"/>
  <c r="K111" i="51"/>
  <c r="N111" i="51" s="1"/>
  <c r="K109" i="51"/>
  <c r="N109" i="51" s="1"/>
  <c r="K107" i="51"/>
  <c r="N107" i="51" s="1"/>
  <c r="K105" i="51"/>
  <c r="N105" i="51" s="1"/>
  <c r="K103" i="51"/>
  <c r="K101" i="51"/>
  <c r="N101" i="51" s="1"/>
  <c r="K99" i="51"/>
  <c r="N99" i="51" s="1"/>
  <c r="K97" i="51"/>
  <c r="N97" i="51" s="1"/>
  <c r="K95" i="51"/>
  <c r="N95" i="51" s="1"/>
  <c r="K93" i="51"/>
  <c r="N93" i="51" s="1"/>
  <c r="K91" i="51"/>
  <c r="N91" i="51" s="1"/>
  <c r="K89" i="51"/>
  <c r="N89" i="51" s="1"/>
  <c r="K87" i="51"/>
  <c r="N87" i="51" s="1"/>
  <c r="K85" i="51"/>
  <c r="K83" i="51"/>
  <c r="N83" i="51" s="1"/>
  <c r="K81" i="51"/>
  <c r="N81" i="51" s="1"/>
  <c r="K79" i="51"/>
  <c r="N79" i="51" s="1"/>
  <c r="K77" i="51"/>
  <c r="N77" i="51" s="1"/>
  <c r="K75" i="51"/>
  <c r="N75" i="51" s="1"/>
  <c r="K73" i="51"/>
  <c r="N73" i="51" s="1"/>
  <c r="K71" i="51"/>
  <c r="N71" i="51" s="1"/>
  <c r="K69" i="51"/>
  <c r="N69" i="51" s="1"/>
  <c r="K67" i="51"/>
  <c r="N67" i="51" s="1"/>
  <c r="K65" i="51"/>
  <c r="N65" i="51" s="1"/>
  <c r="K63" i="51"/>
  <c r="N63" i="51" s="1"/>
  <c r="K61" i="51"/>
  <c r="N61" i="51" s="1"/>
  <c r="K59" i="51"/>
  <c r="N59" i="51" s="1"/>
  <c r="K57" i="51"/>
  <c r="N57" i="51" s="1"/>
  <c r="K55" i="51"/>
  <c r="N55" i="51" s="1"/>
  <c r="K53" i="51"/>
  <c r="N53" i="51" s="1"/>
  <c r="K51" i="51"/>
  <c r="N51" i="51" s="1"/>
  <c r="K49" i="51"/>
  <c r="K47" i="51"/>
  <c r="N47" i="51" s="1"/>
  <c r="K45" i="51"/>
  <c r="N45" i="51" s="1"/>
  <c r="K43" i="51"/>
  <c r="N43" i="51" s="1"/>
  <c r="K41" i="51"/>
  <c r="N41" i="51" s="1"/>
  <c r="K39" i="51"/>
  <c r="N39" i="51" s="1"/>
  <c r="K37" i="51"/>
  <c r="N37" i="51" s="1"/>
  <c r="K35" i="51"/>
  <c r="N35" i="51" s="1"/>
  <c r="K33" i="51"/>
  <c r="N33" i="51" s="1"/>
  <c r="K31" i="51"/>
  <c r="N31" i="51" s="1"/>
  <c r="K29" i="51"/>
  <c r="N29" i="51" s="1"/>
  <c r="K27" i="51"/>
  <c r="N27" i="51" s="1"/>
  <c r="K25" i="51"/>
  <c r="N25" i="51" s="1"/>
  <c r="K23" i="51"/>
  <c r="N23" i="51" s="1"/>
  <c r="K21" i="51"/>
  <c r="N21" i="51" s="1"/>
  <c r="K19" i="51"/>
  <c r="N19" i="51" s="1"/>
  <c r="K17" i="51"/>
  <c r="N17" i="51" s="1"/>
  <c r="L507" i="51" l="1"/>
  <c r="N499" i="51"/>
  <c r="N103" i="51"/>
  <c r="L138" i="51"/>
  <c r="N139" i="51"/>
  <c r="L147" i="51"/>
  <c r="N151" i="51"/>
  <c r="N155" i="51"/>
  <c r="N148" i="51"/>
  <c r="N152" i="51"/>
  <c r="N156" i="51"/>
  <c r="N220" i="51"/>
  <c r="L228" i="51"/>
  <c r="N256" i="51"/>
  <c r="L264" i="51"/>
  <c r="N211" i="51"/>
  <c r="L219" i="51"/>
  <c r="N149" i="51"/>
  <c r="N153" i="51"/>
  <c r="N150" i="51"/>
  <c r="N154" i="51"/>
  <c r="N229" i="51"/>
  <c r="L237" i="51"/>
  <c r="N265" i="51"/>
  <c r="L273" i="51"/>
  <c r="N40" i="51"/>
  <c r="L48" i="51"/>
  <c r="N76" i="51"/>
  <c r="L84" i="51"/>
  <c r="N184" i="51"/>
  <c r="L192" i="51"/>
  <c r="L201" i="51"/>
  <c r="N193" i="51"/>
  <c r="N49" i="51"/>
  <c r="L57" i="51"/>
  <c r="N85" i="51"/>
  <c r="L93" i="51"/>
  <c r="L21" i="51" s="1"/>
  <c r="N58" i="51"/>
  <c r="L75" i="51"/>
  <c r="N94" i="51"/>
  <c r="L102" i="51"/>
  <c r="L39" i="51" s="1"/>
  <c r="N202" i="51"/>
  <c r="L210" i="51"/>
  <c r="N175" i="51"/>
  <c r="L183" i="51"/>
  <c r="L174" i="51"/>
  <c r="AE19" i="21" l="1"/>
  <c r="AE18" i="21"/>
  <c r="C58" i="27"/>
  <c r="C37" i="27"/>
  <c r="D285" i="27"/>
  <c r="E285" i="27"/>
  <c r="F285" i="27"/>
  <c r="G285" i="27"/>
  <c r="H285" i="27"/>
  <c r="I285" i="27"/>
  <c r="J285" i="27"/>
  <c r="C285" i="27"/>
  <c r="N285" i="27" s="1"/>
  <c r="D37" i="27" l="1"/>
  <c r="O285" i="27"/>
  <c r="P285" i="27" s="1"/>
  <c r="Q285" i="27" s="1"/>
  <c r="R285" i="27" s="1"/>
  <c r="S285" i="27" s="1"/>
  <c r="T285" i="27" s="1"/>
  <c r="J37" i="27" s="1"/>
  <c r="E37" i="27"/>
  <c r="O100" i="21"/>
  <c r="N100" i="21"/>
  <c r="L100" i="21"/>
  <c r="K100" i="21"/>
  <c r="J100" i="21"/>
  <c r="H100" i="21"/>
  <c r="G100" i="21"/>
  <c r="D100" i="21"/>
  <c r="E100" i="21"/>
  <c r="T52" i="26"/>
  <c r="T51" i="26"/>
  <c r="T50" i="26"/>
  <c r="T48" i="26"/>
  <c r="T47" i="26"/>
  <c r="T40" i="26"/>
  <c r="T39" i="26"/>
  <c r="T36" i="26"/>
  <c r="T35" i="26"/>
  <c r="D87" i="26"/>
  <c r="D86" i="26"/>
  <c r="H37" i="27" l="1"/>
  <c r="G37" i="27"/>
  <c r="I37" i="27"/>
  <c r="F37" i="27"/>
  <c r="AB53" i="26" l="1"/>
  <c r="AB52" i="26"/>
  <c r="AC52" i="26" s="1"/>
  <c r="AD52" i="26" s="1"/>
  <c r="AB51" i="26"/>
  <c r="AC51" i="26" s="1"/>
  <c r="AD51" i="26" s="1"/>
  <c r="AB50" i="26"/>
  <c r="AC50" i="26" s="1"/>
  <c r="AD50" i="26" s="1"/>
  <c r="AB49" i="26"/>
  <c r="AC49" i="26" s="1"/>
  <c r="AD49" i="26" s="1"/>
  <c r="AB48" i="26"/>
  <c r="AC48" i="26" s="1"/>
  <c r="AD48" i="26" s="1"/>
  <c r="AB47" i="26"/>
  <c r="AC47" i="26" s="1"/>
  <c r="AD47" i="26" s="1"/>
  <c r="AB46" i="26"/>
  <c r="AC46" i="26" s="1"/>
  <c r="AD46" i="26" s="1"/>
  <c r="AB45" i="26"/>
  <c r="AC45" i="26" s="1"/>
  <c r="AD45" i="26" s="1"/>
  <c r="AB44" i="26"/>
  <c r="AC44" i="26" s="1"/>
  <c r="AD44" i="26" s="1"/>
  <c r="AB33" i="26"/>
  <c r="AC33" i="26" s="1"/>
  <c r="AD33" i="26" s="1"/>
  <c r="AB34" i="26"/>
  <c r="AC34" i="26" s="1"/>
  <c r="AD34" i="26" s="1"/>
  <c r="AB35" i="26"/>
  <c r="AC35" i="26" s="1"/>
  <c r="AD35" i="26" s="1"/>
  <c r="AB36" i="26"/>
  <c r="AC36" i="26" s="1"/>
  <c r="AD36" i="26" s="1"/>
  <c r="AB37" i="26"/>
  <c r="AC37" i="26" s="1"/>
  <c r="AD37" i="26" s="1"/>
  <c r="AB38" i="26"/>
  <c r="AC38" i="26"/>
  <c r="AD38" i="26" s="1"/>
  <c r="AB39" i="26"/>
  <c r="AC39" i="26" s="1"/>
  <c r="AD39" i="26" s="1"/>
  <c r="AB40" i="26"/>
  <c r="AC40" i="26" s="1"/>
  <c r="AD40" i="26" s="1"/>
  <c r="AB41" i="26"/>
  <c r="AB32" i="26"/>
  <c r="AC32" i="26" s="1"/>
  <c r="AD32" i="26" s="1"/>
  <c r="AC41" i="26" l="1"/>
  <c r="AC53" i="26"/>
  <c r="AD53" i="26" l="1"/>
  <c r="AD41" i="26"/>
  <c r="C68" i="27" l="1"/>
  <c r="C69" i="27"/>
  <c r="I393" i="15"/>
  <c r="F393" i="15"/>
  <c r="E393" i="15"/>
  <c r="I366" i="15"/>
  <c r="F366" i="15"/>
  <c r="E366" i="15"/>
  <c r="B121" i="72"/>
  <c r="F359" i="15"/>
  <c r="E359" i="15"/>
  <c r="Q120" i="72" l="1"/>
  <c r="C72" i="27"/>
  <c r="I352" i="15"/>
  <c r="I348" i="15"/>
  <c r="E349" i="15"/>
  <c r="F349" i="15"/>
  <c r="E350" i="15"/>
  <c r="F350" i="15"/>
  <c r="E352" i="15"/>
  <c r="F352" i="15"/>
  <c r="E353" i="15"/>
  <c r="F353" i="15"/>
  <c r="E354" i="15"/>
  <c r="F354" i="15"/>
  <c r="E355" i="15"/>
  <c r="F355" i="15"/>
  <c r="E356" i="15"/>
  <c r="F356" i="15"/>
  <c r="E357" i="15"/>
  <c r="F357" i="15"/>
  <c r="E360" i="15"/>
  <c r="F360" i="15"/>
  <c r="E361" i="15"/>
  <c r="F361" i="15"/>
  <c r="E362" i="15"/>
  <c r="F362" i="15"/>
  <c r="E363" i="15"/>
  <c r="F363" i="15"/>
  <c r="E364" i="15"/>
  <c r="F364" i="15"/>
  <c r="E367" i="15"/>
  <c r="F367" i="15"/>
  <c r="E368" i="15"/>
  <c r="F368" i="15"/>
  <c r="E369" i="15"/>
  <c r="F369" i="15"/>
  <c r="E370" i="15"/>
  <c r="F370" i="15"/>
  <c r="E371" i="15"/>
  <c r="F371" i="15"/>
  <c r="E372" i="15"/>
  <c r="F372" i="15"/>
  <c r="E373" i="15"/>
  <c r="F373" i="15"/>
  <c r="E374" i="15"/>
  <c r="F374" i="15"/>
  <c r="E375" i="15"/>
  <c r="F375" i="15"/>
  <c r="E376" i="15"/>
  <c r="F376" i="15"/>
  <c r="E377" i="15"/>
  <c r="F377" i="15"/>
  <c r="E378" i="15"/>
  <c r="F378" i="15"/>
  <c r="E379" i="15"/>
  <c r="F379" i="15"/>
  <c r="E380" i="15"/>
  <c r="F380" i="15"/>
  <c r="E381" i="15"/>
  <c r="F381" i="15"/>
  <c r="E382" i="15"/>
  <c r="F382" i="15"/>
  <c r="E384" i="15"/>
  <c r="F384" i="15"/>
  <c r="E385" i="15"/>
  <c r="F385" i="15"/>
  <c r="E386" i="15"/>
  <c r="F386" i="15"/>
  <c r="E387" i="15"/>
  <c r="F387" i="15"/>
  <c r="E388" i="15"/>
  <c r="F388" i="15"/>
  <c r="E389" i="15"/>
  <c r="F389" i="15"/>
  <c r="E390" i="15"/>
  <c r="F390" i="15"/>
  <c r="E391" i="15"/>
  <c r="F391" i="15"/>
  <c r="E394" i="15"/>
  <c r="F394" i="15"/>
  <c r="E395" i="15"/>
  <c r="F395" i="15"/>
  <c r="E396" i="15"/>
  <c r="F396" i="15"/>
  <c r="E397" i="15"/>
  <c r="F397" i="15"/>
  <c r="E398" i="15"/>
  <c r="F398" i="15"/>
  <c r="E399" i="15"/>
  <c r="F399" i="15"/>
  <c r="E400" i="15"/>
  <c r="F400" i="15"/>
  <c r="E401" i="15"/>
  <c r="F401" i="15"/>
  <c r="E402" i="15"/>
  <c r="F402" i="15"/>
  <c r="E403" i="15"/>
  <c r="F403" i="15"/>
  <c r="E404" i="15"/>
  <c r="F404" i="15"/>
  <c r="E405" i="15"/>
  <c r="F405" i="15"/>
  <c r="E406" i="15"/>
  <c r="F406" i="15"/>
  <c r="E407" i="15"/>
  <c r="F407" i="15"/>
  <c r="E408" i="15"/>
  <c r="F408" i="15"/>
  <c r="E409" i="15"/>
  <c r="F409" i="15"/>
  <c r="J248" i="29" l="1"/>
  <c r="J249" i="29"/>
  <c r="K249" i="29" s="1"/>
  <c r="H409" i="15" s="1"/>
  <c r="H248" i="29"/>
  <c r="H249" i="29"/>
  <c r="F248" i="29"/>
  <c r="F249" i="29"/>
  <c r="J247" i="29"/>
  <c r="K247" i="29" s="1"/>
  <c r="H407" i="15" s="1"/>
  <c r="H247" i="29"/>
  <c r="F247" i="29"/>
  <c r="J246" i="29"/>
  <c r="K246" i="29" s="1"/>
  <c r="H406" i="15" s="1"/>
  <c r="H246" i="29"/>
  <c r="F246" i="29"/>
  <c r="J243" i="29"/>
  <c r="K243" i="29" s="1"/>
  <c r="H404" i="15" s="1"/>
  <c r="H243" i="29"/>
  <c r="F243" i="29"/>
  <c r="J242" i="29"/>
  <c r="K242" i="29" s="1"/>
  <c r="H403" i="15" s="1"/>
  <c r="H242" i="29"/>
  <c r="F242" i="29"/>
  <c r="J240" i="29"/>
  <c r="K240" i="29" s="1"/>
  <c r="H402" i="15" s="1"/>
  <c r="J238" i="29"/>
  <c r="K238" i="29" s="1"/>
  <c r="H400" i="15" s="1"/>
  <c r="J239" i="29"/>
  <c r="H238" i="29"/>
  <c r="H239" i="29"/>
  <c r="H240" i="29"/>
  <c r="F238" i="29"/>
  <c r="F239" i="29"/>
  <c r="F240" i="29"/>
  <c r="J237" i="29"/>
  <c r="K237" i="29" s="1"/>
  <c r="H399" i="15" s="1"/>
  <c r="H237" i="29"/>
  <c r="F237" i="29"/>
  <c r="J233" i="29"/>
  <c r="K233" i="29" s="1"/>
  <c r="H396" i="15" s="1"/>
  <c r="J234" i="29"/>
  <c r="K234" i="29" s="1"/>
  <c r="H397" i="15" s="1"/>
  <c r="J235" i="29"/>
  <c r="K235" i="29" s="1"/>
  <c r="H398" i="15" s="1"/>
  <c r="H233" i="29"/>
  <c r="H234" i="29"/>
  <c r="H235" i="29"/>
  <c r="F233" i="29"/>
  <c r="F234" i="29"/>
  <c r="F235" i="29"/>
  <c r="J232" i="29"/>
  <c r="K232" i="29" s="1"/>
  <c r="H395" i="15" s="1"/>
  <c r="H232" i="29"/>
  <c r="F232" i="29"/>
  <c r="J231" i="29"/>
  <c r="K231" i="29" s="1"/>
  <c r="H231" i="29"/>
  <c r="F231" i="29"/>
  <c r="K248" i="29"/>
  <c r="H408" i="15" s="1"/>
  <c r="J245" i="29"/>
  <c r="K245" i="29" s="1"/>
  <c r="H405" i="15" s="1"/>
  <c r="H245" i="29"/>
  <c r="F245" i="29"/>
  <c r="K239" i="29"/>
  <c r="H401" i="15" s="1"/>
  <c r="J224" i="29"/>
  <c r="K224" i="29" s="1"/>
  <c r="H389" i="15" s="1"/>
  <c r="J225" i="29"/>
  <c r="K225" i="29" s="1"/>
  <c r="H390" i="15" s="1"/>
  <c r="J226" i="29"/>
  <c r="K226" i="29" s="1"/>
  <c r="H391" i="15" s="1"/>
  <c r="H224" i="29"/>
  <c r="H225" i="29"/>
  <c r="H226" i="29"/>
  <c r="F224" i="29"/>
  <c r="F225" i="29"/>
  <c r="F226" i="29"/>
  <c r="J223" i="29"/>
  <c r="H223" i="29"/>
  <c r="F223" i="29"/>
  <c r="J222" i="29"/>
  <c r="K222" i="29" s="1"/>
  <c r="H387" i="15" s="1"/>
  <c r="H222" i="29"/>
  <c r="F222" i="29"/>
  <c r="J221" i="29"/>
  <c r="H221" i="29"/>
  <c r="F221" i="29"/>
  <c r="J220" i="29"/>
  <c r="H220" i="29"/>
  <c r="F220" i="29"/>
  <c r="K223" i="29"/>
  <c r="H388" i="15" s="1"/>
  <c r="K221" i="29"/>
  <c r="H386" i="15" s="1"/>
  <c r="J215" i="29"/>
  <c r="K215" i="29" s="1"/>
  <c r="H381" i="15" s="1"/>
  <c r="J216" i="29"/>
  <c r="H215" i="29"/>
  <c r="H216" i="29"/>
  <c r="F215" i="29"/>
  <c r="F216" i="29"/>
  <c r="J214" i="29"/>
  <c r="K214" i="29" s="1"/>
  <c r="H380" i="15" s="1"/>
  <c r="H214" i="29"/>
  <c r="F214" i="29"/>
  <c r="J213" i="29"/>
  <c r="H213" i="29"/>
  <c r="F213" i="29"/>
  <c r="J212" i="29"/>
  <c r="K212" i="29" s="1"/>
  <c r="H378" i="15" s="1"/>
  <c r="H212" i="29"/>
  <c r="F212" i="29"/>
  <c r="K216" i="29"/>
  <c r="H382" i="15" s="1"/>
  <c r="K213" i="29"/>
  <c r="H379" i="15" s="1"/>
  <c r="J210" i="29"/>
  <c r="K210" i="29" s="1"/>
  <c r="H377" i="15" s="1"/>
  <c r="H210" i="29"/>
  <c r="F210" i="29"/>
  <c r="J209" i="29"/>
  <c r="K209" i="29" s="1"/>
  <c r="H376" i="15" s="1"/>
  <c r="H209" i="29"/>
  <c r="F209" i="29"/>
  <c r="J208" i="29"/>
  <c r="K208" i="29" s="1"/>
  <c r="H375" i="15" s="1"/>
  <c r="H208" i="29"/>
  <c r="F208" i="29"/>
  <c r="J207" i="29"/>
  <c r="K207" i="29" s="1"/>
  <c r="H374" i="15" s="1"/>
  <c r="H207" i="29"/>
  <c r="F207" i="29"/>
  <c r="J205" i="29"/>
  <c r="K205" i="29" s="1"/>
  <c r="H373" i="15" s="1"/>
  <c r="H205" i="29"/>
  <c r="F205" i="29"/>
  <c r="J204" i="29"/>
  <c r="K204" i="29" s="1"/>
  <c r="H372" i="15" s="1"/>
  <c r="H204" i="29"/>
  <c r="F204" i="29"/>
  <c r="J203" i="29"/>
  <c r="K203" i="29" s="1"/>
  <c r="H371" i="15" s="1"/>
  <c r="H203" i="29"/>
  <c r="F203" i="29"/>
  <c r="J202" i="29"/>
  <c r="K202" i="29" s="1"/>
  <c r="H370" i="15" s="1"/>
  <c r="H202" i="29"/>
  <c r="F202" i="29"/>
  <c r="J198" i="29"/>
  <c r="J199" i="29"/>
  <c r="J200" i="29"/>
  <c r="J197" i="29"/>
  <c r="K197" i="29" s="1"/>
  <c r="H198" i="29"/>
  <c r="H199" i="29"/>
  <c r="H200" i="29"/>
  <c r="H197" i="29"/>
  <c r="F198" i="29"/>
  <c r="F199" i="29"/>
  <c r="F200" i="29"/>
  <c r="F197" i="29"/>
  <c r="H394" i="15" l="1"/>
  <c r="K229" i="29"/>
  <c r="F219" i="29"/>
  <c r="K220" i="29"/>
  <c r="H385" i="15" s="1"/>
  <c r="J219" i="29"/>
  <c r="K219" i="29" s="1"/>
  <c r="H384" i="15" s="1"/>
  <c r="C245" i="29"/>
  <c r="C246" i="29"/>
  <c r="C247" i="29"/>
  <c r="C248" i="29"/>
  <c r="C249" i="29"/>
  <c r="B248" i="29"/>
  <c r="G408" i="15" s="1"/>
  <c r="B249" i="29"/>
  <c r="G409" i="15" s="1"/>
  <c r="B247" i="29"/>
  <c r="G407" i="15" s="1"/>
  <c r="B246" i="29"/>
  <c r="G406" i="15" s="1"/>
  <c r="B245" i="29"/>
  <c r="G405" i="15" s="1"/>
  <c r="C242" i="29"/>
  <c r="C243" i="29"/>
  <c r="B243" i="29"/>
  <c r="G404" i="15" s="1"/>
  <c r="B242" i="29"/>
  <c r="G403" i="15" s="1"/>
  <c r="C237" i="29"/>
  <c r="C238" i="29"/>
  <c r="C239" i="29"/>
  <c r="C240" i="29"/>
  <c r="B238" i="29"/>
  <c r="G400" i="15" s="1"/>
  <c r="B239" i="29"/>
  <c r="G401" i="15" s="1"/>
  <c r="B240" i="29"/>
  <c r="G402" i="15" s="1"/>
  <c r="B237" i="29"/>
  <c r="G399" i="15" s="1"/>
  <c r="C231" i="29"/>
  <c r="C232" i="29"/>
  <c r="C233" i="29"/>
  <c r="C234" i="29"/>
  <c r="C235" i="29"/>
  <c r="B233" i="29"/>
  <c r="G396" i="15" s="1"/>
  <c r="B234" i="29"/>
  <c r="G397" i="15" s="1"/>
  <c r="B235" i="29"/>
  <c r="G398" i="15" s="1"/>
  <c r="B232" i="29"/>
  <c r="G395" i="15" s="1"/>
  <c r="B231" i="29"/>
  <c r="C220" i="29"/>
  <c r="C221" i="29"/>
  <c r="C222" i="29"/>
  <c r="C223" i="29"/>
  <c r="C224" i="29"/>
  <c r="C225" i="29"/>
  <c r="C226" i="29"/>
  <c r="B224" i="29"/>
  <c r="G389" i="15" s="1"/>
  <c r="B225" i="29"/>
  <c r="G390" i="15" s="1"/>
  <c r="B226" i="29"/>
  <c r="G391" i="15" s="1"/>
  <c r="B223" i="29"/>
  <c r="G388" i="15" s="1"/>
  <c r="B222" i="29"/>
  <c r="G387" i="15" s="1"/>
  <c r="B221" i="29"/>
  <c r="G386" i="15" s="1"/>
  <c r="B220" i="29"/>
  <c r="C213" i="29"/>
  <c r="C214" i="29"/>
  <c r="C215" i="29"/>
  <c r="C216" i="29"/>
  <c r="B215" i="29"/>
  <c r="G381" i="15" s="1"/>
  <c r="B216" i="29"/>
  <c r="G382" i="15" s="1"/>
  <c r="B214" i="29"/>
  <c r="G380" i="15" s="1"/>
  <c r="B213" i="29"/>
  <c r="G379" i="15" s="1"/>
  <c r="C212" i="29"/>
  <c r="B212" i="29"/>
  <c r="G378" i="15" s="1"/>
  <c r="C207" i="29"/>
  <c r="C208" i="29"/>
  <c r="C209" i="29"/>
  <c r="C210" i="29"/>
  <c r="B208" i="29"/>
  <c r="G375" i="15" s="1"/>
  <c r="B209" i="29"/>
  <c r="G376" i="15" s="1"/>
  <c r="B210" i="29"/>
  <c r="G377" i="15" s="1"/>
  <c r="B207" i="29"/>
  <c r="G374" i="15" s="1"/>
  <c r="C202" i="29"/>
  <c r="C203" i="29"/>
  <c r="C204" i="29"/>
  <c r="C205" i="29"/>
  <c r="B203" i="29"/>
  <c r="G371" i="15" s="1"/>
  <c r="B204" i="29"/>
  <c r="G372" i="15" s="1"/>
  <c r="B205" i="29"/>
  <c r="G373" i="15" s="1"/>
  <c r="B202" i="29"/>
  <c r="G370" i="15" s="1"/>
  <c r="C197" i="29"/>
  <c r="C198" i="29"/>
  <c r="C199" i="29"/>
  <c r="C200" i="29"/>
  <c r="B198" i="29"/>
  <c r="G367" i="15" s="1"/>
  <c r="B199" i="29"/>
  <c r="G368" i="15" s="1"/>
  <c r="B200" i="29"/>
  <c r="G369" i="15" s="1"/>
  <c r="B197" i="29"/>
  <c r="B119" i="72" s="1"/>
  <c r="J190" i="29"/>
  <c r="K190" i="29" s="1"/>
  <c r="H362" i="15" s="1"/>
  <c r="J191" i="29"/>
  <c r="K191" i="29" s="1"/>
  <c r="H363" i="15" s="1"/>
  <c r="J192" i="29"/>
  <c r="K192" i="29" s="1"/>
  <c r="H364" i="15" s="1"/>
  <c r="J189" i="29"/>
  <c r="J188" i="29"/>
  <c r="J187" i="29"/>
  <c r="H190" i="29"/>
  <c r="H191" i="29"/>
  <c r="H192" i="29"/>
  <c r="H189" i="29"/>
  <c r="H188" i="29"/>
  <c r="H187" i="29"/>
  <c r="F187" i="29"/>
  <c r="F190" i="29"/>
  <c r="F191" i="29"/>
  <c r="F192" i="29"/>
  <c r="F189" i="29"/>
  <c r="F188" i="29"/>
  <c r="C187" i="29"/>
  <c r="C188" i="29"/>
  <c r="C189" i="29"/>
  <c r="C190" i="29"/>
  <c r="C191" i="29"/>
  <c r="C192" i="29"/>
  <c r="B190" i="29"/>
  <c r="G362" i="15" s="1"/>
  <c r="B191" i="29"/>
  <c r="G363" i="15" s="1"/>
  <c r="B192" i="29"/>
  <c r="G364" i="15" s="1"/>
  <c r="B189" i="29"/>
  <c r="B188" i="29"/>
  <c r="B187" i="29"/>
  <c r="G359" i="15" s="1"/>
  <c r="J182" i="29"/>
  <c r="J183" i="29"/>
  <c r="J184" i="29"/>
  <c r="J185" i="29"/>
  <c r="J181" i="29"/>
  <c r="J180" i="29" s="1"/>
  <c r="H185" i="29"/>
  <c r="H184" i="29"/>
  <c r="H183" i="29"/>
  <c r="H182" i="29"/>
  <c r="H181" i="29"/>
  <c r="F185" i="29"/>
  <c r="F184" i="29"/>
  <c r="F183" i="29"/>
  <c r="F182" i="29"/>
  <c r="F181" i="29"/>
  <c r="F180" i="29" s="1"/>
  <c r="C181" i="29"/>
  <c r="C182" i="29"/>
  <c r="C183" i="29"/>
  <c r="C184" i="29"/>
  <c r="C185" i="29"/>
  <c r="B185" i="29"/>
  <c r="B182" i="29"/>
  <c r="B183" i="29"/>
  <c r="B184" i="29"/>
  <c r="B181" i="29"/>
  <c r="B118" i="72" s="1"/>
  <c r="J178" i="29"/>
  <c r="H178" i="29"/>
  <c r="F178" i="29"/>
  <c r="C178" i="29"/>
  <c r="B178" i="29"/>
  <c r="J177" i="29"/>
  <c r="J176" i="29" s="1"/>
  <c r="H177" i="29"/>
  <c r="F177" i="29"/>
  <c r="F176" i="29" s="1"/>
  <c r="C177" i="29"/>
  <c r="B177" i="29"/>
  <c r="B117" i="72" s="1"/>
  <c r="D22" i="27"/>
  <c r="E22" i="27"/>
  <c r="F22" i="27"/>
  <c r="G22" i="27"/>
  <c r="H22" i="27"/>
  <c r="I22" i="27"/>
  <c r="J22" i="27"/>
  <c r="C22" i="27"/>
  <c r="D25" i="27"/>
  <c r="E25" i="27"/>
  <c r="F25" i="27"/>
  <c r="G25" i="27"/>
  <c r="H25" i="27"/>
  <c r="I25" i="27"/>
  <c r="J25" i="27"/>
  <c r="C25" i="27"/>
  <c r="D27" i="27"/>
  <c r="E27" i="27"/>
  <c r="F27" i="27"/>
  <c r="G27" i="27"/>
  <c r="H27" i="27"/>
  <c r="I27" i="27"/>
  <c r="J27" i="27"/>
  <c r="C27" i="27"/>
  <c r="G385" i="15" l="1"/>
  <c r="K25" i="27"/>
  <c r="L25" i="27" s="1"/>
  <c r="M25" i="27" s="1"/>
  <c r="K22" i="27"/>
  <c r="L22" i="27" s="1"/>
  <c r="M22" i="27" s="1"/>
  <c r="G394" i="15"/>
  <c r="D26" i="27"/>
  <c r="E26" i="27"/>
  <c r="F26" i="27"/>
  <c r="G26" i="27"/>
  <c r="H26" i="27"/>
  <c r="I26" i="27"/>
  <c r="J26" i="27"/>
  <c r="C26" i="27"/>
  <c r="C34" i="27" l="1"/>
  <c r="T17" i="21"/>
  <c r="C38" i="21" l="1"/>
  <c r="B36" i="21"/>
  <c r="C161" i="21"/>
  <c r="D161" i="21"/>
  <c r="C37" i="21" s="1"/>
  <c r="E161" i="21"/>
  <c r="B35" i="21" s="1"/>
  <c r="G161" i="21"/>
  <c r="D37" i="21" s="1"/>
  <c r="H161" i="21"/>
  <c r="E37" i="21" s="1"/>
  <c r="J161" i="21"/>
  <c r="F38" i="21" s="1"/>
  <c r="K161" i="21"/>
  <c r="G35" i="21" s="1"/>
  <c r="L161" i="21"/>
  <c r="H35" i="21" s="1"/>
  <c r="N161" i="21"/>
  <c r="I38" i="21" s="1"/>
  <c r="O161" i="21"/>
  <c r="J35" i="21" s="1"/>
  <c r="F25" i="21"/>
  <c r="C125" i="21"/>
  <c r="D125" i="21"/>
  <c r="C25" i="21" s="1"/>
  <c r="E125" i="21"/>
  <c r="B25" i="21" s="1"/>
  <c r="F125" i="21"/>
  <c r="I125" i="21"/>
  <c r="J125" i="21"/>
  <c r="F27" i="21" s="1"/>
  <c r="M125" i="21"/>
  <c r="N125" i="21"/>
  <c r="I27" i="21" s="1"/>
  <c r="O125" i="21"/>
  <c r="J27" i="21" s="1"/>
  <c r="L90" i="21"/>
  <c r="L84" i="21"/>
  <c r="I25" i="21" l="1"/>
  <c r="F35" i="21"/>
  <c r="L83" i="21"/>
  <c r="H14" i="21" s="1"/>
  <c r="H38" i="21"/>
  <c r="J26" i="21"/>
  <c r="H36" i="21"/>
  <c r="C26" i="21"/>
  <c r="C41" i="21"/>
  <c r="D38" i="21"/>
  <c r="J38" i="21"/>
  <c r="I35" i="21"/>
  <c r="B27" i="21"/>
  <c r="C27" i="21"/>
  <c r="F26" i="21"/>
  <c r="F31" i="21" s="1"/>
  <c r="I26" i="21"/>
  <c r="I31" i="21" s="1"/>
  <c r="J25" i="21"/>
  <c r="B37" i="21"/>
  <c r="D35" i="21"/>
  <c r="E38" i="21"/>
  <c r="E41" i="21" s="1"/>
  <c r="F36" i="21"/>
  <c r="G38" i="21"/>
  <c r="G36" i="21"/>
  <c r="I36" i="21"/>
  <c r="J37" i="21"/>
  <c r="B26" i="21"/>
  <c r="B38" i="21"/>
  <c r="B41" i="21" s="1"/>
  <c r="D36" i="21"/>
  <c r="F37" i="21"/>
  <c r="H37" i="21"/>
  <c r="I37" i="21"/>
  <c r="J36" i="21"/>
  <c r="G37" i="21"/>
  <c r="H17" i="21"/>
  <c r="H13" i="21"/>
  <c r="H10" i="21"/>
  <c r="H12" i="21"/>
  <c r="H15" i="21" l="1"/>
  <c r="G41" i="21"/>
  <c r="H9" i="21"/>
  <c r="H21" i="21" s="1"/>
  <c r="H16" i="21"/>
  <c r="H11" i="21"/>
  <c r="B31" i="21"/>
  <c r="C31" i="21"/>
  <c r="H41" i="21"/>
  <c r="F41" i="21"/>
  <c r="J41" i="21"/>
  <c r="I41" i="21"/>
  <c r="D41" i="21"/>
  <c r="J31" i="21"/>
  <c r="H64" i="29" l="1"/>
  <c r="B171" i="21"/>
  <c r="B168" i="21"/>
  <c r="B162" i="21"/>
  <c r="S18" i="21" l="1"/>
  <c r="AF18" i="21" s="1"/>
  <c r="B161" i="21"/>
  <c r="B100" i="21"/>
  <c r="B95" i="21"/>
  <c r="B91" i="21"/>
  <c r="B89" i="21"/>
  <c r="B87" i="21"/>
  <c r="B86" i="21"/>
  <c r="B108" i="21"/>
  <c r="B104" i="21"/>
  <c r="B96" i="21"/>
  <c r="T16" i="21"/>
  <c r="T15" i="21"/>
  <c r="T14" i="21"/>
  <c r="G85" i="21"/>
  <c r="D85" i="21"/>
  <c r="B83" i="21" l="1"/>
  <c r="V50" i="21"/>
  <c r="W50" i="21" s="1"/>
  <c r="X50" i="21" s="1"/>
  <c r="Y50" i="21" s="1"/>
  <c r="Z50" i="21" s="1"/>
  <c r="AA50" i="21" s="1"/>
  <c r="AB50" i="21" s="1"/>
  <c r="AC50" i="21" s="1"/>
  <c r="AD50" i="21" s="1"/>
  <c r="V49" i="21"/>
  <c r="W49" i="21" s="1"/>
  <c r="X49" i="21" s="1"/>
  <c r="Y49" i="21" s="1"/>
  <c r="Z49" i="21" s="1"/>
  <c r="AA49" i="21" s="1"/>
  <c r="AB49" i="21" s="1"/>
  <c r="AC49" i="21" s="1"/>
  <c r="AD49" i="21" s="1"/>
  <c r="C94" i="21"/>
  <c r="C93" i="21"/>
  <c r="N94" i="21"/>
  <c r="J94" i="21"/>
  <c r="O90" i="21"/>
  <c r="K90" i="21"/>
  <c r="K83" i="21" s="1"/>
  <c r="J90" i="21"/>
  <c r="J83" i="21" s="1"/>
  <c r="AD32" i="30"/>
  <c r="AD46" i="30"/>
  <c r="AD44" i="30"/>
  <c r="AD37" i="30"/>
  <c r="AD35" i="30"/>
  <c r="AD31" i="30"/>
  <c r="AD29" i="30"/>
  <c r="AD27" i="30"/>
  <c r="AD25" i="30"/>
  <c r="AD23" i="30"/>
  <c r="AD21" i="30"/>
  <c r="AD19" i="30"/>
  <c r="AD17" i="30"/>
  <c r="AD15" i="30"/>
  <c r="AD13" i="30"/>
  <c r="G17" i="21" l="1"/>
  <c r="G16" i="21"/>
  <c r="G15" i="21"/>
  <c r="G14" i="21"/>
  <c r="G10" i="21"/>
  <c r="G9" i="21"/>
  <c r="G13" i="21"/>
  <c r="G12" i="21"/>
  <c r="G11" i="21"/>
  <c r="F15" i="21"/>
  <c r="F17" i="21"/>
  <c r="F13" i="21"/>
  <c r="B94" i="21"/>
  <c r="I139" i="29"/>
  <c r="F139" i="29"/>
  <c r="E139" i="29"/>
  <c r="D139" i="29"/>
  <c r="I128" i="29"/>
  <c r="F128" i="29"/>
  <c r="E128" i="29"/>
  <c r="D128" i="29"/>
  <c r="I117" i="29"/>
  <c r="F117" i="29"/>
  <c r="E117" i="29"/>
  <c r="D117" i="29"/>
  <c r="I88" i="29"/>
  <c r="F88" i="29"/>
  <c r="E88" i="29"/>
  <c r="D88" i="29"/>
  <c r="I87" i="29"/>
  <c r="F87" i="29"/>
  <c r="E87" i="29"/>
  <c r="D87" i="29"/>
  <c r="I86" i="29"/>
  <c r="F86" i="29"/>
  <c r="E86" i="29"/>
  <c r="D86" i="29"/>
  <c r="I85" i="29"/>
  <c r="F85" i="29"/>
  <c r="E85" i="29"/>
  <c r="D85" i="29"/>
  <c r="I84" i="29"/>
  <c r="F84" i="29"/>
  <c r="E84" i="29"/>
  <c r="D84" i="29"/>
  <c r="I83" i="29"/>
  <c r="F83" i="29"/>
  <c r="H83" i="29" s="1"/>
  <c r="E83" i="29"/>
  <c r="D83" i="29"/>
  <c r="I82" i="29"/>
  <c r="F82" i="29"/>
  <c r="E82" i="29"/>
  <c r="D82" i="29"/>
  <c r="I46" i="29"/>
  <c r="F46" i="29"/>
  <c r="E46" i="29"/>
  <c r="D46" i="29"/>
  <c r="I45" i="29"/>
  <c r="F45" i="29"/>
  <c r="E45" i="29"/>
  <c r="D45" i="29"/>
  <c r="Z84" i="30"/>
  <c r="I100" i="29"/>
  <c r="F100" i="29"/>
  <c r="E100" i="29"/>
  <c r="D100" i="29"/>
  <c r="I99" i="29"/>
  <c r="F99" i="29"/>
  <c r="H99" i="29" s="1"/>
  <c r="E99" i="29"/>
  <c r="D99" i="29"/>
  <c r="I98" i="29"/>
  <c r="F98" i="29"/>
  <c r="E98" i="29"/>
  <c r="D98" i="29"/>
  <c r="I97" i="29"/>
  <c r="F97" i="29"/>
  <c r="E97" i="29"/>
  <c r="D97" i="29"/>
  <c r="I96" i="29"/>
  <c r="F96" i="29"/>
  <c r="E96" i="29"/>
  <c r="D96" i="29"/>
  <c r="D18" i="29"/>
  <c r="D14" i="29"/>
  <c r="I17" i="29"/>
  <c r="F17" i="29"/>
  <c r="H17" i="29" s="1"/>
  <c r="E17" i="29"/>
  <c r="D17" i="29"/>
  <c r="I18" i="29"/>
  <c r="F18" i="29"/>
  <c r="E18" i="29"/>
  <c r="I14" i="29"/>
  <c r="F14" i="29"/>
  <c r="E14" i="29"/>
  <c r="AB24" i="30"/>
  <c r="AB47" i="30"/>
  <c r="G21" i="21" l="1"/>
  <c r="D260" i="27"/>
  <c r="D265" i="27" s="1"/>
  <c r="J54" i="27" l="1"/>
  <c r="E20" i="27"/>
  <c r="F20" i="27"/>
  <c r="G20" i="27"/>
  <c r="H20" i="27"/>
  <c r="I20" i="27"/>
  <c r="J20" i="27"/>
  <c r="K20" i="27" s="1"/>
  <c r="E21" i="27"/>
  <c r="F21" i="27"/>
  <c r="G21" i="27"/>
  <c r="H21" i="27"/>
  <c r="I21" i="27"/>
  <c r="J21" i="27"/>
  <c r="E23" i="27"/>
  <c r="F23" i="27"/>
  <c r="G23" i="27"/>
  <c r="H23" i="27"/>
  <c r="I23" i="27"/>
  <c r="J23" i="27"/>
  <c r="E24" i="27"/>
  <c r="F24" i="27"/>
  <c r="G24" i="27"/>
  <c r="H24" i="27"/>
  <c r="I24" i="27"/>
  <c r="J24" i="27"/>
  <c r="J45" i="27" s="1"/>
  <c r="E28" i="27"/>
  <c r="F28" i="27"/>
  <c r="G28" i="27"/>
  <c r="H28" i="27"/>
  <c r="I28" i="27"/>
  <c r="J28" i="27"/>
  <c r="E29" i="27"/>
  <c r="J29" i="27"/>
  <c r="J89" i="27"/>
  <c r="J90" i="27"/>
  <c r="J91" i="27"/>
  <c r="J92" i="27"/>
  <c r="J80" i="27"/>
  <c r="J81" i="27"/>
  <c r="J82" i="27"/>
  <c r="J83" i="27"/>
  <c r="J84" i="27"/>
  <c r="J276" i="27"/>
  <c r="J274" i="27"/>
  <c r="J272" i="27"/>
  <c r="J269" i="27"/>
  <c r="J260" i="27"/>
  <c r="J265" i="27" s="1"/>
  <c r="E260" i="27"/>
  <c r="E265" i="27" s="1"/>
  <c r="F260" i="27"/>
  <c r="F265" i="27" s="1"/>
  <c r="G260" i="27"/>
  <c r="G265" i="27" s="1"/>
  <c r="H260" i="27"/>
  <c r="H265" i="27" s="1"/>
  <c r="I260" i="27"/>
  <c r="I265" i="27" s="1"/>
  <c r="D208" i="27"/>
  <c r="E208" i="27"/>
  <c r="F208" i="27"/>
  <c r="G208" i="27"/>
  <c r="H208" i="27"/>
  <c r="I208" i="27"/>
  <c r="J208" i="27"/>
  <c r="C208" i="27"/>
  <c r="C207" i="27"/>
  <c r="C206" i="27"/>
  <c r="J206" i="27"/>
  <c r="J207" i="27"/>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26" i="31"/>
  <c r="I29" i="27" l="1"/>
  <c r="F29" i="27"/>
  <c r="G29" i="27"/>
  <c r="J95" i="27"/>
  <c r="H29" i="27"/>
  <c r="J93" i="27"/>
  <c r="J277" i="27"/>
  <c r="J278" i="27"/>
  <c r="J79" i="27"/>
  <c r="J85" i="27" s="1"/>
  <c r="M52" i="27"/>
  <c r="E54" i="27" l="1"/>
  <c r="E10" i="27" s="1"/>
  <c r="F54" i="27"/>
  <c r="F10" i="27" s="1"/>
  <c r="G54" i="27"/>
  <c r="G10" i="27" s="1"/>
  <c r="H54" i="27"/>
  <c r="H10" i="27" s="1"/>
  <c r="C54" i="27"/>
  <c r="C10" i="27" s="1"/>
  <c r="D54" i="27"/>
  <c r="D10" i="27" s="1"/>
  <c r="F346" i="15"/>
  <c r="E346" i="15"/>
  <c r="G346" i="15"/>
  <c r="F344" i="15"/>
  <c r="E344" i="15"/>
  <c r="G344" i="15"/>
  <c r="F343" i="15"/>
  <c r="E343" i="15"/>
  <c r="G343" i="15"/>
  <c r="F342" i="15"/>
  <c r="E342" i="15"/>
  <c r="G342" i="15"/>
  <c r="F333" i="15"/>
  <c r="E333" i="15"/>
  <c r="G333" i="15"/>
  <c r="F332" i="15"/>
  <c r="E332" i="15"/>
  <c r="G332" i="15"/>
  <c r="F331" i="15"/>
  <c r="E331" i="15"/>
  <c r="G331" i="15"/>
  <c r="F330" i="15"/>
  <c r="E330" i="15"/>
  <c r="G330" i="15"/>
  <c r="F329" i="15"/>
  <c r="E329" i="15"/>
  <c r="G329" i="15"/>
  <c r="F328" i="15"/>
  <c r="E328" i="15"/>
  <c r="G328" i="15"/>
  <c r="I169" i="29"/>
  <c r="E169" i="29"/>
  <c r="D169" i="29"/>
  <c r="I168" i="29"/>
  <c r="E168" i="29"/>
  <c r="D168" i="29"/>
  <c r="I167" i="29"/>
  <c r="E167" i="29"/>
  <c r="D167" i="29"/>
  <c r="I166" i="29"/>
  <c r="E166" i="29"/>
  <c r="D166" i="29"/>
  <c r="I165" i="29"/>
  <c r="E165" i="29"/>
  <c r="D165" i="29"/>
  <c r="I164" i="29"/>
  <c r="E164" i="29"/>
  <c r="D164" i="29"/>
  <c r="I161" i="29"/>
  <c r="E161" i="29"/>
  <c r="D161" i="29"/>
  <c r="I160" i="29"/>
  <c r="E160" i="29"/>
  <c r="D160" i="29"/>
  <c r="I159" i="29"/>
  <c r="E159" i="29"/>
  <c r="D159" i="29"/>
  <c r="I158" i="29"/>
  <c r="E158" i="29"/>
  <c r="D158" i="29"/>
  <c r="I157" i="29"/>
  <c r="E157" i="29"/>
  <c r="D157" i="29"/>
  <c r="I156" i="29"/>
  <c r="E156" i="29"/>
  <c r="D156" i="29"/>
  <c r="I155" i="29"/>
  <c r="E155" i="29"/>
  <c r="D155" i="29"/>
  <c r="I154" i="29"/>
  <c r="E154" i="29"/>
  <c r="D154" i="29"/>
  <c r="I153" i="29"/>
  <c r="E153" i="29"/>
  <c r="D153" i="29"/>
  <c r="I152" i="29"/>
  <c r="E152" i="29"/>
  <c r="D152" i="29"/>
  <c r="I151" i="29"/>
  <c r="E151" i="29"/>
  <c r="D151" i="29"/>
  <c r="I147" i="29"/>
  <c r="F147" i="29"/>
  <c r="H147" i="29" s="1"/>
  <c r="E147" i="29"/>
  <c r="D147" i="29"/>
  <c r="I141" i="29"/>
  <c r="F141" i="29"/>
  <c r="H141" i="29" s="1"/>
  <c r="E141" i="29"/>
  <c r="D141" i="29"/>
  <c r="I140" i="29"/>
  <c r="F140" i="29"/>
  <c r="H140" i="29" s="1"/>
  <c r="E140" i="29"/>
  <c r="D140" i="29"/>
  <c r="H139" i="29"/>
  <c r="I138" i="29"/>
  <c r="F138" i="29"/>
  <c r="H138" i="29" s="1"/>
  <c r="E138" i="29"/>
  <c r="D138" i="29"/>
  <c r="I134" i="29"/>
  <c r="F134" i="29"/>
  <c r="H134" i="29" s="1"/>
  <c r="E134" i="29"/>
  <c r="D134" i="29"/>
  <c r="I129" i="29"/>
  <c r="F129" i="29"/>
  <c r="H129" i="29" s="1"/>
  <c r="E129" i="29"/>
  <c r="D129" i="29"/>
  <c r="H128" i="29"/>
  <c r="I127" i="29"/>
  <c r="F127" i="29"/>
  <c r="H127" i="29" s="1"/>
  <c r="E127" i="29"/>
  <c r="D127" i="29"/>
  <c r="AA197" i="30"/>
  <c r="Z197" i="30"/>
  <c r="AA196" i="30"/>
  <c r="Z196" i="30"/>
  <c r="AA194" i="30"/>
  <c r="Z194" i="30"/>
  <c r="AA192" i="30"/>
  <c r="Z192" i="30"/>
  <c r="AA188" i="30"/>
  <c r="Z188" i="30"/>
  <c r="AA187" i="30"/>
  <c r="Z187" i="30"/>
  <c r="AA182" i="30"/>
  <c r="Z182" i="30"/>
  <c r="AA180" i="30"/>
  <c r="Z180" i="30"/>
  <c r="AA179" i="30"/>
  <c r="Z179" i="30"/>
  <c r="AA177" i="30"/>
  <c r="Z177" i="30"/>
  <c r="D119" i="29"/>
  <c r="E119" i="29"/>
  <c r="F119" i="29"/>
  <c r="H119" i="29" s="1"/>
  <c r="I119" i="29"/>
  <c r="I118" i="29"/>
  <c r="F118" i="29"/>
  <c r="H118" i="29" s="1"/>
  <c r="E118" i="29"/>
  <c r="D118" i="29"/>
  <c r="I116" i="29"/>
  <c r="F116" i="29"/>
  <c r="H116" i="29" s="1"/>
  <c r="E116" i="29"/>
  <c r="D116" i="29"/>
  <c r="H87" i="29"/>
  <c r="H86" i="29"/>
  <c r="H84" i="29"/>
  <c r="H82" i="29"/>
  <c r="D75" i="29"/>
  <c r="E75" i="29"/>
  <c r="F75" i="29"/>
  <c r="H75" i="29" s="1"/>
  <c r="I75" i="29"/>
  <c r="D76" i="29"/>
  <c r="E76" i="29"/>
  <c r="F76" i="29"/>
  <c r="H76" i="29" s="1"/>
  <c r="I76" i="29"/>
  <c r="D77" i="29"/>
  <c r="E77" i="29"/>
  <c r="F77" i="29"/>
  <c r="H77" i="29" s="1"/>
  <c r="I77" i="29"/>
  <c r="D78" i="29"/>
  <c r="E78" i="29"/>
  <c r="F78" i="29"/>
  <c r="H78" i="29" s="1"/>
  <c r="I78" i="29"/>
  <c r="D79" i="29"/>
  <c r="E79" i="29"/>
  <c r="F79" i="29"/>
  <c r="H79" i="29" s="1"/>
  <c r="I79" i="29"/>
  <c r="I111" i="29"/>
  <c r="F111" i="29"/>
  <c r="H111" i="29" s="1"/>
  <c r="E111" i="29"/>
  <c r="D111" i="29"/>
  <c r="I70" i="29"/>
  <c r="F70" i="29"/>
  <c r="H70" i="29" s="1"/>
  <c r="E70" i="29"/>
  <c r="D70" i="29"/>
  <c r="I108" i="29"/>
  <c r="F108" i="29"/>
  <c r="H108" i="29" s="1"/>
  <c r="E108" i="29"/>
  <c r="D108" i="29"/>
  <c r="I107" i="29"/>
  <c r="F107" i="29"/>
  <c r="H107" i="29" s="1"/>
  <c r="E107" i="29"/>
  <c r="D107" i="29"/>
  <c r="I106" i="29"/>
  <c r="F106" i="29"/>
  <c r="H106" i="29" s="1"/>
  <c r="E106" i="29"/>
  <c r="D106" i="29"/>
  <c r="I67" i="29"/>
  <c r="F67" i="29"/>
  <c r="H67" i="29" s="1"/>
  <c r="E67" i="29"/>
  <c r="D67" i="29"/>
  <c r="I66" i="29"/>
  <c r="F66" i="29"/>
  <c r="H66" i="29" s="1"/>
  <c r="E66" i="29"/>
  <c r="D66" i="29"/>
  <c r="I65" i="29"/>
  <c r="F65" i="29"/>
  <c r="H65" i="29" s="1"/>
  <c r="E65" i="29"/>
  <c r="D65" i="29"/>
  <c r="I62" i="29"/>
  <c r="F62" i="29"/>
  <c r="H62" i="29" s="1"/>
  <c r="E62" i="29"/>
  <c r="D62" i="29"/>
  <c r="I47" i="29"/>
  <c r="F47" i="29"/>
  <c r="H47" i="29" s="1"/>
  <c r="E47" i="29"/>
  <c r="D47" i="29"/>
  <c r="H46" i="29"/>
  <c r="H45" i="29"/>
  <c r="I44" i="29"/>
  <c r="F44" i="29"/>
  <c r="H44" i="29" s="1"/>
  <c r="E44" i="29"/>
  <c r="D44" i="29"/>
  <c r="I43" i="29"/>
  <c r="F43" i="29"/>
  <c r="H43" i="29" s="1"/>
  <c r="E43" i="29"/>
  <c r="D43" i="29"/>
  <c r="AA94" i="30"/>
  <c r="Z94" i="30"/>
  <c r="AA87" i="30"/>
  <c r="Z87" i="30"/>
  <c r="AA82" i="30"/>
  <c r="Z82" i="30"/>
  <c r="AA80" i="30"/>
  <c r="Z80" i="30"/>
  <c r="D40" i="29"/>
  <c r="I40" i="29"/>
  <c r="F40" i="29"/>
  <c r="H40" i="29" s="1"/>
  <c r="E40" i="29"/>
  <c r="AA78" i="30"/>
  <c r="Z78" i="30"/>
  <c r="AA76" i="30"/>
  <c r="Z76" i="30"/>
  <c r="AA75" i="30"/>
  <c r="Z75" i="30"/>
  <c r="AA74" i="30"/>
  <c r="Z74" i="30"/>
  <c r="I34" i="29"/>
  <c r="F34" i="29"/>
  <c r="H34" i="29" s="1"/>
  <c r="E34" i="29"/>
  <c r="D34" i="29"/>
  <c r="D32" i="29"/>
  <c r="E32" i="29"/>
  <c r="F32" i="29"/>
  <c r="H32" i="29" s="1"/>
  <c r="I32" i="29"/>
  <c r="D33" i="29"/>
  <c r="E33" i="29"/>
  <c r="F33" i="29"/>
  <c r="H33" i="29" s="1"/>
  <c r="I33" i="29"/>
  <c r="I31" i="29"/>
  <c r="F31" i="29"/>
  <c r="H31" i="29" s="1"/>
  <c r="E31" i="29"/>
  <c r="D31" i="29"/>
  <c r="I28" i="29"/>
  <c r="F28" i="29"/>
  <c r="H28" i="29" s="1"/>
  <c r="E28" i="29"/>
  <c r="D28" i="29"/>
  <c r="I27" i="29"/>
  <c r="F27" i="29"/>
  <c r="H27" i="29" s="1"/>
  <c r="E27" i="29"/>
  <c r="D27" i="29"/>
  <c r="I26" i="29"/>
  <c r="F26" i="29"/>
  <c r="H26" i="29" s="1"/>
  <c r="E26" i="29"/>
  <c r="D26" i="29"/>
  <c r="I25" i="29"/>
  <c r="F25" i="29"/>
  <c r="H25" i="29" s="1"/>
  <c r="E25" i="29"/>
  <c r="D25" i="29"/>
  <c r="I24" i="29"/>
  <c r="F24" i="29"/>
  <c r="H24" i="29" s="1"/>
  <c r="E24" i="29"/>
  <c r="D24" i="29"/>
  <c r="AA50" i="30"/>
  <c r="Z50" i="30"/>
  <c r="Z53" i="30"/>
  <c r="AA53" i="30"/>
  <c r="Z57" i="30"/>
  <c r="AA57" i="30"/>
  <c r="Z62" i="30"/>
  <c r="AA62" i="30"/>
  <c r="AA48" i="30"/>
  <c r="Z48" i="30"/>
  <c r="D103" i="29"/>
  <c r="E103" i="29"/>
  <c r="F103" i="29"/>
  <c r="H103" i="29" s="1"/>
  <c r="I103" i="29"/>
  <c r="H100" i="29"/>
  <c r="H98" i="29"/>
  <c r="H97" i="29"/>
  <c r="H96" i="29"/>
  <c r="I21" i="29"/>
  <c r="F21" i="29"/>
  <c r="H21" i="29" s="1"/>
  <c r="E21" i="29"/>
  <c r="D21" i="29"/>
  <c r="H18" i="29"/>
  <c r="I16" i="29"/>
  <c r="F16" i="29"/>
  <c r="H16" i="29" s="1"/>
  <c r="E16" i="29"/>
  <c r="D16" i="29"/>
  <c r="I15" i="29"/>
  <c r="F15" i="29"/>
  <c r="H15" i="29" s="1"/>
  <c r="E15" i="29"/>
  <c r="D15" i="29"/>
  <c r="H14" i="29"/>
  <c r="K200" i="29"/>
  <c r="H369" i="15" s="1"/>
  <c r="K199" i="29"/>
  <c r="H368" i="15" s="1"/>
  <c r="K198" i="29"/>
  <c r="K189" i="29"/>
  <c r="H361" i="15" s="1"/>
  <c r="K188" i="29"/>
  <c r="H360" i="15" s="1"/>
  <c r="K187" i="29"/>
  <c r="H359" i="15" s="1"/>
  <c r="K185" i="29"/>
  <c r="H357" i="15" s="1"/>
  <c r="K184" i="29"/>
  <c r="H356" i="15" s="1"/>
  <c r="K183" i="29"/>
  <c r="H355" i="15" s="1"/>
  <c r="K182" i="29"/>
  <c r="H354" i="15" s="1"/>
  <c r="K181" i="29"/>
  <c r="H353" i="15" s="1"/>
  <c r="K180" i="29"/>
  <c r="H352" i="15" s="1"/>
  <c r="K178" i="29"/>
  <c r="H350" i="15" s="1"/>
  <c r="K177" i="29"/>
  <c r="H349" i="15" s="1"/>
  <c r="K176" i="29"/>
  <c r="H348" i="15" s="1"/>
  <c r="E150" i="29"/>
  <c r="D150" i="29"/>
  <c r="F146" i="29"/>
  <c r="H146" i="29" s="1"/>
  <c r="E146" i="29"/>
  <c r="D146" i="29"/>
  <c r="F145" i="29"/>
  <c r="H145" i="29" s="1"/>
  <c r="E145" i="29"/>
  <c r="D145" i="29"/>
  <c r="F143" i="29"/>
  <c r="H143" i="29" s="1"/>
  <c r="E143" i="29"/>
  <c r="D143" i="29"/>
  <c r="F142" i="29"/>
  <c r="H142" i="29" s="1"/>
  <c r="E142" i="29"/>
  <c r="D142" i="29"/>
  <c r="F137" i="29"/>
  <c r="H137" i="29" s="1"/>
  <c r="E137" i="29"/>
  <c r="D137" i="29"/>
  <c r="F133" i="29"/>
  <c r="H133" i="29" s="1"/>
  <c r="E133" i="29"/>
  <c r="D133" i="29"/>
  <c r="F132" i="29"/>
  <c r="H132" i="29" s="1"/>
  <c r="E132" i="29"/>
  <c r="D132" i="29"/>
  <c r="F126" i="29"/>
  <c r="H126" i="29" s="1"/>
  <c r="E126" i="29"/>
  <c r="D126" i="29"/>
  <c r="F125" i="29"/>
  <c r="H125" i="29" s="1"/>
  <c r="E125" i="29"/>
  <c r="D125" i="29"/>
  <c r="F124" i="29"/>
  <c r="H124" i="29" s="1"/>
  <c r="E124" i="29"/>
  <c r="D124" i="29"/>
  <c r="F123" i="29"/>
  <c r="H123" i="29" s="1"/>
  <c r="E123" i="29"/>
  <c r="D123" i="29"/>
  <c r="F120" i="29"/>
  <c r="H120" i="29" s="1"/>
  <c r="E120" i="29"/>
  <c r="D120" i="29"/>
  <c r="H117" i="29"/>
  <c r="F115" i="29"/>
  <c r="H115" i="29" s="1"/>
  <c r="E115" i="29"/>
  <c r="D115" i="29"/>
  <c r="F112" i="29"/>
  <c r="H112" i="29" s="1"/>
  <c r="E112" i="29"/>
  <c r="D112" i="29"/>
  <c r="F102" i="29"/>
  <c r="H102" i="29" s="1"/>
  <c r="E102" i="29"/>
  <c r="D102" i="29"/>
  <c r="F101" i="29"/>
  <c r="H101" i="29" s="1"/>
  <c r="E101" i="29"/>
  <c r="D101" i="29"/>
  <c r="F95" i="29"/>
  <c r="H95" i="29" s="1"/>
  <c r="E95" i="29"/>
  <c r="D95" i="29"/>
  <c r="F94" i="29"/>
  <c r="H94" i="29" s="1"/>
  <c r="E94" i="29"/>
  <c r="D94" i="29"/>
  <c r="F93" i="29"/>
  <c r="H93" i="29" s="1"/>
  <c r="E93" i="29"/>
  <c r="D93" i="29"/>
  <c r="F92" i="29"/>
  <c r="H92" i="29" s="1"/>
  <c r="E92" i="29"/>
  <c r="D92" i="29"/>
  <c r="F89" i="29"/>
  <c r="H89" i="29" s="1"/>
  <c r="E89" i="29"/>
  <c r="D89" i="29"/>
  <c r="H88" i="29"/>
  <c r="H85" i="29"/>
  <c r="F74" i="29"/>
  <c r="H74" i="29" s="1"/>
  <c r="E74" i="29"/>
  <c r="D74" i="29"/>
  <c r="F71" i="29"/>
  <c r="H71" i="29" s="1"/>
  <c r="E71" i="29"/>
  <c r="D71" i="29"/>
  <c r="F59" i="29"/>
  <c r="H59" i="29" s="1"/>
  <c r="E59" i="29"/>
  <c r="D59" i="29"/>
  <c r="F58" i="29"/>
  <c r="H58" i="29" s="1"/>
  <c r="E58" i="29"/>
  <c r="D58" i="29"/>
  <c r="F57" i="29"/>
  <c r="E57" i="29"/>
  <c r="D57" i="29"/>
  <c r="F56" i="29"/>
  <c r="E56" i="29"/>
  <c r="D56" i="29"/>
  <c r="F53" i="29"/>
  <c r="H53" i="29" s="1"/>
  <c r="E53" i="29"/>
  <c r="D53" i="29"/>
  <c r="F52" i="29"/>
  <c r="H52" i="29" s="1"/>
  <c r="E52" i="29"/>
  <c r="D52" i="29"/>
  <c r="F51" i="29"/>
  <c r="H51" i="29" s="1"/>
  <c r="E51" i="29"/>
  <c r="D51" i="29"/>
  <c r="F50" i="29"/>
  <c r="H50" i="29" s="1"/>
  <c r="E50" i="29"/>
  <c r="D50" i="29"/>
  <c r="F39" i="29"/>
  <c r="H39" i="29" s="1"/>
  <c r="E39" i="29"/>
  <c r="D39" i="29"/>
  <c r="F38" i="29"/>
  <c r="H38" i="29" s="1"/>
  <c r="E38" i="29"/>
  <c r="D38" i="29"/>
  <c r="F37" i="29"/>
  <c r="H37" i="29" s="1"/>
  <c r="E37" i="29"/>
  <c r="D37" i="29"/>
  <c r="F20" i="29"/>
  <c r="H20" i="29" s="1"/>
  <c r="E20" i="29"/>
  <c r="D20" i="29"/>
  <c r="F19" i="29"/>
  <c r="H19" i="29" s="1"/>
  <c r="E19" i="29"/>
  <c r="D19" i="29"/>
  <c r="F13" i="29"/>
  <c r="H13" i="29" s="1"/>
  <c r="E13" i="29"/>
  <c r="D13" i="29"/>
  <c r="F12" i="29"/>
  <c r="H12" i="29" s="1"/>
  <c r="E12" i="29"/>
  <c r="D12" i="29"/>
  <c r="F11" i="29"/>
  <c r="H11" i="29" s="1"/>
  <c r="E11" i="29"/>
  <c r="D11" i="29"/>
  <c r="F10" i="29"/>
  <c r="H10" i="29" s="1"/>
  <c r="E10" i="29"/>
  <c r="D10" i="29"/>
  <c r="F7" i="29"/>
  <c r="H7" i="29" s="1"/>
  <c r="D7" i="29"/>
  <c r="I150" i="29"/>
  <c r="I146" i="29"/>
  <c r="I145" i="29"/>
  <c r="I143" i="29"/>
  <c r="I142" i="29"/>
  <c r="I137" i="29"/>
  <c r="I133" i="29"/>
  <c r="I132" i="29"/>
  <c r="I126" i="29"/>
  <c r="I125" i="29"/>
  <c r="I124" i="29"/>
  <c r="I123" i="29"/>
  <c r="I120" i="29"/>
  <c r="I115" i="29"/>
  <c r="I112" i="29"/>
  <c r="I102" i="29"/>
  <c r="I101" i="29"/>
  <c r="I95" i="29"/>
  <c r="I94" i="29"/>
  <c r="I93" i="29"/>
  <c r="I92" i="29"/>
  <c r="I89" i="29"/>
  <c r="I74" i="29"/>
  <c r="I71" i="29"/>
  <c r="I59" i="29"/>
  <c r="I58" i="29"/>
  <c r="I57" i="29"/>
  <c r="I56" i="29"/>
  <c r="H55" i="29"/>
  <c r="I53" i="29"/>
  <c r="I52" i="29"/>
  <c r="I51" i="29"/>
  <c r="I50" i="29"/>
  <c r="H42" i="29"/>
  <c r="I39" i="29"/>
  <c r="I38" i="29"/>
  <c r="I37" i="29"/>
  <c r="H36" i="29"/>
  <c r="H30" i="29"/>
  <c r="I20" i="29"/>
  <c r="I19" i="29"/>
  <c r="I13" i="29"/>
  <c r="I12" i="29"/>
  <c r="I11" i="29"/>
  <c r="I10" i="29"/>
  <c r="I7" i="29"/>
  <c r="H136" i="29"/>
  <c r="H131" i="29"/>
  <c r="H122" i="29"/>
  <c r="H114" i="29"/>
  <c r="H110" i="29"/>
  <c r="H69" i="29"/>
  <c r="H49" i="29"/>
  <c r="H23" i="29"/>
  <c r="C66" i="26"/>
  <c r="N142" i="26" s="1"/>
  <c r="C67" i="26"/>
  <c r="C75" i="26" s="1"/>
  <c r="N144" i="26"/>
  <c r="N146" i="26"/>
  <c r="N147" i="26"/>
  <c r="N148" i="26"/>
  <c r="N150" i="26"/>
  <c r="J53" i="25"/>
  <c r="I53" i="25"/>
  <c r="H53" i="25"/>
  <c r="G53" i="25"/>
  <c r="F53" i="25"/>
  <c r="E53" i="25"/>
  <c r="D53" i="25"/>
  <c r="J41" i="25"/>
  <c r="I41" i="25"/>
  <c r="H41" i="25"/>
  <c r="G41" i="25"/>
  <c r="F41" i="25"/>
  <c r="E41" i="25"/>
  <c r="D41" i="25"/>
  <c r="E412" i="15"/>
  <c r="E124" i="72" s="1"/>
  <c r="E411" i="15"/>
  <c r="F348" i="15"/>
  <c r="E348" i="15"/>
  <c r="F345" i="15"/>
  <c r="E345" i="15"/>
  <c r="F341" i="15"/>
  <c r="E341" i="15"/>
  <c r="F340" i="15"/>
  <c r="E340" i="15"/>
  <c r="F338" i="15"/>
  <c r="E338" i="15"/>
  <c r="F337" i="15"/>
  <c r="E337" i="15"/>
  <c r="F336" i="15"/>
  <c r="E336" i="15"/>
  <c r="F335" i="15"/>
  <c r="E335" i="15"/>
  <c r="F334" i="15"/>
  <c r="E334" i="15"/>
  <c r="F327" i="15"/>
  <c r="E327" i="15"/>
  <c r="F326" i="15"/>
  <c r="E326" i="15"/>
  <c r="G361" i="15"/>
  <c r="G360" i="15"/>
  <c r="G357" i="15"/>
  <c r="G356" i="15"/>
  <c r="G355" i="15"/>
  <c r="G354" i="15"/>
  <c r="G353" i="15"/>
  <c r="G350" i="15"/>
  <c r="G349" i="15"/>
  <c r="B317" i="11"/>
  <c r="L338" i="15"/>
  <c r="G345" i="15"/>
  <c r="G341" i="15"/>
  <c r="G338" i="15"/>
  <c r="G337" i="15"/>
  <c r="G336" i="15"/>
  <c r="G335" i="15"/>
  <c r="G334" i="15"/>
  <c r="G327" i="15"/>
  <c r="F317" i="11"/>
  <c r="B6" i="31"/>
  <c r="G169" i="29" s="1"/>
  <c r="H169" i="29" s="1"/>
  <c r="J346" i="15" s="1"/>
  <c r="B7" i="31"/>
  <c r="B8" i="31"/>
  <c r="B9" i="31"/>
  <c r="B17" i="31"/>
  <c r="G66" i="26"/>
  <c r="C30" i="28"/>
  <c r="D30" i="28"/>
  <c r="E30" i="28"/>
  <c r="F30" i="28"/>
  <c r="G30" i="28"/>
  <c r="H30" i="28"/>
  <c r="I30" i="28"/>
  <c r="J30" i="28"/>
  <c r="K30" i="28"/>
  <c r="L30" i="28"/>
  <c r="M30" i="28"/>
  <c r="N30" i="28"/>
  <c r="C43" i="28"/>
  <c r="D43" i="28"/>
  <c r="E43" i="28"/>
  <c r="F43" i="28"/>
  <c r="G43" i="28"/>
  <c r="H43" i="28"/>
  <c r="I43" i="28"/>
  <c r="J43" i="28"/>
  <c r="K43" i="28"/>
  <c r="L43" i="28"/>
  <c r="M43" i="28"/>
  <c r="N43" i="28"/>
  <c r="D20" i="27"/>
  <c r="C21" i="27"/>
  <c r="D21" i="27"/>
  <c r="C23" i="27"/>
  <c r="D23" i="27"/>
  <c r="C24" i="27"/>
  <c r="C45" i="27" s="1"/>
  <c r="C8" i="27" s="1"/>
  <c r="D24" i="27"/>
  <c r="D45" i="27" s="1"/>
  <c r="D8" i="27" s="1"/>
  <c r="F45" i="27"/>
  <c r="F8" i="27" s="1"/>
  <c r="G45" i="27"/>
  <c r="G8" i="27" s="1"/>
  <c r="H45" i="27"/>
  <c r="H8" i="27" s="1"/>
  <c r="I45" i="27"/>
  <c r="I8" i="27" s="1"/>
  <c r="C28" i="27"/>
  <c r="D28" i="27"/>
  <c r="E45" i="27"/>
  <c r="E8" i="27" s="1"/>
  <c r="C52" i="27"/>
  <c r="D52" i="27"/>
  <c r="E52" i="27"/>
  <c r="F52" i="27"/>
  <c r="G52" i="27"/>
  <c r="H52" i="27"/>
  <c r="I52" i="27"/>
  <c r="J52" i="27"/>
  <c r="J51" i="27" s="1"/>
  <c r="K52" i="27"/>
  <c r="L52" i="27"/>
  <c r="D206" i="27"/>
  <c r="E206" i="27"/>
  <c r="F206" i="27"/>
  <c r="G206" i="27"/>
  <c r="H206" i="27"/>
  <c r="I206" i="27"/>
  <c r="D207" i="27"/>
  <c r="E207" i="27"/>
  <c r="F207" i="27"/>
  <c r="G207" i="27"/>
  <c r="H207" i="27"/>
  <c r="I207" i="27"/>
  <c r="C260" i="27"/>
  <c r="C265" i="27" s="1"/>
  <c r="E79" i="27"/>
  <c r="C269" i="27"/>
  <c r="H91" i="29" s="1"/>
  <c r="D269" i="27"/>
  <c r="E269" i="27"/>
  <c r="F269" i="27"/>
  <c r="G269" i="27"/>
  <c r="H269" i="27"/>
  <c r="I269" i="27"/>
  <c r="C272" i="27"/>
  <c r="D272" i="27"/>
  <c r="E272" i="27"/>
  <c r="F272" i="27"/>
  <c r="G272" i="27"/>
  <c r="H272" i="27"/>
  <c r="I272" i="27"/>
  <c r="C274" i="27"/>
  <c r="H81" i="29" s="1"/>
  <c r="D274" i="27"/>
  <c r="E274" i="27"/>
  <c r="F274" i="27"/>
  <c r="G274" i="27"/>
  <c r="H274" i="27"/>
  <c r="I274" i="27"/>
  <c r="C276" i="27"/>
  <c r="H73" i="29" s="1"/>
  <c r="D276" i="27"/>
  <c r="E276" i="27"/>
  <c r="F276" i="27"/>
  <c r="G276" i="27"/>
  <c r="H276" i="27"/>
  <c r="I276" i="27"/>
  <c r="D80" i="27"/>
  <c r="E80" i="27"/>
  <c r="F80" i="27"/>
  <c r="G80" i="27"/>
  <c r="H80" i="27"/>
  <c r="I80" i="27"/>
  <c r="C81" i="27"/>
  <c r="D81" i="27"/>
  <c r="E81" i="27"/>
  <c r="F81" i="27"/>
  <c r="G81" i="27"/>
  <c r="H81" i="27"/>
  <c r="I81" i="27"/>
  <c r="C82" i="27"/>
  <c r="D82" i="27"/>
  <c r="E82" i="27"/>
  <c r="F82" i="27"/>
  <c r="G82" i="27"/>
  <c r="H82" i="27"/>
  <c r="I82" i="27"/>
  <c r="C83" i="27"/>
  <c r="D83" i="27"/>
  <c r="E83" i="27"/>
  <c r="F83" i="27"/>
  <c r="G83" i="27"/>
  <c r="H83" i="27"/>
  <c r="I83" i="27"/>
  <c r="C84" i="27"/>
  <c r="D84" i="27"/>
  <c r="E84" i="27"/>
  <c r="F84" i="27"/>
  <c r="G84" i="27"/>
  <c r="H84" i="27"/>
  <c r="I84" i="27"/>
  <c r="C89" i="27"/>
  <c r="D89" i="27"/>
  <c r="E89" i="27"/>
  <c r="F89" i="27"/>
  <c r="G89" i="27"/>
  <c r="H89" i="27"/>
  <c r="I89" i="27"/>
  <c r="C90" i="27"/>
  <c r="D90" i="27"/>
  <c r="E90" i="27"/>
  <c r="F90" i="27"/>
  <c r="G90" i="27"/>
  <c r="H90" i="27"/>
  <c r="I90" i="27"/>
  <c r="C91" i="27"/>
  <c r="D91" i="27"/>
  <c r="E91" i="27"/>
  <c r="F91" i="27"/>
  <c r="G91" i="27"/>
  <c r="H91" i="27"/>
  <c r="I91" i="27"/>
  <c r="C92" i="27"/>
  <c r="D92" i="27"/>
  <c r="E92" i="27"/>
  <c r="F92" i="27"/>
  <c r="G92" i="27"/>
  <c r="H92" i="27"/>
  <c r="I92" i="27"/>
  <c r="P6" i="26"/>
  <c r="J34" i="26" s="1"/>
  <c r="P7" i="26"/>
  <c r="I34" i="26" s="1"/>
  <c r="P8" i="26"/>
  <c r="P9" i="26"/>
  <c r="P10" i="26"/>
  <c r="P11" i="26"/>
  <c r="P12" i="26"/>
  <c r="P13" i="26"/>
  <c r="P14" i="26"/>
  <c r="P15" i="26"/>
  <c r="P16" i="26"/>
  <c r="T37" i="26" s="1"/>
  <c r="P17" i="26"/>
  <c r="P18" i="26"/>
  <c r="T38" i="26" s="1"/>
  <c r="P19" i="26"/>
  <c r="P20" i="26"/>
  <c r="P21" i="26"/>
  <c r="P22" i="26"/>
  <c r="P23" i="26"/>
  <c r="I35" i="26"/>
  <c r="T45" i="26" s="1"/>
  <c r="T46" i="26"/>
  <c r="N96" i="26"/>
  <c r="O96" i="26" s="1"/>
  <c r="M97" i="26"/>
  <c r="N97" i="26" s="1"/>
  <c r="O97" i="26" s="1"/>
  <c r="M98" i="26"/>
  <c r="N98" i="26" s="1"/>
  <c r="C112" i="26" s="1"/>
  <c r="M99" i="26"/>
  <c r="N99" i="26" s="1"/>
  <c r="O99" i="26" s="1"/>
  <c r="M100" i="26"/>
  <c r="N100" i="26" s="1"/>
  <c r="O100" i="26" s="1"/>
  <c r="M101" i="26"/>
  <c r="N101" i="26" s="1"/>
  <c r="C115" i="26" s="1"/>
  <c r="M102" i="26"/>
  <c r="N102" i="26" s="1"/>
  <c r="M103" i="26"/>
  <c r="N103" i="26" s="1"/>
  <c r="M104" i="26"/>
  <c r="N104" i="26" s="1"/>
  <c r="M105" i="26"/>
  <c r="N105" i="26" s="1"/>
  <c r="D110" i="26"/>
  <c r="E110" i="26" s="1"/>
  <c r="F110" i="26" s="1"/>
  <c r="D111" i="26"/>
  <c r="D112" i="26"/>
  <c r="D113" i="26"/>
  <c r="D114" i="26"/>
  <c r="D115" i="26"/>
  <c r="D116" i="26"/>
  <c r="D117" i="26"/>
  <c r="D118" i="26"/>
  <c r="D119" i="26"/>
  <c r="F132" i="26"/>
  <c r="F133" i="26"/>
  <c r="L154" i="26"/>
  <c r="M154" i="26"/>
  <c r="L155" i="26"/>
  <c r="M155" i="26"/>
  <c r="L156" i="26"/>
  <c r="M156" i="26"/>
  <c r="L157" i="26"/>
  <c r="M157" i="26"/>
  <c r="L158" i="26"/>
  <c r="M158" i="26"/>
  <c r="L159" i="26"/>
  <c r="M159" i="26"/>
  <c r="L160" i="26"/>
  <c r="M160" i="26"/>
  <c r="L161" i="26"/>
  <c r="M161" i="26"/>
  <c r="L162" i="26"/>
  <c r="M162" i="26"/>
  <c r="L163" i="26"/>
  <c r="M163" i="26"/>
  <c r="D84" i="21"/>
  <c r="D83" i="21" s="1"/>
  <c r="G84" i="21"/>
  <c r="G83" i="21" s="1"/>
  <c r="O85" i="21"/>
  <c r="O84" i="21" s="1"/>
  <c r="E88" i="21"/>
  <c r="J88" i="21"/>
  <c r="F12" i="21" s="1"/>
  <c r="J111" i="21"/>
  <c r="E92" i="21"/>
  <c r="G92" i="21"/>
  <c r="H93" i="21"/>
  <c r="B93" i="21" s="1"/>
  <c r="E96" i="21"/>
  <c r="E97" i="21"/>
  <c r="G97" i="21"/>
  <c r="J97" i="21"/>
  <c r="F16" i="21" s="1"/>
  <c r="H98" i="21"/>
  <c r="D99" i="21"/>
  <c r="D101" i="21"/>
  <c r="E104" i="21"/>
  <c r="D106" i="21"/>
  <c r="L106" i="21"/>
  <c r="K111" i="21"/>
  <c r="L111" i="21"/>
  <c r="N111" i="21"/>
  <c r="G129" i="21"/>
  <c r="G135" i="21" s="1"/>
  <c r="H129" i="21"/>
  <c r="K129" i="21"/>
  <c r="L129" i="21"/>
  <c r="D135" i="21"/>
  <c r="E135" i="21"/>
  <c r="J135" i="21"/>
  <c r="N135" i="21"/>
  <c r="O135" i="21"/>
  <c r="D175" i="21"/>
  <c r="E175" i="21"/>
  <c r="G175" i="21"/>
  <c r="H175" i="21"/>
  <c r="J175" i="21"/>
  <c r="K175" i="21"/>
  <c r="L175" i="21"/>
  <c r="N175" i="21"/>
  <c r="O175" i="21"/>
  <c r="I66" i="26"/>
  <c r="I74" i="26"/>
  <c r="E66" i="26"/>
  <c r="E74" i="26"/>
  <c r="D66" i="26"/>
  <c r="D74" i="26"/>
  <c r="O162" i="26"/>
  <c r="O160" i="26"/>
  <c r="O158" i="26"/>
  <c r="O156" i="26"/>
  <c r="O154" i="26"/>
  <c r="F95" i="27" l="1"/>
  <c r="G111" i="21"/>
  <c r="I95" i="27"/>
  <c r="G150" i="29"/>
  <c r="H150" i="29" s="1"/>
  <c r="J327" i="15" s="1"/>
  <c r="D111" i="21"/>
  <c r="T44" i="26"/>
  <c r="G80" i="26"/>
  <c r="K80" i="26"/>
  <c r="E80" i="26"/>
  <c r="H80" i="26"/>
  <c r="L80" i="26"/>
  <c r="F80" i="26"/>
  <c r="D80" i="26"/>
  <c r="I80" i="26"/>
  <c r="M80" i="26"/>
  <c r="J80" i="26"/>
  <c r="N80" i="26"/>
  <c r="H95" i="27"/>
  <c r="D95" i="27"/>
  <c r="G200" i="29"/>
  <c r="J369" i="15" s="1"/>
  <c r="E95" i="27"/>
  <c r="G149" i="29"/>
  <c r="H149" i="29" s="1"/>
  <c r="C40" i="27" s="1"/>
  <c r="D40" i="27" s="1"/>
  <c r="E40" i="27" s="1"/>
  <c r="F40" i="27" s="1"/>
  <c r="G40" i="27" s="1"/>
  <c r="H40" i="27" s="1"/>
  <c r="I40" i="27" s="1"/>
  <c r="J40" i="27" s="1"/>
  <c r="C15" i="21"/>
  <c r="T32" i="26"/>
  <c r="G95" i="27"/>
  <c r="C95" i="27"/>
  <c r="C93" i="27"/>
  <c r="E39" i="26"/>
  <c r="E41" i="26"/>
  <c r="I249" i="29"/>
  <c r="I409" i="15" s="1"/>
  <c r="I210" i="29"/>
  <c r="I377" i="15" s="1"/>
  <c r="I246" i="29"/>
  <c r="I406" i="15" s="1"/>
  <c r="I220" i="29"/>
  <c r="I222" i="29"/>
  <c r="I387" i="15" s="1"/>
  <c r="I248" i="29"/>
  <c r="I408" i="15" s="1"/>
  <c r="I200" i="29"/>
  <c r="I205" i="29"/>
  <c r="I373" i="15" s="1"/>
  <c r="I239" i="29"/>
  <c r="I401" i="15" s="1"/>
  <c r="I242" i="29"/>
  <c r="I403" i="15" s="1"/>
  <c r="I187" i="29"/>
  <c r="I177" i="29"/>
  <c r="I349" i="15" s="1"/>
  <c r="I183" i="29"/>
  <c r="I355" i="15" s="1"/>
  <c r="J17" i="29"/>
  <c r="I225" i="29"/>
  <c r="I390" i="15" s="1"/>
  <c r="J83" i="29"/>
  <c r="I216" i="29"/>
  <c r="I382" i="15" s="1"/>
  <c r="I212" i="29"/>
  <c r="I378" i="15" s="1"/>
  <c r="I243" i="29"/>
  <c r="I404" i="15" s="1"/>
  <c r="I224" i="29"/>
  <c r="I389" i="15" s="1"/>
  <c r="I199" i="29"/>
  <c r="I202" i="29"/>
  <c r="I370" i="15" s="1"/>
  <c r="I231" i="29"/>
  <c r="I394" i="15" s="1"/>
  <c r="I215" i="29"/>
  <c r="I381" i="15" s="1"/>
  <c r="I245" i="29"/>
  <c r="I405" i="15" s="1"/>
  <c r="I238" i="29"/>
  <c r="I400" i="15" s="1"/>
  <c r="I182" i="29"/>
  <c r="I184" i="29"/>
  <c r="I191" i="29"/>
  <c r="I363" i="15" s="1"/>
  <c r="I189" i="29"/>
  <c r="I361" i="15" s="1"/>
  <c r="I232" i="29"/>
  <c r="I395" i="15" s="1"/>
  <c r="I188" i="29"/>
  <c r="I223" i="29"/>
  <c r="I388" i="15" s="1"/>
  <c r="I233" i="29"/>
  <c r="I396" i="15" s="1"/>
  <c r="I209" i="29"/>
  <c r="I376" i="15" s="1"/>
  <c r="I247" i="29"/>
  <c r="I407" i="15" s="1"/>
  <c r="I235" i="29"/>
  <c r="I398" i="15" s="1"/>
  <c r="I221" i="29"/>
  <c r="I386" i="15" s="1"/>
  <c r="I240" i="29"/>
  <c r="I402" i="15" s="1"/>
  <c r="I226" i="29"/>
  <c r="I391" i="15" s="1"/>
  <c r="I204" i="29"/>
  <c r="I372" i="15" s="1"/>
  <c r="I208" i="29"/>
  <c r="I375" i="15" s="1"/>
  <c r="I185" i="29"/>
  <c r="I192" i="29"/>
  <c r="I364" i="15" s="1"/>
  <c r="I190" i="29"/>
  <c r="I362" i="15" s="1"/>
  <c r="J99" i="29"/>
  <c r="I214" i="29"/>
  <c r="I380" i="15" s="1"/>
  <c r="I197" i="29"/>
  <c r="I234" i="29"/>
  <c r="I397" i="15" s="1"/>
  <c r="I213" i="29"/>
  <c r="I379" i="15" s="1"/>
  <c r="I203" i="29"/>
  <c r="I371" i="15" s="1"/>
  <c r="I237" i="29"/>
  <c r="I399" i="15" s="1"/>
  <c r="I198" i="29"/>
  <c r="I207" i="29"/>
  <c r="I374" i="15" s="1"/>
  <c r="I178" i="29"/>
  <c r="I181" i="29"/>
  <c r="K154" i="29"/>
  <c r="I331" i="15" s="1"/>
  <c r="K155" i="29"/>
  <c r="K159" i="29"/>
  <c r="K165" i="29"/>
  <c r="K169" i="29"/>
  <c r="I346" i="15" s="1"/>
  <c r="L125" i="21"/>
  <c r="K153" i="29"/>
  <c r="G153" i="29"/>
  <c r="H153" i="29" s="1"/>
  <c r="J330" i="15" s="1"/>
  <c r="K158" i="29"/>
  <c r="K164" i="29"/>
  <c r="K168" i="29"/>
  <c r="G73" i="26"/>
  <c r="K125" i="21"/>
  <c r="G25" i="21" s="1"/>
  <c r="E114" i="26"/>
  <c r="F114" i="26" s="1"/>
  <c r="G163" i="29"/>
  <c r="H163" i="29" s="1"/>
  <c r="C49" i="27" s="1"/>
  <c r="J73" i="26"/>
  <c r="H125" i="21"/>
  <c r="E25" i="21" s="1"/>
  <c r="E83" i="21"/>
  <c r="D13" i="21"/>
  <c r="D17" i="21"/>
  <c r="D10" i="21"/>
  <c r="E113" i="26"/>
  <c r="F113" i="26" s="1"/>
  <c r="G243" i="29"/>
  <c r="J404" i="15" s="1"/>
  <c r="G224" i="29"/>
  <c r="J389" i="15" s="1"/>
  <c r="G234" i="29"/>
  <c r="J397" i="15" s="1"/>
  <c r="G216" i="29"/>
  <c r="J382" i="15" s="1"/>
  <c r="G214" i="29"/>
  <c r="J380" i="15" s="1"/>
  <c r="G212" i="29"/>
  <c r="J378" i="15" s="1"/>
  <c r="G213" i="29"/>
  <c r="J379" i="15" s="1"/>
  <c r="G210" i="29"/>
  <c r="J377" i="15" s="1"/>
  <c r="G242" i="29"/>
  <c r="J403" i="15" s="1"/>
  <c r="G245" i="29"/>
  <c r="J405" i="15" s="1"/>
  <c r="G208" i="29"/>
  <c r="J375" i="15" s="1"/>
  <c r="G233" i="29"/>
  <c r="J396" i="15" s="1"/>
  <c r="G220" i="29"/>
  <c r="G205" i="29"/>
  <c r="J373" i="15" s="1"/>
  <c r="G209" i="29"/>
  <c r="J376" i="15" s="1"/>
  <c r="G248" i="29"/>
  <c r="J408" i="15" s="1"/>
  <c r="G246" i="29"/>
  <c r="J406" i="15" s="1"/>
  <c r="G235" i="29"/>
  <c r="J398" i="15" s="1"/>
  <c r="G221" i="29"/>
  <c r="J386" i="15" s="1"/>
  <c r="G237" i="29"/>
  <c r="J399" i="15" s="1"/>
  <c r="G249" i="29"/>
  <c r="J409" i="15" s="1"/>
  <c r="G215" i="29"/>
  <c r="J381" i="15" s="1"/>
  <c r="G238" i="29"/>
  <c r="J400" i="15" s="1"/>
  <c r="G202" i="29"/>
  <c r="J370" i="15" s="1"/>
  <c r="G232" i="29"/>
  <c r="J395" i="15" s="1"/>
  <c r="G231" i="29"/>
  <c r="G197" i="29"/>
  <c r="G240" i="29"/>
  <c r="J402" i="15" s="1"/>
  <c r="G225" i="29"/>
  <c r="J390" i="15" s="1"/>
  <c r="G204" i="29"/>
  <c r="J372" i="15" s="1"/>
  <c r="G239" i="29"/>
  <c r="J401" i="15" s="1"/>
  <c r="G223" i="29"/>
  <c r="J388" i="15" s="1"/>
  <c r="G226" i="29"/>
  <c r="J391" i="15" s="1"/>
  <c r="G247" i="29"/>
  <c r="J407" i="15" s="1"/>
  <c r="G222" i="29"/>
  <c r="J387" i="15" s="1"/>
  <c r="G207" i="29"/>
  <c r="J374" i="15" s="1"/>
  <c r="G203" i="29"/>
  <c r="J371" i="15" s="1"/>
  <c r="G190" i="29"/>
  <c r="J362" i="15" s="1"/>
  <c r="G191" i="29"/>
  <c r="J363" i="15" s="1"/>
  <c r="G219" i="29"/>
  <c r="G192" i="29"/>
  <c r="J364" i="15" s="1"/>
  <c r="S19" i="21"/>
  <c r="AF19" i="21" s="1"/>
  <c r="K152" i="29"/>
  <c r="I329" i="15" s="1"/>
  <c r="K157" i="29"/>
  <c r="K161" i="29"/>
  <c r="K167" i="29"/>
  <c r="D25" i="21"/>
  <c r="G125" i="21"/>
  <c r="F21" i="21"/>
  <c r="C16" i="21"/>
  <c r="C10" i="21"/>
  <c r="C13" i="21"/>
  <c r="C14" i="21"/>
  <c r="C17" i="21"/>
  <c r="C110" i="26"/>
  <c r="K151" i="29"/>
  <c r="K156" i="29"/>
  <c r="K160" i="29"/>
  <c r="K166" i="29"/>
  <c r="I343" i="15" s="1"/>
  <c r="O104" i="26"/>
  <c r="E118" i="26" s="1"/>
  <c r="C118" i="26"/>
  <c r="O102" i="26"/>
  <c r="E116" i="26" s="1"/>
  <c r="C116" i="26"/>
  <c r="O105" i="26"/>
  <c r="E119" i="26" s="1"/>
  <c r="F119" i="26" s="1"/>
  <c r="G119" i="26" s="1"/>
  <c r="H119" i="26" s="1"/>
  <c r="I119" i="26" s="1"/>
  <c r="J119" i="26" s="1"/>
  <c r="K119" i="26" s="1"/>
  <c r="L119" i="26" s="1"/>
  <c r="M119" i="26" s="1"/>
  <c r="N119" i="26" s="1"/>
  <c r="C119" i="26"/>
  <c r="C117" i="26"/>
  <c r="O103" i="26"/>
  <c r="E117" i="26" s="1"/>
  <c r="E73" i="26"/>
  <c r="G74" i="26"/>
  <c r="I73" i="26"/>
  <c r="E111" i="26"/>
  <c r="G110" i="26"/>
  <c r="H110" i="26" s="1"/>
  <c r="O101" i="26"/>
  <c r="E115" i="26" s="1"/>
  <c r="O98" i="26"/>
  <c r="E112" i="26" s="1"/>
  <c r="E34" i="26"/>
  <c r="E38" i="26"/>
  <c r="C36" i="27"/>
  <c r="AG40" i="21"/>
  <c r="AG20" i="21"/>
  <c r="N265" i="27"/>
  <c r="K150" i="29"/>
  <c r="I327" i="15" s="1"/>
  <c r="H367" i="15"/>
  <c r="K195" i="29"/>
  <c r="J326" i="15"/>
  <c r="S12" i="21"/>
  <c r="S16" i="21"/>
  <c r="S13" i="21"/>
  <c r="S14" i="21"/>
  <c r="S17" i="21"/>
  <c r="S15" i="21"/>
  <c r="S36" i="21"/>
  <c r="S37" i="21"/>
  <c r="S11" i="21"/>
  <c r="S35" i="21"/>
  <c r="S38" i="21"/>
  <c r="O83" i="21"/>
  <c r="N83" i="21"/>
  <c r="B129" i="21"/>
  <c r="B125" i="21" s="1"/>
  <c r="B85" i="21"/>
  <c r="B92" i="21"/>
  <c r="H96" i="21"/>
  <c r="H83" i="21" s="1"/>
  <c r="B98" i="21"/>
  <c r="B97" i="21"/>
  <c r="B99" i="21"/>
  <c r="D88" i="21"/>
  <c r="C12" i="21" s="1"/>
  <c r="G88" i="21"/>
  <c r="H105" i="29"/>
  <c r="D51" i="27"/>
  <c r="D9" i="27" s="1"/>
  <c r="F79" i="27"/>
  <c r="H79" i="27"/>
  <c r="H85" i="27" s="1"/>
  <c r="D79" i="27"/>
  <c r="D85" i="27" s="1"/>
  <c r="H278" i="27"/>
  <c r="F278" i="27"/>
  <c r="D278" i="27"/>
  <c r="H51" i="27"/>
  <c r="H9" i="27" s="1"/>
  <c r="F51" i="27"/>
  <c r="F9" i="27" s="1"/>
  <c r="H135" i="21"/>
  <c r="E105" i="21"/>
  <c r="E111" i="21"/>
  <c r="E40" i="26"/>
  <c r="T49" i="26"/>
  <c r="E37" i="26"/>
  <c r="J35" i="26"/>
  <c r="T33" i="26" s="1"/>
  <c r="E35" i="26"/>
  <c r="I79" i="27"/>
  <c r="I85" i="27" s="1"/>
  <c r="H9" i="29"/>
  <c r="J66" i="26"/>
  <c r="J74" i="26"/>
  <c r="H73" i="26"/>
  <c r="F66" i="26"/>
  <c r="F74" i="26"/>
  <c r="D73" i="26"/>
  <c r="D89" i="26" s="1"/>
  <c r="D13" i="25" s="1"/>
  <c r="G188" i="29"/>
  <c r="J360" i="15" s="1"/>
  <c r="G185" i="29"/>
  <c r="J357" i="15" s="1"/>
  <c r="G176" i="29"/>
  <c r="I368" i="15"/>
  <c r="I353" i="15"/>
  <c r="I369" i="15"/>
  <c r="I354" i="15"/>
  <c r="T34" i="26"/>
  <c r="F73" i="26"/>
  <c r="H74" i="26"/>
  <c r="H66" i="26"/>
  <c r="G181" i="29"/>
  <c r="G199" i="29"/>
  <c r="J368" i="15" s="1"/>
  <c r="G182" i="29"/>
  <c r="J354" i="15" s="1"/>
  <c r="I341" i="15"/>
  <c r="C111" i="26"/>
  <c r="C113" i="26"/>
  <c r="L135" i="21"/>
  <c r="K135" i="21"/>
  <c r="C114" i="26"/>
  <c r="E36" i="26"/>
  <c r="N149" i="26"/>
  <c r="O161" i="26"/>
  <c r="N145" i="26"/>
  <c r="O157" i="26"/>
  <c r="N143" i="26"/>
  <c r="E42" i="26"/>
  <c r="I357" i="15"/>
  <c r="I360" i="15"/>
  <c r="K74" i="26"/>
  <c r="O159" i="26"/>
  <c r="O155" i="26"/>
  <c r="K66" i="26"/>
  <c r="J7" i="29"/>
  <c r="J11" i="29"/>
  <c r="J13" i="29"/>
  <c r="J19" i="29"/>
  <c r="J25" i="29"/>
  <c r="J38" i="29"/>
  <c r="J51" i="29"/>
  <c r="J53" i="29"/>
  <c r="J56" i="29"/>
  <c r="J58" i="29"/>
  <c r="J71" i="29"/>
  <c r="J82" i="29"/>
  <c r="J86" i="29"/>
  <c r="J89" i="29"/>
  <c r="J93" i="29"/>
  <c r="J95" i="29"/>
  <c r="J101" i="29"/>
  <c r="J106" i="29"/>
  <c r="J107" i="29"/>
  <c r="I350" i="15"/>
  <c r="G180" i="29"/>
  <c r="G184" i="29"/>
  <c r="J356" i="15" s="1"/>
  <c r="G187" i="29"/>
  <c r="J359" i="15" s="1"/>
  <c r="G198" i="29"/>
  <c r="J98" i="29"/>
  <c r="J24" i="29"/>
  <c r="J26" i="29"/>
  <c r="J28" i="29"/>
  <c r="J31" i="29"/>
  <c r="J40" i="29"/>
  <c r="J62" i="29"/>
  <c r="J67" i="29"/>
  <c r="J84" i="29"/>
  <c r="I328" i="15"/>
  <c r="I330" i="15"/>
  <c r="I332" i="15"/>
  <c r="I333" i="15"/>
  <c r="I334" i="15"/>
  <c r="I335" i="15"/>
  <c r="I336" i="15"/>
  <c r="I337" i="15"/>
  <c r="I338" i="15"/>
  <c r="I342" i="15"/>
  <c r="I344" i="15"/>
  <c r="I345" i="15"/>
  <c r="I356" i="15"/>
  <c r="I359" i="15"/>
  <c r="I367" i="15"/>
  <c r="G178" i="29"/>
  <c r="J350" i="15" s="1"/>
  <c r="G183" i="29"/>
  <c r="J355" i="15" s="1"/>
  <c r="G177" i="29"/>
  <c r="G189" i="29"/>
  <c r="J361" i="15" s="1"/>
  <c r="J10" i="29"/>
  <c r="J12" i="29"/>
  <c r="J15" i="29"/>
  <c r="J20" i="29"/>
  <c r="J27" i="29"/>
  <c r="J34" i="29"/>
  <c r="J37" i="29"/>
  <c r="J39" i="29"/>
  <c r="J43" i="29"/>
  <c r="J50" i="29"/>
  <c r="J52" i="29"/>
  <c r="J57" i="29"/>
  <c r="J59" i="29"/>
  <c r="J65" i="29"/>
  <c r="J66" i="29"/>
  <c r="J74" i="29"/>
  <c r="J85" i="29"/>
  <c r="J88" i="29"/>
  <c r="J92" i="29"/>
  <c r="J94" i="29"/>
  <c r="J102" i="29"/>
  <c r="J112" i="29"/>
  <c r="J16" i="29"/>
  <c r="J21" i="29"/>
  <c r="J97" i="29"/>
  <c r="J103" i="29"/>
  <c r="J33" i="29"/>
  <c r="J32" i="29"/>
  <c r="J45" i="29"/>
  <c r="J46" i="29"/>
  <c r="J47" i="29"/>
  <c r="J108" i="29"/>
  <c r="J70" i="29"/>
  <c r="J111" i="29"/>
  <c r="J79" i="29"/>
  <c r="J78" i="29"/>
  <c r="J77" i="29"/>
  <c r="J76" i="29"/>
  <c r="J75" i="29"/>
  <c r="G151" i="29"/>
  <c r="H151" i="29" s="1"/>
  <c r="J328" i="15" s="1"/>
  <c r="G154" i="29"/>
  <c r="H154" i="29" s="1"/>
  <c r="J331" i="15" s="1"/>
  <c r="G152" i="29"/>
  <c r="H152" i="29" s="1"/>
  <c r="J329" i="15" s="1"/>
  <c r="G155" i="29"/>
  <c r="H155" i="29" s="1"/>
  <c r="J332" i="15" s="1"/>
  <c r="G156" i="29"/>
  <c r="H156" i="29" s="1"/>
  <c r="J333" i="15" s="1"/>
  <c r="G157" i="29"/>
  <c r="H157" i="29" s="1"/>
  <c r="J334" i="15" s="1"/>
  <c r="G158" i="29"/>
  <c r="H158" i="29" s="1"/>
  <c r="J335" i="15" s="1"/>
  <c r="G159" i="29"/>
  <c r="H159" i="29" s="1"/>
  <c r="J336" i="15" s="1"/>
  <c r="G160" i="29"/>
  <c r="H160" i="29" s="1"/>
  <c r="J337" i="15" s="1"/>
  <c r="G161" i="29"/>
  <c r="H161" i="29" s="1"/>
  <c r="J338" i="15" s="1"/>
  <c r="G164" i="29"/>
  <c r="H164" i="29" s="1"/>
  <c r="J341" i="15" s="1"/>
  <c r="G165" i="29"/>
  <c r="H165" i="29" s="1"/>
  <c r="J342" i="15" s="1"/>
  <c r="G166" i="29"/>
  <c r="H166" i="29" s="1"/>
  <c r="J343" i="15" s="1"/>
  <c r="G167" i="29"/>
  <c r="H167" i="29" s="1"/>
  <c r="J344" i="15" s="1"/>
  <c r="G168" i="29"/>
  <c r="H168" i="29" s="1"/>
  <c r="J345" i="15" s="1"/>
  <c r="F85" i="27"/>
  <c r="G79" i="27"/>
  <c r="G85" i="27" s="1"/>
  <c r="C79" i="27"/>
  <c r="G278" i="27"/>
  <c r="E278" i="27"/>
  <c r="K28" i="27"/>
  <c r="L20" i="27"/>
  <c r="H93" i="27"/>
  <c r="F93" i="27"/>
  <c r="D93" i="27"/>
  <c r="G93" i="27"/>
  <c r="I93" i="27"/>
  <c r="E93" i="27"/>
  <c r="E85" i="27"/>
  <c r="K27" i="27"/>
  <c r="L27" i="27" s="1"/>
  <c r="M27" i="27" s="1"/>
  <c r="M54" i="27" s="1"/>
  <c r="M10" i="27" s="1"/>
  <c r="K23" i="27"/>
  <c r="L23" i="27" s="1"/>
  <c r="M23" i="27" s="1"/>
  <c r="K21" i="27"/>
  <c r="I277" i="27"/>
  <c r="I278" i="27"/>
  <c r="C278" i="27"/>
  <c r="C277" i="27"/>
  <c r="D29" i="27"/>
  <c r="I54" i="27"/>
  <c r="I10" i="27" s="1"/>
  <c r="K26" i="27"/>
  <c r="L26" i="27" s="1"/>
  <c r="M26" i="27" s="1"/>
  <c r="M51" i="27" s="1"/>
  <c r="M9" i="27" s="1"/>
  <c r="C51" i="27"/>
  <c r="C9" i="27" s="1"/>
  <c r="F277" i="27"/>
  <c r="H277" i="27"/>
  <c r="E277" i="27"/>
  <c r="G277" i="27"/>
  <c r="D277" i="27"/>
  <c r="G51" i="27"/>
  <c r="G9" i="27" s="1"/>
  <c r="E51" i="27"/>
  <c r="E9" i="27" s="1"/>
  <c r="K24" i="27"/>
  <c r="I51" i="27"/>
  <c r="I9" i="27" s="1"/>
  <c r="J44" i="29"/>
  <c r="J14" i="29"/>
  <c r="J18" i="29"/>
  <c r="J87" i="29"/>
  <c r="J96" i="29"/>
  <c r="J100" i="29"/>
  <c r="H61" i="29"/>
  <c r="H57" i="29"/>
  <c r="H6" i="29"/>
  <c r="K73" i="26"/>
  <c r="C21" i="21" l="1"/>
  <c r="M81" i="26"/>
  <c r="I385" i="15"/>
  <c r="I384" i="15"/>
  <c r="D81" i="26"/>
  <c r="J349" i="15"/>
  <c r="J117" i="72" s="1"/>
  <c r="D73" i="60"/>
  <c r="D67" i="27"/>
  <c r="J353" i="15"/>
  <c r="J118" i="72" s="1"/>
  <c r="R118" i="72"/>
  <c r="D74" i="60"/>
  <c r="D68" i="27"/>
  <c r="J385" i="15"/>
  <c r="J120" i="72" s="1"/>
  <c r="R120" i="72"/>
  <c r="J384" i="15"/>
  <c r="D69" i="27"/>
  <c r="D75" i="60"/>
  <c r="F81" i="26"/>
  <c r="N81" i="26"/>
  <c r="I81" i="26"/>
  <c r="K81" i="26"/>
  <c r="J340" i="15"/>
  <c r="J81" i="26"/>
  <c r="L81" i="26"/>
  <c r="G81" i="26"/>
  <c r="N277" i="27"/>
  <c r="O277" i="27" s="1"/>
  <c r="E81" i="26"/>
  <c r="H81" i="26"/>
  <c r="D9" i="25"/>
  <c r="D6" i="25"/>
  <c r="D7" i="25"/>
  <c r="D8" i="25"/>
  <c r="D10" i="25"/>
  <c r="H138" i="26"/>
  <c r="H93" i="25" s="1"/>
  <c r="H136" i="26"/>
  <c r="H137" i="26"/>
  <c r="K138" i="26"/>
  <c r="K137" i="26"/>
  <c r="K136" i="26"/>
  <c r="F137" i="26"/>
  <c r="F136" i="26"/>
  <c r="F138" i="26"/>
  <c r="F91" i="25" s="1"/>
  <c r="E136" i="26"/>
  <c r="E137" i="26"/>
  <c r="E138" i="26"/>
  <c r="E93" i="25" s="1"/>
  <c r="D136" i="26"/>
  <c r="D75" i="25" s="1"/>
  <c r="D137" i="26"/>
  <c r="D138" i="26"/>
  <c r="D95" i="25" s="1"/>
  <c r="I136" i="26"/>
  <c r="I137" i="26"/>
  <c r="I138" i="26"/>
  <c r="I93" i="25" s="1"/>
  <c r="N151" i="26"/>
  <c r="C128" i="26" s="1"/>
  <c r="D128" i="26" s="1"/>
  <c r="E128" i="26" s="1"/>
  <c r="F128" i="26" s="1"/>
  <c r="G128" i="26" s="1"/>
  <c r="H128" i="26" s="1"/>
  <c r="I128" i="26" s="1"/>
  <c r="J128" i="26" s="1"/>
  <c r="K128" i="26" s="1"/>
  <c r="L128" i="26" s="1"/>
  <c r="M128" i="26" s="1"/>
  <c r="N128" i="26" s="1"/>
  <c r="I87" i="26"/>
  <c r="G86" i="26"/>
  <c r="F86" i="26"/>
  <c r="I86" i="26"/>
  <c r="K86" i="26"/>
  <c r="J86" i="26"/>
  <c r="E86" i="26"/>
  <c r="E89" i="26" s="1"/>
  <c r="E13" i="25" s="1"/>
  <c r="H86" i="26"/>
  <c r="L86" i="26"/>
  <c r="M86" i="26"/>
  <c r="N86" i="26"/>
  <c r="J87" i="26"/>
  <c r="J348" i="15"/>
  <c r="E67" i="27"/>
  <c r="G229" i="29"/>
  <c r="J394" i="15"/>
  <c r="H27" i="21"/>
  <c r="H26" i="21"/>
  <c r="J352" i="15"/>
  <c r="E68" i="27"/>
  <c r="H94" i="25"/>
  <c r="AB35" i="21"/>
  <c r="W35" i="21"/>
  <c r="AA35" i="21"/>
  <c r="V35" i="21"/>
  <c r="AD35" i="21"/>
  <c r="Y35" i="21"/>
  <c r="X35" i="21"/>
  <c r="Z35" i="21"/>
  <c r="AC35" i="21"/>
  <c r="AA36" i="21"/>
  <c r="AD36" i="21"/>
  <c r="Z36" i="21"/>
  <c r="AB36" i="21"/>
  <c r="AC36" i="21"/>
  <c r="X36" i="21"/>
  <c r="Y36" i="21"/>
  <c r="W36" i="21"/>
  <c r="V36" i="21"/>
  <c r="AC17" i="21"/>
  <c r="AB17" i="21"/>
  <c r="AA17" i="21"/>
  <c r="Z17" i="21"/>
  <c r="Y17" i="21"/>
  <c r="AD17" i="21"/>
  <c r="X17" i="21"/>
  <c r="V17" i="21"/>
  <c r="AD13" i="21"/>
  <c r="AA13" i="21"/>
  <c r="Z13" i="21"/>
  <c r="AB13" i="21"/>
  <c r="Y13" i="21"/>
  <c r="AC13" i="21"/>
  <c r="X13" i="21"/>
  <c r="V13" i="21"/>
  <c r="AB12" i="21"/>
  <c r="AD12" i="21"/>
  <c r="X12" i="21"/>
  <c r="AA12" i="21"/>
  <c r="Y12" i="21"/>
  <c r="W12" i="21"/>
  <c r="P32" i="72" s="1"/>
  <c r="V12" i="21"/>
  <c r="Z12" i="21"/>
  <c r="AC12" i="21"/>
  <c r="H25" i="21"/>
  <c r="B17" i="21"/>
  <c r="B15" i="21"/>
  <c r="B10" i="21"/>
  <c r="B13" i="21"/>
  <c r="B11" i="21"/>
  <c r="G27" i="21"/>
  <c r="G26" i="21"/>
  <c r="X38" i="21"/>
  <c r="AC38" i="21"/>
  <c r="AA38" i="21"/>
  <c r="AD38" i="21"/>
  <c r="Y38" i="21"/>
  <c r="W38" i="21"/>
  <c r="Z38" i="21"/>
  <c r="AB38" i="21"/>
  <c r="V38" i="21"/>
  <c r="Z11" i="21"/>
  <c r="AC11" i="21"/>
  <c r="V11" i="21"/>
  <c r="AA11" i="21"/>
  <c r="W11" i="21"/>
  <c r="P25" i="72" s="1"/>
  <c r="P22" i="72" s="1"/>
  <c r="Q25" i="72" s="1"/>
  <c r="AB11" i="21"/>
  <c r="AD11" i="21"/>
  <c r="X11" i="21"/>
  <c r="Y11" i="21"/>
  <c r="X37" i="21"/>
  <c r="AA37" i="21"/>
  <c r="AD37" i="21"/>
  <c r="AB37" i="21"/>
  <c r="Y37" i="21"/>
  <c r="W37" i="21"/>
  <c r="Z37" i="21"/>
  <c r="AC37" i="21"/>
  <c r="V37" i="21"/>
  <c r="AD15" i="21"/>
  <c r="Y15" i="21"/>
  <c r="W15" i="21"/>
  <c r="P39" i="72" s="1"/>
  <c r="AB15" i="21"/>
  <c r="X15" i="21"/>
  <c r="Z15" i="21"/>
  <c r="AA15" i="21"/>
  <c r="V15" i="21"/>
  <c r="X14" i="21"/>
  <c r="W14" i="21"/>
  <c r="Z14" i="21"/>
  <c r="Y14" i="21"/>
  <c r="AA14" i="21"/>
  <c r="AB14" i="21"/>
  <c r="AC14" i="21"/>
  <c r="AD14" i="21"/>
  <c r="V14" i="21"/>
  <c r="Z16" i="21"/>
  <c r="V16" i="21"/>
  <c r="AB16" i="21"/>
  <c r="AA16" i="21"/>
  <c r="AC16" i="21"/>
  <c r="AD16" i="21"/>
  <c r="W16" i="21"/>
  <c r="P45" i="72" s="1"/>
  <c r="X16" i="21"/>
  <c r="Y16" i="21"/>
  <c r="D26" i="21"/>
  <c r="D27" i="21"/>
  <c r="D21" i="21"/>
  <c r="E27" i="21"/>
  <c r="E26" i="21"/>
  <c r="E31" i="21" s="1"/>
  <c r="B16" i="21"/>
  <c r="F112" i="26"/>
  <c r="F117" i="26"/>
  <c r="F115" i="26"/>
  <c r="I110" i="26"/>
  <c r="J110" i="26" s="1"/>
  <c r="F111" i="26"/>
  <c r="G111" i="26" s="1"/>
  <c r="G113" i="26"/>
  <c r="G114" i="26"/>
  <c r="F116" i="26"/>
  <c r="F118" i="26"/>
  <c r="C94" i="27"/>
  <c r="C12" i="27"/>
  <c r="AG30" i="21"/>
  <c r="D34" i="27"/>
  <c r="O265" i="27"/>
  <c r="J367" i="15"/>
  <c r="G195" i="29"/>
  <c r="C39" i="27"/>
  <c r="C11" i="27" s="1"/>
  <c r="S9" i="21"/>
  <c r="W9" i="21" s="1"/>
  <c r="P7" i="72" s="1"/>
  <c r="S10" i="21"/>
  <c r="K54" i="27"/>
  <c r="K10" i="27" s="1"/>
  <c r="O111" i="21"/>
  <c r="I16" i="21"/>
  <c r="I14" i="21"/>
  <c r="I12" i="21"/>
  <c r="I10" i="21"/>
  <c r="I17" i="21"/>
  <c r="I15" i="21"/>
  <c r="I13" i="21"/>
  <c r="I11" i="21"/>
  <c r="I9" i="21"/>
  <c r="J9" i="21"/>
  <c r="J11" i="21"/>
  <c r="J13" i="21"/>
  <c r="J15" i="21"/>
  <c r="J17" i="21"/>
  <c r="J10" i="21"/>
  <c r="J12" i="21"/>
  <c r="J14" i="21"/>
  <c r="J16" i="21"/>
  <c r="J56" i="21"/>
  <c r="H56" i="21"/>
  <c r="B56" i="21"/>
  <c r="F56" i="21"/>
  <c r="J9" i="27"/>
  <c r="C56" i="21"/>
  <c r="I56" i="21"/>
  <c r="J43" i="26"/>
  <c r="J10" i="27"/>
  <c r="M20" i="27"/>
  <c r="O163" i="26"/>
  <c r="C129" i="26" s="1"/>
  <c r="D129" i="26" s="1"/>
  <c r="E129" i="26" s="1"/>
  <c r="F129" i="26" s="1"/>
  <c r="D36" i="27"/>
  <c r="D12" i="27" s="1"/>
  <c r="I43" i="26"/>
  <c r="D56" i="21"/>
  <c r="B50" i="21"/>
  <c r="C50" i="21" s="1"/>
  <c r="D50" i="21" s="1"/>
  <c r="E50" i="21" s="1"/>
  <c r="F50" i="21" s="1"/>
  <c r="G50" i="21" s="1"/>
  <c r="H50" i="21" s="1"/>
  <c r="I50" i="21" s="1"/>
  <c r="J50" i="21" s="1"/>
  <c r="L50" i="21" s="1"/>
  <c r="K29" i="27"/>
  <c r="L54" i="27"/>
  <c r="L10" i="27" s="1"/>
  <c r="J8" i="27"/>
  <c r="K45" i="27"/>
  <c r="K8" i="27" s="1"/>
  <c r="L24" i="27"/>
  <c r="L28" i="27"/>
  <c r="M28" i="27" s="1"/>
  <c r="L21" i="27"/>
  <c r="K51" i="27"/>
  <c r="K9" i="27" s="1"/>
  <c r="H56" i="29"/>
  <c r="L73" i="26"/>
  <c r="L66" i="26"/>
  <c r="L74" i="26"/>
  <c r="D77" i="60" l="1"/>
  <c r="D71" i="27"/>
  <c r="F73" i="60"/>
  <c r="P36" i="72"/>
  <c r="Q45" i="72" s="1"/>
  <c r="Q39" i="72"/>
  <c r="Q32" i="72"/>
  <c r="D70" i="27"/>
  <c r="D76" i="60"/>
  <c r="U25" i="72"/>
  <c r="T25" i="72"/>
  <c r="E79" i="25"/>
  <c r="E83" i="25"/>
  <c r="Y124" i="72" s="1"/>
  <c r="V412" i="15" s="1"/>
  <c r="E82" i="25"/>
  <c r="E81" i="25"/>
  <c r="E84" i="25"/>
  <c r="Z124" i="72" s="1"/>
  <c r="W412" i="15" s="1"/>
  <c r="E80" i="25"/>
  <c r="F82" i="25"/>
  <c r="F80" i="25"/>
  <c r="F83" i="25"/>
  <c r="F84" i="25"/>
  <c r="F81" i="25"/>
  <c r="H80" i="25"/>
  <c r="H84" i="25"/>
  <c r="H81" i="25"/>
  <c r="H83" i="25"/>
  <c r="H82" i="25"/>
  <c r="D80" i="25"/>
  <c r="D83" i="25"/>
  <c r="D81" i="25"/>
  <c r="D84" i="25"/>
  <c r="D82" i="25"/>
  <c r="E67" i="25"/>
  <c r="E69" i="25"/>
  <c r="E72" i="25"/>
  <c r="E68" i="25"/>
  <c r="E71" i="25"/>
  <c r="E70" i="25"/>
  <c r="K68" i="25"/>
  <c r="K69" i="25"/>
  <c r="K70" i="25"/>
  <c r="K71" i="25"/>
  <c r="K72" i="25"/>
  <c r="H68" i="25"/>
  <c r="H69" i="25"/>
  <c r="H70" i="25"/>
  <c r="H71" i="25"/>
  <c r="H72" i="25"/>
  <c r="I83" i="25"/>
  <c r="I81" i="25"/>
  <c r="I80" i="25"/>
  <c r="I84" i="25"/>
  <c r="I82" i="25"/>
  <c r="K81" i="25"/>
  <c r="K83" i="25"/>
  <c r="K80" i="25"/>
  <c r="K84" i="25"/>
  <c r="K82" i="25"/>
  <c r="I75" i="25"/>
  <c r="I68" i="25"/>
  <c r="I69" i="25"/>
  <c r="I70" i="25"/>
  <c r="I71" i="25"/>
  <c r="I72" i="25"/>
  <c r="F68" i="25"/>
  <c r="F72" i="25"/>
  <c r="F69" i="25"/>
  <c r="F70" i="25"/>
  <c r="F71" i="25"/>
  <c r="D58" i="27"/>
  <c r="F89" i="26"/>
  <c r="F13" i="25" s="1"/>
  <c r="K40" i="26"/>
  <c r="K41" i="26"/>
  <c r="K42" i="26"/>
  <c r="L40" i="26"/>
  <c r="L42" i="26"/>
  <c r="L41" i="26"/>
  <c r="D31" i="21"/>
  <c r="G31" i="21"/>
  <c r="H91" i="25"/>
  <c r="E69" i="27"/>
  <c r="E70" i="27"/>
  <c r="D98" i="25"/>
  <c r="D14" i="25"/>
  <c r="F99" i="25"/>
  <c r="F96" i="25"/>
  <c r="E99" i="25"/>
  <c r="F97" i="25"/>
  <c r="F92" i="25"/>
  <c r="F94" i="25"/>
  <c r="F93" i="25"/>
  <c r="F95" i="25"/>
  <c r="F98" i="25"/>
  <c r="E8" i="25"/>
  <c r="AC53" i="72" s="1"/>
  <c r="E6" i="25"/>
  <c r="AA53" i="72" s="1"/>
  <c r="E10" i="25"/>
  <c r="AE53" i="72" s="1"/>
  <c r="E9" i="25"/>
  <c r="AD53" i="72" s="1"/>
  <c r="D91" i="25"/>
  <c r="I94" i="25"/>
  <c r="I96" i="25"/>
  <c r="D94" i="25"/>
  <c r="D96" i="25"/>
  <c r="I99" i="25"/>
  <c r="I92" i="25"/>
  <c r="D97" i="25"/>
  <c r="D99" i="25"/>
  <c r="D92" i="25"/>
  <c r="I95" i="25"/>
  <c r="I97" i="25"/>
  <c r="G138" i="26"/>
  <c r="G137" i="26"/>
  <c r="G85" i="25" s="1"/>
  <c r="G136" i="26"/>
  <c r="D93" i="25"/>
  <c r="I98" i="25"/>
  <c r="I91" i="25"/>
  <c r="J137" i="26"/>
  <c r="J138" i="26"/>
  <c r="J94" i="25" s="1"/>
  <c r="J136" i="26"/>
  <c r="C127" i="26"/>
  <c r="K87" i="26"/>
  <c r="M87" i="26"/>
  <c r="E85" i="25"/>
  <c r="E87" i="26"/>
  <c r="E7" i="25" s="1"/>
  <c r="AB53" i="72" s="1"/>
  <c r="F87" i="26"/>
  <c r="N87" i="26"/>
  <c r="H87" i="26"/>
  <c r="G87" i="26"/>
  <c r="L87" i="26"/>
  <c r="E97" i="25"/>
  <c r="H95" i="25"/>
  <c r="E95" i="25"/>
  <c r="H98" i="25"/>
  <c r="H92" i="25"/>
  <c r="E87" i="25"/>
  <c r="E92" i="25"/>
  <c r="H99" i="25"/>
  <c r="E98" i="25"/>
  <c r="H97" i="25"/>
  <c r="H79" i="25"/>
  <c r="E96" i="25"/>
  <c r="H96" i="25"/>
  <c r="E91" i="25"/>
  <c r="H73" i="25"/>
  <c r="E94" i="25"/>
  <c r="AB10" i="21"/>
  <c r="AB27" i="21" s="1"/>
  <c r="AD10" i="21"/>
  <c r="AD27" i="21" s="1"/>
  <c r="X10" i="21"/>
  <c r="X27" i="21" s="1"/>
  <c r="V10" i="21"/>
  <c r="V27" i="21" s="1"/>
  <c r="AC10" i="21"/>
  <c r="AC27" i="21" s="1"/>
  <c r="AA10" i="21"/>
  <c r="AA27" i="21" s="1"/>
  <c r="Y10" i="21"/>
  <c r="Y27" i="21" s="1"/>
  <c r="Z10" i="21"/>
  <c r="Z27" i="21" s="1"/>
  <c r="W10" i="21"/>
  <c r="P10" i="72" s="1"/>
  <c r="B21" i="21"/>
  <c r="H31" i="21"/>
  <c r="H393" i="15"/>
  <c r="J393" i="15"/>
  <c r="F75" i="25"/>
  <c r="AB9" i="21"/>
  <c r="AA9" i="21"/>
  <c r="V9" i="21"/>
  <c r="Z9" i="21"/>
  <c r="AC9" i="21"/>
  <c r="Y9" i="21"/>
  <c r="AD9" i="21"/>
  <c r="X9" i="21"/>
  <c r="E74" i="25"/>
  <c r="E75" i="25"/>
  <c r="P277" i="27"/>
  <c r="E58" i="27"/>
  <c r="G118" i="26"/>
  <c r="G116" i="26"/>
  <c r="H114" i="26"/>
  <c r="H113" i="26"/>
  <c r="K110" i="26"/>
  <c r="L110" i="26" s="1"/>
  <c r="G115" i="26"/>
  <c r="E86" i="25"/>
  <c r="E73" i="25"/>
  <c r="H111" i="26"/>
  <c r="I111" i="26" s="1"/>
  <c r="G117" i="26"/>
  <c r="G112" i="26"/>
  <c r="E34" i="27"/>
  <c r="P265" i="27"/>
  <c r="C48" i="27"/>
  <c r="C5" i="27" s="1"/>
  <c r="D43" i="25" s="1"/>
  <c r="D49" i="27"/>
  <c r="E49" i="27" s="1"/>
  <c r="F49" i="27" s="1"/>
  <c r="G49" i="27" s="1"/>
  <c r="H49" i="27" s="1"/>
  <c r="I49" i="27" s="1"/>
  <c r="J49" i="27" s="1"/>
  <c r="J366" i="15"/>
  <c r="H366" i="15"/>
  <c r="D39" i="27"/>
  <c r="D11" i="27" s="1"/>
  <c r="D35" i="25"/>
  <c r="D39" i="25"/>
  <c r="D34" i="25"/>
  <c r="D38" i="25"/>
  <c r="D33" i="25"/>
  <c r="D37" i="25"/>
  <c r="D32" i="25"/>
  <c r="D36" i="25"/>
  <c r="D31" i="25"/>
  <c r="I21" i="21"/>
  <c r="J21" i="21"/>
  <c r="H67" i="25"/>
  <c r="F73" i="25"/>
  <c r="F74" i="25"/>
  <c r="F86" i="25"/>
  <c r="K91" i="25"/>
  <c r="J145" i="29"/>
  <c r="J141" i="29"/>
  <c r="J137" i="29"/>
  <c r="J124" i="29"/>
  <c r="J123" i="29"/>
  <c r="J120" i="29"/>
  <c r="J115" i="29"/>
  <c r="J147" i="29"/>
  <c r="J140" i="29"/>
  <c r="J143" i="29"/>
  <c r="J132" i="29"/>
  <c r="J127" i="29"/>
  <c r="J119" i="29"/>
  <c r="J117" i="29"/>
  <c r="J146" i="29"/>
  <c r="J139" i="29"/>
  <c r="J134" i="29"/>
  <c r="J126" i="29"/>
  <c r="J129" i="29"/>
  <c r="J116" i="29"/>
  <c r="J138" i="29"/>
  <c r="J142" i="29"/>
  <c r="J133" i="29"/>
  <c r="J125" i="29"/>
  <c r="J128" i="29"/>
  <c r="J118" i="29"/>
  <c r="E56" i="21"/>
  <c r="K38" i="26"/>
  <c r="K39" i="26"/>
  <c r="K35" i="26"/>
  <c r="K34" i="26"/>
  <c r="E36" i="27"/>
  <c r="E12" i="27" s="1"/>
  <c r="K37" i="26"/>
  <c r="L34" i="26"/>
  <c r="L36" i="26"/>
  <c r="L39" i="26"/>
  <c r="L37" i="26"/>
  <c r="L38" i="26"/>
  <c r="G56" i="21"/>
  <c r="H74" i="25"/>
  <c r="M21" i="27"/>
  <c r="M24" i="27"/>
  <c r="M45" i="27" s="1"/>
  <c r="M8" i="27" s="1"/>
  <c r="K36" i="26"/>
  <c r="D94" i="27"/>
  <c r="L35" i="26"/>
  <c r="B49" i="21"/>
  <c r="C49" i="21" s="1"/>
  <c r="D49" i="21" s="1"/>
  <c r="E49" i="21" s="1"/>
  <c r="F49" i="21" s="1"/>
  <c r="G49" i="21" s="1"/>
  <c r="H49" i="21" s="1"/>
  <c r="I49" i="21" s="1"/>
  <c r="J49" i="21" s="1"/>
  <c r="L49" i="21" s="1"/>
  <c r="G129" i="26"/>
  <c r="F67" i="25"/>
  <c r="F85" i="25"/>
  <c r="D127" i="26"/>
  <c r="F87" i="25"/>
  <c r="F79" i="25"/>
  <c r="K85" i="25"/>
  <c r="L29" i="27"/>
  <c r="M29" i="27" s="1"/>
  <c r="L45" i="27"/>
  <c r="L8" i="27" s="1"/>
  <c r="L51" i="27"/>
  <c r="L9" i="27" s="1"/>
  <c r="E127" i="26"/>
  <c r="D86" i="25"/>
  <c r="D85" i="25"/>
  <c r="D87" i="25"/>
  <c r="D79" i="25"/>
  <c r="I87" i="25"/>
  <c r="I85" i="25"/>
  <c r="I86" i="25"/>
  <c r="I79" i="25"/>
  <c r="I67" i="25"/>
  <c r="I74" i="25"/>
  <c r="I73" i="25"/>
  <c r="M66" i="26"/>
  <c r="M74" i="26"/>
  <c r="M73" i="26"/>
  <c r="D72" i="25"/>
  <c r="D67" i="25"/>
  <c r="D70" i="25"/>
  <c r="D74" i="25"/>
  <c r="D69" i="25"/>
  <c r="D73" i="25"/>
  <c r="D71" i="25"/>
  <c r="D68" i="25"/>
  <c r="D76" i="25" l="1"/>
  <c r="E76" i="25"/>
  <c r="V123" i="72"/>
  <c r="S411" i="15" s="1"/>
  <c r="D88" i="25"/>
  <c r="P4" i="72"/>
  <c r="Q7" i="72" s="1"/>
  <c r="T7" i="72" s="1"/>
  <c r="U7" i="72" s="1"/>
  <c r="W124" i="72"/>
  <c r="T412" i="15" s="1"/>
  <c r="U32" i="72"/>
  <c r="T32" i="72"/>
  <c r="X124" i="72"/>
  <c r="U412" i="15" s="1"/>
  <c r="U39" i="72"/>
  <c r="T39" i="72"/>
  <c r="D46" i="25"/>
  <c r="G89" i="26"/>
  <c r="G8" i="25" s="1"/>
  <c r="AF53" i="72"/>
  <c r="E88" i="25"/>
  <c r="V124" i="72"/>
  <c r="S412" i="15" s="1"/>
  <c r="U45" i="72"/>
  <c r="T45" i="72"/>
  <c r="I88" i="25"/>
  <c r="H88" i="25"/>
  <c r="F88" i="25"/>
  <c r="K88" i="25"/>
  <c r="K76" i="25"/>
  <c r="F76" i="25"/>
  <c r="I76" i="25"/>
  <c r="H76" i="25"/>
  <c r="R119" i="72"/>
  <c r="J119" i="72"/>
  <c r="R121" i="72"/>
  <c r="J121" i="72"/>
  <c r="Z90" i="72"/>
  <c r="W210" i="15" s="1"/>
  <c r="Z75" i="72"/>
  <c r="W184" i="15" s="1"/>
  <c r="AE75" i="72"/>
  <c r="Z65" i="72"/>
  <c r="W149" i="15" s="1"/>
  <c r="Z57" i="72"/>
  <c r="W127" i="15" s="1"/>
  <c r="AE65" i="72"/>
  <c r="AE57" i="72"/>
  <c r="AE90" i="72"/>
  <c r="W75" i="72"/>
  <c r="T184" i="15" s="1"/>
  <c r="AB90" i="72"/>
  <c r="AB75" i="72"/>
  <c r="W65" i="72"/>
  <c r="T149" i="15" s="1"/>
  <c r="AB65" i="72"/>
  <c r="W90" i="72"/>
  <c r="T210" i="15" s="1"/>
  <c r="W57" i="72"/>
  <c r="T127" i="15" s="1"/>
  <c r="AB57" i="72"/>
  <c r="V90" i="72"/>
  <c r="S210" i="15" s="1"/>
  <c r="AA90" i="72"/>
  <c r="V75" i="72"/>
  <c r="S184" i="15" s="1"/>
  <c r="AA75" i="72"/>
  <c r="V65" i="72"/>
  <c r="S149" i="15" s="1"/>
  <c r="AA65" i="72"/>
  <c r="V57" i="72"/>
  <c r="S127" i="15" s="1"/>
  <c r="AA57" i="72"/>
  <c r="X65" i="72"/>
  <c r="U149" i="15" s="1"/>
  <c r="X57" i="72"/>
  <c r="U127" i="15" s="1"/>
  <c r="AC65" i="72"/>
  <c r="AC57" i="72"/>
  <c r="AC90" i="72"/>
  <c r="X90" i="72"/>
  <c r="U210" i="15" s="1"/>
  <c r="X75" i="72"/>
  <c r="U184" i="15" s="1"/>
  <c r="AC75" i="72"/>
  <c r="Y90" i="72"/>
  <c r="V210" i="15" s="1"/>
  <c r="Y57" i="72"/>
  <c r="V127" i="15" s="1"/>
  <c r="AD57" i="72"/>
  <c r="Y75" i="72"/>
  <c r="V184" i="15" s="1"/>
  <c r="AD90" i="72"/>
  <c r="AD75" i="72"/>
  <c r="Y65" i="72"/>
  <c r="V149" i="15" s="1"/>
  <c r="AD65" i="72"/>
  <c r="Z123" i="72"/>
  <c r="W411" i="15" s="1"/>
  <c r="X123" i="72"/>
  <c r="U411" i="15" s="1"/>
  <c r="W123" i="72"/>
  <c r="T411" i="15" s="1"/>
  <c r="Y123" i="72"/>
  <c r="V411" i="15" s="1"/>
  <c r="G79" i="25"/>
  <c r="G81" i="25"/>
  <c r="G80" i="25"/>
  <c r="G82" i="25"/>
  <c r="G83" i="25"/>
  <c r="G84" i="25"/>
  <c r="J75" i="25"/>
  <c r="J68" i="25"/>
  <c r="J69" i="25"/>
  <c r="J70" i="25"/>
  <c r="J71" i="25"/>
  <c r="J72" i="25"/>
  <c r="J87" i="25"/>
  <c r="J82" i="25"/>
  <c r="J81" i="25"/>
  <c r="J83" i="25"/>
  <c r="J80" i="25"/>
  <c r="J84" i="25"/>
  <c r="G69" i="25"/>
  <c r="G70" i="25"/>
  <c r="G71" i="25"/>
  <c r="G68" i="25"/>
  <c r="G72" i="25"/>
  <c r="W27" i="21"/>
  <c r="F8" i="25"/>
  <c r="F10" i="25"/>
  <c r="F6" i="25"/>
  <c r="F7" i="25"/>
  <c r="F9" i="25"/>
  <c r="J91" i="25"/>
  <c r="G67" i="25"/>
  <c r="G75" i="25"/>
  <c r="J92" i="25"/>
  <c r="J99" i="25"/>
  <c r="E14" i="25"/>
  <c r="D48" i="25"/>
  <c r="F67" i="27"/>
  <c r="E71" i="27"/>
  <c r="E72" i="27" s="1"/>
  <c r="D49" i="25"/>
  <c r="J93" i="25"/>
  <c r="J97" i="25"/>
  <c r="J96" i="25"/>
  <c r="J98" i="25"/>
  <c r="J95" i="25"/>
  <c r="G87" i="25"/>
  <c r="G86" i="25"/>
  <c r="F100" i="25"/>
  <c r="J73" i="25"/>
  <c r="L43" i="26"/>
  <c r="J86" i="25"/>
  <c r="J85" i="25"/>
  <c r="J79" i="25"/>
  <c r="J67" i="25"/>
  <c r="J74" i="25"/>
  <c r="I100" i="25"/>
  <c r="L136" i="26"/>
  <c r="L138" i="26"/>
  <c r="L94" i="25" s="1"/>
  <c r="L137" i="26"/>
  <c r="G93" i="25"/>
  <c r="G95" i="25"/>
  <c r="G96" i="25"/>
  <c r="G94" i="25"/>
  <c r="G98" i="25"/>
  <c r="G91" i="25"/>
  <c r="G92" i="25"/>
  <c r="G97" i="25"/>
  <c r="G99" i="25"/>
  <c r="G74" i="25"/>
  <c r="G73" i="25"/>
  <c r="H100" i="25"/>
  <c r="H87" i="25"/>
  <c r="H75" i="25"/>
  <c r="H85" i="25"/>
  <c r="H86" i="25"/>
  <c r="E100" i="25"/>
  <c r="K75" i="25"/>
  <c r="D48" i="27"/>
  <c r="D5" i="27" s="1"/>
  <c r="E43" i="25" s="1"/>
  <c r="Q277" i="27"/>
  <c r="F58" i="27"/>
  <c r="D47" i="25"/>
  <c r="D45" i="25"/>
  <c r="H112" i="26"/>
  <c r="H117" i="26"/>
  <c r="H115" i="26"/>
  <c r="M110" i="26"/>
  <c r="I113" i="26"/>
  <c r="I114" i="26"/>
  <c r="H116" i="26"/>
  <c r="H118" i="26"/>
  <c r="K92" i="25"/>
  <c r="J111" i="26"/>
  <c r="D51" i="25"/>
  <c r="D50" i="25"/>
  <c r="D44" i="25"/>
  <c r="F34" i="27"/>
  <c r="F33" i="27" s="1"/>
  <c r="F6" i="27" s="1"/>
  <c r="Q265" i="27"/>
  <c r="E39" i="27"/>
  <c r="E11" i="27" s="1"/>
  <c r="E51" i="25"/>
  <c r="E45" i="25"/>
  <c r="E50" i="25"/>
  <c r="E49" i="25"/>
  <c r="E47" i="25"/>
  <c r="E31" i="25"/>
  <c r="E33" i="25"/>
  <c r="E35" i="25"/>
  <c r="E37" i="25"/>
  <c r="E39" i="25"/>
  <c r="E32" i="25"/>
  <c r="E34" i="25"/>
  <c r="E36" i="25"/>
  <c r="E38" i="25"/>
  <c r="E48" i="27"/>
  <c r="E5" i="27" s="1"/>
  <c r="K94" i="25"/>
  <c r="K93" i="25"/>
  <c r="K95" i="25"/>
  <c r="K96" i="25"/>
  <c r="K97" i="25"/>
  <c r="K98" i="25"/>
  <c r="K99" i="25"/>
  <c r="K67" i="25"/>
  <c r="K86" i="25"/>
  <c r="K87" i="25"/>
  <c r="E94" i="27"/>
  <c r="K43" i="26"/>
  <c r="K73" i="25"/>
  <c r="K74" i="25"/>
  <c r="K56" i="21"/>
  <c r="F36" i="27"/>
  <c r="F12" i="27" s="1"/>
  <c r="H129" i="26"/>
  <c r="K79" i="25"/>
  <c r="D40" i="25"/>
  <c r="D100" i="25"/>
  <c r="F127" i="26"/>
  <c r="N73" i="26"/>
  <c r="N66" i="26"/>
  <c r="N74" i="26"/>
  <c r="G13" i="25" l="1"/>
  <c r="G9" i="25"/>
  <c r="G6" i="25"/>
  <c r="G7" i="25"/>
  <c r="AA54" i="72"/>
  <c r="AB54" i="72"/>
  <c r="G10" i="25"/>
  <c r="AE54" i="72"/>
  <c r="I67" i="27"/>
  <c r="L67" i="27" s="1"/>
  <c r="I7" i="27" s="1"/>
  <c r="H72" i="27"/>
  <c r="AC54" i="72"/>
  <c r="AD54" i="72"/>
  <c r="H89" i="26"/>
  <c r="H13" i="25" s="1"/>
  <c r="Q10" i="72"/>
  <c r="T10" i="72" s="1"/>
  <c r="J88" i="25"/>
  <c r="G88" i="25"/>
  <c r="G76" i="25"/>
  <c r="J76" i="25"/>
  <c r="L75" i="25"/>
  <c r="L68" i="25"/>
  <c r="L72" i="25"/>
  <c r="L71" i="25"/>
  <c r="L70" i="25"/>
  <c r="L69" i="25"/>
  <c r="L80" i="25"/>
  <c r="L84" i="25"/>
  <c r="L82" i="25"/>
  <c r="L81" i="25"/>
  <c r="L83" i="25"/>
  <c r="K111" i="26"/>
  <c r="F14" i="25"/>
  <c r="N110" i="26"/>
  <c r="G7" i="27"/>
  <c r="G42" i="27" s="1"/>
  <c r="J7" i="27"/>
  <c r="J42" i="27" s="1"/>
  <c r="C7" i="27"/>
  <c r="D63" i="25" s="1"/>
  <c r="D7" i="27"/>
  <c r="D42" i="27" s="1"/>
  <c r="K7" i="27"/>
  <c r="L62" i="25" s="1"/>
  <c r="H7" i="27"/>
  <c r="H42" i="27" s="1"/>
  <c r="E7" i="27"/>
  <c r="F55" i="25" s="1"/>
  <c r="F7" i="27"/>
  <c r="G61" i="25" s="1"/>
  <c r="E46" i="25"/>
  <c r="E44" i="25"/>
  <c r="E48" i="25"/>
  <c r="L97" i="25"/>
  <c r="J100" i="25"/>
  <c r="L95" i="25"/>
  <c r="L93" i="25"/>
  <c r="L91" i="25"/>
  <c r="L96" i="25"/>
  <c r="L98" i="25"/>
  <c r="L99" i="25"/>
  <c r="L92" i="25"/>
  <c r="N137" i="26"/>
  <c r="N138" i="26"/>
  <c r="N136" i="26"/>
  <c r="M136" i="26"/>
  <c r="M137" i="26"/>
  <c r="M138" i="26"/>
  <c r="M94" i="25" s="1"/>
  <c r="G100" i="25"/>
  <c r="R277" i="27"/>
  <c r="G58" i="27"/>
  <c r="L111" i="26"/>
  <c r="I118" i="26"/>
  <c r="I116" i="26"/>
  <c r="J114" i="26"/>
  <c r="J113" i="26"/>
  <c r="I115" i="26"/>
  <c r="I117" i="26"/>
  <c r="I112" i="26"/>
  <c r="D52" i="25"/>
  <c r="G34" i="27"/>
  <c r="G33" i="27" s="1"/>
  <c r="G6" i="27" s="1"/>
  <c r="R265" i="27"/>
  <c r="E40" i="25"/>
  <c r="F43" i="25"/>
  <c r="F45" i="25"/>
  <c r="F47" i="25"/>
  <c r="F49" i="25"/>
  <c r="F51" i="25"/>
  <c r="F44" i="25"/>
  <c r="F46" i="25"/>
  <c r="F48" i="25"/>
  <c r="F50" i="25"/>
  <c r="F34" i="25"/>
  <c r="F38" i="25"/>
  <c r="F35" i="25"/>
  <c r="F33" i="25"/>
  <c r="F32" i="25"/>
  <c r="F36" i="25"/>
  <c r="F31" i="25"/>
  <c r="F39" i="25"/>
  <c r="F37" i="25"/>
  <c r="F48" i="27"/>
  <c r="F5" i="27" s="1"/>
  <c r="F39" i="27"/>
  <c r="F11" i="27" s="1"/>
  <c r="K100" i="25"/>
  <c r="G36" i="27"/>
  <c r="G12" i="27" s="1"/>
  <c r="J63" i="25"/>
  <c r="J61" i="25"/>
  <c r="J55" i="25"/>
  <c r="I42" i="27"/>
  <c r="J62" i="25"/>
  <c r="F94" i="27"/>
  <c r="I129" i="26"/>
  <c r="I55" i="21"/>
  <c r="G127" i="26"/>
  <c r="L74" i="25"/>
  <c r="L67" i="25"/>
  <c r="L73" i="25"/>
  <c r="L86" i="25"/>
  <c r="L79" i="25"/>
  <c r="L85" i="25"/>
  <c r="L87" i="25"/>
  <c r="L7" i="27"/>
  <c r="H6" i="25" l="1"/>
  <c r="H8" i="25"/>
  <c r="G14" i="25"/>
  <c r="H10" i="25"/>
  <c r="H7" i="25"/>
  <c r="U10" i="72"/>
  <c r="U3" i="72" s="1"/>
  <c r="I72" i="27"/>
  <c r="I73" i="60" s="1"/>
  <c r="A69" i="27"/>
  <c r="T120" i="72" s="1"/>
  <c r="A71" i="27"/>
  <c r="T121" i="72" s="1"/>
  <c r="A70" i="27"/>
  <c r="T119" i="72" s="1"/>
  <c r="A68" i="27"/>
  <c r="T118" i="72" s="1"/>
  <c r="A67" i="27"/>
  <c r="T117" i="72" s="1"/>
  <c r="H9" i="25"/>
  <c r="L88" i="25"/>
  <c r="L76" i="25"/>
  <c r="N82" i="25"/>
  <c r="N84" i="25"/>
  <c r="N81" i="25"/>
  <c r="N83" i="25"/>
  <c r="N80" i="25"/>
  <c r="N70" i="25"/>
  <c r="N69" i="25"/>
  <c r="N68" i="25"/>
  <c r="N72" i="25"/>
  <c r="N71" i="25"/>
  <c r="M83" i="25"/>
  <c r="M82" i="25"/>
  <c r="M80" i="25"/>
  <c r="M84" i="25"/>
  <c r="M81" i="25"/>
  <c r="M75" i="25"/>
  <c r="M69" i="25"/>
  <c r="M68" i="25"/>
  <c r="M72" i="25"/>
  <c r="M71" i="25"/>
  <c r="M70" i="25"/>
  <c r="H63" i="25"/>
  <c r="I89" i="26"/>
  <c r="H55" i="25"/>
  <c r="H62" i="25"/>
  <c r="H61" i="25"/>
  <c r="K42" i="27"/>
  <c r="K63" i="25"/>
  <c r="K61" i="25"/>
  <c r="K55" i="25"/>
  <c r="I61" i="25"/>
  <c r="F63" i="25"/>
  <c r="D62" i="25"/>
  <c r="F62" i="25"/>
  <c r="K62" i="25"/>
  <c r="D55" i="25"/>
  <c r="E42" i="27"/>
  <c r="D61" i="25"/>
  <c r="G63" i="25"/>
  <c r="E55" i="25"/>
  <c r="E61" i="25"/>
  <c r="F61" i="25"/>
  <c r="F42" i="27"/>
  <c r="E62" i="25"/>
  <c r="G62" i="25"/>
  <c r="E52" i="25"/>
  <c r="I62" i="25"/>
  <c r="I55" i="25"/>
  <c r="I63" i="25"/>
  <c r="L55" i="25"/>
  <c r="L63" i="25"/>
  <c r="L61" i="25"/>
  <c r="E63" i="25"/>
  <c r="G55" i="25"/>
  <c r="C42" i="27"/>
  <c r="M97" i="25"/>
  <c r="M99" i="25"/>
  <c r="M93" i="25"/>
  <c r="M96" i="25"/>
  <c r="M98" i="25"/>
  <c r="M91" i="25"/>
  <c r="M95" i="25"/>
  <c r="M92" i="25"/>
  <c r="S277" i="27"/>
  <c r="H58" i="27"/>
  <c r="J112" i="26"/>
  <c r="J89" i="26" s="1"/>
  <c r="J117" i="26"/>
  <c r="J115" i="26"/>
  <c r="K113" i="26"/>
  <c r="K114" i="26"/>
  <c r="J116" i="26"/>
  <c r="J118" i="26"/>
  <c r="M111" i="26"/>
  <c r="H34" i="27"/>
  <c r="S265" i="27"/>
  <c r="F40" i="25"/>
  <c r="G31" i="25"/>
  <c r="G35" i="25"/>
  <c r="G39" i="25"/>
  <c r="G38" i="25"/>
  <c r="G36" i="25"/>
  <c r="G33" i="25"/>
  <c r="G37" i="25"/>
  <c r="G34" i="25"/>
  <c r="G32" i="25"/>
  <c r="G48" i="27"/>
  <c r="G5" i="27" s="1"/>
  <c r="G39" i="27"/>
  <c r="G11" i="27" s="1"/>
  <c r="G44" i="25"/>
  <c r="G47" i="25"/>
  <c r="G50" i="25"/>
  <c r="G45" i="25"/>
  <c r="G48" i="25"/>
  <c r="G43" i="25"/>
  <c r="G51" i="25"/>
  <c r="G49" i="25"/>
  <c r="G46" i="25"/>
  <c r="F52" i="25"/>
  <c r="AC40" i="21"/>
  <c r="AC41" i="21" s="1"/>
  <c r="X40" i="21"/>
  <c r="X41" i="21" s="1"/>
  <c r="AE35" i="21"/>
  <c r="AF35" i="21" s="1"/>
  <c r="V40" i="21"/>
  <c r="AK35" i="21" s="1"/>
  <c r="AE38" i="21"/>
  <c r="AF38" i="21" s="1"/>
  <c r="AA40" i="21"/>
  <c r="AA41" i="21" s="1"/>
  <c r="AD40" i="21"/>
  <c r="AD41" i="21" s="1"/>
  <c r="AB40" i="21"/>
  <c r="AB41" i="21" s="1"/>
  <c r="Y40" i="21"/>
  <c r="Y41" i="21" s="1"/>
  <c r="AE37" i="21"/>
  <c r="AF37" i="21" s="1"/>
  <c r="AE36" i="21"/>
  <c r="AF36" i="21" s="1"/>
  <c r="W40" i="21"/>
  <c r="W41" i="21" s="1"/>
  <c r="AP38" i="21"/>
  <c r="AP36" i="21"/>
  <c r="Z40" i="21"/>
  <c r="Z41" i="21" s="1"/>
  <c r="G94" i="27"/>
  <c r="H36" i="27"/>
  <c r="H12" i="27" s="1"/>
  <c r="N75" i="25"/>
  <c r="N92" i="25"/>
  <c r="M7" i="27"/>
  <c r="J129" i="26"/>
  <c r="H55" i="21"/>
  <c r="F55" i="21"/>
  <c r="D55" i="21"/>
  <c r="B55" i="21"/>
  <c r="C55" i="21"/>
  <c r="J55" i="21"/>
  <c r="N97" i="25"/>
  <c r="L100" i="25"/>
  <c r="M73" i="25"/>
  <c r="M74" i="25"/>
  <c r="M67" i="25"/>
  <c r="M87" i="25"/>
  <c r="M85" i="25"/>
  <c r="M86" i="25"/>
  <c r="M79" i="25"/>
  <c r="H127" i="26"/>
  <c r="M63" i="25"/>
  <c r="M55" i="25"/>
  <c r="L42" i="27"/>
  <c r="M61" i="25"/>
  <c r="M62" i="25"/>
  <c r="T122" i="72" l="1"/>
  <c r="H14" i="25"/>
  <c r="M88" i="25"/>
  <c r="D19" i="60"/>
  <c r="E19" i="60" s="1"/>
  <c r="AF22" i="72"/>
  <c r="N88" i="25"/>
  <c r="M76" i="25"/>
  <c r="N76" i="25"/>
  <c r="I13" i="25"/>
  <c r="I6" i="25"/>
  <c r="I7" i="25"/>
  <c r="I9" i="25"/>
  <c r="I8" i="25"/>
  <c r="J10" i="25"/>
  <c r="I10" i="25"/>
  <c r="J13" i="25"/>
  <c r="J7" i="25"/>
  <c r="J6" i="25"/>
  <c r="J8" i="25"/>
  <c r="J9" i="25"/>
  <c r="M100" i="25"/>
  <c r="T277" i="27"/>
  <c r="J58" i="27" s="1"/>
  <c r="I58" i="27"/>
  <c r="N111" i="26"/>
  <c r="K118" i="26"/>
  <c r="K116" i="26"/>
  <c r="L114" i="26"/>
  <c r="L113" i="26"/>
  <c r="K115" i="26"/>
  <c r="K117" i="26"/>
  <c r="K112" i="26"/>
  <c r="AK37" i="21"/>
  <c r="AR36" i="21"/>
  <c r="AR38" i="21"/>
  <c r="I34" i="27"/>
  <c r="T265" i="27"/>
  <c r="J34" i="27" s="1"/>
  <c r="AQ35" i="21"/>
  <c r="AK38" i="21"/>
  <c r="G40" i="25"/>
  <c r="H39" i="27"/>
  <c r="H11" i="27" s="1"/>
  <c r="H44" i="25"/>
  <c r="H45" i="25"/>
  <c r="H49" i="25"/>
  <c r="H43" i="25"/>
  <c r="H47" i="25"/>
  <c r="H51" i="25"/>
  <c r="H50" i="25"/>
  <c r="H46" i="25"/>
  <c r="H48" i="25"/>
  <c r="G52" i="25"/>
  <c r="H32" i="25"/>
  <c r="H36" i="25"/>
  <c r="H33" i="25"/>
  <c r="H31" i="25"/>
  <c r="H39" i="25"/>
  <c r="H34" i="25"/>
  <c r="H38" i="25"/>
  <c r="H37" i="25"/>
  <c r="H35" i="25"/>
  <c r="H48" i="27"/>
  <c r="H5" i="27" s="1"/>
  <c r="AS36" i="21"/>
  <c r="AS38" i="21"/>
  <c r="AK36" i="21"/>
  <c r="AM36" i="21"/>
  <c r="AM38" i="21"/>
  <c r="AM35" i="21"/>
  <c r="AL35" i="21"/>
  <c r="AP35" i="21"/>
  <c r="AO35" i="21"/>
  <c r="AL37" i="21"/>
  <c r="AN35" i="21"/>
  <c r="AQ37" i="21"/>
  <c r="AS35" i="21"/>
  <c r="AP37" i="21"/>
  <c r="AL36" i="21"/>
  <c r="AL38" i="21"/>
  <c r="AE40" i="21"/>
  <c r="V41" i="21"/>
  <c r="AM37" i="21"/>
  <c r="AN36" i="21"/>
  <c r="AN38" i="21"/>
  <c r="AR35" i="21"/>
  <c r="AO37" i="21"/>
  <c r="AN37" i="21"/>
  <c r="AS37" i="21"/>
  <c r="AO36" i="21"/>
  <c r="AO38" i="21"/>
  <c r="AR37" i="21"/>
  <c r="AQ36" i="21"/>
  <c r="AQ38" i="21"/>
  <c r="C57" i="27"/>
  <c r="I36" i="27"/>
  <c r="I12" i="27" s="1"/>
  <c r="N91" i="25"/>
  <c r="N95" i="25"/>
  <c r="N93" i="25"/>
  <c r="N96" i="25"/>
  <c r="N94" i="25"/>
  <c r="N99" i="25"/>
  <c r="N98" i="25"/>
  <c r="H94" i="27"/>
  <c r="K129" i="26"/>
  <c r="N55" i="25"/>
  <c r="N62" i="25"/>
  <c r="N61" i="25"/>
  <c r="M42" i="27"/>
  <c r="N63" i="25"/>
  <c r="N67" i="25"/>
  <c r="N74" i="25"/>
  <c r="N73" i="25"/>
  <c r="N87" i="25"/>
  <c r="N85" i="25"/>
  <c r="N86" i="25"/>
  <c r="N79" i="25"/>
  <c r="I127" i="26"/>
  <c r="J14" i="25" l="1"/>
  <c r="I14" i="25"/>
  <c r="K89" i="26"/>
  <c r="AE41" i="21"/>
  <c r="AF40" i="21"/>
  <c r="L112" i="26"/>
  <c r="L117" i="26"/>
  <c r="L115" i="26"/>
  <c r="M113" i="26"/>
  <c r="M114" i="26"/>
  <c r="L116" i="26"/>
  <c r="L118" i="26"/>
  <c r="AP39" i="21"/>
  <c r="C4" i="27"/>
  <c r="H40" i="25"/>
  <c r="I48" i="27"/>
  <c r="I5" i="27" s="1"/>
  <c r="H52" i="25"/>
  <c r="I39" i="27"/>
  <c r="I11" i="27" s="1"/>
  <c r="I43" i="25"/>
  <c r="I47" i="25"/>
  <c r="I51" i="25"/>
  <c r="I46" i="25"/>
  <c r="I50" i="25"/>
  <c r="I45" i="25"/>
  <c r="I49" i="25"/>
  <c r="I44" i="25"/>
  <c r="I48" i="25"/>
  <c r="I33" i="25"/>
  <c r="I37" i="25"/>
  <c r="I32" i="25"/>
  <c r="I34" i="25"/>
  <c r="I31" i="25"/>
  <c r="I35" i="25"/>
  <c r="I39" i="25"/>
  <c r="I36" i="25"/>
  <c r="I38" i="25"/>
  <c r="AM39" i="21"/>
  <c r="AK39" i="21"/>
  <c r="AL39" i="21"/>
  <c r="AR39" i="21"/>
  <c r="AQ39" i="21"/>
  <c r="AS39" i="21"/>
  <c r="AN39" i="21"/>
  <c r="AO39" i="21"/>
  <c r="D57" i="27"/>
  <c r="D4" i="27" s="1"/>
  <c r="K37" i="27"/>
  <c r="J36" i="27"/>
  <c r="J12" i="27" s="1"/>
  <c r="I94" i="27"/>
  <c r="L129" i="26"/>
  <c r="N100" i="25"/>
  <c r="J127" i="26"/>
  <c r="L89" i="26" l="1"/>
  <c r="L9" i="25" s="1"/>
  <c r="K13" i="25"/>
  <c r="K7" i="25"/>
  <c r="K6" i="25"/>
  <c r="K9" i="25"/>
  <c r="K8" i="25"/>
  <c r="K10" i="25"/>
  <c r="M118" i="26"/>
  <c r="M116" i="26"/>
  <c r="N114" i="26"/>
  <c r="N113" i="26"/>
  <c r="M115" i="26"/>
  <c r="M117" i="26"/>
  <c r="M112" i="26"/>
  <c r="I40" i="25"/>
  <c r="J39" i="27"/>
  <c r="J11" i="27" s="1"/>
  <c r="K40" i="27"/>
  <c r="J48" i="27"/>
  <c r="J5" i="27" s="1"/>
  <c r="K49" i="27"/>
  <c r="I52" i="25"/>
  <c r="J32" i="25"/>
  <c r="J36" i="25"/>
  <c r="J31" i="25"/>
  <c r="J39" i="25"/>
  <c r="J37" i="25"/>
  <c r="J34" i="25"/>
  <c r="J38" i="25"/>
  <c r="J35" i="25"/>
  <c r="J33" i="25"/>
  <c r="J47" i="25"/>
  <c r="J44" i="25"/>
  <c r="J43" i="25"/>
  <c r="J51" i="25"/>
  <c r="J49" i="25"/>
  <c r="J48" i="25"/>
  <c r="J45" i="25"/>
  <c r="J50" i="25"/>
  <c r="J46" i="25"/>
  <c r="E57" i="27"/>
  <c r="E4" i="27" s="1"/>
  <c r="J94" i="27"/>
  <c r="L37" i="27"/>
  <c r="K36" i="27"/>
  <c r="M129" i="26"/>
  <c r="K127" i="26"/>
  <c r="L6" i="25" l="1"/>
  <c r="L13" i="25"/>
  <c r="L7" i="25"/>
  <c r="L8" i="25"/>
  <c r="M89" i="26"/>
  <c r="M8" i="25" s="1"/>
  <c r="L10" i="25"/>
  <c r="K14" i="25"/>
  <c r="E5" i="25"/>
  <c r="E11" i="25"/>
  <c r="E12" i="25"/>
  <c r="D11" i="25"/>
  <c r="D12" i="25"/>
  <c r="AD25" i="21"/>
  <c r="X25" i="21"/>
  <c r="X26" i="21" s="1"/>
  <c r="D5" i="25"/>
  <c r="N112" i="26"/>
  <c r="N117" i="26"/>
  <c r="N115" i="26"/>
  <c r="N116" i="26"/>
  <c r="N118" i="26"/>
  <c r="Z25" i="21"/>
  <c r="Z26" i="21" s="1"/>
  <c r="K12" i="27"/>
  <c r="J40" i="25"/>
  <c r="J52" i="25"/>
  <c r="L49" i="27"/>
  <c r="K48" i="27"/>
  <c r="K5" i="27" s="1"/>
  <c r="L40" i="27"/>
  <c r="K39" i="27"/>
  <c r="K11" i="27" s="1"/>
  <c r="K43" i="25"/>
  <c r="K45" i="25"/>
  <c r="K47" i="25"/>
  <c r="K49" i="25"/>
  <c r="K51" i="25"/>
  <c r="K44" i="25"/>
  <c r="K46" i="25"/>
  <c r="K48" i="25"/>
  <c r="K50" i="25"/>
  <c r="K31" i="25"/>
  <c r="K35" i="25"/>
  <c r="K39" i="25"/>
  <c r="K38" i="25"/>
  <c r="K36" i="25"/>
  <c r="K33" i="25"/>
  <c r="K37" i="25"/>
  <c r="K34" i="25"/>
  <c r="K32" i="25"/>
  <c r="F57" i="27"/>
  <c r="F4" i="27" s="1"/>
  <c r="M37" i="27"/>
  <c r="M36" i="27" s="1"/>
  <c r="L36" i="27"/>
  <c r="N129" i="26"/>
  <c r="L127" i="26"/>
  <c r="M7" i="25" l="1"/>
  <c r="M6" i="25"/>
  <c r="L14" i="25"/>
  <c r="M10" i="25"/>
  <c r="M13" i="25"/>
  <c r="M9" i="25"/>
  <c r="N89" i="26"/>
  <c r="V25" i="21"/>
  <c r="V26" i="21" s="1"/>
  <c r="AD26" i="21"/>
  <c r="AD30" i="21" s="1"/>
  <c r="AD31" i="21" s="1"/>
  <c r="AC25" i="21"/>
  <c r="F5" i="25"/>
  <c r="F11" i="25"/>
  <c r="F12" i="25"/>
  <c r="M12" i="27"/>
  <c r="L12" i="27"/>
  <c r="K40" i="25"/>
  <c r="L32" i="25"/>
  <c r="L36" i="25"/>
  <c r="L33" i="25"/>
  <c r="L31" i="25"/>
  <c r="L39" i="25"/>
  <c r="L34" i="25"/>
  <c r="L38" i="25"/>
  <c r="L37" i="25"/>
  <c r="L35" i="25"/>
  <c r="L43" i="25"/>
  <c r="L45" i="25"/>
  <c r="L47" i="25"/>
  <c r="L49" i="25"/>
  <c r="L51" i="25"/>
  <c r="L44" i="25"/>
  <c r="L46" i="25"/>
  <c r="L48" i="25"/>
  <c r="L50" i="25"/>
  <c r="K52" i="25"/>
  <c r="M40" i="27"/>
  <c r="M39" i="27" s="1"/>
  <c r="M11" i="27" s="1"/>
  <c r="L39" i="27"/>
  <c r="L11" i="27" s="1"/>
  <c r="M49" i="27"/>
  <c r="M48" i="27" s="1"/>
  <c r="M5" i="27" s="1"/>
  <c r="L48" i="27"/>
  <c r="L5" i="27" s="1"/>
  <c r="G57" i="27"/>
  <c r="G4" i="27" s="1"/>
  <c r="M127" i="26"/>
  <c r="M14" i="25" l="1"/>
  <c r="N13" i="25"/>
  <c r="N7" i="25"/>
  <c r="N6" i="25"/>
  <c r="N8" i="25"/>
  <c r="N9" i="25"/>
  <c r="N10" i="25"/>
  <c r="AC26" i="21"/>
  <c r="W25" i="21"/>
  <c r="AB25" i="21"/>
  <c r="Y25" i="21"/>
  <c r="AA25" i="21"/>
  <c r="AA26" i="21" s="1"/>
  <c r="G11" i="25"/>
  <c r="G12" i="25"/>
  <c r="G5" i="25"/>
  <c r="L40" i="25"/>
  <c r="M45" i="25"/>
  <c r="M49" i="25"/>
  <c r="M44" i="25"/>
  <c r="M48" i="25"/>
  <c r="M43" i="25"/>
  <c r="M47" i="25"/>
  <c r="M51" i="25"/>
  <c r="M46" i="25"/>
  <c r="M50" i="25"/>
  <c r="M33" i="25"/>
  <c r="M37" i="25"/>
  <c r="M32" i="25"/>
  <c r="M34" i="25"/>
  <c r="M31" i="25"/>
  <c r="M35" i="25"/>
  <c r="M39" i="25"/>
  <c r="M36" i="25"/>
  <c r="M38" i="25"/>
  <c r="L52" i="25"/>
  <c r="N43" i="25"/>
  <c r="N45" i="25"/>
  <c r="N47" i="25"/>
  <c r="N49" i="25"/>
  <c r="N51" i="25"/>
  <c r="N44" i="25"/>
  <c r="N46" i="25"/>
  <c r="N48" i="25"/>
  <c r="N50" i="25"/>
  <c r="N32" i="25"/>
  <c r="N36" i="25"/>
  <c r="N31" i="25"/>
  <c r="N39" i="25"/>
  <c r="N37" i="25"/>
  <c r="N34" i="25"/>
  <c r="N38" i="25"/>
  <c r="N35" i="25"/>
  <c r="N33" i="25"/>
  <c r="H57" i="27"/>
  <c r="H4" i="27" s="1"/>
  <c r="N127" i="26"/>
  <c r="W26" i="21" l="1"/>
  <c r="N14" i="25"/>
  <c r="AE25" i="21"/>
  <c r="AF25" i="21" s="1"/>
  <c r="AB26" i="21"/>
  <c r="Y26" i="21"/>
  <c r="H5" i="25"/>
  <c r="H11" i="25"/>
  <c r="H12" i="25"/>
  <c r="M40" i="25"/>
  <c r="N52" i="25"/>
  <c r="M52" i="25"/>
  <c r="I57" i="27"/>
  <c r="I4" i="27" s="1"/>
  <c r="N40" i="25"/>
  <c r="I12" i="25" l="1"/>
  <c r="I11" i="25"/>
  <c r="I5" i="25"/>
  <c r="J57" i="27"/>
  <c r="J4" i="27" s="1"/>
  <c r="K58" i="27"/>
  <c r="J5" i="25" l="1"/>
  <c r="J12" i="25"/>
  <c r="J11" i="25"/>
  <c r="L58" i="27"/>
  <c r="K57" i="27"/>
  <c r="K4" i="27" s="1"/>
  <c r="K12" i="25" l="1"/>
  <c r="K11" i="25"/>
  <c r="K5" i="25"/>
  <c r="L57" i="27"/>
  <c r="L4" i="27" s="1"/>
  <c r="M58" i="27"/>
  <c r="M57" i="27" s="1"/>
  <c r="M4" i="27" s="1"/>
  <c r="G55" i="21"/>
  <c r="L5" i="25" l="1"/>
  <c r="L12" i="25"/>
  <c r="L11" i="25"/>
  <c r="K55" i="21"/>
  <c r="N5" i="25" l="1"/>
  <c r="N12" i="25"/>
  <c r="N11" i="25"/>
  <c r="M12" i="25"/>
  <c r="M11" i="25"/>
  <c r="M5" i="25"/>
  <c r="D33" i="27" l="1"/>
  <c r="D6" i="27" s="1"/>
  <c r="D86" i="27" l="1"/>
  <c r="D60" i="27"/>
  <c r="D14" i="27" s="1"/>
  <c r="E33" i="27"/>
  <c r="E6" i="27" s="1"/>
  <c r="D13" i="27" l="1"/>
  <c r="E86" i="27"/>
  <c r="E60" i="27"/>
  <c r="E14" i="27" s="1"/>
  <c r="E13" i="27" l="1"/>
  <c r="F86" i="27"/>
  <c r="F60" i="27"/>
  <c r="F14" i="27" s="1"/>
  <c r="G60" i="27" l="1"/>
  <c r="G14" i="27" s="1"/>
  <c r="G86" i="27"/>
  <c r="F13" i="27"/>
  <c r="H33" i="27"/>
  <c r="H6" i="27" s="1"/>
  <c r="AB20" i="21" l="1"/>
  <c r="AB21" i="21" s="1"/>
  <c r="AD20" i="21"/>
  <c r="AD21" i="21" s="1"/>
  <c r="Z20" i="21"/>
  <c r="Z21" i="21" s="1"/>
  <c r="W20" i="21"/>
  <c r="AC20" i="21"/>
  <c r="AC21" i="21" s="1"/>
  <c r="V20" i="21"/>
  <c r="V21" i="21" s="1"/>
  <c r="AA20" i="21"/>
  <c r="AA21" i="21" s="1"/>
  <c r="X20" i="21"/>
  <c r="X21" i="21" s="1"/>
  <c r="H86" i="27"/>
  <c r="H60" i="27"/>
  <c r="H14" i="27" s="1"/>
  <c r="I33" i="27"/>
  <c r="I6" i="27" s="1"/>
  <c r="G13" i="27"/>
  <c r="W21" i="21" l="1"/>
  <c r="AL9" i="21"/>
  <c r="AD55" i="21"/>
  <c r="AQ16" i="21"/>
  <c r="AO19" i="21"/>
  <c r="AO13" i="21"/>
  <c r="AC30" i="21"/>
  <c r="AC31" i="21" s="1"/>
  <c r="W30" i="21"/>
  <c r="X30" i="21"/>
  <c r="AA30" i="21"/>
  <c r="Z30" i="21"/>
  <c r="AB30" i="21"/>
  <c r="AB31" i="21" s="1"/>
  <c r="AO10" i="21"/>
  <c r="AR10" i="21"/>
  <c r="AL19" i="21"/>
  <c r="AL12" i="21"/>
  <c r="AL11" i="21"/>
  <c r="AQ19" i="21"/>
  <c r="V55" i="21"/>
  <c r="AK12" i="21"/>
  <c r="AK9" i="21"/>
  <c r="Z55" i="21"/>
  <c r="AO16" i="21"/>
  <c r="AK19" i="21"/>
  <c r="AK18" i="21"/>
  <c r="AR16" i="21"/>
  <c r="AR12" i="21"/>
  <c r="AR14" i="21"/>
  <c r="W55" i="21"/>
  <c r="AP11" i="21"/>
  <c r="AP13" i="21"/>
  <c r="AP18" i="21"/>
  <c r="AS19" i="21"/>
  <c r="AS11" i="21"/>
  <c r="AS13" i="21"/>
  <c r="AQ13" i="21"/>
  <c r="AB55" i="21"/>
  <c r="AS9" i="21"/>
  <c r="AQ12" i="21"/>
  <c r="AQ11" i="21"/>
  <c r="AQ10" i="21"/>
  <c r="AQ18" i="21"/>
  <c r="AO18" i="21"/>
  <c r="AR19" i="21"/>
  <c r="AR11" i="21"/>
  <c r="AR13" i="21"/>
  <c r="AR18" i="21"/>
  <c r="AO9" i="21"/>
  <c r="AS18" i="21"/>
  <c r="AM11" i="21"/>
  <c r="AM9" i="21"/>
  <c r="AS10" i="21"/>
  <c r="AM12" i="21"/>
  <c r="AM14" i="21"/>
  <c r="AL16" i="21"/>
  <c r="AM19" i="21"/>
  <c r="AM13" i="21"/>
  <c r="AM16" i="21"/>
  <c r="AP19" i="21"/>
  <c r="AP12" i="21"/>
  <c r="AP14" i="21"/>
  <c r="AP10" i="21"/>
  <c r="AS12" i="21"/>
  <c r="AS14" i="21"/>
  <c r="AQ9" i="21"/>
  <c r="AK16" i="21"/>
  <c r="AK13" i="21"/>
  <c r="AM18" i="21"/>
  <c r="AP9" i="21"/>
  <c r="AK11" i="21"/>
  <c r="AK14" i="21"/>
  <c r="AC55" i="21"/>
  <c r="AR9" i="21"/>
  <c r="AL18" i="21"/>
  <c r="AL10" i="21"/>
  <c r="AL13" i="21"/>
  <c r="AL14" i="21"/>
  <c r="AO12" i="21"/>
  <c r="AO14" i="21"/>
  <c r="AO11" i="21"/>
  <c r="X55" i="21"/>
  <c r="AM10" i="21"/>
  <c r="AA55" i="21"/>
  <c r="AP16" i="21"/>
  <c r="AS16" i="21"/>
  <c r="AQ14" i="21"/>
  <c r="AK10" i="21"/>
  <c r="I86" i="27"/>
  <c r="I60" i="27"/>
  <c r="I14" i="27" s="1"/>
  <c r="J33" i="27"/>
  <c r="J6" i="27" s="1"/>
  <c r="K34" i="27"/>
  <c r="H13" i="27"/>
  <c r="W31" i="21" l="1"/>
  <c r="W33" i="21" s="1"/>
  <c r="X31" i="21"/>
  <c r="X33" i="21" s="1"/>
  <c r="Z31" i="21"/>
  <c r="Z33" i="21" s="1"/>
  <c r="AA31" i="21"/>
  <c r="AA33" i="21" s="1"/>
  <c r="AB33" i="21"/>
  <c r="AB56" i="21"/>
  <c r="AA56" i="21"/>
  <c r="AC56" i="21"/>
  <c r="AC33" i="21"/>
  <c r="AD33" i="21"/>
  <c r="AD56" i="21"/>
  <c r="Z56" i="21"/>
  <c r="X56" i="21"/>
  <c r="W56" i="21"/>
  <c r="AS15" i="21"/>
  <c r="AK15" i="21"/>
  <c r="AO15" i="21"/>
  <c r="AM15" i="21"/>
  <c r="AR15" i="21"/>
  <c r="AP15" i="21"/>
  <c r="AQ15" i="21"/>
  <c r="AL15" i="21"/>
  <c r="J60" i="27"/>
  <c r="J14" i="27" s="1"/>
  <c r="K33" i="27"/>
  <c r="K6" i="27" s="1"/>
  <c r="L34" i="27"/>
  <c r="I13" i="27"/>
  <c r="K60" i="27" l="1"/>
  <c r="K14" i="27" s="1"/>
  <c r="J13" i="27"/>
  <c r="M34" i="27"/>
  <c r="M33" i="27" s="1"/>
  <c r="M6" i="27" s="1"/>
  <c r="L33" i="27"/>
  <c r="L6" i="27" s="1"/>
  <c r="L60" i="27" l="1"/>
  <c r="L14" i="27" s="1"/>
  <c r="M60" i="27"/>
  <c r="M14" i="27" s="1"/>
  <c r="K13" i="27"/>
  <c r="L13" i="27" l="1"/>
  <c r="M13" i="27"/>
  <c r="H111" i="21" l="1"/>
  <c r="E10" i="21"/>
  <c r="E13" i="21"/>
  <c r="E17" i="21"/>
  <c r="H88" i="21"/>
  <c r="B88" i="21" s="1"/>
  <c r="E14" i="21"/>
  <c r="E15" i="21"/>
  <c r="AE14" i="21" l="1"/>
  <c r="AF14" i="21" s="1"/>
  <c r="AE17" i="21"/>
  <c r="AF17" i="21" s="1"/>
  <c r="AE10" i="21"/>
  <c r="AF10" i="21" s="1"/>
  <c r="AE15" i="21"/>
  <c r="AF15" i="21" s="1"/>
  <c r="AE13" i="21"/>
  <c r="AF13" i="21" s="1"/>
  <c r="AE11" i="21"/>
  <c r="AF11" i="21" s="1"/>
  <c r="E12" i="21"/>
  <c r="E55" i="21"/>
  <c r="E16" i="21"/>
  <c r="AE27" i="21" l="1"/>
  <c r="AF27" i="21" s="1"/>
  <c r="AE16" i="21"/>
  <c r="AF16" i="21" s="1"/>
  <c r="E21" i="21"/>
  <c r="AE12" i="21"/>
  <c r="AF12" i="21" s="1"/>
  <c r="Y30" i="21" l="1"/>
  <c r="AE9" i="21"/>
  <c r="AF9" i="21" s="1"/>
  <c r="Y20" i="21"/>
  <c r="AN9" i="21" s="1"/>
  <c r="Y31" i="21" l="1"/>
  <c r="Y33" i="21" s="1"/>
  <c r="Y56" i="21"/>
  <c r="AN18" i="21"/>
  <c r="Y21" i="21"/>
  <c r="AE20" i="21"/>
  <c r="AF20" i="21" s="1"/>
  <c r="AN12" i="21"/>
  <c r="AN14" i="21"/>
  <c r="Y55" i="21"/>
  <c r="AN19" i="21"/>
  <c r="AN11" i="21"/>
  <c r="AN16" i="21"/>
  <c r="AN10" i="21"/>
  <c r="AN13" i="21"/>
  <c r="AE21" i="21" l="1"/>
  <c r="AE55" i="21"/>
  <c r="AN15" i="21"/>
  <c r="AE26" i="21" l="1"/>
  <c r="AF26" i="21" s="1"/>
  <c r="V30" i="21"/>
  <c r="V31" i="21" s="1"/>
  <c r="V56" i="21" l="1"/>
  <c r="V33" i="21"/>
  <c r="AE30" i="21"/>
  <c r="AF30" i="21" s="1"/>
  <c r="AE56" i="21" l="1"/>
  <c r="AE31" i="21"/>
  <c r="AE33" i="21" s="1"/>
  <c r="C137" i="27" l="1"/>
  <c r="C80" i="27" s="1"/>
  <c r="C85" i="27" s="1"/>
  <c r="C162" i="27" l="1"/>
  <c r="C20" i="27" s="1"/>
  <c r="C29" i="27" l="1"/>
  <c r="C33" i="27"/>
  <c r="C86" i="27" l="1"/>
  <c r="C60" i="27"/>
  <c r="C14" i="27" s="1"/>
  <c r="C6" i="27"/>
  <c r="C13" i="27" l="1"/>
  <c r="D21" i="60" l="1"/>
  <c r="E21" i="60" s="1"/>
  <c r="D7" i="60" l="1"/>
  <c r="D48" i="60" s="1"/>
  <c r="D66" i="60" s="1"/>
  <c r="C21" i="60"/>
  <c r="L73" i="60"/>
  <c r="F21" i="60" l="1"/>
  <c r="F7" i="60" s="1"/>
  <c r="M21" i="60"/>
  <c r="M7" i="60" s="1"/>
  <c r="E7" i="60"/>
  <c r="I21" i="60"/>
  <c r="I7" i="60" s="1"/>
  <c r="G21" i="60"/>
  <c r="G7" i="60" s="1"/>
  <c r="K21" i="60"/>
  <c r="K7" i="60" s="1"/>
  <c r="H21" i="60"/>
  <c r="H7" i="60" s="1"/>
  <c r="J21" i="60"/>
  <c r="J7" i="60" s="1"/>
  <c r="L21" i="60"/>
  <c r="L7" i="60" s="1"/>
  <c r="C7" i="60"/>
  <c r="I60" i="25" l="1"/>
  <c r="I59" i="25"/>
  <c r="I58" i="25"/>
  <c r="I57" i="25"/>
  <c r="I56" i="25"/>
  <c r="D59" i="25"/>
  <c r="AD116" i="72" s="1"/>
  <c r="D58" i="25"/>
  <c r="D57" i="25"/>
  <c r="D60" i="25"/>
  <c r="AE116" i="72" s="1"/>
  <c r="D56" i="25"/>
  <c r="L60" i="25"/>
  <c r="L59" i="25"/>
  <c r="L58" i="25"/>
  <c r="L57" i="25"/>
  <c r="L56" i="25"/>
  <c r="H60" i="25"/>
  <c r="H59" i="25"/>
  <c r="H58" i="25"/>
  <c r="H57" i="25"/>
  <c r="H56" i="25"/>
  <c r="K59" i="25"/>
  <c r="K60" i="25"/>
  <c r="K56" i="25"/>
  <c r="K58" i="25"/>
  <c r="K57" i="25"/>
  <c r="J60" i="25"/>
  <c r="J59" i="25"/>
  <c r="J58" i="25"/>
  <c r="J57" i="25"/>
  <c r="J56" i="25"/>
  <c r="F58" i="25"/>
  <c r="F56" i="25"/>
  <c r="F57" i="25"/>
  <c r="F59" i="25"/>
  <c r="F60" i="25"/>
  <c r="N60" i="25"/>
  <c r="N59" i="25"/>
  <c r="N58" i="25"/>
  <c r="N57" i="25"/>
  <c r="N56" i="25"/>
  <c r="M60" i="25"/>
  <c r="M59" i="25"/>
  <c r="M58" i="25"/>
  <c r="M57" i="25"/>
  <c r="M56" i="25"/>
  <c r="G56" i="25"/>
  <c r="G57" i="25"/>
  <c r="G60" i="25"/>
  <c r="G59" i="25"/>
  <c r="G58" i="25"/>
  <c r="J48" i="60"/>
  <c r="J66" i="60" s="1"/>
  <c r="I48" i="60"/>
  <c r="I66" i="60" s="1"/>
  <c r="M48" i="60"/>
  <c r="M66" i="60" s="1"/>
  <c r="H48" i="60"/>
  <c r="H66" i="60" s="1"/>
  <c r="E48" i="60"/>
  <c r="E66" i="60" s="1"/>
  <c r="E59" i="25"/>
  <c r="C48" i="60"/>
  <c r="C66" i="60" s="1"/>
  <c r="E60" i="25"/>
  <c r="K48" i="60"/>
  <c r="K66" i="60" s="1"/>
  <c r="L48" i="60"/>
  <c r="L66" i="60" s="1"/>
  <c r="G48" i="60"/>
  <c r="G66" i="60" s="1"/>
  <c r="F48" i="60"/>
  <c r="F66" i="60" s="1"/>
  <c r="E58" i="25" l="1"/>
  <c r="E56" i="25"/>
  <c r="E57" i="25"/>
  <c r="H64" i="25"/>
  <c r="D64" i="25"/>
  <c r="I64" i="25"/>
  <c r="K64" i="25"/>
  <c r="M64" i="25"/>
  <c r="F64" i="25"/>
  <c r="G64" i="25"/>
  <c r="J64" i="25"/>
  <c r="L64" i="25"/>
  <c r="N64" i="25"/>
  <c r="E64" i="25" l="1"/>
  <c r="W116" i="72"/>
  <c r="Z116" i="72"/>
  <c r="X116" i="72"/>
  <c r="V116" i="72"/>
  <c r="S349" i="15" s="1"/>
  <c r="Y116" i="72"/>
  <c r="V118" i="72" l="1"/>
  <c r="S353" i="15" s="1"/>
  <c r="V119" i="72"/>
  <c r="S366" i="15" s="1"/>
  <c r="V120" i="72"/>
  <c r="S385" i="15" s="1"/>
  <c r="V121" i="72"/>
  <c r="S393" i="15" s="1"/>
  <c r="Y121" i="72"/>
  <c r="Y120" i="72"/>
  <c r="Y118" i="72"/>
  <c r="Y117" i="72"/>
  <c r="Y119" i="72"/>
  <c r="Z118" i="72"/>
  <c r="Z121" i="72"/>
  <c r="Z117" i="72"/>
  <c r="Z119" i="72"/>
  <c r="Z120" i="72"/>
  <c r="X120" i="72"/>
  <c r="X117" i="72"/>
  <c r="X121" i="72"/>
  <c r="X118" i="72"/>
  <c r="X119" i="72"/>
  <c r="W121" i="72"/>
  <c r="W120" i="72"/>
  <c r="W117" i="72"/>
  <c r="W119" i="72"/>
  <c r="W118" i="72"/>
  <c r="AD120" i="72" l="1"/>
  <c r="V385" i="15"/>
  <c r="AB117" i="72"/>
  <c r="T349" i="15"/>
  <c r="AC118" i="72"/>
  <c r="U353" i="15"/>
  <c r="AE120" i="72"/>
  <c r="W385" i="15"/>
  <c r="AE118" i="72"/>
  <c r="W353" i="15"/>
  <c r="AA119" i="72"/>
  <c r="AB120" i="72"/>
  <c r="T385" i="15"/>
  <c r="AC121" i="72"/>
  <c r="U393" i="15"/>
  <c r="AE119" i="72"/>
  <c r="W366" i="15"/>
  <c r="AD119" i="72"/>
  <c r="V366" i="15"/>
  <c r="AD121" i="72"/>
  <c r="V393" i="15"/>
  <c r="AB118" i="72"/>
  <c r="T353" i="15"/>
  <c r="AB121" i="72"/>
  <c r="T393" i="15"/>
  <c r="AC117" i="72"/>
  <c r="U349" i="15"/>
  <c r="AE117" i="72"/>
  <c r="W349" i="15"/>
  <c r="AD117" i="72"/>
  <c r="V349" i="15"/>
  <c r="AA121" i="72"/>
  <c r="AB119" i="72"/>
  <c r="T366" i="15"/>
  <c r="AC119" i="72"/>
  <c r="AC115" i="72" s="1"/>
  <c r="U366" i="15"/>
  <c r="AC120" i="72"/>
  <c r="U385" i="15"/>
  <c r="AE121" i="72"/>
  <c r="W393" i="15"/>
  <c r="AD118" i="72"/>
  <c r="V353" i="15"/>
  <c r="W115" i="72"/>
  <c r="V115" i="72"/>
  <c r="X115" i="72"/>
  <c r="Z115" i="72"/>
  <c r="Y115" i="72"/>
  <c r="AE115" i="72" l="1"/>
  <c r="AA115" i="72"/>
  <c r="AD115" i="72"/>
  <c r="AB115" i="72"/>
  <c r="U115" i="72" l="1"/>
  <c r="AF115" i="72" s="1"/>
  <c r="C20" i="60"/>
  <c r="C12" i="60" s="1"/>
  <c r="D139" i="26" s="1"/>
  <c r="D12" i="60"/>
  <c r="E139" i="26" s="1"/>
  <c r="E106" i="25" l="1"/>
  <c r="AC92" i="72" s="1"/>
  <c r="E105" i="25"/>
  <c r="AB92" i="72" s="1"/>
  <c r="E104" i="25"/>
  <c r="E107" i="25"/>
  <c r="AD92" i="72" s="1"/>
  <c r="E108" i="25"/>
  <c r="AE92" i="72" s="1"/>
  <c r="D108" i="25"/>
  <c r="AB42" i="21" s="1"/>
  <c r="AB43" i="21" s="1"/>
  <c r="D110" i="25"/>
  <c r="AC42" i="21" s="1"/>
  <c r="AC43" i="21" s="1"/>
  <c r="D107" i="25"/>
  <c r="X42" i="21" s="1"/>
  <c r="X43" i="21" s="1"/>
  <c r="D109" i="25"/>
  <c r="Y42" i="21" s="1"/>
  <c r="Y43" i="21" s="1"/>
  <c r="D103" i="25"/>
  <c r="D105" i="25"/>
  <c r="Z42" i="21" s="1"/>
  <c r="Z43" i="21" s="1"/>
  <c r="D106" i="25"/>
  <c r="AA42" i="21" s="1"/>
  <c r="AA43" i="21" s="1"/>
  <c r="D104" i="25"/>
  <c r="D111" i="25"/>
  <c r="AD42" i="21" s="1"/>
  <c r="AD43" i="21" s="1"/>
  <c r="E12" i="60"/>
  <c r="F139" i="26" s="1"/>
  <c r="F20" i="60"/>
  <c r="E109" i="25"/>
  <c r="E103" i="25"/>
  <c r="E111" i="25"/>
  <c r="E110" i="25"/>
  <c r="AA92" i="72" l="1"/>
  <c r="V112" i="72" s="1"/>
  <c r="S267" i="15" s="1"/>
  <c r="E112" i="25"/>
  <c r="W42" i="21"/>
  <c r="W43" i="21" s="1"/>
  <c r="D112" i="25"/>
  <c r="Y95" i="72"/>
  <c r="V222" i="15" s="1"/>
  <c r="Y103" i="72"/>
  <c r="V243" i="15" s="1"/>
  <c r="Y112" i="72"/>
  <c r="V267" i="15" s="1"/>
  <c r="V103" i="72"/>
  <c r="S243" i="15" s="1"/>
  <c r="W95" i="72"/>
  <c r="T222" i="15" s="1"/>
  <c r="W103" i="72"/>
  <c r="T243" i="15" s="1"/>
  <c r="W112" i="72"/>
  <c r="T267" i="15" s="1"/>
  <c r="Z95" i="72"/>
  <c r="W222" i="15" s="1"/>
  <c r="Z103" i="72"/>
  <c r="W243" i="15" s="1"/>
  <c r="Z112" i="72"/>
  <c r="W267" i="15" s="1"/>
  <c r="X95" i="72"/>
  <c r="U222" i="15" s="1"/>
  <c r="X103" i="72"/>
  <c r="U243" i="15" s="1"/>
  <c r="X112" i="72"/>
  <c r="U267" i="15" s="1"/>
  <c r="AD95" i="72"/>
  <c r="AD112" i="72"/>
  <c r="AD103" i="72"/>
  <c r="AA103" i="72"/>
  <c r="AB112" i="72"/>
  <c r="AB103" i="72"/>
  <c r="AB95" i="72"/>
  <c r="AE103" i="72"/>
  <c r="AE95" i="72"/>
  <c r="AE112" i="72"/>
  <c r="AC112" i="72"/>
  <c r="AC103" i="72"/>
  <c r="AC95" i="72"/>
  <c r="F107" i="25"/>
  <c r="F105" i="25"/>
  <c r="F104" i="25"/>
  <c r="F106" i="25"/>
  <c r="F108" i="25"/>
  <c r="F12" i="60"/>
  <c r="G139" i="26" s="1"/>
  <c r="G20" i="60"/>
  <c r="V42" i="21"/>
  <c r="F110" i="25"/>
  <c r="F103" i="25"/>
  <c r="F109" i="25"/>
  <c r="F111" i="25"/>
  <c r="AF92" i="72" l="1"/>
  <c r="AA112" i="72"/>
  <c r="V95" i="72"/>
  <c r="S222" i="15" s="1"/>
  <c r="AA95" i="72"/>
  <c r="F112" i="25"/>
  <c r="AE93" i="72"/>
  <c r="AB93" i="72"/>
  <c r="AD93" i="72"/>
  <c r="AC93" i="72"/>
  <c r="G106" i="25"/>
  <c r="G105" i="25"/>
  <c r="G107" i="25"/>
  <c r="G108" i="25"/>
  <c r="G104" i="25"/>
  <c r="G109" i="25"/>
  <c r="G110" i="25"/>
  <c r="G103" i="25"/>
  <c r="G111" i="25"/>
  <c r="G12" i="60"/>
  <c r="H139" i="26" s="1"/>
  <c r="H20" i="60"/>
  <c r="V66" i="21"/>
  <c r="AE42" i="21"/>
  <c r="AE43" i="21" s="1"/>
  <c r="V43" i="21"/>
  <c r="AA93" i="72" l="1"/>
  <c r="G112" i="25"/>
  <c r="H104" i="25"/>
  <c r="H105" i="25"/>
  <c r="H106" i="25"/>
  <c r="H108" i="25"/>
  <c r="H107" i="25"/>
  <c r="H110" i="25"/>
  <c r="H111" i="25"/>
  <c r="H103" i="25"/>
  <c r="H109" i="25"/>
  <c r="V61" i="21"/>
  <c r="V60" i="21"/>
  <c r="V59" i="21"/>
  <c r="V62" i="21"/>
  <c r="H12" i="60"/>
  <c r="I139" i="26" s="1"/>
  <c r="I20" i="60"/>
  <c r="C19" i="60"/>
  <c r="D6" i="60"/>
  <c r="H112" i="25" l="1"/>
  <c r="I104" i="25"/>
  <c r="I105" i="25"/>
  <c r="I108" i="25"/>
  <c r="I106" i="25"/>
  <c r="I107" i="25"/>
  <c r="I12" i="60"/>
  <c r="J139" i="26" s="1"/>
  <c r="J20" i="60"/>
  <c r="E6" i="60"/>
  <c r="F19" i="60"/>
  <c r="V63" i="21"/>
  <c r="I109" i="25"/>
  <c r="I111" i="25"/>
  <c r="I110" i="25"/>
  <c r="I103" i="25"/>
  <c r="D13" i="60"/>
  <c r="C6" i="60"/>
  <c r="E90" i="26"/>
  <c r="I112" i="25" l="1"/>
  <c r="E20" i="25"/>
  <c r="AB3" i="72" s="1"/>
  <c r="E23" i="25"/>
  <c r="AE3" i="72" s="1"/>
  <c r="E19" i="25"/>
  <c r="AA3" i="72" s="1"/>
  <c r="E21" i="25"/>
  <c r="AC3" i="72" s="1"/>
  <c r="E22" i="25"/>
  <c r="AD3" i="72" s="1"/>
  <c r="J104" i="25"/>
  <c r="J105" i="25"/>
  <c r="J107" i="25"/>
  <c r="J106" i="25"/>
  <c r="J108" i="25"/>
  <c r="K20" i="60"/>
  <c r="J12" i="60"/>
  <c r="K139" i="26" s="1"/>
  <c r="E26" i="25"/>
  <c r="E18" i="25"/>
  <c r="E25" i="25"/>
  <c r="E24" i="25"/>
  <c r="J109" i="25"/>
  <c r="J110" i="25"/>
  <c r="J111" i="25"/>
  <c r="J103" i="25"/>
  <c r="F90" i="26"/>
  <c r="E13" i="60"/>
  <c r="C13" i="60"/>
  <c r="D90" i="26"/>
  <c r="F6" i="60"/>
  <c r="G19" i="60"/>
  <c r="J112" i="25" l="1"/>
  <c r="AF3" i="72"/>
  <c r="X45" i="72"/>
  <c r="U101" i="15" s="1"/>
  <c r="X10" i="72"/>
  <c r="U28" i="15" s="1"/>
  <c r="X7" i="72"/>
  <c r="U11" i="15" s="1"/>
  <c r="Z11" i="15" s="1"/>
  <c r="AC32" i="72"/>
  <c r="AC25" i="72"/>
  <c r="X39" i="72"/>
  <c r="U95" i="15" s="1"/>
  <c r="AC7" i="72"/>
  <c r="X32" i="72"/>
  <c r="U72" i="15" s="1"/>
  <c r="AC45" i="72"/>
  <c r="AC10" i="72"/>
  <c r="X25" i="72"/>
  <c r="U49" i="15" s="1"/>
  <c r="AC39" i="72"/>
  <c r="AA7" i="72"/>
  <c r="V32" i="72"/>
  <c r="S72" i="15" s="1"/>
  <c r="X72" i="15" s="1"/>
  <c r="AF72" i="15" s="1"/>
  <c r="AA45" i="72"/>
  <c r="AA10" i="72"/>
  <c r="V25" i="72"/>
  <c r="S49" i="15" s="1"/>
  <c r="X49" i="15" s="1"/>
  <c r="AF49" i="15" s="1"/>
  <c r="AA39" i="72"/>
  <c r="V45" i="72"/>
  <c r="S101" i="15" s="1"/>
  <c r="V10" i="72"/>
  <c r="S28" i="15" s="1"/>
  <c r="AA32" i="72"/>
  <c r="V39" i="72"/>
  <c r="S95" i="15" s="1"/>
  <c r="V7" i="72"/>
  <c r="S11" i="15" s="1"/>
  <c r="X11" i="15" s="1"/>
  <c r="AA25" i="72"/>
  <c r="AE7" i="72"/>
  <c r="Z32" i="72"/>
  <c r="W72" i="15" s="1"/>
  <c r="AE45" i="72"/>
  <c r="AE10" i="72"/>
  <c r="Z25" i="72"/>
  <c r="W49" i="15" s="1"/>
  <c r="AE39" i="72"/>
  <c r="Z45" i="72"/>
  <c r="W101" i="15" s="1"/>
  <c r="Z10" i="72"/>
  <c r="W28" i="15" s="1"/>
  <c r="Z7" i="72"/>
  <c r="W11" i="15" s="1"/>
  <c r="AB11" i="15" s="1"/>
  <c r="AE32" i="72"/>
  <c r="AE25" i="72"/>
  <c r="Z39" i="72"/>
  <c r="W95" i="15" s="1"/>
  <c r="AD10" i="72"/>
  <c r="Y39" i="72"/>
  <c r="V95" i="15" s="1"/>
  <c r="Y32" i="72"/>
  <c r="V72" i="15" s="1"/>
  <c r="Y7" i="72"/>
  <c r="V11" i="15" s="1"/>
  <c r="AA11" i="15" s="1"/>
  <c r="AD45" i="72"/>
  <c r="AD25" i="72"/>
  <c r="Y25" i="72"/>
  <c r="V49" i="15" s="1"/>
  <c r="AD39" i="72"/>
  <c r="AD7" i="72"/>
  <c r="Y45" i="72"/>
  <c r="V101" i="15" s="1"/>
  <c r="Y10" i="72"/>
  <c r="V28" i="15" s="1"/>
  <c r="AD32" i="72"/>
  <c r="W25" i="72"/>
  <c r="T49" i="15" s="1"/>
  <c r="Y49" i="15" s="1"/>
  <c r="AG49" i="15" s="1"/>
  <c r="AB39" i="72"/>
  <c r="AB7" i="72"/>
  <c r="W45" i="72"/>
  <c r="T101" i="15" s="1"/>
  <c r="W10" i="72"/>
  <c r="T28" i="15" s="1"/>
  <c r="AB32" i="72"/>
  <c r="AB10" i="72"/>
  <c r="W39" i="72"/>
  <c r="T95" i="15" s="1"/>
  <c r="W32" i="72"/>
  <c r="T72" i="15" s="1"/>
  <c r="Y72" i="15" s="1"/>
  <c r="AG72" i="15" s="1"/>
  <c r="W7" i="72"/>
  <c r="T11" i="15" s="1"/>
  <c r="Y11" i="15" s="1"/>
  <c r="AB45" i="72"/>
  <c r="AB25" i="72"/>
  <c r="K106" i="25"/>
  <c r="K105" i="25"/>
  <c r="K104" i="25"/>
  <c r="K108" i="25"/>
  <c r="K107" i="25"/>
  <c r="E27" i="25"/>
  <c r="F23" i="25"/>
  <c r="F20" i="25"/>
  <c r="F19" i="25"/>
  <c r="F21" i="25"/>
  <c r="F22" i="25"/>
  <c r="G6" i="60"/>
  <c r="H19" i="60"/>
  <c r="F13" i="60"/>
  <c r="G90" i="26"/>
  <c r="K110" i="25"/>
  <c r="K111" i="25"/>
  <c r="K109" i="25"/>
  <c r="K103" i="25"/>
  <c r="D23" i="25"/>
  <c r="AB22" i="21" s="1"/>
  <c r="AB23" i="21" s="1"/>
  <c r="D25" i="25"/>
  <c r="AC22" i="21" s="1"/>
  <c r="AC23" i="21" s="1"/>
  <c r="D19" i="25"/>
  <c r="D26" i="25"/>
  <c r="AD22" i="21" s="1"/>
  <c r="AD23" i="21" s="1"/>
  <c r="D21" i="25"/>
  <c r="AA22" i="21" s="1"/>
  <c r="AA23" i="21" s="1"/>
  <c r="D22" i="25"/>
  <c r="X22" i="21" s="1"/>
  <c r="X23" i="21" s="1"/>
  <c r="D24" i="25"/>
  <c r="Y22" i="21" s="1"/>
  <c r="Y23" i="21" s="1"/>
  <c r="D20" i="25"/>
  <c r="Z22" i="21" s="1"/>
  <c r="Z23" i="21" s="1"/>
  <c r="D18" i="25"/>
  <c r="F18" i="25"/>
  <c r="F25" i="25"/>
  <c r="F26" i="25"/>
  <c r="F24" i="25"/>
  <c r="K12" i="60"/>
  <c r="L139" i="26" s="1"/>
  <c r="L20" i="60"/>
  <c r="AJ11" i="15" l="1"/>
  <c r="AK11" i="15" s="1"/>
  <c r="AL11" i="15" s="1"/>
  <c r="AM11" i="15" s="1"/>
  <c r="AN11" i="15" s="1"/>
  <c r="AO11" i="15" s="1"/>
  <c r="AP11" i="15" s="1"/>
  <c r="AQ11" i="15" s="1"/>
  <c r="AB49" i="15"/>
  <c r="AE49" i="15"/>
  <c r="Z72" i="15"/>
  <c r="AC72" i="15"/>
  <c r="AA49" i="15"/>
  <c r="AD49" i="15"/>
  <c r="AA72" i="15"/>
  <c r="AD72" i="15"/>
  <c r="Z49" i="15"/>
  <c r="AC49" i="15"/>
  <c r="AB72" i="15"/>
  <c r="AE72" i="15"/>
  <c r="K112" i="25"/>
  <c r="AC4" i="72"/>
  <c r="AB4" i="72"/>
  <c r="AD4" i="72"/>
  <c r="AE4" i="72"/>
  <c r="AA4" i="72"/>
  <c r="W22" i="21"/>
  <c r="W23" i="21" s="1"/>
  <c r="D27" i="25"/>
  <c r="L105" i="25"/>
  <c r="L108" i="25"/>
  <c r="L106" i="25"/>
  <c r="L104" i="25"/>
  <c r="L107" i="25"/>
  <c r="G19" i="25"/>
  <c r="G23" i="25"/>
  <c r="G20" i="25"/>
  <c r="G21" i="25"/>
  <c r="G22" i="25"/>
  <c r="F27" i="25"/>
  <c r="H6" i="60"/>
  <c r="I19" i="60"/>
  <c r="G13" i="60"/>
  <c r="H90" i="26"/>
  <c r="L110" i="25"/>
  <c r="L109" i="25"/>
  <c r="L111" i="25"/>
  <c r="L103" i="25"/>
  <c r="V22" i="21"/>
  <c r="G24" i="25"/>
  <c r="G26" i="25"/>
  <c r="G25" i="25"/>
  <c r="G18" i="25"/>
  <c r="M20" i="60"/>
  <c r="M12" i="60" s="1"/>
  <c r="N139" i="26" s="1"/>
  <c r="L12" i="60"/>
  <c r="M139" i="26" s="1"/>
  <c r="L112" i="25" l="1"/>
  <c r="G27" i="25"/>
  <c r="M104" i="25"/>
  <c r="M106" i="25"/>
  <c r="M105" i="25"/>
  <c r="M108" i="25"/>
  <c r="M107" i="25"/>
  <c r="N104" i="25"/>
  <c r="N105" i="25"/>
  <c r="N107" i="25"/>
  <c r="N106" i="25"/>
  <c r="N108" i="25"/>
  <c r="H20" i="25"/>
  <c r="H21" i="25"/>
  <c r="H23" i="25"/>
  <c r="H19" i="25"/>
  <c r="H22" i="25"/>
  <c r="V23" i="21"/>
  <c r="AE22" i="21"/>
  <c r="AE23" i="21" s="1"/>
  <c r="J19" i="60"/>
  <c r="I6" i="60"/>
  <c r="H25" i="25"/>
  <c r="H24" i="25"/>
  <c r="H26" i="25"/>
  <c r="H18" i="25"/>
  <c r="M109" i="25"/>
  <c r="M103" i="25"/>
  <c r="M110" i="25"/>
  <c r="M111" i="25"/>
  <c r="N109" i="25"/>
  <c r="N103" i="25"/>
  <c r="N111" i="25"/>
  <c r="N110" i="25"/>
  <c r="H13" i="60"/>
  <c r="I90" i="26"/>
  <c r="M112" i="25" l="1"/>
  <c r="N112" i="25"/>
  <c r="H27" i="25"/>
  <c r="I19" i="25"/>
  <c r="I22" i="25"/>
  <c r="I20" i="25"/>
  <c r="I21" i="25"/>
  <c r="I23" i="25"/>
  <c r="J6" i="60"/>
  <c r="K19" i="60"/>
  <c r="I25" i="25"/>
  <c r="I18" i="25"/>
  <c r="I26" i="25"/>
  <c r="I24" i="25"/>
  <c r="J90" i="26"/>
  <c r="I13" i="60"/>
  <c r="J23" i="25" l="1"/>
  <c r="J19" i="25"/>
  <c r="J20" i="25"/>
  <c r="J21" i="25"/>
  <c r="J22" i="25"/>
  <c r="I27" i="25"/>
  <c r="K6" i="60"/>
  <c r="L19" i="60"/>
  <c r="J26" i="25"/>
  <c r="J25" i="25"/>
  <c r="J18" i="25"/>
  <c r="J24" i="25"/>
  <c r="J13" i="60"/>
  <c r="K90" i="26"/>
  <c r="J27" i="25" l="1"/>
  <c r="K23" i="25"/>
  <c r="K20" i="25"/>
  <c r="K19" i="25"/>
  <c r="K21" i="25"/>
  <c r="K22" i="25"/>
  <c r="K24" i="25"/>
  <c r="K25" i="25"/>
  <c r="K26" i="25"/>
  <c r="K18" i="25"/>
  <c r="L6" i="60"/>
  <c r="M19" i="60"/>
  <c r="M6" i="60" s="1"/>
  <c r="K13" i="60"/>
  <c r="L90" i="26"/>
  <c r="L20" i="25" l="1"/>
  <c r="L23" i="25"/>
  <c r="L19" i="25"/>
  <c r="L21" i="25"/>
  <c r="L22" i="25"/>
  <c r="K27" i="25"/>
  <c r="L24" i="25"/>
  <c r="L26" i="25"/>
  <c r="L18" i="25"/>
  <c r="L25" i="25"/>
  <c r="N90" i="26"/>
  <c r="M13" i="60"/>
  <c r="M90" i="26"/>
  <c r="L13" i="60"/>
  <c r="N23" i="25" l="1"/>
  <c r="N20" i="25"/>
  <c r="N19" i="25"/>
  <c r="N21" i="25"/>
  <c r="N22" i="25"/>
  <c r="L27" i="25"/>
  <c r="M19" i="25"/>
  <c r="M21" i="25"/>
  <c r="M20" i="25"/>
  <c r="M22" i="25"/>
  <c r="M23" i="25"/>
  <c r="M25" i="25"/>
  <c r="M18" i="25"/>
  <c r="M24" i="25"/>
  <c r="M26" i="25"/>
  <c r="N26" i="25"/>
  <c r="N24" i="25"/>
  <c r="N18" i="25"/>
  <c r="N25" i="25"/>
  <c r="M27" i="25" l="1"/>
  <c r="N27"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H8" authorId="0" shapeId="0" xr:uid="{1BC6D3AD-23BD-4223-998E-E038C8630E3A}">
      <text>
        <r>
          <rPr>
            <sz val="8"/>
            <color indexed="81"/>
            <rFont val="Tahoma"/>
            <family val="2"/>
          </rPr>
          <t xml:space="preserve">Annual Growth Rate
</t>
        </r>
      </text>
    </comment>
    <comment ref="R8" authorId="0" shapeId="0" xr:uid="{78106AE5-41B0-4F85-A75D-6AF0B3557EF3}">
      <text>
        <r>
          <rPr>
            <sz val="8"/>
            <color indexed="81"/>
            <rFont val="Tahoma"/>
            <family val="2"/>
          </rPr>
          <t>the absolute value to enable the capacity buildup to start.</t>
        </r>
      </text>
    </comment>
    <comment ref="H9" authorId="0" shapeId="0" xr:uid="{003DC8B9-11A4-4299-A5BA-0217847C99C2}">
      <text>
        <r>
          <rPr>
            <sz val="8"/>
            <color indexed="81"/>
            <rFont val="Tahoma"/>
            <family val="2"/>
          </rPr>
          <t xml:space="preserve">Annual Growth Rate
</t>
        </r>
      </text>
    </comment>
    <comment ref="R9" authorId="0" shapeId="0" xr:uid="{9C7D6242-3570-4D63-88F1-414E8A4CE61D}">
      <text>
        <r>
          <rPr>
            <sz val="8"/>
            <color indexed="81"/>
            <rFont val="Tahoma"/>
            <family val="2"/>
          </rPr>
          <t>the absolute value to enable the capacity buildup to start.</t>
        </r>
      </text>
    </comment>
    <comment ref="H10" authorId="0" shapeId="0" xr:uid="{971ECACF-F0CD-4022-B19C-C9EE58E3C2E3}">
      <text>
        <r>
          <rPr>
            <sz val="8"/>
            <color indexed="81"/>
            <rFont val="Tahoma"/>
            <family val="2"/>
          </rPr>
          <t xml:space="preserve">Annual Growth Rate
</t>
        </r>
      </text>
    </comment>
    <comment ref="R10" authorId="0" shapeId="0" xr:uid="{5471DA8D-0F89-4322-A684-153B4758F6DD}">
      <text>
        <r>
          <rPr>
            <sz val="8"/>
            <color indexed="81"/>
            <rFont val="Tahoma"/>
            <family val="2"/>
          </rPr>
          <t>the absolute value to enable the capacity buildup to start.</t>
        </r>
      </text>
    </comment>
    <comment ref="H11" authorId="0" shapeId="0" xr:uid="{4F415C0D-A40A-46A3-AA3D-719E8D74696F}">
      <text>
        <r>
          <rPr>
            <sz val="8"/>
            <color indexed="81"/>
            <rFont val="Tahoma"/>
            <family val="2"/>
          </rPr>
          <t xml:space="preserve">Annual Growth Rate
</t>
        </r>
      </text>
    </comment>
    <comment ref="R11" authorId="0" shapeId="0" xr:uid="{A2E843D4-E065-4BF3-A03A-810DD2A36457}">
      <text>
        <r>
          <rPr>
            <sz val="8"/>
            <color indexed="81"/>
            <rFont val="Tahoma"/>
            <family val="2"/>
          </rPr>
          <t>the absolute value to enable the capacity buildup to start.</t>
        </r>
      </text>
    </comment>
    <comment ref="H12" authorId="0" shapeId="0" xr:uid="{ED298FE9-4D90-4675-A5DD-2988CB5A3F79}">
      <text>
        <r>
          <rPr>
            <sz val="8"/>
            <color indexed="81"/>
            <rFont val="Tahoma"/>
            <family val="2"/>
          </rPr>
          <t xml:space="preserve">Annual Growth Rate
</t>
        </r>
      </text>
    </comment>
    <comment ref="R12" authorId="0" shapeId="0" xr:uid="{46188BDE-99F0-408B-9516-AA2C42870630}">
      <text>
        <r>
          <rPr>
            <sz val="8"/>
            <color indexed="81"/>
            <rFont val="Tahoma"/>
            <family val="2"/>
          </rPr>
          <t>the absolute value to enable the capacity buildup to start.</t>
        </r>
      </text>
    </comment>
    <comment ref="H13" authorId="0" shapeId="0" xr:uid="{D20E345D-8741-4FC8-804D-2691361EAB8B}">
      <text>
        <r>
          <rPr>
            <sz val="8"/>
            <color indexed="81"/>
            <rFont val="Tahoma"/>
            <family val="2"/>
          </rPr>
          <t xml:space="preserve">Annual Growth Rate
</t>
        </r>
      </text>
    </comment>
    <comment ref="R13" authorId="0" shapeId="0" xr:uid="{737AE522-5585-4421-B54E-DA1FBCB1968B}">
      <text>
        <r>
          <rPr>
            <sz val="8"/>
            <color indexed="81"/>
            <rFont val="Tahoma"/>
            <family val="2"/>
          </rPr>
          <t>the absolute value to enable the capacity buildup to start.</t>
        </r>
      </text>
    </comment>
    <comment ref="H14" authorId="0" shapeId="0" xr:uid="{C3B4DDE1-7F2F-49D6-A6D3-32D055EC0787}">
      <text>
        <r>
          <rPr>
            <sz val="8"/>
            <color indexed="81"/>
            <rFont val="Tahoma"/>
            <family val="2"/>
          </rPr>
          <t xml:space="preserve">Annual Growth Rate
</t>
        </r>
      </text>
    </comment>
    <comment ref="R14" authorId="0" shapeId="0" xr:uid="{58F218E5-A2AA-4D5E-9E20-BE23C67DD1B8}">
      <text>
        <r>
          <rPr>
            <sz val="8"/>
            <color indexed="81"/>
            <rFont val="Tahoma"/>
            <family val="2"/>
          </rPr>
          <t>the absolute value to enable the capacity buildup to start.</t>
        </r>
      </text>
    </comment>
    <comment ref="H15" authorId="0" shapeId="0" xr:uid="{13B85C2C-E549-43EA-8D8F-EA14B5074A15}">
      <text>
        <r>
          <rPr>
            <sz val="8"/>
            <color indexed="81"/>
            <rFont val="Tahoma"/>
            <family val="2"/>
          </rPr>
          <t xml:space="preserve">Annual Growth Rate
</t>
        </r>
      </text>
    </comment>
    <comment ref="R15" authorId="0" shapeId="0" xr:uid="{789E592F-1C99-437D-ADF2-9F0DE7EE9A5A}">
      <text>
        <r>
          <rPr>
            <sz val="8"/>
            <color indexed="81"/>
            <rFont val="Tahoma"/>
            <family val="2"/>
          </rPr>
          <t>the absolute value to enable the capacity buildup to start.</t>
        </r>
      </text>
    </comment>
    <comment ref="H16" authorId="0" shapeId="0" xr:uid="{EE836308-5045-47D1-BC63-5B8B6F8A693A}">
      <text>
        <r>
          <rPr>
            <sz val="8"/>
            <color indexed="81"/>
            <rFont val="Tahoma"/>
            <family val="2"/>
          </rPr>
          <t xml:space="preserve">Annual Growth Rate
</t>
        </r>
      </text>
    </comment>
    <comment ref="R16" authorId="0" shapeId="0" xr:uid="{E7FB9E55-CF79-471D-BBA5-B1E3BE757A98}">
      <text>
        <r>
          <rPr>
            <sz val="8"/>
            <color indexed="81"/>
            <rFont val="Tahoma"/>
            <family val="2"/>
          </rPr>
          <t>the absolute value to enable the capacity buildup to start.</t>
        </r>
      </text>
    </comment>
    <comment ref="H17" authorId="0" shapeId="0" xr:uid="{DF4D2B11-073C-4794-8BA7-7EC58865407D}">
      <text>
        <r>
          <rPr>
            <sz val="8"/>
            <color indexed="81"/>
            <rFont val="Tahoma"/>
            <family val="2"/>
          </rPr>
          <t xml:space="preserve">Annual Growth Rate
</t>
        </r>
      </text>
    </comment>
    <comment ref="R17" authorId="0" shapeId="0" xr:uid="{8ACDE3A6-C57A-4E8E-A417-09D5358EB6C8}">
      <text>
        <r>
          <rPr>
            <sz val="8"/>
            <color indexed="81"/>
            <rFont val="Tahoma"/>
            <family val="2"/>
          </rPr>
          <t>the absolute value to enable the capacity buildup to start.</t>
        </r>
      </text>
    </comment>
    <comment ref="H18" authorId="0" shapeId="0" xr:uid="{C4607A8F-DDB2-4D3A-BD48-5E899A6F4FAD}">
      <text>
        <r>
          <rPr>
            <sz val="8"/>
            <color indexed="81"/>
            <rFont val="Tahoma"/>
            <family val="2"/>
          </rPr>
          <t xml:space="preserve">Annual Growth Rate
</t>
        </r>
      </text>
    </comment>
    <comment ref="R18" authorId="0" shapeId="0" xr:uid="{92D3C14A-A864-4632-A290-F15B55131F65}">
      <text>
        <r>
          <rPr>
            <sz val="8"/>
            <color indexed="81"/>
            <rFont val="Tahoma"/>
            <family val="2"/>
          </rPr>
          <t>the absolute value to enable the capacity buildup to start.</t>
        </r>
      </text>
    </comment>
    <comment ref="H19" authorId="0" shapeId="0" xr:uid="{94B90220-D79C-4069-BC92-23BFD9D3E659}">
      <text>
        <r>
          <rPr>
            <sz val="8"/>
            <color indexed="81"/>
            <rFont val="Tahoma"/>
            <family val="2"/>
          </rPr>
          <t xml:space="preserve">Annual Growth Rate
</t>
        </r>
      </text>
    </comment>
    <comment ref="R19" authorId="0" shapeId="0" xr:uid="{620A2AE0-C9BF-4524-80A1-E36F93E0E369}">
      <text>
        <r>
          <rPr>
            <sz val="8"/>
            <color indexed="81"/>
            <rFont val="Tahoma"/>
            <family val="2"/>
          </rPr>
          <t>the absolute value to enable the capacity buildup to start.</t>
        </r>
      </text>
    </comment>
    <comment ref="H20" authorId="0" shapeId="0" xr:uid="{7DC20961-8898-4450-BF43-07547B2AB167}">
      <text>
        <r>
          <rPr>
            <sz val="8"/>
            <color indexed="81"/>
            <rFont val="Tahoma"/>
            <family val="2"/>
          </rPr>
          <t xml:space="preserve">Annual Growth Rate
</t>
        </r>
      </text>
    </comment>
    <comment ref="R20" authorId="0" shapeId="0" xr:uid="{A8D209C3-402C-42E6-814F-EBA7C55860BB}">
      <text>
        <r>
          <rPr>
            <sz val="8"/>
            <color indexed="81"/>
            <rFont val="Tahoma"/>
            <family val="2"/>
          </rPr>
          <t>the absolute value to enable the capacity buildup to start.</t>
        </r>
      </text>
    </comment>
    <comment ref="H21" authorId="0" shapeId="0" xr:uid="{8B7E614A-B2E7-4B0D-973B-BE54E69345C4}">
      <text>
        <r>
          <rPr>
            <sz val="8"/>
            <color indexed="81"/>
            <rFont val="Tahoma"/>
            <family val="2"/>
          </rPr>
          <t xml:space="preserve">Annual Growth Rate
</t>
        </r>
      </text>
    </comment>
    <comment ref="R21" authorId="0" shapeId="0" xr:uid="{266B3F22-FB7C-4C18-A9D8-72F71D10E990}">
      <text>
        <r>
          <rPr>
            <sz val="8"/>
            <color indexed="81"/>
            <rFont val="Tahoma"/>
            <family val="2"/>
          </rPr>
          <t>the absolute value to enable the capacity buildup to start.</t>
        </r>
      </text>
    </comment>
    <comment ref="H22" authorId="0" shapeId="0" xr:uid="{90373840-27AB-4CBF-B5D3-A8D02B34D1C3}">
      <text>
        <r>
          <rPr>
            <sz val="8"/>
            <color indexed="81"/>
            <rFont val="Tahoma"/>
            <family val="2"/>
          </rPr>
          <t xml:space="preserve">Annual Growth Rate
</t>
        </r>
      </text>
    </comment>
    <comment ref="R22" authorId="0" shapeId="0" xr:uid="{1280BCD0-91AA-49D5-AB47-B0A48E57407B}">
      <text>
        <r>
          <rPr>
            <sz val="8"/>
            <color indexed="81"/>
            <rFont val="Tahoma"/>
            <family val="2"/>
          </rPr>
          <t>the absolute value to enable the capacity buildup to start.</t>
        </r>
      </text>
    </comment>
    <comment ref="H23" authorId="0" shapeId="0" xr:uid="{134D22CE-4F1D-4292-93FA-BBFDCDBA92F6}">
      <text>
        <r>
          <rPr>
            <sz val="8"/>
            <color indexed="81"/>
            <rFont val="Tahoma"/>
            <family val="2"/>
          </rPr>
          <t xml:space="preserve">Annual Growth Rate
</t>
        </r>
      </text>
    </comment>
    <comment ref="R23" authorId="0" shapeId="0" xr:uid="{E4001C9F-8AC8-4B4F-92E5-17873D89FB0E}">
      <text>
        <r>
          <rPr>
            <sz val="8"/>
            <color indexed="81"/>
            <rFont val="Tahoma"/>
            <family val="2"/>
          </rPr>
          <t>the absolute value to enable the capacity buildup to start.</t>
        </r>
      </text>
    </comment>
    <comment ref="H24" authorId="0" shapeId="0" xr:uid="{01B10714-0821-4C7D-8DE9-CA5D54D30FE7}">
      <text>
        <r>
          <rPr>
            <sz val="8"/>
            <color indexed="81"/>
            <rFont val="Tahoma"/>
            <family val="2"/>
          </rPr>
          <t xml:space="preserve">Annual Growth Rate
</t>
        </r>
      </text>
    </comment>
    <comment ref="R24" authorId="0" shapeId="0" xr:uid="{D7C27F8E-7980-428E-A4EA-EA56DF9337C6}">
      <text>
        <r>
          <rPr>
            <sz val="8"/>
            <color indexed="81"/>
            <rFont val="Tahoma"/>
            <family val="2"/>
          </rPr>
          <t>the absolute value to enable the capacity buildup to start.</t>
        </r>
      </text>
    </comment>
    <comment ref="H25" authorId="0" shapeId="0" xr:uid="{1029330E-0398-47C9-972B-2D18CD7380DD}">
      <text>
        <r>
          <rPr>
            <sz val="8"/>
            <color indexed="81"/>
            <rFont val="Tahoma"/>
            <family val="2"/>
          </rPr>
          <t xml:space="preserve">Annual Growth Rate
</t>
        </r>
      </text>
    </comment>
    <comment ref="R25" authorId="0" shapeId="0" xr:uid="{5FD99F64-5578-4732-9164-69A73DC75CCC}">
      <text>
        <r>
          <rPr>
            <sz val="8"/>
            <color indexed="81"/>
            <rFont val="Tahoma"/>
            <family val="2"/>
          </rPr>
          <t>the absolute value to enable the capacity buildup to start.</t>
        </r>
      </text>
    </comment>
    <comment ref="R26" authorId="0" shapeId="0" xr:uid="{EE3A41FE-A754-413D-A19C-18831BABD0CE}">
      <text>
        <r>
          <rPr>
            <sz val="8"/>
            <color indexed="81"/>
            <rFont val="Tahoma"/>
            <family val="2"/>
          </rPr>
          <t>the absolute value to enable the capacity buildup to start.</t>
        </r>
      </text>
    </comment>
    <comment ref="R27" authorId="0" shapeId="0" xr:uid="{6E1C26C2-EE37-4F29-BC20-17FA36C5A6C9}">
      <text>
        <r>
          <rPr>
            <sz val="8"/>
            <color indexed="81"/>
            <rFont val="Tahoma"/>
            <family val="2"/>
          </rPr>
          <t>the absolute value to enable the capacity buildup to start.</t>
        </r>
      </text>
    </comment>
    <comment ref="R28" authorId="0" shapeId="0" xr:uid="{08AD8047-91D3-49C8-8BBF-6EDDF86B3AA6}">
      <text>
        <r>
          <rPr>
            <sz val="8"/>
            <color indexed="81"/>
            <rFont val="Tahoma"/>
            <family val="2"/>
          </rPr>
          <t>the absolute value to enable the capacity buildup to start.</t>
        </r>
      </text>
    </comment>
    <comment ref="R29" authorId="0" shapeId="0" xr:uid="{F9BF0ACA-E2B0-473B-A4CD-C69016E65C99}">
      <text>
        <r>
          <rPr>
            <sz val="8"/>
            <color indexed="81"/>
            <rFont val="Tahoma"/>
            <family val="2"/>
          </rPr>
          <t>the absolute value to enable the capacity buildup to start.</t>
        </r>
      </text>
    </comment>
    <comment ref="R30" authorId="0" shapeId="0" xr:uid="{C06D20BC-526E-4C9F-BAE6-A2FF92B14CF8}">
      <text>
        <r>
          <rPr>
            <sz val="8"/>
            <color indexed="81"/>
            <rFont val="Tahoma"/>
            <family val="2"/>
          </rPr>
          <t>the absolute value to enable the capacity buildup to start.</t>
        </r>
      </text>
    </comment>
    <comment ref="R31" authorId="0" shapeId="0" xr:uid="{FEFCDDC9-4ABF-429C-8035-64B99A91A1CB}">
      <text>
        <r>
          <rPr>
            <sz val="8"/>
            <color indexed="81"/>
            <rFont val="Tahoma"/>
            <family val="2"/>
          </rPr>
          <t>the absolute value to enable the capacity buildup to start.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Isik, Mine</author>
    <author>CLS</author>
  </authors>
  <commentList>
    <comment ref="C34" authorId="0" shapeId="0" xr:uid="{00000000-0006-0000-0600-000001000000}">
      <text>
        <r>
          <rPr>
            <b/>
            <sz val="9"/>
            <color indexed="81"/>
            <rFont val="Tahoma"/>
            <family val="2"/>
          </rPr>
          <t>Isik, Mine:</t>
        </r>
        <r>
          <rPr>
            <sz val="9"/>
            <color indexed="81"/>
            <rFont val="Tahoma"/>
            <family val="2"/>
          </rPr>
          <t xml:space="preserve">
This is the official value provided by NYC.gov</t>
        </r>
      </text>
    </comment>
    <comment ref="D34" authorId="0" shapeId="0" xr:uid="{00000000-0006-0000-0600-000002000000}">
      <text>
        <r>
          <rPr>
            <b/>
            <sz val="9"/>
            <color indexed="81"/>
            <rFont val="Tahoma"/>
            <family val="2"/>
          </rPr>
          <t>Isik, Mine:</t>
        </r>
        <r>
          <rPr>
            <sz val="9"/>
            <color indexed="81"/>
            <rFont val="Tahoma"/>
            <family val="2"/>
          </rPr>
          <t xml:space="preserve">
This is the official value provided by NYC.gov</t>
        </r>
      </text>
    </comment>
    <comment ref="F50" authorId="1" shapeId="0" xr:uid="{00000000-0006-0000-0600-000003000000}">
      <text>
        <r>
          <rPr>
            <b/>
            <sz val="8"/>
            <color indexed="81"/>
            <rFont val="Tahoma"/>
            <family val="2"/>
          </rPr>
          <t>AEO 2014 data</t>
        </r>
      </text>
    </comment>
    <comment ref="C61" authorId="0" shapeId="0" xr:uid="{00000000-0006-0000-0600-000004000000}">
      <text>
        <r>
          <rPr>
            <b/>
            <sz val="9"/>
            <color indexed="81"/>
            <rFont val="Tahoma"/>
            <family val="2"/>
          </rPr>
          <t>Isik, Mine:</t>
        </r>
        <r>
          <rPr>
            <sz val="9"/>
            <color indexed="81"/>
            <rFont val="Tahoma"/>
            <family val="2"/>
          </rPr>
          <t xml:space="preserve">
this values belong to US national avg.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Isik, Mine</author>
    <author>Pat DeLaquil</author>
    <author>EPA</author>
    <author>ctsuser</author>
    <author>CLS</author>
  </authors>
  <commentList>
    <comment ref="C4" authorId="0" shapeId="0" xr:uid="{00000000-0006-0000-0700-000001000000}">
      <text>
        <r>
          <rPr>
            <b/>
            <sz val="9"/>
            <color indexed="81"/>
            <rFont val="Tahoma"/>
            <family val="2"/>
          </rPr>
          <t>Isik, Mine:</t>
        </r>
        <r>
          <rPr>
            <sz val="9"/>
            <color indexed="81"/>
            <rFont val="Tahoma"/>
            <family val="2"/>
          </rPr>
          <t xml:space="preserve">
Please see (1)</t>
        </r>
      </text>
    </comment>
    <comment ref="C6" authorId="0" shapeId="0" xr:uid="{00000000-0006-0000-0700-000002000000}">
      <text>
        <r>
          <rPr>
            <b/>
            <sz val="9"/>
            <color indexed="81"/>
            <rFont val="Tahoma"/>
            <family val="2"/>
          </rPr>
          <t>Isik, Mine:</t>
        </r>
        <r>
          <rPr>
            <sz val="9"/>
            <color indexed="81"/>
            <rFont val="Tahoma"/>
            <family val="2"/>
          </rPr>
          <t xml:space="preserve">
Please see (1)</t>
        </r>
      </text>
    </comment>
    <comment ref="C8" authorId="0" shapeId="0" xr:uid="{00000000-0006-0000-0700-000003000000}">
      <text>
        <r>
          <rPr>
            <b/>
            <sz val="9"/>
            <color indexed="81"/>
            <rFont val="Tahoma"/>
            <family val="2"/>
          </rPr>
          <t>Isik, Mine:</t>
        </r>
        <r>
          <rPr>
            <sz val="9"/>
            <color indexed="81"/>
            <rFont val="Tahoma"/>
            <family val="2"/>
          </rPr>
          <t xml:space="preserve">
Please see (1)</t>
        </r>
      </text>
    </comment>
    <comment ref="C9" authorId="0" shapeId="0" xr:uid="{00000000-0006-0000-0700-000004000000}">
      <text>
        <r>
          <rPr>
            <b/>
            <sz val="9"/>
            <color indexed="81"/>
            <rFont val="Tahoma"/>
            <family val="2"/>
          </rPr>
          <t>Isik, Mine:</t>
        </r>
        <r>
          <rPr>
            <sz val="9"/>
            <color indexed="81"/>
            <rFont val="Tahoma"/>
            <family val="2"/>
          </rPr>
          <t xml:space="preserve">
Please see (1)</t>
        </r>
      </text>
    </comment>
    <comment ref="C12" authorId="0" shapeId="0" xr:uid="{00000000-0006-0000-0700-000005000000}">
      <text>
        <r>
          <rPr>
            <b/>
            <sz val="9"/>
            <color indexed="81"/>
            <rFont val="Tahoma"/>
            <family val="2"/>
          </rPr>
          <t>Isik, Mine:</t>
        </r>
        <r>
          <rPr>
            <sz val="9"/>
            <color indexed="81"/>
            <rFont val="Tahoma"/>
            <family val="2"/>
          </rPr>
          <t xml:space="preserve">
Please see (1)</t>
        </r>
      </text>
    </comment>
    <comment ref="B29" authorId="1" shapeId="0" xr:uid="{00000000-0006-0000-0700-000006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B30" authorId="0" shapeId="0" xr:uid="{00000000-0006-0000-0700-000007000000}">
      <text>
        <r>
          <rPr>
            <b/>
            <sz val="9"/>
            <color indexed="81"/>
            <rFont val="Tahoma"/>
            <family val="2"/>
          </rPr>
          <t>Isik, Mine:</t>
        </r>
        <r>
          <rPr>
            <sz val="9"/>
            <color indexed="81"/>
            <rFont val="Tahoma"/>
            <family val="2"/>
          </rPr>
          <t xml:space="preserve">
refrigeration and freezers are also added</t>
        </r>
      </text>
    </comment>
    <comment ref="B48" authorId="1" shapeId="0" xr:uid="{00000000-0006-0000-0700-000008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C107" authorId="2" shapeId="0" xr:uid="{00000000-0006-0000-0700-000009000000}">
      <text>
        <r>
          <rPr>
            <b/>
            <sz val="10"/>
            <color indexed="81"/>
            <rFont val="Tahoma"/>
            <family val="2"/>
          </rPr>
          <t>EPA:</t>
        </r>
        <r>
          <rPr>
            <sz val="10"/>
            <color indexed="81"/>
            <rFont val="Tahoma"/>
            <family val="2"/>
          </rPr>
          <t xml:space="preserve">
AEO 2008 data starts here.</t>
        </r>
      </text>
    </comment>
    <comment ref="D107" authorId="3" shapeId="0" xr:uid="{00000000-0006-0000-0700-00000A000000}">
      <text>
        <r>
          <rPr>
            <b/>
            <sz val="8"/>
            <color indexed="81"/>
            <rFont val="Tahoma"/>
            <family val="2"/>
          </rPr>
          <t>ctsuser:</t>
        </r>
        <r>
          <rPr>
            <sz val="8"/>
            <color indexed="81"/>
            <rFont val="Tahoma"/>
            <family val="2"/>
          </rPr>
          <t xml:space="preserve">
Start of AEO2010 data</t>
        </r>
      </text>
    </comment>
    <comment ref="C153" authorId="4" shapeId="0" xr:uid="{00000000-0006-0000-0700-00000B000000}">
      <text>
        <r>
          <rPr>
            <b/>
            <sz val="8"/>
            <color indexed="81"/>
            <rFont val="Tahoma"/>
            <family val="2"/>
          </rPr>
          <t>AEO adjusted the DSL use in Space Heating as the years went out.</t>
        </r>
        <r>
          <rPr>
            <sz val="8"/>
            <color indexed="81"/>
            <rFont val="Tahoma"/>
            <family val="2"/>
          </rPr>
          <t xml:space="preserve">
</t>
        </r>
      </text>
    </comment>
    <comment ref="C159" authorId="4" shapeId="0" xr:uid="{00000000-0006-0000-0700-00000C000000}">
      <text>
        <r>
          <rPr>
            <sz val="9"/>
            <color indexed="81"/>
            <rFont val="Tahoma"/>
            <family val="2"/>
          </rPr>
          <t>AEO14 changed the way space heating and other uses were calculated … 2005 data adjusted to reflect.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I55" authorId="0" shapeId="0" xr:uid="{9E09C2BD-0CD2-4706-9AC7-3C2D30738190}">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55" authorId="0" shapeId="0" xr:uid="{6BE6DE74-C128-4735-A816-72B6F1F8BAF9}">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2" authorId="0" shapeId="0" xr:uid="{CFA436E3-5AAF-45E4-8F3E-D1A6C4CAAD4F}">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2" authorId="0" shapeId="0" xr:uid="{645AB7FE-7DE5-45A5-B87B-A68274CD97C7}">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68" authorId="0" shapeId="0" xr:uid="{6AEB1C5C-5930-4402-A3D5-AA6D2BFAE84F}">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68" authorId="0" shapeId="0" xr:uid="{E70F9C47-2FE5-4BFD-8206-673DDD012257}">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I73" authorId="0" shapeId="0" xr:uid="{E317D4FB-200C-4C4C-A416-FD42566927D9}">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S73" authorId="0" shapeId="0" xr:uid="{35A44FD9-F8E9-48BA-B537-18174F00CE54}">
      <text>
        <r>
          <rPr>
            <b/>
            <sz val="9"/>
            <color rgb="FF000000"/>
            <rFont val="Tahoma"/>
            <family val="2"/>
          </rPr>
          <t>Isik, Mine:</t>
        </r>
        <r>
          <rPr>
            <sz val="9"/>
            <color rgb="FF000000"/>
            <rFont val="Tahoma"/>
            <family val="2"/>
          </rPr>
          <t xml:space="preserve">
</t>
        </r>
        <r>
          <rPr>
            <sz val="9"/>
            <color rgb="FF000000"/>
            <rFont val="Tahoma"/>
            <family val="2"/>
          </rPr>
          <t>Biofuel excluded</t>
        </r>
      </text>
    </comment>
    <comment ref="E79" authorId="0" shapeId="0" xr:uid="{BD57FC96-50B6-4D15-A54F-00B54645A5EA}">
      <text>
        <r>
          <rPr>
            <b/>
            <sz val="9"/>
            <color rgb="FF000000"/>
            <rFont val="Tahoma"/>
            <family val="2"/>
          </rPr>
          <t>Isik, Mine:</t>
        </r>
        <r>
          <rPr>
            <sz val="9"/>
            <color rgb="FF000000"/>
            <rFont val="Tahoma"/>
            <family val="2"/>
          </rPr>
          <t xml:space="preserve">
</t>
        </r>
        <r>
          <rPr>
            <sz val="9"/>
            <color rgb="FF000000"/>
            <rFont val="Tahoma"/>
            <family val="2"/>
          </rPr>
          <t>Biofuel excluded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Pat DeLaquil</author>
    <author>EPA</author>
    <author>ctsuser</author>
    <author>CLS</author>
  </authors>
  <commentList>
    <comment ref="B23" authorId="0" shapeId="0" xr:uid="{00000000-0006-0000-1800-000001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B42" authorId="0" shapeId="0" xr:uid="{00000000-0006-0000-1800-000002000000}">
      <text>
        <r>
          <rPr>
            <b/>
            <sz val="8"/>
            <color indexed="81"/>
            <rFont val="Tahoma"/>
            <family val="2"/>
          </rPr>
          <t>Pat DeLaquil:</t>
        </r>
        <r>
          <rPr>
            <sz val="8"/>
            <color indexed="81"/>
            <rFont val="Tahoma"/>
            <family val="2"/>
          </rPr>
          <t xml:space="preserve">
The lighting and misc electric final energy is split acording to the AEO shares</t>
        </r>
      </text>
    </comment>
    <comment ref="C100" authorId="1" shapeId="0" xr:uid="{00000000-0006-0000-1800-000003000000}">
      <text>
        <r>
          <rPr>
            <b/>
            <sz val="10"/>
            <color indexed="81"/>
            <rFont val="Tahoma"/>
            <family val="2"/>
          </rPr>
          <t>EPA:</t>
        </r>
        <r>
          <rPr>
            <sz val="10"/>
            <color indexed="81"/>
            <rFont val="Tahoma"/>
            <family val="2"/>
          </rPr>
          <t xml:space="preserve">
AEO 2008 data starts here.</t>
        </r>
      </text>
    </comment>
    <comment ref="D100" authorId="2" shapeId="0" xr:uid="{00000000-0006-0000-1800-000004000000}">
      <text>
        <r>
          <rPr>
            <sz val="9"/>
            <color indexed="81"/>
            <rFont val="Tahoma"/>
            <family val="2"/>
          </rPr>
          <t>Used AEO 2014 data for 2011.   Several end uses (including RWH and RSC had significant changes in values from 2013 to 2014 for the same years.</t>
        </r>
      </text>
    </comment>
    <comment ref="C146" authorId="3" shapeId="0" xr:uid="{00000000-0006-0000-1800-000005000000}">
      <text>
        <r>
          <rPr>
            <b/>
            <sz val="8"/>
            <color indexed="81"/>
            <rFont val="Tahoma"/>
            <family val="2"/>
          </rPr>
          <t>AEO adjusted the DSL use in Space Heating as the years went out.</t>
        </r>
        <r>
          <rPr>
            <sz val="8"/>
            <color indexed="81"/>
            <rFont val="Tahoma"/>
            <family val="2"/>
          </rPr>
          <t xml:space="preserve">
</t>
        </r>
      </text>
    </comment>
    <comment ref="C152" authorId="3" shapeId="0" xr:uid="{00000000-0006-0000-1800-000006000000}">
      <text>
        <r>
          <rPr>
            <sz val="9"/>
            <color indexed="81"/>
            <rFont val="Tahoma"/>
            <family val="2"/>
          </rPr>
          <t>AEO14 changed the way space heating and other uses were calculated … 2005 data adjusted to reflect.</t>
        </r>
      </text>
    </comment>
    <comment ref="D212" authorId="3" shapeId="0" xr:uid="{00000000-0006-0000-1800-000007000000}">
      <text>
        <r>
          <rPr>
            <sz val="9"/>
            <color indexed="81"/>
            <rFont val="Tahoma"/>
            <family val="2"/>
          </rPr>
          <t>Used AEO 2014 data for 2011</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H60" authorId="0" shapeId="0" xr:uid="{00000000-0006-0000-0800-000001000000}">
      <text>
        <r>
          <rPr>
            <b/>
            <sz val="9"/>
            <color indexed="81"/>
            <rFont val="Tahoma"/>
            <family val="2"/>
          </rPr>
          <t>Isik, Mine:</t>
        </r>
        <r>
          <rPr>
            <sz val="9"/>
            <color indexed="81"/>
            <rFont val="Tahoma"/>
            <family val="2"/>
          </rPr>
          <t xml:space="preserve">
the average of 2020 and 2030 is taken</t>
        </r>
      </text>
    </comment>
    <comment ref="J60" authorId="0" shapeId="0" xr:uid="{00000000-0006-0000-0800-000002000000}">
      <text>
        <r>
          <rPr>
            <b/>
            <sz val="9"/>
            <color indexed="81"/>
            <rFont val="Tahoma"/>
            <family val="2"/>
          </rPr>
          <t>Isik, Mine:</t>
        </r>
        <r>
          <rPr>
            <sz val="9"/>
            <color indexed="81"/>
            <rFont val="Tahoma"/>
            <family val="2"/>
          </rPr>
          <t xml:space="preserve">
The average of 2030 and 2040 is taken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Isik, Mine</author>
  </authors>
  <commentList>
    <comment ref="AB94" authorId="0" shapeId="0" xr:uid="{00000000-0006-0000-1C00-000001000000}">
      <text>
        <r>
          <rPr>
            <b/>
            <sz val="9"/>
            <color indexed="81"/>
            <rFont val="Tahoma"/>
            <family val="2"/>
          </rPr>
          <t>Isik, Mine:</t>
        </r>
        <r>
          <rPr>
            <sz val="9"/>
            <color indexed="81"/>
            <rFont val="Tahoma"/>
            <family val="2"/>
          </rPr>
          <t xml:space="preserve">
</t>
        </r>
      </text>
    </comment>
    <comment ref="AJ94" authorId="0" shapeId="0" xr:uid="{00000000-0006-0000-1C00-000002000000}">
      <text>
        <r>
          <rPr>
            <b/>
            <sz val="9"/>
            <color indexed="81"/>
            <rFont val="Tahoma"/>
            <family val="2"/>
          </rPr>
          <t>Isik, Mine:</t>
        </r>
        <r>
          <rPr>
            <sz val="9"/>
            <color indexed="81"/>
            <rFont val="Tahoma"/>
            <family val="2"/>
          </rPr>
          <t xml:space="preserve">
</t>
        </r>
      </text>
    </comment>
  </commentList>
</comments>
</file>

<file path=xl/sharedStrings.xml><?xml version="1.0" encoding="utf-8"?>
<sst xmlns="http://schemas.openxmlformats.org/spreadsheetml/2006/main" count="18986" uniqueCount="3270">
  <si>
    <t>Electric Heat Pump Ver1.RSH.ELC.15</t>
  </si>
  <si>
    <t>Electric Heat Pump Base.RSH.ELC.05</t>
  </si>
  <si>
    <t>Electric Heat Pump Ver2.RSH.ELC.15</t>
  </si>
  <si>
    <t>Space Heating Demand by Fuel</t>
  </si>
  <si>
    <t>Distillate</t>
  </si>
  <si>
    <t>Water Heating Demand by Fuel</t>
  </si>
  <si>
    <t>RSHERDV110</t>
  </si>
  <si>
    <t>Electric Radiant Ver1.RSH.ELC.10</t>
  </si>
  <si>
    <t>Wtd. Average end-use efficiency</t>
  </si>
  <si>
    <t>From EIA 1993 Residential Energy Consumption lighting study</t>
  </si>
  <si>
    <t>Survey indicates that 40% of the lighting hours are for kitchen and bathroom. Assume about 2/3rds is during the day for these rooms.</t>
  </si>
  <si>
    <t>Residential Technology Equipment Type Description File</t>
  </si>
  <si>
    <t>Year</t>
  </si>
  <si>
    <t>'MATURE'</t>
  </si>
  <si>
    <t>'ELEC_RAD'</t>
  </si>
  <si>
    <t>'ELEC_HP1'</t>
  </si>
  <si>
    <t>'ELEC_HP2'</t>
  </si>
  <si>
    <t>'ELEC_HP3'</t>
  </si>
  <si>
    <t>'ELEC_HP4'</t>
  </si>
  <si>
    <t>'NG_FA#1'</t>
  </si>
  <si>
    <t>'NG_FA#2'</t>
  </si>
  <si>
    <t>'NG_FA#3'</t>
  </si>
  <si>
    <t>'NG_FA#4'</t>
  </si>
  <si>
    <t>'NG_FA#5'</t>
  </si>
  <si>
    <t>'KERO_FA1'</t>
  </si>
  <si>
    <t>'KERO_FA2'</t>
  </si>
  <si>
    <t>'KERO_FA3'</t>
  </si>
  <si>
    <t>'LPG_FA#1'</t>
  </si>
  <si>
    <t>'LPG_FA#2'</t>
  </si>
  <si>
    <t>'LPG_FA#3'</t>
  </si>
  <si>
    <t>'LPG_FA#4'</t>
  </si>
  <si>
    <t>'LPG_FA#5'</t>
  </si>
  <si>
    <t>'DIST_FA1'</t>
  </si>
  <si>
    <t>'DIST_FA2'</t>
  </si>
  <si>
    <t>'DIST_FA3'</t>
  </si>
  <si>
    <t>'DISTRAD1'</t>
  </si>
  <si>
    <t>'DISTRAD2'</t>
  </si>
  <si>
    <t>'DISTRAD3'</t>
  </si>
  <si>
    <t>'WOOD_HT'</t>
  </si>
  <si>
    <t>'GEO_HP1'</t>
  </si>
  <si>
    <t>'GEO_HP2'</t>
  </si>
  <si>
    <t>'NG_HP'</t>
  </si>
  <si>
    <t>'RM_AIR#1'</t>
  </si>
  <si>
    <t>'RM_AIR#2'</t>
  </si>
  <si>
    <t>'RM_AIR#3'</t>
  </si>
  <si>
    <t>'CT_AIR#1'</t>
  </si>
  <si>
    <t>'CT_AIR#2'</t>
  </si>
  <si>
    <t>'CT_AIR#3'</t>
  </si>
  <si>
    <t>'CT_AIR#4'</t>
  </si>
  <si>
    <t>'CW#1'</t>
  </si>
  <si>
    <t>'CW#2'</t>
  </si>
  <si>
    <t>'CW#3'</t>
  </si>
  <si>
    <t>'DW#1'</t>
  </si>
  <si>
    <t>'DW#2'</t>
  </si>
  <si>
    <t>'DW#3'</t>
  </si>
  <si>
    <t>'NG_WH#1'</t>
  </si>
  <si>
    <t>'NG_WH#2'</t>
  </si>
  <si>
    <t>'NG_WH#3'</t>
  </si>
  <si>
    <t>'NG_WH#4'</t>
  </si>
  <si>
    <t>'ELEC_WH1'</t>
  </si>
  <si>
    <t>'ELEC_WH2'</t>
  </si>
  <si>
    <t>'ELEC_WH3'</t>
  </si>
  <si>
    <t>'ELEC_WH4'</t>
  </si>
  <si>
    <t>'ELEC_WH5'</t>
  </si>
  <si>
    <t>'DIST_WH1'</t>
  </si>
  <si>
    <t>'DIST_WH2'</t>
  </si>
  <si>
    <t>'LPG_WH#1'</t>
  </si>
  <si>
    <t>'LPG_WH#2'</t>
  </si>
  <si>
    <t>'LPG_WH#3'</t>
  </si>
  <si>
    <t>'LPG_WH#4'</t>
  </si>
  <si>
    <t>'SOLR_WH1'</t>
  </si>
  <si>
    <t>'NG_STV1'</t>
  </si>
  <si>
    <t>'NG_STV2'</t>
  </si>
  <si>
    <t>'LPG_STV1'</t>
  </si>
  <si>
    <t>'LPG_STV2'</t>
  </si>
  <si>
    <t>'ELECSTV1'</t>
  </si>
  <si>
    <t>'ELECSTV2'</t>
  </si>
  <si>
    <t>'NG_DRY1'</t>
  </si>
  <si>
    <t>'NG_DRY2'</t>
  </si>
  <si>
    <t>'ELECDRY1'</t>
  </si>
  <si>
    <t>'ELECDRY2'</t>
  </si>
  <si>
    <t>Conversions</t>
  </si>
  <si>
    <t>Conversion Factors</t>
  </si>
  <si>
    <t>j per btu</t>
  </si>
  <si>
    <t>units per m units</t>
  </si>
  <si>
    <t>j per pj</t>
  </si>
  <si>
    <t>btu per mmbtu</t>
  </si>
  <si>
    <t>btu per watthr</t>
  </si>
  <si>
    <t>dollar($) per $m</t>
  </si>
  <si>
    <t>kwhr per j</t>
  </si>
  <si>
    <t>MARKAL</t>
  </si>
  <si>
    <t>MARKAL description</t>
  </si>
  <si>
    <t>Efficiency</t>
  </si>
  <si>
    <t>Capital cost</t>
  </si>
  <si>
    <t>Capacity</t>
  </si>
  <si>
    <t>PJ/PJ</t>
  </si>
  <si>
    <t>million units*year/PJ</t>
  </si>
  <si>
    <t>btu/hr</t>
  </si>
  <si>
    <t>Hours per day</t>
  </si>
  <si>
    <t>Days per year</t>
  </si>
  <si>
    <t>cfm hrs per trillion cfm hrs</t>
  </si>
  <si>
    <t>lumens per billion lumens</t>
  </si>
  <si>
    <t>bn-lm yr/PJ</t>
  </si>
  <si>
    <t>bn-lm yr/PJ demand</t>
  </si>
  <si>
    <t>bn-lm yr demand in 2000</t>
  </si>
  <si>
    <t>PJ per quad</t>
  </si>
  <si>
    <t>lm-yr/HH/sqft</t>
  </si>
  <si>
    <t xml:space="preserve">NIPA Table 1.1.9. Implicit Price Deflators for Gross Domestic Product                                                                                                                                                                                          </t>
  </si>
  <si>
    <t>Deflator</t>
  </si>
  <si>
    <t>* Halogen</t>
  </si>
  <si>
    <t>lumens</t>
  </si>
  <si>
    <t>lm/w</t>
  </si>
  <si>
    <t>$m/bn-lm</t>
  </si>
  <si>
    <t>1000 hours</t>
  </si>
  <si>
    <t>years</t>
  </si>
  <si>
    <t>Life</t>
  </si>
  <si>
    <t xml:space="preserve">   Distillate (EF)</t>
  </si>
  <si>
    <t xml:space="preserve">   Liquefied Petroleum Gas (EF)</t>
  </si>
  <si>
    <t>tBTU to PJ</t>
  </si>
  <si>
    <t>Capital Cost</t>
  </si>
  <si>
    <t>Population Projections for calculations</t>
  </si>
  <si>
    <t>Population Projections for A1 Scenario*</t>
  </si>
  <si>
    <t>BTU</t>
  </si>
  <si>
    <t>PJ=</t>
  </si>
  <si>
    <t>Electric Heat Pump Ver2.RSH.ELC.10</t>
  </si>
  <si>
    <t>Electric Heat Pump Ver4.RSH.ELC.10</t>
  </si>
  <si>
    <t>Electric Heat Pump Ver4.RSH.ELC.30</t>
  </si>
  <si>
    <t>RSHNFRV510</t>
  </si>
  <si>
    <t>Natural Gas Furnace Ver5.RSH.NGA.10</t>
  </si>
  <si>
    <t>RSHNRDV310</t>
  </si>
  <si>
    <t>Natural Gas Radiant Ver3.RSH.NGA.10</t>
  </si>
  <si>
    <t>RSHKFRV115</t>
  </si>
  <si>
    <t>Kerosene Furnace Ver1.RSH.KER.15</t>
  </si>
  <si>
    <t>RSHLFRV510</t>
  </si>
  <si>
    <t>Liquid Gas Furnace Ver5.RSH.LPG.10</t>
  </si>
  <si>
    <t>RSHDFRV115</t>
  </si>
  <si>
    <t>Distillate Furnace Ver1.RSH.DST.15</t>
  </si>
  <si>
    <t>Distillate Furnace Ver3.RSH.DST.10</t>
  </si>
  <si>
    <t>RSHDRDV115</t>
  </si>
  <si>
    <t>Distillate Radiant Ver1.RSH.DST.15</t>
  </si>
  <si>
    <t>Geothermal Heat Pump Ver1.RSH.ELC.10</t>
  </si>
  <si>
    <t>Geothermal Heat Pump Ver2.RSH.ELC.10</t>
  </si>
  <si>
    <t>RSCRACV320</t>
  </si>
  <si>
    <t>Room AC Ver3.RSC.ELC.20</t>
  </si>
  <si>
    <t>RSCCACV410</t>
  </si>
  <si>
    <t>Electric Heat Pump Ver2.RSC.ELC.10</t>
  </si>
  <si>
    <t>Electric Heat Pump Ver3.RSC.ELC.10</t>
  </si>
  <si>
    <t>RSHDFRV310</t>
  </si>
  <si>
    <t>RSCCACV310</t>
  </si>
  <si>
    <t>RWHEWHV510</t>
  </si>
  <si>
    <t>Kerosene Furnace Base.RSH.KER.05</t>
  </si>
  <si>
    <t>RSHKFRBS05</t>
  </si>
  <si>
    <t>Electric Heat Pump Ver4.RSC.ELC.10</t>
  </si>
  <si>
    <t>Electric Heat Pump Ver4.RSC.ELC.30</t>
  </si>
  <si>
    <t>Geothermal Heat Pump Ver1.RSC.ELC.10</t>
  </si>
  <si>
    <t>Natural Gas Heat Pump Ver1.RSC.NGA.10</t>
  </si>
  <si>
    <t>RWHDWHV310</t>
  </si>
  <si>
    <t>Distillate Ver3.RWH.DSL.10</t>
  </si>
  <si>
    <t>RWHNWHV310</t>
  </si>
  <si>
    <t>Natural Gas Ver3.RWH.NGA.10</t>
  </si>
  <si>
    <t>RWHNWHV410</t>
  </si>
  <si>
    <t>Natural Gas Ver4.RWH.NGA.10</t>
  </si>
  <si>
    <t>RWHEWHV420</t>
  </si>
  <si>
    <t>Electric Ver4.RWH.ELC.20</t>
  </si>
  <si>
    <t>Electric Ver5.RWH.ELC.10</t>
  </si>
  <si>
    <t>RWHLWHV210</t>
  </si>
  <si>
    <t>Liquid Gas Ver2.RWH.LPG.10</t>
  </si>
  <si>
    <t>RWHLWHV310</t>
  </si>
  <si>
    <t>Liquid Gas Ver3.RWH.LPG.10</t>
  </si>
  <si>
    <t>RWHLWHV410</t>
  </si>
  <si>
    <t>RWHLWHV420</t>
  </si>
  <si>
    <t>Liquid Gas Ver4.RWH.LPG.20</t>
  </si>
  <si>
    <t>'DIST_WH3'</t>
  </si>
  <si>
    <t>Average</t>
  </si>
  <si>
    <t>Annual</t>
  </si>
  <si>
    <t xml:space="preserve">Total Residential Demand </t>
  </si>
  <si>
    <t>Demand, PJ/a or mu/a</t>
  </si>
  <si>
    <t>1 quad=</t>
  </si>
  <si>
    <t>Total Residential Demand</t>
  </si>
  <si>
    <t>Residential Energy Service Demand Projections, Quads</t>
  </si>
  <si>
    <t>Ave space heating efficiency</t>
  </si>
  <si>
    <t>Ave water heating efficiency</t>
  </si>
  <si>
    <t>Ave refrigeration efficiency</t>
  </si>
  <si>
    <t>Ave misc electric efficiency</t>
  </si>
  <si>
    <t>Ave freezer efficiency</t>
  </si>
  <si>
    <t>Ave misc gas efficiency</t>
  </si>
  <si>
    <t>Ave space cooling efficiency</t>
  </si>
  <si>
    <t>Building Shell Efficiency Index 3/</t>
  </si>
  <si>
    <t>Residential Delivered (Final) Energy Projections, Quads  (AEO T.4: Residential Key Indicators - Delivered Energy Consumption)</t>
  </si>
  <si>
    <t xml:space="preserve"> Energy Intensity</t>
  </si>
  <si>
    <t xml:space="preserve"> (million Btu per household)</t>
  </si>
  <si>
    <t xml:space="preserve">  Delivered Energy Consumption</t>
  </si>
  <si>
    <t xml:space="preserve">  Total Energy Consumption</t>
  </si>
  <si>
    <t xml:space="preserve"> (thousand Btu per square foot)</t>
  </si>
  <si>
    <t xml:space="preserve">   Space Heating</t>
  </si>
  <si>
    <t xml:space="preserve">   Space Cooling</t>
  </si>
  <si>
    <t xml:space="preserve">   Water Heating</t>
  </si>
  <si>
    <t xml:space="preserve">   Refrigeration</t>
  </si>
  <si>
    <t xml:space="preserve">   Cooking</t>
  </si>
  <si>
    <t xml:space="preserve">   Clothes Dryers</t>
  </si>
  <si>
    <t xml:space="preserve">   Freezers</t>
  </si>
  <si>
    <t xml:space="preserve">   Lighting</t>
  </si>
  <si>
    <t xml:space="preserve">   Clothes Washers 1/</t>
  </si>
  <si>
    <t xml:space="preserve">   Dishwashers 1/</t>
  </si>
  <si>
    <t xml:space="preserve">   Color Televisions</t>
  </si>
  <si>
    <t xml:space="preserve">   Personal Computers</t>
  </si>
  <si>
    <t xml:space="preserve">   Furnace Fans</t>
  </si>
  <si>
    <t xml:space="preserve">   Other Uses 2/</t>
  </si>
  <si>
    <t xml:space="preserve">     Delivered Energy</t>
  </si>
  <si>
    <t xml:space="preserve">   Other Uses 3/</t>
  </si>
  <si>
    <t xml:space="preserve"> Distillate</t>
  </si>
  <si>
    <t xml:space="preserve"> Liquefied Petroleum Gas</t>
  </si>
  <si>
    <t xml:space="preserve"> Marketed Renewables (wood) 5/</t>
  </si>
  <si>
    <t xml:space="preserve"> Other Fuels 6/</t>
  </si>
  <si>
    <t>Delivered Energy Consumption by End-Use</t>
  </si>
  <si>
    <t xml:space="preserve"> Space Heating</t>
  </si>
  <si>
    <t xml:space="preserve"> Space Cooling</t>
  </si>
  <si>
    <t xml:space="preserve"> Water Heating</t>
  </si>
  <si>
    <t xml:space="preserve"> Refrigeration</t>
  </si>
  <si>
    <t xml:space="preserve"> Cooking </t>
  </si>
  <si>
    <t xml:space="preserve"> Clothes Dryers </t>
  </si>
  <si>
    <t xml:space="preserve"> Freezers</t>
  </si>
  <si>
    <t xml:space="preserve"> Lighting</t>
  </si>
  <si>
    <t xml:space="preserve"> Clothes Washers</t>
  </si>
  <si>
    <t xml:space="preserve"> Dishwashers</t>
  </si>
  <si>
    <t xml:space="preserve"> Color Televisions</t>
  </si>
  <si>
    <t xml:space="preserve"> Personal Computers</t>
  </si>
  <si>
    <t xml:space="preserve"> Furnace Fans </t>
  </si>
  <si>
    <t xml:space="preserve"> Other Uses 7/ </t>
  </si>
  <si>
    <t xml:space="preserve">   Total Delivered Energy</t>
  </si>
  <si>
    <t>Electricity Related Losses</t>
  </si>
  <si>
    <t>Total Energy Consumption by End-Use</t>
  </si>
  <si>
    <t xml:space="preserve"> Cooking</t>
  </si>
  <si>
    <t xml:space="preserve"> Clothes Dryers</t>
  </si>
  <si>
    <t xml:space="preserve"> Furnace Fans</t>
  </si>
  <si>
    <t xml:space="preserve"> Other Uses 7/</t>
  </si>
  <si>
    <t xml:space="preserve">   Total</t>
  </si>
  <si>
    <t>Non-Marketed Renewables</t>
  </si>
  <si>
    <t>Electric share of total to electric and gas</t>
  </si>
  <si>
    <t xml:space="preserve"> Other Uses</t>
  </si>
  <si>
    <t>Equipment Stock (million units)</t>
  </si>
  <si>
    <t xml:space="preserve"> Main Space Heaters</t>
  </si>
  <si>
    <t xml:space="preserve">   Electric Heat Pumps</t>
  </si>
  <si>
    <t xml:space="preserve">   Electric Other</t>
  </si>
  <si>
    <t xml:space="preserve">   Natural Gas Heat Pumps</t>
  </si>
  <si>
    <t xml:space="preserve">   Natural Gas Other</t>
  </si>
  <si>
    <t xml:space="preserve">   Kerosene</t>
  </si>
  <si>
    <t xml:space="preserve">   Wood Stoves</t>
  </si>
  <si>
    <t xml:space="preserve">   Geothermal Heat Pumps</t>
  </si>
  <si>
    <t xml:space="preserve"> Space Cooling (million units)</t>
  </si>
  <si>
    <t xml:space="preserve">   Central Air Conditioners</t>
  </si>
  <si>
    <t xml:space="preserve">   Room Air Conditioners</t>
  </si>
  <si>
    <t xml:space="preserve"> Cooking Equipment (million units) 1/</t>
  </si>
  <si>
    <t xml:space="preserve"> Clothes Dryers (million units)</t>
  </si>
  <si>
    <t xml:space="preserve"> Other Appliances (million units)</t>
  </si>
  <si>
    <t xml:space="preserve">   Refrigerators</t>
  </si>
  <si>
    <t xml:space="preserve">   Electric Heat Pumps (HSPF)</t>
  </si>
  <si>
    <t xml:space="preserve">   Electric Heat Pumps (COP)</t>
  </si>
  <si>
    <t xml:space="preserve">   Natural Gas Heat Pumps (GCOP)</t>
  </si>
  <si>
    <t xml:space="preserve">   Geothermal Heat Pumps (COP)</t>
  </si>
  <si>
    <t>RSHKFRV110</t>
  </si>
  <si>
    <t>Kerosene Furnace Ver1.RSH.KER.10</t>
  </si>
  <si>
    <t>RSHKFRV210</t>
  </si>
  <si>
    <t>Kerosene Furnace Ver2.RSH.KER.10</t>
  </si>
  <si>
    <t>RSHLFRV210</t>
  </si>
  <si>
    <t>Liquid Gas Furnace Ver2.RSH.LPG.10</t>
  </si>
  <si>
    <t>RSHLFRV310</t>
  </si>
  <si>
    <t>RSHDFRV110</t>
  </si>
  <si>
    <t>Distillate Furnace Ver1.RSH.DST.10</t>
  </si>
  <si>
    <t>RSHDFRV210</t>
  </si>
  <si>
    <t>Distillate Furnace Ver2.RSH.DST.10</t>
  </si>
  <si>
    <t>RSHDRDV110</t>
  </si>
  <si>
    <t>Distillate Radiant Ver1.RSH.DST.10</t>
  </si>
  <si>
    <t>RSHDRDV210</t>
  </si>
  <si>
    <t>Distillate Radiant Ver2.RSH.DST.10</t>
  </si>
  <si>
    <t>RSCRACV110</t>
  </si>
  <si>
    <t>Room AC Ver1.RSC.ELC.10</t>
  </si>
  <si>
    <t>RSCCACV110</t>
  </si>
  <si>
    <t>Central AC Ver1.RSC.ELC.10</t>
  </si>
  <si>
    <t>RSCCACV115</t>
  </si>
  <si>
    <t>Central AC Ver1.RSC.ELC.15</t>
  </si>
  <si>
    <t>Central AC Ver4.RSC.ELC.10</t>
  </si>
  <si>
    <t>RSCCACV415</t>
  </si>
  <si>
    <t>Central AC Ver4.RSC.ELC.15</t>
  </si>
  <si>
    <t>Electric Heat Pump Ver1.RSC.ELC.10</t>
  </si>
  <si>
    <t>Electric Heat Pump Ver2.RSC.ELC.15</t>
  </si>
  <si>
    <t>Electric Heat Pump Ver3.RSC.ELC.15</t>
  </si>
  <si>
    <t>RWHNWHV110</t>
  </si>
  <si>
    <t>Natural Gas Ver1.RWH.NGA.10</t>
  </si>
  <si>
    <t>RWHEWHV110</t>
  </si>
  <si>
    <t>Electric Ver1.RWH.ELC.10</t>
  </si>
  <si>
    <t>RWHEWHV210</t>
  </si>
  <si>
    <t>Electric Ver2.RWH.ELC.10</t>
  </si>
  <si>
    <t>RWHDWHV110</t>
  </si>
  <si>
    <t>Distillate Ver1.RWH.DSL.10</t>
  </si>
  <si>
    <t>RWHDWHV210</t>
  </si>
  <si>
    <t>Distillate Ver2.RWH.DSL.10</t>
  </si>
  <si>
    <t>RWHLWHV110</t>
  </si>
  <si>
    <t>Liquid Gas Ver1.RWH.LPG.10</t>
  </si>
  <si>
    <t>RWHSWHV110</t>
  </si>
  <si>
    <t>Solar Ver1.RWH.ELC.10</t>
  </si>
  <si>
    <t xml:space="preserve">   Natural Gas Furnace (AFUE)</t>
  </si>
  <si>
    <t xml:space="preserve">   Distillate Furnace (AFUE)</t>
  </si>
  <si>
    <t xml:space="preserve">   Electric Heat Pumps (SEER)</t>
  </si>
  <si>
    <t xml:space="preserve">   Geothermal Heat Pumps (EER)</t>
  </si>
  <si>
    <t xml:space="preserve">   Cent. Air Conditioners (SEER)</t>
  </si>
  <si>
    <t xml:space="preserve">   Cent. Air Conditioners (COP)</t>
  </si>
  <si>
    <t xml:space="preserve">   Room Air Conditioners (EER)</t>
  </si>
  <si>
    <t xml:space="preserve">   Room Air Conditioners (COP)</t>
  </si>
  <si>
    <t xml:space="preserve"> Water Heaters</t>
  </si>
  <si>
    <t xml:space="preserve"> Other Appliances (kilowatthours per year) 2/</t>
  </si>
  <si>
    <t xml:space="preserve">   New Construction</t>
  </si>
  <si>
    <t xml:space="preserve">     All Homes</t>
  </si>
  <si>
    <t>Population Projections Based on Census Projections</t>
  </si>
  <si>
    <t>* A1 scenario from ICLUS project.  ICLUS Pacific region has been adjusted to include Alaska and Hawaii projects based on Census projections.</t>
  </si>
  <si>
    <t>Electric Heat Pump Ver3.RSH.ELC.10</t>
  </si>
  <si>
    <t>Kerosene Furnace Ver3.RSH.KER.10</t>
  </si>
  <si>
    <t>RSHDRDV310</t>
  </si>
  <si>
    <t>Distillate Radiant Ver3.RSH.DST.10</t>
  </si>
  <si>
    <t xml:space="preserve">Central AC Ver3.RSC.ELC.10 </t>
  </si>
  <si>
    <t xml:space="preserve">Liquid Gas Ver4.RWH.LPG.10 </t>
  </si>
  <si>
    <t>Electric Radiant Base.RSH.ELC.05</t>
  </si>
  <si>
    <t>Electric Heat Pump Ver4.RSH.ELC.20</t>
  </si>
  <si>
    <t>CommUnit</t>
  </si>
  <si>
    <t>Comment</t>
  </si>
  <si>
    <t>TACTUnit</t>
  </si>
  <si>
    <t>TCAPUnit</t>
  </si>
  <si>
    <t>Set Memberships</t>
  </si>
  <si>
    <t>CommName</t>
  </si>
  <si>
    <t>CommDesc</t>
  </si>
  <si>
    <t>TechName</t>
  </si>
  <si>
    <t>TechDesc</t>
  </si>
  <si>
    <t>Units</t>
  </si>
  <si>
    <t>CommIN</t>
  </si>
  <si>
    <t>CommOUT</t>
  </si>
  <si>
    <t>ConstrName</t>
  </si>
  <si>
    <t>ConstrDesc</t>
  </si>
  <si>
    <t>ANSWER-Commodities</t>
  </si>
  <si>
    <t>ANSWER-Technologies</t>
  </si>
  <si>
    <t>ANSWER-Constraints</t>
  </si>
  <si>
    <t>ANSWER-CommData</t>
  </si>
  <si>
    <t>ANSWER-TechData</t>
  </si>
  <si>
    <t>ANSWER-ConstrData</t>
  </si>
  <si>
    <t>Commodities</t>
  </si>
  <si>
    <t>R1,R2,R3,R4,R5,R6,R7,R8,R9</t>
  </si>
  <si>
    <t>*Energy Carriers</t>
  </si>
  <si>
    <t>ELC</t>
  </si>
  <si>
    <t>Electricity</t>
  </si>
  <si>
    <t>PJ</t>
  </si>
  <si>
    <t>RESELC</t>
  </si>
  <si>
    <t>Electricity to Residential Sector</t>
  </si>
  <si>
    <t>Natural Gas to Residential Sector</t>
  </si>
  <si>
    <t>RESNGAEA</t>
  </si>
  <si>
    <t>Diesel to Residential Sector</t>
  </si>
  <si>
    <t>RESDSLEA</t>
  </si>
  <si>
    <t>Kerosene to Residential Sector</t>
  </si>
  <si>
    <t>RESKEREA</t>
  </si>
  <si>
    <t>LPG to Residential Sector</t>
  </si>
  <si>
    <t>RESLPGEA</t>
  </si>
  <si>
    <t>RESCOA</t>
  </si>
  <si>
    <t>Coal to Residential Sector</t>
  </si>
  <si>
    <t>RESBIOEA</t>
  </si>
  <si>
    <t>Biomass-wood to Residential Sector after emissions</t>
  </si>
  <si>
    <t>*Demands</t>
  </si>
  <si>
    <t>RSH</t>
  </si>
  <si>
    <t>Residential Heating</t>
  </si>
  <si>
    <t>RSC</t>
  </si>
  <si>
    <t>Residential Cooling</t>
  </si>
  <si>
    <t>RWH</t>
  </si>
  <si>
    <t>Residential Water Heating</t>
  </si>
  <si>
    <t>RRF</t>
  </si>
  <si>
    <t>Residential Refrigeration</t>
  </si>
  <si>
    <t>RFZ</t>
  </si>
  <si>
    <t>Residential Freezing</t>
  </si>
  <si>
    <t>RLT</t>
  </si>
  <si>
    <t>Residential Lighting</t>
  </si>
  <si>
    <t>bn-lum-yr</t>
  </si>
  <si>
    <t>ROE</t>
  </si>
  <si>
    <t>Residential Other Appliances - ELC</t>
  </si>
  <si>
    <t>ROG</t>
  </si>
  <si>
    <t>Residential Other Appliances - NGA</t>
  </si>
  <si>
    <t>*INFES Backstop</t>
  </si>
  <si>
    <t>ZZDMY</t>
  </si>
  <si>
    <t>Dummy commodity for the ZZ-backstop no-INFES processes</t>
  </si>
  <si>
    <t>Technologies</t>
  </si>
  <si>
    <t>*Space Heating</t>
  </si>
  <si>
    <t>*Electric Radiant</t>
  </si>
  <si>
    <t>PJ/a</t>
  </si>
  <si>
    <t>*Electric Heat Pump</t>
  </si>
  <si>
    <t>*Natural Gas Furnace</t>
  </si>
  <si>
    <t>*</t>
  </si>
  <si>
    <t>*Natural Gas Radiant</t>
  </si>
  <si>
    <t>*Kerosene Furnace</t>
  </si>
  <si>
    <t>*Liquid Gas Furnace</t>
  </si>
  <si>
    <t>*Distillate Furnace</t>
  </si>
  <si>
    <t>*Distillate Radiant</t>
  </si>
  <si>
    <t xml:space="preserve">*Wood </t>
  </si>
  <si>
    <t>*Geothermal Heat Pump</t>
  </si>
  <si>
    <t>*Natural Gas Heat Pump</t>
  </si>
  <si>
    <t>*Space Cooling</t>
  </si>
  <si>
    <t>*Room AC</t>
  </si>
  <si>
    <t>*Central AC</t>
  </si>
  <si>
    <t>*Water Heating</t>
  </si>
  <si>
    <t>*Natural Gas</t>
  </si>
  <si>
    <t xml:space="preserve">*Electric </t>
  </si>
  <si>
    <t>*Distillate</t>
  </si>
  <si>
    <t>*Gas</t>
  </si>
  <si>
    <t>*Solar</t>
  </si>
  <si>
    <t>*Refrigeration</t>
  </si>
  <si>
    <t>bn-lum</t>
  </si>
  <si>
    <t>* DMY Backstop Technologies</t>
  </si>
  <si>
    <t>ZZRLT</t>
  </si>
  <si>
    <t>Residential Lighting - ZZINFES backstop</t>
  </si>
  <si>
    <t>ZZRFZ</t>
  </si>
  <si>
    <t>Residential Freezing - ZZINFES backstop</t>
  </si>
  <si>
    <t>ZZRRF</t>
  </si>
  <si>
    <t>Residential Refrigeration - ZZINFES backstop</t>
  </si>
  <si>
    <t>ZZRSC</t>
  </si>
  <si>
    <t>Residential Cooling - ZZINFES backstop</t>
  </si>
  <si>
    <t>ZZRSH</t>
  </si>
  <si>
    <t>Residential Heating - ZZINFES backstop</t>
  </si>
  <si>
    <t>ZZRWH</t>
  </si>
  <si>
    <t>Residential Water Heating - ZZINFES backstop</t>
  </si>
  <si>
    <t>* Emissions Accounting</t>
  </si>
  <si>
    <t>SERESDSL</t>
  </si>
  <si>
    <t>Emissions: DSL to RES</t>
  </si>
  <si>
    <t>SERESKER</t>
  </si>
  <si>
    <t>Emissions: KER to RES</t>
  </si>
  <si>
    <t>SERESLPG</t>
  </si>
  <si>
    <t>Emissions: LPG to RES</t>
  </si>
  <si>
    <t>SERESNGA</t>
  </si>
  <si>
    <t>Emissions: NGA to RES</t>
  </si>
  <si>
    <t>* Collectors</t>
  </si>
  <si>
    <t>Constraints</t>
  </si>
  <si>
    <t>RSHEHPBS05</t>
  </si>
  <si>
    <t>RSCEHPBS05</t>
  </si>
  <si>
    <t>RSHEHPV110</t>
  </si>
  <si>
    <t>RSCEHPV110</t>
  </si>
  <si>
    <t>RSHEHPV115</t>
  </si>
  <si>
    <t>RSCEHPV115</t>
  </si>
  <si>
    <t>RSHEHPV210</t>
  </si>
  <si>
    <t>RSCEHPV210</t>
  </si>
  <si>
    <t>RSHEHPV215</t>
  </si>
  <si>
    <t>RSCEHPV215</t>
  </si>
  <si>
    <t>RSHEHPV310</t>
  </si>
  <si>
    <t>RSCEHPV310</t>
  </si>
  <si>
    <t>RSHEHPV315</t>
  </si>
  <si>
    <t>RSCEHPV315</t>
  </si>
  <si>
    <t>RSHEHPV410</t>
  </si>
  <si>
    <t>RSCEHPV410</t>
  </si>
  <si>
    <t>RSHEHPV420</t>
  </si>
  <si>
    <t>RSCEHPV420</t>
  </si>
  <si>
    <t>RSHEHPV430</t>
  </si>
  <si>
    <t>RSCEHPV430</t>
  </si>
  <si>
    <t>RSHGHPBS05</t>
  </si>
  <si>
    <t>RSCGHPBS05</t>
  </si>
  <si>
    <t>RSHGHPV110</t>
  </si>
  <si>
    <t>RSCGHPV110</t>
  </si>
  <si>
    <t>RSHGHPV210</t>
  </si>
  <si>
    <t>RSCGHPV210</t>
  </si>
  <si>
    <t>RSHNHPBS05</t>
  </si>
  <si>
    <t>RSCNHPBS05</t>
  </si>
  <si>
    <t>RSHNHPV110</t>
  </si>
  <si>
    <t>RSCNHPV110</t>
  </si>
  <si>
    <t>R1</t>
  </si>
  <si>
    <t>R2</t>
  </si>
  <si>
    <t>R3</t>
  </si>
  <si>
    <t>R4</t>
  </si>
  <si>
    <t>R5</t>
  </si>
  <si>
    <t>R6</t>
  </si>
  <si>
    <t>R7</t>
  </si>
  <si>
    <t>R8</t>
  </si>
  <si>
    <t>R9</t>
  </si>
  <si>
    <t>FX</t>
  </si>
  <si>
    <t>TechData</t>
  </si>
  <si>
    <t>START</t>
  </si>
  <si>
    <t>LIFE</t>
  </si>
  <si>
    <t>*Freezer</t>
  </si>
  <si>
    <t>INVCOST</t>
  </si>
  <si>
    <t>EFF</t>
  </si>
  <si>
    <t>MA(ENT)</t>
  </si>
  <si>
    <t>OUT(DM)</t>
  </si>
  <si>
    <t>CF</t>
  </si>
  <si>
    <t>FIXOM</t>
  </si>
  <si>
    <t>DISCRATE</t>
  </si>
  <si>
    <t>RESID</t>
  </si>
  <si>
    <t xml:space="preserve"> </t>
  </si>
  <si>
    <t>DEMAND</t>
  </si>
  <si>
    <t>2005</t>
  </si>
  <si>
    <t>2010</t>
  </si>
  <si>
    <t>2015</t>
  </si>
  <si>
    <t>Residential</t>
  </si>
  <si>
    <t>Commercial</t>
  </si>
  <si>
    <t>Industrial</t>
  </si>
  <si>
    <t>Incandescent</t>
  </si>
  <si>
    <t>-</t>
  </si>
  <si>
    <t>LED</t>
  </si>
  <si>
    <t>Total</t>
  </si>
  <si>
    <t>CFL</t>
  </si>
  <si>
    <t>Technology</t>
  </si>
  <si>
    <t>New England</t>
  </si>
  <si>
    <t>9R Region</t>
  </si>
  <si>
    <t>SPACE COOLING</t>
  </si>
  <si>
    <t>* Room AC</t>
  </si>
  <si>
    <t>* Central AC</t>
  </si>
  <si>
    <t>* Electric Heat Pump</t>
  </si>
  <si>
    <t>* Geothermal Heat Pump</t>
  </si>
  <si>
    <t>* Natural Gas Heat Pump</t>
  </si>
  <si>
    <t>TOTALS</t>
  </si>
  <si>
    <t>SPACE HEATING</t>
  </si>
  <si>
    <t>* Electric Radiant</t>
  </si>
  <si>
    <t>* Natural Gas Furnace</t>
  </si>
  <si>
    <t>* Natural Gas Radiant</t>
  </si>
  <si>
    <t>* Kerosene Furnace</t>
  </si>
  <si>
    <t>* Liquid Gas Furnace</t>
  </si>
  <si>
    <t>* Distillate Furnace</t>
  </si>
  <si>
    <t>* Distillate Radiant</t>
  </si>
  <si>
    <t>* Wood Heat</t>
  </si>
  <si>
    <t>WATER HEATING</t>
  </si>
  <si>
    <t>* Natural Gas</t>
  </si>
  <si>
    <t>* Electric</t>
  </si>
  <si>
    <t>* Liquid Gas</t>
  </si>
  <si>
    <t>* Solar</t>
  </si>
  <si>
    <t>Northeast Census Region</t>
  </si>
  <si>
    <t>Midwest Census Region</t>
  </si>
  <si>
    <t>South Census Region</t>
  </si>
  <si>
    <t>West Census Region</t>
  </si>
  <si>
    <t>Mid Atlantic</t>
  </si>
  <si>
    <t>East N. Central</t>
  </si>
  <si>
    <t>West N. Central</t>
  </si>
  <si>
    <t>South Atlantic</t>
  </si>
  <si>
    <t>East S. Central</t>
  </si>
  <si>
    <t>West S. Central</t>
  </si>
  <si>
    <t xml:space="preserve">Mountain </t>
  </si>
  <si>
    <t>Pacific</t>
  </si>
  <si>
    <t>NEMS VINTAGE</t>
  </si>
  <si>
    <t>Percent</t>
  </si>
  <si>
    <t>Stock Eff</t>
  </si>
  <si>
    <t>Elc</t>
  </si>
  <si>
    <t>NG</t>
  </si>
  <si>
    <t>Ker</t>
  </si>
  <si>
    <t>LPG</t>
  </si>
  <si>
    <t>Dist</t>
  </si>
  <si>
    <t>Wood</t>
  </si>
  <si>
    <t>Furnace</t>
  </si>
  <si>
    <t>RD</t>
  </si>
  <si>
    <t>HP</t>
  </si>
  <si>
    <t>Distllate</t>
  </si>
  <si>
    <t>REFRIGERATORS</t>
  </si>
  <si>
    <t>FREEZERS</t>
  </si>
  <si>
    <t>LIGHTING</t>
  </si>
  <si>
    <t>* Incandescent</t>
  </si>
  <si>
    <t>* Fluorescent</t>
  </si>
  <si>
    <t>* SolidState</t>
  </si>
  <si>
    <t>* Other Appliances</t>
  </si>
  <si>
    <t>Heat Pump Characterisitics</t>
  </si>
  <si>
    <t>Fraction Heat</t>
  </si>
  <si>
    <t>Fraction Cool</t>
  </si>
  <si>
    <t>EIA 2005 Residential Energy Consumption Survey--Detailed Tables</t>
  </si>
  <si>
    <t>http://www.eia.doe.gov/emeu/recs/recs2005/hc2005_tables/detailed_tables2005.html</t>
  </si>
  <si>
    <t>Space Heating Characteristics by Census Regions, 2005 (Tables HC11.4, HC12.4, HC13.4, HC14.4)</t>
  </si>
  <si>
    <t>Census Division</t>
  </si>
  <si>
    <t>Total
Northeast</t>
  </si>
  <si>
    <t>Total
Midwest</t>
  </si>
  <si>
    <t>Total 
South</t>
  </si>
  <si>
    <t>Total
West</t>
  </si>
  <si>
    <t>Space Heating Characteristics</t>
  </si>
  <si>
    <t>Middle Atlantic</t>
  </si>
  <si>
    <t>East North Central</t>
  </si>
  <si>
    <t>West North Central</t>
  </si>
  <si>
    <t>East South Central</t>
  </si>
  <si>
    <t>West South Central</t>
  </si>
  <si>
    <t>Mountain</t>
  </si>
  <si>
    <t>Do Not Have Space Heating Equipment</t>
  </si>
  <si>
    <t>Q</t>
  </si>
  <si>
    <t>N</t>
  </si>
  <si>
    <t>Have Main Space Heating Equipment</t>
  </si>
  <si>
    <t>Use Main Space Heating Equipment</t>
  </si>
  <si>
    <t>Have Equipment But Do Not Use It</t>
  </si>
  <si>
    <t>Main Heating Fuel and Equipment</t>
  </si>
  <si>
    <t>Natural Gas</t>
  </si>
  <si>
    <t>Central Warm-Air Furnace</t>
  </si>
  <si>
    <t>Steam or Hot Water System</t>
  </si>
  <si>
    <t>Floor, Wall or Pipeless Furnace</t>
  </si>
  <si>
    <t>Room Heater</t>
  </si>
  <si>
    <t>Other Equipment</t>
  </si>
  <si>
    <t>Built-in Electric Units</t>
  </si>
  <si>
    <t>Heat Pump</t>
  </si>
  <si>
    <t>Portable Electric Heaters</t>
  </si>
  <si>
    <t>Fuel Oil</t>
  </si>
  <si>
    <t>Heating Stove</t>
  </si>
  <si>
    <t>Propane/LPG</t>
  </si>
  <si>
    <t>Kerosene</t>
  </si>
  <si>
    <t>Other Fuel</t>
  </si>
  <si>
    <t>Check</t>
  </si>
  <si>
    <t>Air Conditioning Characteristics by Census Regions, 2005 (Tables HC11.7, HC12.6, HC13.6, HC14.6)</t>
  </si>
  <si>
    <t>Air Conditioning Characteristics</t>
  </si>
  <si>
    <t>U.S. Housing Units (millions)</t>
  </si>
  <si>
    <t>Northeast Census Division</t>
  </si>
  <si>
    <t xml:space="preserve">Total Northeast </t>
  </si>
  <si>
    <t>Total Midwest</t>
  </si>
  <si>
    <t>Total South</t>
  </si>
  <si>
    <t>Total West</t>
  </si>
  <si>
    <t>Have Cooling Equipment</t>
  </si>
  <si>
    <t xml:space="preserve">  Use Cooling Equipment</t>
  </si>
  <si>
    <t xml:space="preserve">  Have Equipment But Do Not Use It</t>
  </si>
  <si>
    <t>Air Conditioning Equipment</t>
  </si>
  <si>
    <t xml:space="preserve">  Central System</t>
  </si>
  <si>
    <t xml:space="preserve">    Without a Heat Pump</t>
  </si>
  <si>
    <t xml:space="preserve">    With a Heat Pump</t>
  </si>
  <si>
    <t xml:space="preserve">  Window/Wall Units</t>
  </si>
  <si>
    <t xml:space="preserve">    1 Unit</t>
  </si>
  <si>
    <t xml:space="preserve">    2 Units</t>
  </si>
  <si>
    <t xml:space="preserve">    3 or More Units</t>
  </si>
  <si>
    <t>Central Air Conditioning</t>
  </si>
  <si>
    <t>Table HC11.8  Water Heating Characteristics by Census Regions, 2005 (Tables HC11.8, HC12.8, HC13.8, HC14.8)</t>
  </si>
  <si>
    <t>U.S.
Housing
Units
(millions)</t>
  </si>
  <si>
    <t>Water Heating Characteristics</t>
  </si>
  <si>
    <t>Number of Water Heaters</t>
  </si>
  <si>
    <t>1.</t>
  </si>
  <si>
    <t>2 or More</t>
  </si>
  <si>
    <t>Do Not Use Hot Water</t>
  </si>
  <si>
    <t>Housing Units Served by Main Water Heater</t>
  </si>
  <si>
    <t>One Housing Unit</t>
  </si>
  <si>
    <t>Two or More Housing Units</t>
  </si>
  <si>
    <t>Main Water Heating Fuel</t>
  </si>
  <si>
    <t>Electric</t>
  </si>
  <si>
    <t>For One Housing Unit</t>
  </si>
  <si>
    <t>For Two or More Housing Units</t>
  </si>
  <si>
    <t>Other</t>
  </si>
  <si>
    <t>N/A</t>
  </si>
  <si>
    <t>CRI</t>
  </si>
  <si>
    <t xml:space="preserve"> Water Heaters (million units)</t>
  </si>
  <si>
    <t xml:space="preserve">   Electric</t>
  </si>
  <si>
    <t xml:space="preserve">   Natural Gas</t>
  </si>
  <si>
    <t xml:space="preserve">   Solar Thermal</t>
  </si>
  <si>
    <t xml:space="preserve">     Total</t>
  </si>
  <si>
    <t>Stock Average Equipment Efficiency</t>
  </si>
  <si>
    <t xml:space="preserve">   Electric (EF)</t>
  </si>
  <si>
    <t xml:space="preserve">   Natural Gas (EF)</t>
  </si>
  <si>
    <t>Delivered Energy Consumption by Fuel</t>
  </si>
  <si>
    <t xml:space="preserve"> Electricity</t>
  </si>
  <si>
    <t xml:space="preserve"> Natural Gas</t>
  </si>
  <si>
    <t xml:space="preserve">   Distillate</t>
  </si>
  <si>
    <t xml:space="preserve">   Liquefied Petroleum Gas</t>
  </si>
  <si>
    <t>Name</t>
  </si>
  <si>
    <t>Description</t>
  </si>
  <si>
    <t>RC</t>
  </si>
  <si>
    <t>Residential space cooling</t>
  </si>
  <si>
    <t>RF</t>
  </si>
  <si>
    <t>RH</t>
  </si>
  <si>
    <t>Residential space heating</t>
  </si>
  <si>
    <t>RL</t>
  </si>
  <si>
    <t>Residential lighting</t>
  </si>
  <si>
    <t>RME</t>
  </si>
  <si>
    <t>Residential miscellaneous electric</t>
  </si>
  <si>
    <t>RMG</t>
  </si>
  <si>
    <t>Residential miscellaneous gas</t>
  </si>
  <si>
    <t>RR</t>
  </si>
  <si>
    <t>RW</t>
  </si>
  <si>
    <t>Residential water heating</t>
  </si>
  <si>
    <t>Regional Demand Projections</t>
  </si>
  <si>
    <t>Regional Cooling Demand PJ/a</t>
  </si>
  <si>
    <t>= cooling coefficient * sq ft of AC housing space * CDD</t>
  </si>
  <si>
    <t>Region</t>
  </si>
  <si>
    <t>NE</t>
  </si>
  <si>
    <t>MA</t>
  </si>
  <si>
    <t>SA</t>
  </si>
  <si>
    <t>ESC</t>
  </si>
  <si>
    <t>ENC</t>
  </si>
  <si>
    <t>WSC</t>
  </si>
  <si>
    <t>WNC</t>
  </si>
  <si>
    <t>M</t>
  </si>
  <si>
    <t>P</t>
  </si>
  <si>
    <t>Total US</t>
  </si>
  <si>
    <t>Cooling demand can be changed through population (Pop:C4-N12) or cooling degree days(ResCalc:I37-I45) or Housholds without AC (ResCalc:C125-N133)</t>
  </si>
  <si>
    <t>Regional Heating Demand PJ/a</t>
  </si>
  <si>
    <t>= heating coefficient * sq ft of heated housing space * HDD</t>
  </si>
  <si>
    <t>Heating demand can be changed through population (Pop:C4-N12) or heating degree days(ResCalc:J37-J45)</t>
  </si>
  <si>
    <t>Regional Refrigeration Demand million units/yr</t>
  </si>
  <si>
    <t>= # households * # refrigerators/household</t>
  </si>
  <si>
    <t>Check From AEO data</t>
  </si>
  <si>
    <t>Regional Freezer Demand million units/yr</t>
  </si>
  <si>
    <t>= # households * # freezers/household</t>
  </si>
  <si>
    <t>Regional Lighting Demand billion lumens/yr</t>
  </si>
  <si>
    <t>= Nat'l lighting demand * Regional % of total households</t>
  </si>
  <si>
    <t>Regional Miscellaneous Electric Demand PJ/a</t>
  </si>
  <si>
    <t>= Nat'l misc electric demand * Regional % of total households</t>
  </si>
  <si>
    <t>Regional Miscellaneous Gas Demand PJ/a</t>
  </si>
  <si>
    <t>= Nat'l misc NG demand * Regional % of total households</t>
  </si>
  <si>
    <t>Regional Water Heating Demand PJ/a</t>
  </si>
  <si>
    <t>= Nat'l water heating demand * Regional % of total households</t>
  </si>
  <si>
    <t>Seasonal Distribution of Heating and Cooling Loads</t>
  </si>
  <si>
    <t>Data (10 year average for 1998-2008) from NOAA's Historical Climatography Series  No. 5.1 (HDD) and 5.2 (CDD)</t>
  </si>
  <si>
    <t>Summer</t>
  </si>
  <si>
    <t>Intermediate</t>
  </si>
  <si>
    <t>Winter</t>
  </si>
  <si>
    <t>MARKAL #</t>
  </si>
  <si>
    <t>Degree Day</t>
  </si>
  <si>
    <t>Jun</t>
  </si>
  <si>
    <t>Jul</t>
  </si>
  <si>
    <t>Aug</t>
  </si>
  <si>
    <t>Sept</t>
  </si>
  <si>
    <t>Oct</t>
  </si>
  <si>
    <t>Nov</t>
  </si>
  <si>
    <t>Dec</t>
  </si>
  <si>
    <t>Jan</t>
  </si>
  <si>
    <t>Feb</t>
  </si>
  <si>
    <t>Mar</t>
  </si>
  <si>
    <t>Apr</t>
  </si>
  <si>
    <t>May</t>
  </si>
  <si>
    <t>HDD</t>
  </si>
  <si>
    <t>CDD</t>
  </si>
  <si>
    <t>Day</t>
  </si>
  <si>
    <t>Night</t>
  </si>
  <si>
    <t>For Cooling degree days assume that day/night load distribution is 70%/30%.</t>
  </si>
  <si>
    <t>In winter, assume CDD distribution is 80%/20%.</t>
  </si>
  <si>
    <t>For Heating degree days assume the day night distribution is 45%/55%.</t>
  </si>
  <si>
    <t>In summer, assume the HDD day/night distribution is 20%/80%</t>
  </si>
  <si>
    <t>Heating and Cooling Degree Days</t>
  </si>
  <si>
    <t>In Calculations</t>
  </si>
  <si>
    <t>CDD*</t>
  </si>
  <si>
    <t>HDD*</t>
  </si>
  <si>
    <t>Ratio C/H</t>
  </si>
  <si>
    <t>*Data from 10yrAVG.xls</t>
  </si>
  <si>
    <t>10-yr average (1998-2008) weighted by XXXX population.</t>
  </si>
  <si>
    <t>HDD and CDD adjustment factors based on population impacts on national HDD and CDD</t>
  </si>
  <si>
    <t>Table 4.  Residential Sector Key Indicators and Consumption</t>
  </si>
  <si>
    <t>(quadrillion Btu, unless otherwise noted)</t>
  </si>
  <si>
    <t/>
  </si>
  <si>
    <t xml:space="preserve"> Key Indicators and Consumption</t>
  </si>
  <si>
    <t>Key Indicators</t>
  </si>
  <si>
    <t xml:space="preserve"> Households (millions)</t>
  </si>
  <si>
    <t xml:space="preserve">   Single-Family</t>
  </si>
  <si>
    <t xml:space="preserve">   Multifamily</t>
  </si>
  <si>
    <t xml:space="preserve">   Mobile Homes</t>
  </si>
  <si>
    <t xml:space="preserve"> Average House Square Footage</t>
  </si>
  <si>
    <t>Ave persons per household</t>
  </si>
  <si>
    <t>Average House Square Footage</t>
  </si>
  <si>
    <t>Adjustments based on population shifts through time</t>
  </si>
  <si>
    <t>CDD adjustment</t>
  </si>
  <si>
    <t>HDD adjustment</t>
  </si>
  <si>
    <t>Housing cooling coefficient (BTU per sqft per CDD)</t>
  </si>
  <si>
    <t>Housing heating coefficient (BTU per sqft per HDD)</t>
  </si>
  <si>
    <t>Household (%) with no AC</t>
  </si>
  <si>
    <t>Change</t>
  </si>
  <si>
    <t>annual</t>
  </si>
  <si>
    <t>1/2 of annual</t>
  </si>
  <si>
    <t>Lower bound*</t>
  </si>
  <si>
    <t>US</t>
  </si>
  <si>
    <t>* Lower bounds estimated at 20% of the population for the northern states of the region.</t>
  </si>
  <si>
    <t xml:space="preserve">Projected Fraction of Households with no AC using rates (O64-74) and lower bounds (P64-74) </t>
  </si>
  <si>
    <t>Households per Region in calculations (based on Population at top of Pop Worksheet)</t>
  </si>
  <si>
    <t>2000 Data based year 2001 from Table 2.6  Annual Energy Review 2005</t>
  </si>
  <si>
    <t>Refrigeration Distribution in Households extrapolated</t>
  </si>
  <si>
    <t>Percent of Households</t>
  </si>
  <si>
    <t>One Refrigerator</t>
  </si>
  <si>
    <t>Two or More</t>
  </si>
  <si>
    <t>Separate Freezer</t>
  </si>
  <si>
    <t>Rate of change 1980-2001</t>
  </si>
  <si>
    <t>1987-2001</t>
  </si>
  <si>
    <t>Yearly rate</t>
  </si>
  <si>
    <t>Average household misc. electric use</t>
  </si>
  <si>
    <t>Average household misc. gas use</t>
  </si>
  <si>
    <t xml:space="preserve">Average household water heating </t>
  </si>
  <si>
    <t>Household (%) with 2 or more Refrig</t>
  </si>
  <si>
    <t>Hholds 2001</t>
  </si>
  <si>
    <t>Wtd Average</t>
  </si>
  <si>
    <t>Household (%) with separate Freezer</t>
  </si>
  <si>
    <t>M Units 2001</t>
  </si>
  <si>
    <t>Converted to Fractions</t>
  </si>
  <si>
    <t>RSHNFRV410</t>
  </si>
  <si>
    <t>Natural Gas Furnace Ver4.RSH.NGA.10</t>
  </si>
  <si>
    <t>Heat Pump Cooling/Heating</t>
  </si>
  <si>
    <t>RSHLFRV410</t>
  </si>
  <si>
    <t>Liquid Gas Furnace Ver4.RSH.LPG.10</t>
  </si>
  <si>
    <t>Natural Gas Heat Pump Ver1.RSH.NGA.10</t>
  </si>
  <si>
    <t>Electric Heat Pump Ver3.RSH.ELC.15</t>
  </si>
  <si>
    <t>REGIONS</t>
  </si>
  <si>
    <t>Electric Heat Pump Ver1.RSH.ELC.10</t>
  </si>
  <si>
    <t>RSHNFRV210</t>
  </si>
  <si>
    <t>Natural Gas Furnace Ver2.RSH.NGA.10</t>
  </si>
  <si>
    <t>RSHNFRV310</t>
  </si>
  <si>
    <t>Natural Gas Furnace Ver3.RSH.NGA.10</t>
  </si>
  <si>
    <t>RSHNRDBS05</t>
  </si>
  <si>
    <t>RSHNRDV110</t>
  </si>
  <si>
    <t>RSHNRDV210</t>
  </si>
  <si>
    <t>Natural Gas Radiant Ver2.RSH.NGA.10</t>
  </si>
  <si>
    <t>Total - Check</t>
  </si>
  <si>
    <t>Natural Gas Radiant Base.RSH.NGA.05</t>
  </si>
  <si>
    <t>Natural Gas Radiant Ver1.RSH.NGA.10</t>
  </si>
  <si>
    <t>Natural Gas Furnace Base.RSH.NGA.05</t>
  </si>
  <si>
    <t>RSHNFRBS05</t>
  </si>
  <si>
    <t>RSHERDBS05</t>
  </si>
  <si>
    <t>RSHKFRV310</t>
  </si>
  <si>
    <t>Liquid Gas Furnace Base.RSH.LPG.05</t>
  </si>
  <si>
    <t>RSHLFRBS05</t>
  </si>
  <si>
    <t>Distillate Furnace Base.RSH.DST.05</t>
  </si>
  <si>
    <t>RSHDFRBS05</t>
  </si>
  <si>
    <t>Distillate Radiant Base.RSH.DST.05</t>
  </si>
  <si>
    <t>RSHDRDBS05</t>
  </si>
  <si>
    <t>Wood Heat Base.RSH.BWD.05</t>
  </si>
  <si>
    <t>RSHWDHBS05</t>
  </si>
  <si>
    <t>Wood Heat Ver1.RSH.BWD.10</t>
  </si>
  <si>
    <t>RSHWDHV110</t>
  </si>
  <si>
    <t>Geothermal Heat Pump Base.RSH.ELC.05</t>
  </si>
  <si>
    <t>Natural Gas Heat Pump Base.RSH.NGA.05</t>
  </si>
  <si>
    <t>Room AC Base.RSC.ELC.05</t>
  </si>
  <si>
    <t>RSCRACBS05</t>
  </si>
  <si>
    <t>Central AC Base.RSC.ELC.05</t>
  </si>
  <si>
    <t>RSCCACBS05</t>
  </si>
  <si>
    <t>Electric Heat Pump Base.RSC.ELC.05</t>
  </si>
  <si>
    <t>Electric Heat Pump Ver1.RSC.ELC.15</t>
  </si>
  <si>
    <t>Geothermal Heat Pump Base.RSC.ELC.05</t>
  </si>
  <si>
    <t>Geothermal Heat Pump Ver2.RSC.ELC.10</t>
  </si>
  <si>
    <t>Natural Gas Heat Pump Base.RSC.NGA.05</t>
  </si>
  <si>
    <t>Natural Gas Base.RWH.NGA.05</t>
  </si>
  <si>
    <t>RWHNWHBS05</t>
  </si>
  <si>
    <t>Electric Base.RWH.ELC.05</t>
  </si>
  <si>
    <t>RWHEWHBS05</t>
  </si>
  <si>
    <t>Distillate Base.RWH.DSL.05</t>
  </si>
  <si>
    <t>RWHDWHBS05</t>
  </si>
  <si>
    <t>Liquid Gas Base.RWH.LPG.05</t>
  </si>
  <si>
    <t>RWHSWHV130</t>
  </si>
  <si>
    <t>Solar Ver1.RWH.ELC.30</t>
  </si>
  <si>
    <t>RSCRACV210</t>
  </si>
  <si>
    <t>Room AC Ver2.RSC.ELC.10</t>
  </si>
  <si>
    <t>RSCRACV310</t>
  </si>
  <si>
    <t>Room AC Ver3.RSC.ELC.10</t>
  </si>
  <si>
    <t>RSCCACV320</t>
  </si>
  <si>
    <t>Central AC Ver3.RSC.ELC.20</t>
  </si>
  <si>
    <t>RSCCACV420</t>
  </si>
  <si>
    <t>Central AC Ver4.RSC.ELC.20</t>
  </si>
  <si>
    <t>Electric Heat Pump Ver4.RSC.ELC.20</t>
  </si>
  <si>
    <t>RWHNWHV210</t>
  </si>
  <si>
    <t>Natural Gas Ver2.RWH.NGA.10</t>
  </si>
  <si>
    <t>RWHNWHV320</t>
  </si>
  <si>
    <t>Natural Gas Ver3.RWH.NGA.20</t>
  </si>
  <si>
    <t>RWHEWHV310</t>
  </si>
  <si>
    <t>Electric Ver3.RWH.ELC.10</t>
  </si>
  <si>
    <t>RWHEWHV410</t>
  </si>
  <si>
    <t>Electric Ver4.RWH.ELC.10</t>
  </si>
  <si>
    <t>RWHSWHV120</t>
  </si>
  <si>
    <t>Solar Ver1.RWH.ELC.20</t>
  </si>
  <si>
    <t>R5,R6,R7,R9</t>
  </si>
  <si>
    <t xml:space="preserve">LOADADJ </t>
  </si>
  <si>
    <t xml:space="preserve">RTEQEFF </t>
  </si>
  <si>
    <t>2020</t>
  </si>
  <si>
    <t>2025</t>
  </si>
  <si>
    <t>Residential freezers</t>
  </si>
  <si>
    <t>Residential refrigeration</t>
  </si>
  <si>
    <t>Lighting average operating hours per day</t>
  </si>
  <si>
    <t>Source: Table ES-3.  Average Operating Hours per Day by Light Source, 2001 from U.S. Lighting Market Characterization Report (Sept 2002).</t>
  </si>
  <si>
    <t xml:space="preserve">   Pre-2005 Homes</t>
  </si>
  <si>
    <t>Choose Preferred Population Projection from below and copy and paste values in the table above:</t>
  </si>
  <si>
    <t>Lighting</t>
  </si>
  <si>
    <t>start year
*REMOVE*
*THIS*</t>
  </si>
  <si>
    <t>'NG_RAD1'</t>
  </si>
  <si>
    <t>'NG_RAD2'</t>
  </si>
  <si>
    <t>'NG_RAD3'</t>
  </si>
  <si>
    <t>* Solar PV Technologies</t>
  </si>
  <si>
    <t>ESOLPVRES</t>
  </si>
  <si>
    <t>Solar PV Distributed Residential Generation</t>
  </si>
  <si>
    <t>SOL</t>
  </si>
  <si>
    <t>Solar Energy</t>
  </si>
  <si>
    <t>* Solar and Wind energy conversion technologies</t>
  </si>
  <si>
    <t>UP</t>
  </si>
  <si>
    <t>Heating and Cooling Coefficients</t>
  </si>
  <si>
    <t>RECS Air-Conditioning Usage by Census Region</t>
  </si>
  <si>
    <t>Refrigerator and Freezer Distribution</t>
  </si>
  <si>
    <t>Natural gas</t>
  </si>
  <si>
    <t>Heat pump</t>
  </si>
  <si>
    <t>Water heating</t>
  </si>
  <si>
    <t>CO2</t>
  </si>
  <si>
    <t>N2O</t>
  </si>
  <si>
    <t>SO2</t>
  </si>
  <si>
    <t>PM10</t>
  </si>
  <si>
    <t>VOC</t>
  </si>
  <si>
    <t>CO</t>
  </si>
  <si>
    <t>BC</t>
  </si>
  <si>
    <t>CH4</t>
  </si>
  <si>
    <t>OC</t>
  </si>
  <si>
    <t>Gasoline</t>
  </si>
  <si>
    <t>Biofuel</t>
  </si>
  <si>
    <t>Diesel</t>
  </si>
  <si>
    <t>* Residential</t>
  </si>
  <si>
    <t>SERESCOA</t>
  </si>
  <si>
    <t>Emissions: COA to RES</t>
  </si>
  <si>
    <t>RESCOAEA</t>
  </si>
  <si>
    <t>RESNGA</t>
  </si>
  <si>
    <t>SERESBIO</t>
  </si>
  <si>
    <t>Emissions: BIO to RES</t>
  </si>
  <si>
    <t>RESBIO</t>
  </si>
  <si>
    <t>RESDSL</t>
  </si>
  <si>
    <t>RESKER</t>
  </si>
  <si>
    <t>RESLPG</t>
  </si>
  <si>
    <t>NOX</t>
  </si>
  <si>
    <t>PM25</t>
  </si>
  <si>
    <t>CO2R</t>
  </si>
  <si>
    <t>NOXR</t>
  </si>
  <si>
    <t>PM10R</t>
  </si>
  <si>
    <t>SO2R</t>
  </si>
  <si>
    <t>*Emissions</t>
  </si>
  <si>
    <t>Carbon dioxide</t>
  </si>
  <si>
    <t>Mt</t>
  </si>
  <si>
    <t>ENV</t>
  </si>
  <si>
    <t>Nitrogen oxide</t>
  </si>
  <si>
    <t>kt</t>
  </si>
  <si>
    <t>Particulate matter</t>
  </si>
  <si>
    <t>Fine particulate matter</t>
  </si>
  <si>
    <t>Volatile organic compounds</t>
  </si>
  <si>
    <t>Carbon monoxide</t>
  </si>
  <si>
    <t>Methane</t>
  </si>
  <si>
    <t>Black carbon</t>
  </si>
  <si>
    <t>Organic carbon</t>
  </si>
  <si>
    <t>Sulfur dioxide</t>
  </si>
  <si>
    <t>COA to RES after Emissions Accounting</t>
  </si>
  <si>
    <t>Distillate-Heating Oil No. 2 to the Residential Sector</t>
  </si>
  <si>
    <t>Kerosene and Other Refined Products to the Residential Sector</t>
  </si>
  <si>
    <t>LPG to the Residential Sector</t>
  </si>
  <si>
    <t>Biomass to Residential</t>
  </si>
  <si>
    <t xml:space="preserve">RTTYNAME </t>
  </si>
  <si>
    <t>'RefTF#1'</t>
  </si>
  <si>
    <t>'RefTF#2'</t>
  </si>
  <si>
    <t>'RefTF#3'</t>
  </si>
  <si>
    <t>'RefSF#1'</t>
  </si>
  <si>
    <t>'RefSF#2'</t>
  </si>
  <si>
    <t>'RefBF#1'</t>
  </si>
  <si>
    <t>'RefBF#2'</t>
  </si>
  <si>
    <t>'FrzrC#1'</t>
  </si>
  <si>
    <t>'FrzrC#2'</t>
  </si>
  <si>
    <t>'FrzrU#1'</t>
  </si>
  <si>
    <t>'FrzrU#2'</t>
  </si>
  <si>
    <t>* Where R5 is listed, those technologies apply to regions 5,6,7,9</t>
  </si>
  <si>
    <t xml:space="preserve">                                                                                                                                               Efficiency Choice Model</t>
  </si>
  <si>
    <t xml:space="preserve">End    </t>
  </si>
  <si>
    <t xml:space="preserve">Equip      </t>
  </si>
  <si>
    <t xml:space="preserve">Equip    </t>
  </si>
  <si>
    <t xml:space="preserve">First   </t>
  </si>
  <si>
    <t xml:space="preserve">Last       </t>
  </si>
  <si>
    <t xml:space="preserve">Region        </t>
  </si>
  <si>
    <t xml:space="preserve">HVAC    </t>
  </si>
  <si>
    <t xml:space="preserve">Type     </t>
  </si>
  <si>
    <t xml:space="preserve">M    </t>
  </si>
  <si>
    <t xml:space="preserve"> Hot            </t>
  </si>
  <si>
    <t xml:space="preserve">Use    </t>
  </si>
  <si>
    <t xml:space="preserve">Class   </t>
  </si>
  <si>
    <t xml:space="preserve">Year    </t>
  </si>
  <si>
    <t xml:space="preserve">Year          </t>
  </si>
  <si>
    <t xml:space="preserve">POINTR   </t>
  </si>
  <si>
    <t xml:space="preserve">Pntr     </t>
  </si>
  <si>
    <t xml:space="preserve">E     </t>
  </si>
  <si>
    <t xml:space="preserve">H2O                                    </t>
  </si>
  <si>
    <t xml:space="preserve">  Effcy   </t>
  </si>
  <si>
    <t xml:space="preserve">Cost($10)  </t>
  </si>
  <si>
    <t xml:space="preserve"> Cost($10)      </t>
  </si>
  <si>
    <t xml:space="preserve">Beta1  </t>
  </si>
  <si>
    <t xml:space="preserve">Beta2 </t>
  </si>
  <si>
    <t xml:space="preserve"> Beta3 </t>
  </si>
  <si>
    <t xml:space="preserve">   Bias  </t>
  </si>
  <si>
    <t>End Use</t>
  </si>
  <si>
    <t>Equip Class</t>
  </si>
  <si>
    <t>Equip Type</t>
  </si>
  <si>
    <t>First Year</t>
  </si>
  <si>
    <t>Last Year</t>
  </si>
  <si>
    <t>HVAC Pointer</t>
  </si>
  <si>
    <t xml:space="preserve"> RTTYEQCL </t>
  </si>
  <si>
    <t xml:space="preserve">RTEQTYPE </t>
  </si>
  <si>
    <t xml:space="preserve">RTINITYR </t>
  </si>
  <si>
    <t xml:space="preserve">RTLASTYR </t>
  </si>
  <si>
    <t xml:space="preserve">RTCENDIV </t>
  </si>
  <si>
    <t xml:space="preserve">HVACPT </t>
  </si>
  <si>
    <t xml:space="preserve">RTTYPNTR  </t>
  </si>
  <si>
    <t xml:space="preserve"> F    </t>
  </si>
  <si>
    <t xml:space="preserve">RTEQCOST  </t>
  </si>
  <si>
    <t xml:space="preserve">RTRECOST </t>
  </si>
  <si>
    <t xml:space="preserve">RTMATURE   </t>
  </si>
  <si>
    <t xml:space="preserve">RTCOSTP1 </t>
  </si>
  <si>
    <t xml:space="preserve">RTCOSTP2 </t>
  </si>
  <si>
    <t xml:space="preserve">RTCOSTP3 </t>
  </si>
  <si>
    <t xml:space="preserve">RTECBTA1 </t>
  </si>
  <si>
    <t xml:space="preserve">RTECBTA2 </t>
  </si>
  <si>
    <t xml:space="preserve">RTECBTA3 </t>
  </si>
  <si>
    <t xml:space="preserve">RTECBIAS </t>
  </si>
  <si>
    <t>x</t>
  </si>
  <si>
    <t>Same as 2015</t>
  </si>
  <si>
    <t>Resid technology</t>
  </si>
  <si>
    <t>one yr tax incentive</t>
  </si>
  <si>
    <t xml:space="preserve">Definition:    Major equipment type menu options   </t>
  </si>
  <si>
    <t>Units:         Efficiency units found in Residential Module Documentation</t>
  </si>
  <si>
    <t>Source:        Navigant Consulting</t>
  </si>
  <si>
    <t xml:space="preserve">               Various Technical Support Documents for DOE-covered standards </t>
  </si>
  <si>
    <t>Comments:      Number classes 1, 2 , 3, ... must match RTEKCL class number</t>
  </si>
  <si>
    <t xml:space="preserve">               Do not add equipment classes</t>
  </si>
  <si>
    <t xml:space="preserve">               Do not change equipment class names  </t>
  </si>
  <si>
    <t xml:space="preserve">               RTxxxxxx are RESD variable names  </t>
  </si>
  <si>
    <t xml:space="preserve">       Must be sorted by column one, then column two              </t>
  </si>
  <si>
    <t xml:space="preserve">                                                                                                                                       </t>
  </si>
  <si>
    <t>US Department of Commerce: Bureau of Economic Analysis</t>
  </si>
  <si>
    <t>http://www.bea.gov/national/nipaweb/SelectTable.asp?Selected=Y</t>
  </si>
  <si>
    <t>2010$/unit</t>
  </si>
  <si>
    <t xml:space="preserve"> 05m$/PJ</t>
  </si>
  <si>
    <t xml:space="preserve"> 05m$/unit</t>
  </si>
  <si>
    <t>RSHEHPV435</t>
  </si>
  <si>
    <t>Electric Heat Pump Ver4.RSH.ELC.35</t>
  </si>
  <si>
    <t>RSCEHPV435</t>
  </si>
  <si>
    <t>Electric Heat Pump Ver4.RSC.ELC.35</t>
  </si>
  <si>
    <t>RSHNFRV110</t>
  </si>
  <si>
    <t>Natural Gas Furnace Ver1.RSH.NGA.10</t>
  </si>
  <si>
    <t>RSHNRDV115</t>
  </si>
  <si>
    <t>Natural Gas Radiant Ver1.RSH.NGA.15</t>
  </si>
  <si>
    <t>RSHLFRV110</t>
  </si>
  <si>
    <t>Liquid Gas Furnace Ver1.RSH.LPG.10</t>
  </si>
  <si>
    <t>Liquid Gas Furnace Ver3.RSH.LPG.10</t>
  </si>
  <si>
    <t>2010H</t>
  </si>
  <si>
    <t>2010C</t>
  </si>
  <si>
    <t>2020H</t>
  </si>
  <si>
    <t>2020C</t>
  </si>
  <si>
    <t>RSHGHPV220</t>
  </si>
  <si>
    <t>Geothermal Heat Pump Ver2.RSH.ELC.20</t>
  </si>
  <si>
    <t>RSCGHPV220</t>
  </si>
  <si>
    <t>Geothermal Heat Pump Ver2.RSC.ELC.20</t>
  </si>
  <si>
    <t>RSCNHPV120</t>
  </si>
  <si>
    <t>Natural Gas Heat Pump Ver1.RSC.NGA.20</t>
  </si>
  <si>
    <t>RSCRACV215</t>
  </si>
  <si>
    <t>Room AC Ver2.RSC.ELC.15</t>
  </si>
  <si>
    <t>RSCRACV230</t>
  </si>
  <si>
    <t>Room AC Ver2.RSC.ELC.30</t>
  </si>
  <si>
    <t>RSCCACV220</t>
  </si>
  <si>
    <t>Central AC Ver2.RSC.ELC.20</t>
  </si>
  <si>
    <t>RWHNWHV115</t>
  </si>
  <si>
    <t>Natural Gas Ver1.RWH.NGA.15</t>
  </si>
  <si>
    <t>RWHLWHV115</t>
  </si>
  <si>
    <t>Liquid Gas Ver1.RWH.LPG.15</t>
  </si>
  <si>
    <t>RRFBS05</t>
  </si>
  <si>
    <t>RWHLWHBS05</t>
  </si>
  <si>
    <t>RFZBS05</t>
  </si>
  <si>
    <t>RRFTFV110</t>
  </si>
  <si>
    <t>RRFTFV115</t>
  </si>
  <si>
    <t>RRFSFV110</t>
  </si>
  <si>
    <t>RRFTFV210</t>
  </si>
  <si>
    <t>RRFTFV215</t>
  </si>
  <si>
    <t>RRFSFV210</t>
  </si>
  <si>
    <t>RRFSFV215</t>
  </si>
  <si>
    <t>RRFBFV210</t>
  </si>
  <si>
    <t>RRFBFV215</t>
  </si>
  <si>
    <t>RRFTFV310</t>
  </si>
  <si>
    <t>RRFTFV315</t>
  </si>
  <si>
    <t>RRFBFV110</t>
  </si>
  <si>
    <t>TF Ver1.RRF.ELC.10</t>
  </si>
  <si>
    <t>Base.RRF.BS.ELC.05</t>
  </si>
  <si>
    <t>TF Ver1.RRF.ELC.15</t>
  </si>
  <si>
    <t>TF VerC.RRF.ELC.10</t>
  </si>
  <si>
    <t>TF Ver2.RRF.ELC.15</t>
  </si>
  <si>
    <t>TF Ver3.RRF.ELC.10</t>
  </si>
  <si>
    <t>TF Ver3.RRF.ELC.15</t>
  </si>
  <si>
    <t>SF Ver1.RRF.ELC.10</t>
  </si>
  <si>
    <t>SF Ver2.RRF.ELC.10</t>
  </si>
  <si>
    <t>SF Ver2.RRF.ELC.15</t>
  </si>
  <si>
    <t>BF Ver1.RRF.ELC.10</t>
  </si>
  <si>
    <t>BF Ver2.RRF.ELC.10</t>
  </si>
  <si>
    <t>BF Ver2.RRF.ELC.15</t>
  </si>
  <si>
    <t>Base.RFZ.BS.ELC.05</t>
  </si>
  <si>
    <t>RFZCV110</t>
  </si>
  <si>
    <t>RFZCV210</t>
  </si>
  <si>
    <t>RFZCV215</t>
  </si>
  <si>
    <t>RFZUV110</t>
  </si>
  <si>
    <t>RFZUV210</t>
  </si>
  <si>
    <t>RFZUV215</t>
  </si>
  <si>
    <t>C Ver1.RFZ.ELC.10</t>
  </si>
  <si>
    <t>C Ver2.RFZ.ELC.10</t>
  </si>
  <si>
    <t>C Ver2.RFZ.ELC.15</t>
  </si>
  <si>
    <t>U Ver1.RFZ.ELC.10</t>
  </si>
  <si>
    <t>U Ver2.RFZ.ELC.10</t>
  </si>
  <si>
    <t>U Ver2.RFZ.ELC.15</t>
  </si>
  <si>
    <t xml:space="preserve">  Geothermal Heat Pumps</t>
  </si>
  <si>
    <t xml:space="preserve">  Solar Hot Water Heating</t>
  </si>
  <si>
    <t xml:space="preserve">  Solar Photovoltaic</t>
  </si>
  <si>
    <t xml:space="preserve">  Wind</t>
  </si>
  <si>
    <t>Residential miscellaneous nat gas</t>
  </si>
  <si>
    <t>RMN</t>
  </si>
  <si>
    <t>RML</t>
  </si>
  <si>
    <t>Residential miscellaneous LPG</t>
  </si>
  <si>
    <t>Regional Miscellaneous LPG Demand PJ/a</t>
  </si>
  <si>
    <t>Average household misc. LPG use</t>
  </si>
  <si>
    <t>ROL</t>
  </si>
  <si>
    <t>Residential Other Appliances - LPG</t>
  </si>
  <si>
    <t>Residential Other - Electric</t>
  </si>
  <si>
    <t>Residential Other - NGA</t>
  </si>
  <si>
    <t>Residential Other - LPG</t>
  </si>
  <si>
    <t>ROTHCELC</t>
  </si>
  <si>
    <t>ROTHNGA</t>
  </si>
  <si>
    <t>ROTHLPG</t>
  </si>
  <si>
    <t>* Residential Other</t>
  </si>
  <si>
    <t>* Other</t>
  </si>
  <si>
    <t>RSHNHPV120</t>
  </si>
  <si>
    <t>Natural Gas Heat Pump Ver1.RSH.NGA.20</t>
  </si>
  <si>
    <t>AEO 2012 Residential Sector Equipment Stock and Efficiency, Reference case</t>
  </si>
  <si>
    <t>Residential Sector - AEO National Demands</t>
  </si>
  <si>
    <t>CO2 from the residential sector</t>
  </si>
  <si>
    <t>NOx from the residential sector</t>
  </si>
  <si>
    <t>PM10 from the residential sector</t>
  </si>
  <si>
    <t>SO2 from the residential sector</t>
  </si>
  <si>
    <t xml:space="preserve">[Index numbers, 2009=100]                                                                                                                                                                                                                                 </t>
  </si>
  <si>
    <t>Downloaded on 1/09/2014    Last Revised 12/23/2013</t>
  </si>
  <si>
    <t>To bring to $2005</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</si>
  <si>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</si>
  <si>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</si>
  <si>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</si>
  <si>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</si>
  <si>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</si>
  <si>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</si>
  <si>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</si>
  <si>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</si>
  <si>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</si>
  <si>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</si>
  <si>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</si>
  <si>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</si>
  <si>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</si>
  <si>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</si>
  <si>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</si>
  <si>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</si>
  <si>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</si>
  <si>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</si>
  <si>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</si>
  <si>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</si>
  <si>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</si>
  <si>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</si>
  <si>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</si>
  <si>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</si>
  <si>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</si>
  <si>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</si>
  <si>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2011</t>
  </si>
  <si>
    <t>2012</t>
  </si>
  <si>
    <t>AEO 2014 Residential Sector Key Indicators and Consumption, Reference case</t>
  </si>
  <si>
    <t xml:space="preserve">   Other</t>
  </si>
  <si>
    <t>AEO 2014</t>
  </si>
  <si>
    <t>Last Modified: August 14, 2013</t>
  </si>
  <si>
    <t>RTEQTYPE</t>
  </si>
  <si>
    <t>RTTYEQCL</t>
  </si>
  <si>
    <t>RTINITYR</t>
  </si>
  <si>
    <t>RTLASTYR</t>
  </si>
  <si>
    <t>RTCENDIV</t>
  </si>
  <si>
    <t>HVACPT</t>
  </si>
  <si>
    <t>RTTYPNTR</t>
  </si>
  <si>
    <t>F</t>
  </si>
  <si>
    <t>LOADADJ</t>
  </si>
  <si>
    <t>RTEQEFF</t>
  </si>
  <si>
    <t>RTEQCOST</t>
  </si>
  <si>
    <t>RTRECOST</t>
  </si>
  <si>
    <t>RTMATURE</t>
  </si>
  <si>
    <t>RTCOSTP1</t>
  </si>
  <si>
    <t>RTCOSTP2</t>
  </si>
  <si>
    <t>RTCOSTP3</t>
  </si>
  <si>
    <t>RTECBTA1</t>
  </si>
  <si>
    <t>RTECBTA2</t>
  </si>
  <si>
    <t>RTECBTA3</t>
  </si>
  <si>
    <t>RTECBIAS</t>
  </si>
  <si>
    <t>RTTYNAME</t>
  </si>
  <si>
    <t>End</t>
  </si>
  <si>
    <t>Equip</t>
  </si>
  <si>
    <t>First</t>
  </si>
  <si>
    <t>Last</t>
  </si>
  <si>
    <t>HVAC</t>
  </si>
  <si>
    <t>Type</t>
  </si>
  <si>
    <t>Hot</t>
  </si>
  <si>
    <t>Replace</t>
  </si>
  <si>
    <t>Logit</t>
  </si>
  <si>
    <t>Parameters</t>
  </si>
  <si>
    <t>Use</t>
  </si>
  <si>
    <t>Class</t>
  </si>
  <si>
    <t>POINTR</t>
  </si>
  <si>
    <t>Pntr</t>
  </si>
  <si>
    <t>E</t>
  </si>
  <si>
    <t>H2O</t>
  </si>
  <si>
    <t>Effcy</t>
  </si>
  <si>
    <t>Cost($10)</t>
  </si>
  <si>
    <t>Beta1</t>
  </si>
  <si>
    <t>Beta2</t>
  </si>
  <si>
    <t>Beta3</t>
  </si>
  <si>
    <t>Bias</t>
  </si>
  <si>
    <t>New Const</t>
  </si>
  <si>
    <t>Efficiency Choice Model</t>
  </si>
  <si>
    <t>Received (04.22.2014)</t>
  </si>
  <si>
    <t>*  Technology descriptions are from R1 off the RTEKTY14 worksheet, except for those technologies not available in R1.  Those technology descriptions come from R5</t>
  </si>
  <si>
    <t>5,6,7,9</t>
  </si>
  <si>
    <t>1,2,3,4,8</t>
  </si>
  <si>
    <t>Insalled Cost</t>
  </si>
  <si>
    <t>Retail</t>
  </si>
  <si>
    <t>2030H</t>
  </si>
  <si>
    <t>RSHEHPV320</t>
  </si>
  <si>
    <t>Electric Heat Pump Ver3.RSH.ELC.20</t>
  </si>
  <si>
    <t>RSHEHPV330</t>
  </si>
  <si>
    <t>Electric Heat Pump Ver3.RSH.ELC.30</t>
  </si>
  <si>
    <t>RSCEHPV320</t>
  </si>
  <si>
    <t>Electric Heat Pump Ver3.RSC.ELC.20</t>
  </si>
  <si>
    <t>RSCEHPV330</t>
  </si>
  <si>
    <t>Electric Heat Pump Ver3.RSC.ELC.30</t>
  </si>
  <si>
    <t>RWHEWHV215</t>
  </si>
  <si>
    <t>Electric Ver2.RWH.ELC.15</t>
  </si>
  <si>
    <t>RWHLWHV320</t>
  </si>
  <si>
    <t>Liquid Gas Ver3.RWH.LPG.20</t>
  </si>
  <si>
    <t>PERCENT OF STOCK in EACH REGION</t>
  </si>
  <si>
    <t>REGIONAL RESID</t>
  </si>
  <si>
    <t>Eff</t>
  </si>
  <si>
    <t>hours per year</t>
  </si>
  <si>
    <t>PJ per million btu</t>
  </si>
  <si>
    <t>Regional Demand</t>
  </si>
  <si>
    <t>Difference</t>
  </si>
  <si>
    <t>Weighted Eff of Resids in 2005</t>
  </si>
  <si>
    <t>AEO Eff</t>
  </si>
  <si>
    <t>Secondary Wood Heating</t>
  </si>
  <si>
    <t>Residential Unit Consumption of Energy</t>
  </si>
  <si>
    <t>Last Modified: October 3, 2013</t>
  </si>
  <si>
    <t>Definition:    Unit Energy Consumption (UEC) for all Residential</t>
  </si>
  <si>
    <t xml:space="preserve">               equipment classes and building types in each Census</t>
  </si>
  <si>
    <t xml:space="preserve">               Division.  Here, the equipment classes include the </t>
  </si>
  <si>
    <t xml:space="preserve">               major classes, plus lighting, 7 secondary heater types,</t>
  </si>
  <si>
    <t xml:space="preserve">               and multiple appliance types.</t>
  </si>
  <si>
    <t>Source:        EIA, Residential Energy Consumption Survey 2009</t>
  </si>
  <si>
    <t xml:space="preserve">               DOE.EIA-0321 (2009) for heating, cooling, water heating</t>
  </si>
  <si>
    <t xml:space="preserve">               Various DOE Technical Support Documents and contract technology reports</t>
  </si>
  <si>
    <t xml:space="preserve">               for other end uses  </t>
  </si>
  <si>
    <t>Comments:      Each value in the body of the table represents the annual</t>
  </si>
  <si>
    <t xml:space="preserve">               energy consumption of a single unit of the given type in</t>
  </si>
  <si>
    <t xml:space="preserve">               the given building type, in the given Census division, in 2009 </t>
  </si>
  <si>
    <t>Electric Furnaces</t>
  </si>
  <si>
    <t>Air Source Heat Pumps (heat)</t>
  </si>
  <si>
    <t>Natural Gas Furnaces</t>
  </si>
  <si>
    <t>Natural Gas Other</t>
  </si>
  <si>
    <t>Kerosene Furnaces</t>
  </si>
  <si>
    <t>LPG Furnaces</t>
  </si>
  <si>
    <t>Distillate Furnaces</t>
  </si>
  <si>
    <t>Distillate Other</t>
  </si>
  <si>
    <t>Wood Stoves</t>
  </si>
  <si>
    <t>Ground Source Heat Pumps (heat)</t>
  </si>
  <si>
    <t>Natural Gas Heat Pumps (heat)</t>
  </si>
  <si>
    <t>Room Air Conditioners</t>
  </si>
  <si>
    <t>Central Air Conditioners</t>
  </si>
  <si>
    <t>Air Source Heat Pumps (cool)</t>
  </si>
  <si>
    <t>Ground Source Heat Pumps (cool)</t>
  </si>
  <si>
    <t>Natural Gas Heat Pumps (cool)</t>
  </si>
  <si>
    <t>Clothes Washers</t>
  </si>
  <si>
    <t>Dishwashers</t>
  </si>
  <si>
    <t>Natural Gas Water Heaters</t>
  </si>
  <si>
    <t>Electric Water Heaters</t>
  </si>
  <si>
    <t>Distillate Water Heaters</t>
  </si>
  <si>
    <t>LPG Water Heaters</t>
  </si>
  <si>
    <t>Solar Water Heaters</t>
  </si>
  <si>
    <t>Natural Gas Stoves</t>
  </si>
  <si>
    <t>LPG Stoves</t>
  </si>
  <si>
    <t>Electric Stoves</t>
  </si>
  <si>
    <t>Natural Gas Dryers</t>
  </si>
  <si>
    <t>Electric Dryers</t>
  </si>
  <si>
    <t>Refrigerators</t>
  </si>
  <si>
    <t>Freezers</t>
  </si>
  <si>
    <t>Furnace Fans</t>
  </si>
  <si>
    <t>Televisions</t>
  </si>
  <si>
    <t>Set-top Boxes</t>
  </si>
  <si>
    <t>Home Theater Systems</t>
  </si>
  <si>
    <t>DVD Players</t>
  </si>
  <si>
    <t>Video Game Consoles</t>
  </si>
  <si>
    <t>PC Desktops</t>
  </si>
  <si>
    <t>PC Laptops</t>
  </si>
  <si>
    <t>PC Monitors</t>
  </si>
  <si>
    <t>Network Equipment</t>
  </si>
  <si>
    <t>Rechargeable Devices</t>
  </si>
  <si>
    <t>Ceiling Fans</t>
  </si>
  <si>
    <t>Coffee Machines</t>
  </si>
  <si>
    <t>Dehumidifiers</t>
  </si>
  <si>
    <t>Microwaves</t>
  </si>
  <si>
    <t>Pool Heaters and Pumps</t>
  </si>
  <si>
    <t>Security Systems</t>
  </si>
  <si>
    <t>Spas</t>
  </si>
  <si>
    <t>Electric Other Appliances</t>
  </si>
  <si>
    <t>Gas 2nd Heat</t>
  </si>
  <si>
    <t>Electric 2nd Heat</t>
  </si>
  <si>
    <t>Distillate 2nd Heat</t>
  </si>
  <si>
    <t>LPG 2nd Heat</t>
  </si>
  <si>
    <t>Kerosene 2nd Heat</t>
  </si>
  <si>
    <t>Coal 2nd Heat</t>
  </si>
  <si>
    <t>Wood 2nd Heat</t>
  </si>
  <si>
    <t>Natural Gas Appliances</t>
  </si>
  <si>
    <t>LPG Appliances</t>
  </si>
  <si>
    <t>Distillate Appliances</t>
  </si>
  <si>
    <t>Single</t>
  </si>
  <si>
    <t>Multi</t>
  </si>
  <si>
    <t>Mobile</t>
  </si>
  <si>
    <t>Family</t>
  </si>
  <si>
    <t>Home</t>
  </si>
  <si>
    <t>Equipment Class</t>
  </si>
  <si>
    <t>Definition:</t>
  </si>
  <si>
    <t>Units:</t>
  </si>
  <si>
    <t>Sources:</t>
  </si>
  <si>
    <t>–</t>
  </si>
  <si>
    <t>Comments:</t>
  </si>
  <si>
    <t>Notes:</t>
  </si>
  <si>
    <t>LFL</t>
  </si>
  <si>
    <t>Application</t>
  </si>
  <si>
    <t>GSL</t>
  </si>
  <si>
    <t>REF</t>
  </si>
  <si>
    <t>EXT</t>
  </si>
  <si>
    <t>Cost</t>
  </si>
  <si>
    <t>FirstYear</t>
  </si>
  <si>
    <t>LastYear</t>
  </si>
  <si>
    <t>Lumens/Watt</t>
  </si>
  <si>
    <t>Watts</t>
  </si>
  <si>
    <t>Life(hrs)</t>
  </si>
  <si>
    <t>BulbType</t>
  </si>
  <si>
    <t xml:space="preserve">	</t>
  </si>
  <si>
    <t xml:space="preserve">								</t>
  </si>
  <si>
    <t xml:space="preserve">									</t>
  </si>
  <si>
    <t>9999	9999	999	99	99	999	99	End	End</t>
  </si>
  <si>
    <t>per</t>
  </si>
  <si>
    <t xml:space="preserve">Reflector		</t>
  </si>
  <si>
    <t>Linear	Fluorescent(4-ft,	1Bulbs)</t>
  </si>
  <si>
    <t xml:space="preserve">Exterior	Lighting	</t>
  </si>
  <si>
    <t>Residential Lighting Menu Inputs: AEO 2014 Update to Base Year for RECS 2009</t>
  </si>
  <si>
    <t>Last Modified:</t>
  </si>
  <si>
    <t>Self-contained lighting technology and usage database for the RDM.</t>
  </si>
  <si>
    <t>See specific sections and headings below.</t>
  </si>
  <si>
    <t xml:space="preserve">EIA - Technology Forecast Updates – Residential and Commercial Building Technologies </t>
  </si>
  <si>
    <t xml:space="preserve">Reference Case, EIA/Navigant, June 15, 2012 (Deflated to 2010 Dollars); </t>
  </si>
  <si>
    <t>RECS 2009; 2010 US Lighting Market Characteriztion, EERE Jan 2012;</t>
  </si>
  <si>
    <t xml:space="preserve">Residential Lighting End-Use Consumption Study: Estimation Framework and Initial Estimates, </t>
  </si>
  <si>
    <t>EERE, Dec 2012;</t>
  </si>
  <si>
    <t>Solid-State Lighting Research and Development Multi-Year Program Plan, EERE, April 2013.</t>
  </si>
  <si>
    <t>Current paramaters allow 4 lighting applications with up to four bulb technologies in each.</t>
  </si>
  <si>
    <t>Added exterior lighting for AEO 2014.</t>
  </si>
  <si>
    <t>Added LFL LED option based on web cost in Aug 2013.</t>
  </si>
  <si>
    <t>Updated cost of halogen technologies meeting EISA defficacy requirements based on market availability as of September 2013.</t>
  </si>
  <si>
    <t>Number of Applications (NumApps)</t>
  </si>
  <si>
    <t>Application Labels AppIDs()-Char*3 Data-and Order in Data File AppIndex()</t>
  </si>
  <si>
    <t xml:space="preserve">Number of Lamp Types by Application (NumTypes), Number of Bins by Application (NumAppBins) </t>
  </si>
  <si>
    <t>-- this line is ignored, included for readability</t>
  </si>
  <si>
    <t>Technology Cost and Performance (years assumed not to overlap within an application bulb type)</t>
  </si>
  <si>
    <t>(Note read this section until 2099 is encountered for FirstYear)</t>
  </si>
  <si>
    <t>Inc</t>
  </si>
  <si>
    <t>HAL</t>
  </si>
  <si>
    <t>T12</t>
  </si>
  <si>
    <t>T-8</t>
  </si>
  <si>
    <t>HPS</t>
  </si>
  <si>
    <t>GS Lamps per Housing Unit (SF, MF, Mobile)</t>
  </si>
  <si>
    <t>GS Hours per Bin (daily)</t>
  </si>
  <si>
    <t>Hours for each bin (GSHOURS)</t>
  </si>
  <si>
    <t>GS Overall Bulb Shares by Bin</t>
  </si>
  <si>
    <t>Shares of bulbs by bin (GSSHARE)</t>
  </si>
  <si>
    <t xml:space="preserve">GS Initial Bulb Shares within Bin  </t>
  </si>
  <si>
    <t>GS RECSYear Watts (from database above) INC, CFL, LED</t>
  </si>
  <si>
    <t>Reflector Hours per Bin (daily)</t>
  </si>
  <si>
    <t>Reflector Overall Bulb Shares by Bin</t>
  </si>
  <si>
    <t>Reflector Shares by Bulb Type and Bin (INC, CFL, HAL, LED)</t>
  </si>
  <si>
    <t>Reflector RECSYear Watts</t>
  </si>
  <si>
    <t>Linear Fluorescent Hours per Day (no shares all LFL)</t>
  </si>
  <si>
    <t>LFL Overall Bulb Shares by Bin</t>
  </si>
  <si>
    <t>LFL Shares by BulbType and bin (T12, t8, LED)</t>
  </si>
  <si>
    <t>LFL RECSYear Watts</t>
  </si>
  <si>
    <t>Exterior Hours per Day</t>
  </si>
  <si>
    <t>EXT Overall bulb Shares by Bin</t>
  </si>
  <si>
    <t>EXT Shares by BulbType (INC CFL HID LED)</t>
  </si>
  <si>
    <t>EXT RECSYear Watts</t>
  </si>
  <si>
    <t>Choice Parameters (Capital Cost, Operating Cost)</t>
  </si>
  <si>
    <t>RLTGINC10</t>
  </si>
  <si>
    <t>RLTGINC15</t>
  </si>
  <si>
    <t>RLTGCFL10</t>
  </si>
  <si>
    <t>RLTGCFL15</t>
  </si>
  <si>
    <t>RLTGCFL20</t>
  </si>
  <si>
    <t>RLTGCFL40</t>
  </si>
  <si>
    <t>RLT.GSL.CFL.10</t>
  </si>
  <si>
    <t>RLT.GSL.INC.10</t>
  </si>
  <si>
    <t>RLT.GSL.INC.15</t>
  </si>
  <si>
    <t>RLT.GSL.CFL.15</t>
  </si>
  <si>
    <t>RLT.GSL.CFL.20</t>
  </si>
  <si>
    <t>RLT.GSL.CFL.30</t>
  </si>
  <si>
    <t>RLT.GSL.CFL.40</t>
  </si>
  <si>
    <t>RLTGCFL30</t>
  </si>
  <si>
    <t>RLTGLED10</t>
  </si>
  <si>
    <t>RLTGLED15</t>
  </si>
  <si>
    <t>RLTGLED20</t>
  </si>
  <si>
    <t>RLTGLED25</t>
  </si>
  <si>
    <t>RLTGLED30</t>
  </si>
  <si>
    <t>RLTGLED40</t>
  </si>
  <si>
    <t>RLT.GSL.LED.10</t>
  </si>
  <si>
    <t>RLT.GSL.LED.15</t>
  </si>
  <si>
    <t>RLT.GSL.LED.20</t>
  </si>
  <si>
    <t>RLT.GSL.LED.25</t>
  </si>
  <si>
    <t>RLT.GSL.LED.30</t>
  </si>
  <si>
    <t>RLT.GSL.LED.40</t>
  </si>
  <si>
    <t>10$/klm</t>
  </si>
  <si>
    <t>RLTGINCBS</t>
  </si>
  <si>
    <t>RLT.GSL.INC.BS</t>
  </si>
  <si>
    <t>RLTGCFLBS</t>
  </si>
  <si>
    <t>RLT.GSL.CFL.BS</t>
  </si>
  <si>
    <t>* LED</t>
  </si>
  <si>
    <t>RLTRINC10</t>
  </si>
  <si>
    <t>RLTRINC30</t>
  </si>
  <si>
    <t>RLTRINC20</t>
  </si>
  <si>
    <t>RLTRINC40</t>
  </si>
  <si>
    <t>RLT.REF.INC.10</t>
  </si>
  <si>
    <t>RLT.REF.INC.20</t>
  </si>
  <si>
    <t>RLT.REF.INC.30</t>
  </si>
  <si>
    <t>RLT.REF.INC.40</t>
  </si>
  <si>
    <t>RLTRCFL10</t>
  </si>
  <si>
    <t>RLT.REF.CFL.10</t>
  </si>
  <si>
    <t>RLTRCFL20</t>
  </si>
  <si>
    <t>RLT.REF.CFL.20</t>
  </si>
  <si>
    <t>RLTRCFL30</t>
  </si>
  <si>
    <t>RLT.REF.CFL.30</t>
  </si>
  <si>
    <t>RLTRCFL40</t>
  </si>
  <si>
    <t>RLT.REF.CFL.40</t>
  </si>
  <si>
    <t>RLTRHAL10</t>
  </si>
  <si>
    <t>RLT.REF.HAL.10</t>
  </si>
  <si>
    <t>RLTRHAL20</t>
  </si>
  <si>
    <t>RLT.REF.HAL.20</t>
  </si>
  <si>
    <t>RLTRHAL30</t>
  </si>
  <si>
    <t>RLT.REF.HAL.30</t>
  </si>
  <si>
    <t>RLTRHAL40</t>
  </si>
  <si>
    <t>RLT.REF.HAL.40</t>
  </si>
  <si>
    <t>RLTRLED10</t>
  </si>
  <si>
    <t>RLTRLED15</t>
  </si>
  <si>
    <t>RLTRLED20</t>
  </si>
  <si>
    <t>RLTRLED25</t>
  </si>
  <si>
    <t>RLTRLED30</t>
  </si>
  <si>
    <t>RLT.REF.LED.10</t>
  </si>
  <si>
    <t>RLT.REF.LED.15</t>
  </si>
  <si>
    <t>RLT.REF.LED.20</t>
  </si>
  <si>
    <t>RLT.REF.LED.25</t>
  </si>
  <si>
    <t>RLT.REF.LED.30</t>
  </si>
  <si>
    <t>RLTLT1210</t>
  </si>
  <si>
    <t>RLT.LFL.T12.10</t>
  </si>
  <si>
    <t>RLTLT810</t>
  </si>
  <si>
    <t>RLTLT830</t>
  </si>
  <si>
    <t>RLT.LFL.T8.10</t>
  </si>
  <si>
    <t>RLT.LFL.T8.30</t>
  </si>
  <si>
    <t>RLT.LFL.LED.10</t>
  </si>
  <si>
    <t>RLTLLED10</t>
  </si>
  <si>
    <t>RLTLLED15</t>
  </si>
  <si>
    <t>RLTLLED20</t>
  </si>
  <si>
    <t>RLTLLED30</t>
  </si>
  <si>
    <t>RLT.LFL.LED.15</t>
  </si>
  <si>
    <t>RLT.LFL.LED.20</t>
  </si>
  <si>
    <t>RLT.LFL.LED.30</t>
  </si>
  <si>
    <t>RLTEINC10</t>
  </si>
  <si>
    <t>RLTEINC15</t>
  </si>
  <si>
    <t>RLTEINC20</t>
  </si>
  <si>
    <t>RLTEINC30</t>
  </si>
  <si>
    <t>RLTEINC40</t>
  </si>
  <si>
    <t>RLT.EXT.INC.10</t>
  </si>
  <si>
    <t>RLT.EXT.INC.15</t>
  </si>
  <si>
    <t>RLT.EXT.INC.20</t>
  </si>
  <si>
    <t>RLT.EXT.INC.30</t>
  </si>
  <si>
    <t>RLT.EXT.INC.40</t>
  </si>
  <si>
    <t>RLTECFL10</t>
  </si>
  <si>
    <t>RLT.EXT.CFL.10</t>
  </si>
  <si>
    <t>RLTECFL20</t>
  </si>
  <si>
    <t>RLT.EXT.CFL.20</t>
  </si>
  <si>
    <t>RLTECFL30</t>
  </si>
  <si>
    <t>RLT.EXT.CFL.30</t>
  </si>
  <si>
    <t>RLTECFL40</t>
  </si>
  <si>
    <t>RLT.EXT.CFL.40</t>
  </si>
  <si>
    <t>RLTEHPS10</t>
  </si>
  <si>
    <t>RLT.EXT.HPS.10</t>
  </si>
  <si>
    <t>RLTEHPS20</t>
  </si>
  <si>
    <t>RLT.EXT.HPS.20</t>
  </si>
  <si>
    <t>RLTELED10</t>
  </si>
  <si>
    <t>RLTELED15</t>
  </si>
  <si>
    <t>RLTELED20</t>
  </si>
  <si>
    <t>RLTELED25</t>
  </si>
  <si>
    <t>RLTELED30</t>
  </si>
  <si>
    <t>RLTELED40</t>
  </si>
  <si>
    <t>RLT.EXT.LED.10</t>
  </si>
  <si>
    <t>RLT.EXT.LED.15</t>
  </si>
  <si>
    <t>RLT.EXT.LED.20</t>
  </si>
  <si>
    <t>RLT.EXT.LED.25</t>
  </si>
  <si>
    <t>RLT.EXT.LED.30</t>
  </si>
  <si>
    <t>RLT.EXT.LED.40</t>
  </si>
  <si>
    <t>* Lighting General Services</t>
  </si>
  <si>
    <t>* Lighting Reflector</t>
  </si>
  <si>
    <t>* CFL</t>
  </si>
  <si>
    <t>* Lighting Linear Fluorescent</t>
  </si>
  <si>
    <t>* Lighting Exterior</t>
  </si>
  <si>
    <t>RLTREFBS</t>
  </si>
  <si>
    <t>RLT.REF.BS</t>
  </si>
  <si>
    <t>RLTLFLBS</t>
  </si>
  <si>
    <t>RLT.LFL.BS</t>
  </si>
  <si>
    <t>RLTEXTBS</t>
  </si>
  <si>
    <t>RLT.EXT.BS</t>
  </si>
  <si>
    <t>Fraction</t>
  </si>
  <si>
    <t>Reflector</t>
  </si>
  <si>
    <t>Exterior</t>
  </si>
  <si>
    <t>*Lighting</t>
  </si>
  <si>
    <t>Heating Degree Days</t>
  </si>
  <si>
    <t>   New England</t>
  </si>
  <si>
    <t>   Middle Atlantic</t>
  </si>
  <si>
    <t>   East North Central</t>
  </si>
  <si>
    <t>   West North Central</t>
  </si>
  <si>
    <t>   South Atlantic</t>
  </si>
  <si>
    <t>   East South Central</t>
  </si>
  <si>
    <t>   West South Central</t>
  </si>
  <si>
    <t>   Mountain</t>
  </si>
  <si>
    <t>   Pacific</t>
  </si>
  <si>
    <t>      United States</t>
  </si>
  <si>
    <t>Cooling Degree Days</t>
  </si>
  <si>
    <t>* AEO2014 Data (2011 used to approximate 2010 because previous reports with 2010 data were significantly different)</t>
  </si>
  <si>
    <t>Residential Equipment Stock File</t>
  </si>
  <si>
    <t>Definition:    Physical number of equipment for all Residential</t>
  </si>
  <si>
    <t xml:space="preserve">               Division.  Here, the equipment classes include the 29</t>
  </si>
  <si>
    <t xml:space="preserve">               major classes.</t>
  </si>
  <si>
    <t>Units:         Physical units</t>
  </si>
  <si>
    <t>Source:        EIA, Residential Energy Consumption Survey 2009,</t>
  </si>
  <si>
    <t xml:space="preserve">               DOE.EIA-0321 (2009).</t>
  </si>
  <si>
    <t>Comments:      Each value represents the number of units in each of the</t>
  </si>
  <si>
    <t xml:space="preserve">               equipment classes in the residential capital stock in</t>
  </si>
  <si>
    <t xml:space="preserve">               the given building type, in the given Census division, in 2009.</t>
  </si>
  <si>
    <t xml:space="preserve">          --------           -------           -------    --------------------------------</t>
  </si>
  <si>
    <t>Electric Other</t>
  </si>
  <si>
    <t>Muti</t>
  </si>
  <si>
    <t># Units</t>
  </si>
  <si>
    <t>UEC</t>
  </si>
  <si>
    <t>Fuel use</t>
  </si>
  <si>
    <t>MMBtu/yr</t>
  </si>
  <si>
    <t>National</t>
  </si>
  <si>
    <t>Fuel Use</t>
  </si>
  <si>
    <t>Quad BTU/yr</t>
  </si>
  <si>
    <t>PJ/yr</t>
  </si>
  <si>
    <t>NOX2CR</t>
  </si>
  <si>
    <t>Nox species for emission tracking</t>
  </si>
  <si>
    <t>GW</t>
  </si>
  <si>
    <t>R2,R3,R4,R5,R6</t>
  </si>
  <si>
    <t>SOLRES</t>
  </si>
  <si>
    <t>Solar Energy for Residential Sector</t>
  </si>
  <si>
    <t>*R2,R3,R4,R5,R6</t>
  </si>
  <si>
    <t>WCRT</t>
  </si>
  <si>
    <t>Water supply from the Croton System</t>
  </si>
  <si>
    <t>WCTDE</t>
  </si>
  <si>
    <t>Water supply from the Catskill-Delaware System</t>
  </si>
  <si>
    <t>WFLT</t>
  </si>
  <si>
    <t>Water filtered for end use purposes</t>
  </si>
  <si>
    <t>WSLT</t>
  </si>
  <si>
    <t>Saline or greywater supply from NYC Harbor and Rivers</t>
  </si>
  <si>
    <t>WRAIN</t>
  </si>
  <si>
    <t>Annual rainfall as an initial supply material</t>
  </si>
  <si>
    <t>WROOF</t>
  </si>
  <si>
    <t>Rain falling on NYC rooftops</t>
  </si>
  <si>
    <t>WDRK</t>
  </si>
  <si>
    <t>Treated water used by end use customers</t>
  </si>
  <si>
    <t>WSWR</t>
  </si>
  <si>
    <t>Stormwater flowing to pump stations</t>
  </si>
  <si>
    <t>WWWTPX</t>
  </si>
  <si>
    <t>Building wasterwater pumped to WWTPs</t>
  </si>
  <si>
    <t>WWWTPY</t>
  </si>
  <si>
    <t>Stormwater pumped to WWTPs</t>
  </si>
  <si>
    <t>WDSGSLT</t>
  </si>
  <si>
    <t>Discharged saline water from end use customers and ELC sector</t>
  </si>
  <si>
    <t>WDSGTRT</t>
  </si>
  <si>
    <t>Discharged water that has been treated by WWTP</t>
  </si>
  <si>
    <t>WDSGCSO</t>
  </si>
  <si>
    <t>Discharged sewage known as combined sewer overflow</t>
  </si>
  <si>
    <t>ZZDMYH2O</t>
  </si>
  <si>
    <t>Dummy water commodity to meet INFES demand</t>
  </si>
  <si>
    <t>*Industrial End Use Water Demand</t>
  </si>
  <si>
    <t>IWROOFDM</t>
  </si>
  <si>
    <t>Demand for rainfall on roofs</t>
  </si>
  <si>
    <t>IWROOF</t>
  </si>
  <si>
    <t>Rain on industrial roofs</t>
  </si>
  <si>
    <t>IWDRK</t>
  </si>
  <si>
    <t>Drinking water</t>
  </si>
  <si>
    <t>IWDSGTRT</t>
  </si>
  <si>
    <t>Discharged wastewater</t>
  </si>
  <si>
    <t>IWCW</t>
  </si>
  <si>
    <t>Industrial clothes washing demand</t>
  </si>
  <si>
    <t>IWSHR</t>
  </si>
  <si>
    <t>Industrial shower demand</t>
  </si>
  <si>
    <t>IWFCT</t>
  </si>
  <si>
    <t>Industrial faucet demand</t>
  </si>
  <si>
    <t>IWDW</t>
  </si>
  <si>
    <t>Industrial dishwashing demand</t>
  </si>
  <si>
    <t>IWTF</t>
  </si>
  <si>
    <t>Industrial toilets demand</t>
  </si>
  <si>
    <t>IWLK</t>
  </si>
  <si>
    <t>Industrial leaks/other demand</t>
  </si>
  <si>
    <t>IWHVAC</t>
  </si>
  <si>
    <t>Industrial HVAC water demand</t>
  </si>
  <si>
    <t>IWSWR</t>
  </si>
  <si>
    <t>Treated water flowing from buildings to sewers</t>
  </si>
  <si>
    <t>*Industrial End Use Water Commodities for Demand Pass Through Technologies</t>
  </si>
  <si>
    <t>ICWLEDMY</t>
  </si>
  <si>
    <t>Dummy water commodity for clothes washing</t>
  </si>
  <si>
    <t>ICWHEDMY</t>
  </si>
  <si>
    <t>IDWLEDMY</t>
  </si>
  <si>
    <t>Dummy water commodity for dish washing</t>
  </si>
  <si>
    <t>IDWHEDMY</t>
  </si>
  <si>
    <t>ITFLEDMY</t>
  </si>
  <si>
    <t>Dummy water commodity for toilets</t>
  </si>
  <si>
    <t>ITFHEDMY</t>
  </si>
  <si>
    <t>ISHRLEDMY</t>
  </si>
  <si>
    <t>Dummy water commodity for showers</t>
  </si>
  <si>
    <t>ISHRHEDMY</t>
  </si>
  <si>
    <t>IFCTLEDMY</t>
  </si>
  <si>
    <t>Dummy water commodity for faucets</t>
  </si>
  <si>
    <t>IFCTHEDMY</t>
  </si>
  <si>
    <t>ILKLEDMY</t>
  </si>
  <si>
    <t>Dummy water commodity for leaks</t>
  </si>
  <si>
    <t>ILKHEDMY</t>
  </si>
  <si>
    <t>IHVACLEDMY</t>
  </si>
  <si>
    <t>Dummy water commodity for HVAC</t>
  </si>
  <si>
    <t>IHVACHEDMY</t>
  </si>
  <si>
    <t>IBROOFDMY</t>
  </si>
  <si>
    <t>Dummy water commodity for black roofs</t>
  </si>
  <si>
    <t>IWTROOFDMY</t>
  </si>
  <si>
    <t>Dummy water commodity for white roofs</t>
  </si>
  <si>
    <t>IGRF6DMY</t>
  </si>
  <si>
    <t>Dummy water commodity for green roofs</t>
  </si>
  <si>
    <t>IGRF12DMY</t>
  </si>
  <si>
    <t>IBLDLEDMY</t>
  </si>
  <si>
    <t>Dummy water commodity for low eff buildings</t>
  </si>
  <si>
    <t>IBLDMEDMY</t>
  </si>
  <si>
    <t>Dummy water commodity for medium eff buildings</t>
  </si>
  <si>
    <t>IBLDHEDMY</t>
  </si>
  <si>
    <t>Dummy water commodity for high eff buildings</t>
  </si>
  <si>
    <t>*Commercial End Use Water Demand</t>
  </si>
  <si>
    <t>CWROOFDM</t>
  </si>
  <si>
    <t>CWROOF</t>
  </si>
  <si>
    <t>Rain falling on roofs of Commercial buildings</t>
  </si>
  <si>
    <t>CWDRK</t>
  </si>
  <si>
    <t>CWDSGTRT</t>
  </si>
  <si>
    <t>WCCW</t>
  </si>
  <si>
    <t>Commercial clothes washing demand</t>
  </si>
  <si>
    <t>WCSHR</t>
  </si>
  <si>
    <t>Commercial shower demand</t>
  </si>
  <si>
    <t>WCFCT</t>
  </si>
  <si>
    <t>Commercial faucet demand</t>
  </si>
  <si>
    <t>WCDW</t>
  </si>
  <si>
    <t>Commercial dishwashing demand</t>
  </si>
  <si>
    <t>WCTF</t>
  </si>
  <si>
    <t>Commercial toilets demand</t>
  </si>
  <si>
    <t>WCLK</t>
  </si>
  <si>
    <t>Commercial leaks/other demand</t>
  </si>
  <si>
    <t>WCHVAC</t>
  </si>
  <si>
    <t>Commercial HVAC water demand</t>
  </si>
  <si>
    <t>CWSWR</t>
  </si>
  <si>
    <t>*Commercial End Use Water Commodities for Demand Pass Through Technologies</t>
  </si>
  <si>
    <t>CCWLEDMY</t>
  </si>
  <si>
    <t>CCWHEDMY</t>
  </si>
  <si>
    <t>CDWLEDMY</t>
  </si>
  <si>
    <t>CDWHEDMY</t>
  </si>
  <si>
    <t>CTFLEDMY</t>
  </si>
  <si>
    <t>CTFHEDMY</t>
  </si>
  <si>
    <t>CSHRLEDMY</t>
  </si>
  <si>
    <t>CSHRHEDMY</t>
  </si>
  <si>
    <t>CFCTLEDMY</t>
  </si>
  <si>
    <t>CFCTHEDMY</t>
  </si>
  <si>
    <t>CLKLEDMY</t>
  </si>
  <si>
    <t>CLKHEDMY</t>
  </si>
  <si>
    <t>CHVACLEDMY</t>
  </si>
  <si>
    <t>CHVACHEDMY</t>
  </si>
  <si>
    <t>CBROOFDMY</t>
  </si>
  <si>
    <t>CWTROOFDMY</t>
  </si>
  <si>
    <t>CGRF6DMY</t>
  </si>
  <si>
    <t>CGRF12DMY</t>
  </si>
  <si>
    <t>CBLDLEDMY</t>
  </si>
  <si>
    <t>CBLDMEDMY</t>
  </si>
  <si>
    <t>CBLDHEDMY</t>
  </si>
  <si>
    <t>*Residential End Use Water Demand</t>
  </si>
  <si>
    <t>RWROOFDM</t>
  </si>
  <si>
    <t>RWROOF</t>
  </si>
  <si>
    <t>Rain falling on roofs of Residential buildings</t>
  </si>
  <si>
    <t>RWDRK</t>
  </si>
  <si>
    <t>RWDSGTRT</t>
  </si>
  <si>
    <t>WRCW</t>
  </si>
  <si>
    <t>Residential clothes washing demand</t>
  </si>
  <si>
    <t>WRSHR</t>
  </si>
  <si>
    <t>Residential shower demand</t>
  </si>
  <si>
    <t>WRFCT</t>
  </si>
  <si>
    <t>Residential faucet demand</t>
  </si>
  <si>
    <t>WRDW</t>
  </si>
  <si>
    <t>Residential dishwashing demand</t>
  </si>
  <si>
    <t>WRTF</t>
  </si>
  <si>
    <t>Residential toilets demand</t>
  </si>
  <si>
    <t>WRLK</t>
  </si>
  <si>
    <t>Residential leaks/other demand</t>
  </si>
  <si>
    <t>WRHVAC</t>
  </si>
  <si>
    <t>Residential HVAC water demand</t>
  </si>
  <si>
    <t>RWSWR</t>
  </si>
  <si>
    <t>Stormwater from residential roofs</t>
  </si>
  <si>
    <t>*Residential End Use Water Commodities for Demand Pass Through Technologies</t>
  </si>
  <si>
    <t>RCWLEDMY</t>
  </si>
  <si>
    <t>RCWHEDMY</t>
  </si>
  <si>
    <t>RDWLEDMY</t>
  </si>
  <si>
    <t>RDWHEDMY</t>
  </si>
  <si>
    <t>RTFLEDMY</t>
  </si>
  <si>
    <t>RTFMEDMY</t>
  </si>
  <si>
    <t>RTFHEDMY</t>
  </si>
  <si>
    <t>RSHRLEDMY</t>
  </si>
  <si>
    <t>RSHRMEDMY</t>
  </si>
  <si>
    <t>RSHRHEDMY</t>
  </si>
  <si>
    <t>RFCTLEDMY</t>
  </si>
  <si>
    <t>RFCTMEDMY</t>
  </si>
  <si>
    <t>RFCTHEDMY</t>
  </si>
  <si>
    <t>RLKLEDMY</t>
  </si>
  <si>
    <t>RLKMEDMY</t>
  </si>
  <si>
    <t>RLKHEDMY</t>
  </si>
  <si>
    <t>RHVACLEDMY</t>
  </si>
  <si>
    <t>RHVACHEDMY</t>
  </si>
  <si>
    <t>RBROOFDMY</t>
  </si>
  <si>
    <t>RWTROOFDMY</t>
  </si>
  <si>
    <t>RGRF6DMY</t>
  </si>
  <si>
    <t>RGRF12DMY</t>
  </si>
  <si>
    <t>RBLDLEDMY</t>
  </si>
  <si>
    <t>RBLDMEDMY</t>
  </si>
  <si>
    <t>RBLDHEDMY</t>
  </si>
  <si>
    <t>*Demand Commodities for NYC Population</t>
  </si>
  <si>
    <t>POPDMRES</t>
  </si>
  <si>
    <t>Water Energy Demand per Capita</t>
  </si>
  <si>
    <t>POPBKRES</t>
  </si>
  <si>
    <t>Population Brooklyn</t>
  </si>
  <si>
    <t>POPBXRES</t>
  </si>
  <si>
    <t>Population Bronx</t>
  </si>
  <si>
    <t>POPMHRES</t>
  </si>
  <si>
    <t>Population Manhattan</t>
  </si>
  <si>
    <t>POPSIRES</t>
  </si>
  <si>
    <t>Population Staten Island</t>
  </si>
  <si>
    <t>POPQNRES</t>
  </si>
  <si>
    <t>Population Queens</t>
  </si>
  <si>
    <t>*Demand Commodities for NYC Building Pass Through Technologies</t>
  </si>
  <si>
    <t>Dummy commodity for high efficiency apartment</t>
  </si>
  <si>
    <t>Dummy commodity for medium efficiency apartment</t>
  </si>
  <si>
    <t>Dummy commodity for low efficiency apartment</t>
  </si>
  <si>
    <t>Dummy commodity for high efficiency single family dwelling</t>
  </si>
  <si>
    <t>Dummy commodity for medium efficiency single family dwelling</t>
  </si>
  <si>
    <t>Dummy commodity for low efficiency single family dwelling</t>
  </si>
  <si>
    <t>Dummy commodity for high efficiency education</t>
  </si>
  <si>
    <t>Dummy commodity for medium efficiency education</t>
  </si>
  <si>
    <t>Dummy commodity for low efficiency education</t>
  </si>
  <si>
    <t>Dummy commodity for high efficiency office/retail</t>
  </si>
  <si>
    <t>Dummy commodity for medium efficiency office/retail</t>
  </si>
  <si>
    <t>Dummy commodity for low efficiency office/retail</t>
  </si>
  <si>
    <t>Dummy commodity for high efficiency residential buildings</t>
  </si>
  <si>
    <t>Dummy commodity for medium efficiency residential buildings</t>
  </si>
  <si>
    <t>Dummy commodity for low efficiency residential buildings</t>
  </si>
  <si>
    <t>*Building Specific Energy Carriers</t>
  </si>
  <si>
    <t>RESELCBLD</t>
  </si>
  <si>
    <t>ELC delivered to buildings</t>
  </si>
  <si>
    <t>RESNGABLD</t>
  </si>
  <si>
    <t>NGA delivered to buildings</t>
  </si>
  <si>
    <t>RESRFLBLD</t>
  </si>
  <si>
    <t>RFL delivered to buildings</t>
  </si>
  <si>
    <t>RESDSLBLD</t>
  </si>
  <si>
    <t>DSL delivered to buildings</t>
  </si>
  <si>
    <t>ELC delivered to buildings after basic retrofits</t>
  </si>
  <si>
    <t>NGA delivered to buildings after basic retrofits</t>
  </si>
  <si>
    <t>RFL delivered to buildings after basic retrofits</t>
  </si>
  <si>
    <t>DSL delivered to buildings after basic retrofits</t>
  </si>
  <si>
    <t>ELC delivered to buildings after major retrofits</t>
  </si>
  <si>
    <t>NGA delivered to buildings after major retrofits</t>
  </si>
  <si>
    <t>RFL delivered to buildings after major retrofits</t>
  </si>
  <si>
    <t>DSL delivered to buildings after major retrofits</t>
  </si>
  <si>
    <t>*Roof/GI Heating &amp; Cooling Commodities</t>
  </si>
  <si>
    <t>RHCRFBLK</t>
  </si>
  <si>
    <t>Heating/cooling from black roofs</t>
  </si>
  <si>
    <t>RHCRFWT</t>
  </si>
  <si>
    <t>Heating/cooling from white roofs</t>
  </si>
  <si>
    <t>RHCRFG6</t>
  </si>
  <si>
    <t>Heating/cooling from 6 inch green roof</t>
  </si>
  <si>
    <t>RHCRFG12</t>
  </si>
  <si>
    <t>Heating/cooling from 12 inch green roof</t>
  </si>
  <si>
    <t>*R3</t>
  </si>
  <si>
    <t>*R4</t>
  </si>
  <si>
    <t>*R5</t>
  </si>
  <si>
    <t>*R6</t>
  </si>
  <si>
    <t>*R1</t>
  </si>
  <si>
    <t>*Water Collectors</t>
  </si>
  <si>
    <t>XIWROOF</t>
  </si>
  <si>
    <t>Rain falling on industrial roofs</t>
  </si>
  <si>
    <t>Mt/a</t>
  </si>
  <si>
    <t>XCWROOF</t>
  </si>
  <si>
    <t>Rain falling on commercial roofs</t>
  </si>
  <si>
    <t>XRWROOF</t>
  </si>
  <si>
    <t>Rain falling on residential roofs</t>
  </si>
  <si>
    <t>XIWDRK</t>
  </si>
  <si>
    <t>Drinking water delivered to the industrial sector</t>
  </si>
  <si>
    <t>XCWDRK</t>
  </si>
  <si>
    <t>Drinking water delivered to the commercial sector</t>
  </si>
  <si>
    <t>XRWDRK</t>
  </si>
  <si>
    <t>Drinking water delivered to the residential sector</t>
  </si>
  <si>
    <t>XIWDSGTRT</t>
  </si>
  <si>
    <t>Collects Industrial wastewater</t>
  </si>
  <si>
    <t>XCWDSGTRT</t>
  </si>
  <si>
    <t>Collects commercial wastewater</t>
  </si>
  <si>
    <t>XRWDSGTRT</t>
  </si>
  <si>
    <t>Collects residential wastewater</t>
  </si>
  <si>
    <t>*Collectors for Water End Use by Appliances and Fixtures</t>
  </si>
  <si>
    <t>XRWCW</t>
  </si>
  <si>
    <t>Collects RWDRK for use by clothes washing machines</t>
  </si>
  <si>
    <t>XRWSHR</t>
  </si>
  <si>
    <t>Collects RWDRK for use by showers</t>
  </si>
  <si>
    <t>XRWFCT</t>
  </si>
  <si>
    <t>Collects RWDRK for use by faucets</t>
  </si>
  <si>
    <t>XRWDW</t>
  </si>
  <si>
    <t>Collects RWDRK for use by dishwashers</t>
  </si>
  <si>
    <t>XRWTF</t>
  </si>
  <si>
    <t>Collects RWDRK for use by toilets</t>
  </si>
  <si>
    <t>XRWLK</t>
  </si>
  <si>
    <t>Collects RWDRK for use by leaks and landscaping</t>
  </si>
  <si>
    <t>XRWHVAC</t>
  </si>
  <si>
    <t>Collects RWDRK for use by HVAC equipment</t>
  </si>
  <si>
    <t>*Water Supply, Filtration and Wastewater Treatment Technologies</t>
  </si>
  <si>
    <t>WFLTUV</t>
  </si>
  <si>
    <t>UV Treatment Facility in Mt Pleasant</t>
  </si>
  <si>
    <t>WFLTCRT</t>
  </si>
  <si>
    <t>Croton water filtration plant in the Bronx</t>
  </si>
  <si>
    <t>* Pumps and WWTP's for Wastewater from Buildings ONLY</t>
  </si>
  <si>
    <t>WPMPELCX</t>
  </si>
  <si>
    <t>Electric water pumping station</t>
  </si>
  <si>
    <t>WPMPNGAX</t>
  </si>
  <si>
    <t>NGA water pumping station</t>
  </si>
  <si>
    <t>WPMPDSLX</t>
  </si>
  <si>
    <t>Diesel water pumping station</t>
  </si>
  <si>
    <t>WPMPGRVTX</t>
  </si>
  <si>
    <t>Wastewater pumped via gravity</t>
  </si>
  <si>
    <t>WWTPNRX</t>
  </si>
  <si>
    <t>WWTP North River in Manhattan</t>
  </si>
  <si>
    <t>WWTPOHX</t>
  </si>
  <si>
    <t>WWTP Owls Head in Brooklyn</t>
  </si>
  <si>
    <t>WWTPPRX</t>
  </si>
  <si>
    <t>WWTP Port Richmond in Staten Island</t>
  </si>
  <si>
    <t>WWTPOWX</t>
  </si>
  <si>
    <t>WWTP Oakwood in Staten Island</t>
  </si>
  <si>
    <t>WWTPCIX</t>
  </si>
  <si>
    <t>WWTP Coney Island in Brooklyn</t>
  </si>
  <si>
    <t>WWTPRHX</t>
  </si>
  <si>
    <t>WWTP Red Hook in Brooklyn</t>
  </si>
  <si>
    <t>WWTPNCX</t>
  </si>
  <si>
    <t>WWTP Newtown Creek in Brooklyn</t>
  </si>
  <si>
    <t>WWTPWIX</t>
  </si>
  <si>
    <t>WWTP Wards Island in Manhattan</t>
  </si>
  <si>
    <t>WWTPHPX</t>
  </si>
  <si>
    <t>WWTP Hunts Point in Bronx</t>
  </si>
  <si>
    <t>WWTPBBX</t>
  </si>
  <si>
    <t>WWTP Bowery Bay in Bronx</t>
  </si>
  <si>
    <t>WWTPTIX</t>
  </si>
  <si>
    <t>WWTP Tallman Island in Bronx</t>
  </si>
  <si>
    <t>WWTP26X</t>
  </si>
  <si>
    <t>WWTP th Ward in Brooklyn</t>
  </si>
  <si>
    <t>WWTPJMX</t>
  </si>
  <si>
    <t>WWTP Jamaica in Queens</t>
  </si>
  <si>
    <t>WWTPRWX</t>
  </si>
  <si>
    <t>WWTP Rockaway in Brooklyn</t>
  </si>
  <si>
    <t>* Pumps and WWTP's for Wastewater from Stormwater ONLY</t>
  </si>
  <si>
    <t>WPMPELCY</t>
  </si>
  <si>
    <t>WPMPNGAY</t>
  </si>
  <si>
    <t>WPMPDSLY</t>
  </si>
  <si>
    <t>WPMPGRVTY</t>
  </si>
  <si>
    <t>Stormwater pumped via gravity</t>
  </si>
  <si>
    <t>WWTPNRY</t>
  </si>
  <si>
    <t>WWTPOHY</t>
  </si>
  <si>
    <t>WWTPPRY</t>
  </si>
  <si>
    <t>WWTPOWY</t>
  </si>
  <si>
    <t>WWTPCIY</t>
  </si>
  <si>
    <t>WWTPRHY</t>
  </si>
  <si>
    <t>WWTPNCY</t>
  </si>
  <si>
    <t>WWTPWIY</t>
  </si>
  <si>
    <t>WWTPHPY</t>
  </si>
  <si>
    <t>WWTPBBY</t>
  </si>
  <si>
    <t>WWTPTIY</t>
  </si>
  <si>
    <t>WWTP26Y</t>
  </si>
  <si>
    <t>WWTPJMY</t>
  </si>
  <si>
    <t>WWTPRWY</t>
  </si>
  <si>
    <t>** Need to set a constraint for each "pair" of WWTP's so that their combined capacity does not exceed total water handling capacity</t>
  </si>
  <si>
    <t>*Water End Use Technologies in the Industrial Sector</t>
  </si>
  <si>
    <t>ICWELCLE</t>
  </si>
  <si>
    <t>ELC Clothes Washing Low Eff</t>
  </si>
  <si>
    <t>ICWELCHE</t>
  </si>
  <si>
    <t>ELC Clothes Washing High Eff</t>
  </si>
  <si>
    <t>IDWELCLE</t>
  </si>
  <si>
    <t>ELC Dish Washing Low Eff</t>
  </si>
  <si>
    <t>IDWELCHE</t>
  </si>
  <si>
    <t>ELC Dish Washing High Eff</t>
  </si>
  <si>
    <t>ITFLE</t>
  </si>
  <si>
    <t>Industrial Toilet Low Eff</t>
  </si>
  <si>
    <t>ITFHE</t>
  </si>
  <si>
    <t>Industrial Toilet High Eff</t>
  </si>
  <si>
    <t>ISHRLE</t>
  </si>
  <si>
    <t>Industrial Shower Low Eff</t>
  </si>
  <si>
    <t>ISHRHE</t>
  </si>
  <si>
    <t>Industrial Shower High Eff</t>
  </si>
  <si>
    <t>IFCTLE</t>
  </si>
  <si>
    <t>Industrial Faucet Low Eff</t>
  </si>
  <si>
    <t>IFCTHE</t>
  </si>
  <si>
    <t>Industrial Faucet High Eff</t>
  </si>
  <si>
    <t>ILKLE</t>
  </si>
  <si>
    <t>Industrial Leaks No Retrofit</t>
  </si>
  <si>
    <t>ILKHE</t>
  </si>
  <si>
    <t>Industrial Leaks Retrofitted</t>
  </si>
  <si>
    <t>IHVACLE</t>
  </si>
  <si>
    <t>Industrial HVAC Low Eff</t>
  </si>
  <si>
    <t>IHVACHE</t>
  </si>
  <si>
    <t>Industrial HVAC High Eff</t>
  </si>
  <si>
    <t>IBROOF</t>
  </si>
  <si>
    <t>Industrial Sector Black Roof</t>
  </si>
  <si>
    <t>IWTROOF</t>
  </si>
  <si>
    <t>Industrial Sector White Roof</t>
  </si>
  <si>
    <t>IGROOF6</t>
  </si>
  <si>
    <t>Industrial Sector Green Roof 6 Inch Depth</t>
  </si>
  <si>
    <t>IGROOF12</t>
  </si>
  <si>
    <t>Industrial Sector Green Roof 12 Inch Depth</t>
  </si>
  <si>
    <t>IBLDGLE</t>
  </si>
  <si>
    <t>Industrial Building Low Eff</t>
  </si>
  <si>
    <t>IBLDGME</t>
  </si>
  <si>
    <t>Industrial Building Medium Eff</t>
  </si>
  <si>
    <t>IBLDGHE</t>
  </si>
  <si>
    <t>Industrial Building High Eff</t>
  </si>
  <si>
    <t>*Water End Use Pass Through Demand Technologies</t>
  </si>
  <si>
    <t>*Water End Use Technologies in the Commercial Sector</t>
  </si>
  <si>
    <t>CCWELCLE</t>
  </si>
  <si>
    <t>CCWELCHE</t>
  </si>
  <si>
    <t>CDWELCLE</t>
  </si>
  <si>
    <t>CDWELCHE</t>
  </si>
  <si>
    <t>CTFLE</t>
  </si>
  <si>
    <t>Commercial Toilet Low Eff</t>
  </si>
  <si>
    <t>CTFHE</t>
  </si>
  <si>
    <t>Commercial Toilet High Eff</t>
  </si>
  <si>
    <t>CSHRLE</t>
  </si>
  <si>
    <t>Commercial Shower Low Eff</t>
  </si>
  <si>
    <t>CSHRHE</t>
  </si>
  <si>
    <t>Commercial Shower High Eff</t>
  </si>
  <si>
    <t>CFCTLE</t>
  </si>
  <si>
    <t>Commercial Faucet Low Eff</t>
  </si>
  <si>
    <t>CFCTHE</t>
  </si>
  <si>
    <t>Commercial Faucet High Eff</t>
  </si>
  <si>
    <t>CLKLE</t>
  </si>
  <si>
    <t>Commercial Leaks No Retrofit</t>
  </si>
  <si>
    <t>CLKHE</t>
  </si>
  <si>
    <t>Commercial Leaks Retrofitted</t>
  </si>
  <si>
    <t>CHVACLE</t>
  </si>
  <si>
    <t>Commercial HVAC Low Eff</t>
  </si>
  <si>
    <t>CHVACHE</t>
  </si>
  <si>
    <t>Commercial HVAC High Eff</t>
  </si>
  <si>
    <t>CBROOF</t>
  </si>
  <si>
    <t>Commercial Sector Black Roof</t>
  </si>
  <si>
    <t>CWTROOF</t>
  </si>
  <si>
    <t>Commercial Sector White Roof</t>
  </si>
  <si>
    <t>CGROOF6</t>
  </si>
  <si>
    <t>Commercial Sector Green Roof 6 Inch Depth</t>
  </si>
  <si>
    <t>CGROOF12</t>
  </si>
  <si>
    <t>Commercial Sector Green Roof 12 Inch Depth</t>
  </si>
  <si>
    <t>CBLDGLE</t>
  </si>
  <si>
    <t>Commercial Building Low Eff</t>
  </si>
  <si>
    <t>CBLDGME</t>
  </si>
  <si>
    <t>Commercial Building Medium Eff</t>
  </si>
  <si>
    <t>CBLDGHE</t>
  </si>
  <si>
    <t>Commercial Building High Eff</t>
  </si>
  <si>
    <t>*Water End Use Technologies in the Residential Sector</t>
  </si>
  <si>
    <t>RCWELCLE</t>
  </si>
  <si>
    <t>RCWELCHE</t>
  </si>
  <si>
    <t>RDWELCLE</t>
  </si>
  <si>
    <t>RDWELCHE</t>
  </si>
  <si>
    <t>RTFLE</t>
  </si>
  <si>
    <t>Residential Toilet Low Eff</t>
  </si>
  <si>
    <t>RTFME</t>
  </si>
  <si>
    <t>Residential Toilet Medium Eff</t>
  </si>
  <si>
    <t>RTFHE</t>
  </si>
  <si>
    <t>Residential Toilet High Eff</t>
  </si>
  <si>
    <t>RSHRLE</t>
  </si>
  <si>
    <t>Residential Shower Low Eff</t>
  </si>
  <si>
    <t>RSHRME</t>
  </si>
  <si>
    <t>Residential Shower Medium Eff</t>
  </si>
  <si>
    <t>RSHRHE</t>
  </si>
  <si>
    <t>Residential Shower High Eff</t>
  </si>
  <si>
    <t>RFCTLE</t>
  </si>
  <si>
    <t>Residential Faucet Low Eff</t>
  </si>
  <si>
    <t>RFCTME</t>
  </si>
  <si>
    <t>Residential Faucet Medium Eff</t>
  </si>
  <si>
    <t>RFCTHE</t>
  </si>
  <si>
    <t>Residential Faucet High Eff</t>
  </si>
  <si>
    <t>RLKLE</t>
  </si>
  <si>
    <t>Residential Leaks No Retrofit</t>
  </si>
  <si>
    <t>RLKME</t>
  </si>
  <si>
    <t>Residential Leaks Partially Retrofitted</t>
  </si>
  <si>
    <t>RLKHE</t>
  </si>
  <si>
    <t>Residential Leaks Fully Retrofitted</t>
  </si>
  <si>
    <t>RHVACLE</t>
  </si>
  <si>
    <t>Residential HVAC Low Eff</t>
  </si>
  <si>
    <t>RHVACHE</t>
  </si>
  <si>
    <t>Residential HVAC High Eff</t>
  </si>
  <si>
    <t>RBROOF</t>
  </si>
  <si>
    <t>Residential Sector Black Roof</t>
  </si>
  <si>
    <t>RWTROOF</t>
  </si>
  <si>
    <t>Residential Sector White Roof</t>
  </si>
  <si>
    <t>RGROOF6</t>
  </si>
  <si>
    <t>Residential Sector Green Roof 6 Inch Depth</t>
  </si>
  <si>
    <t>RGROOF12</t>
  </si>
  <si>
    <t>Residential Sector Green Roof 12 Inch Depth</t>
  </si>
  <si>
    <t>RBLDLE</t>
  </si>
  <si>
    <t>Residential Building Low Eff</t>
  </si>
  <si>
    <t>RBLDME</t>
  </si>
  <si>
    <t>Residential Building Medium Eff</t>
  </si>
  <si>
    <t>RBLDHE</t>
  </si>
  <si>
    <t>Residential Building High Eff</t>
  </si>
  <si>
    <t>Residential Leaks Retrofitted</t>
  </si>
  <si>
    <t>*Building Types in the Industrial Sector</t>
  </si>
  <si>
    <t>IHMFHE</t>
  </si>
  <si>
    <t>High Eff Heavy Manufacturing</t>
  </si>
  <si>
    <t>IHMFME</t>
  </si>
  <si>
    <t>Medium Eff Heavy Manufacturing</t>
  </si>
  <si>
    <t>IHMFLE</t>
  </si>
  <si>
    <t>Low Eff Heavy Manufacturing</t>
  </si>
  <si>
    <t>ILMFHE</t>
  </si>
  <si>
    <t>High Eff Light Manufacturing</t>
  </si>
  <si>
    <t>ILMFME</t>
  </si>
  <si>
    <t>Medium Eff Light Manufacturing</t>
  </si>
  <si>
    <t>ILMFLE</t>
  </si>
  <si>
    <t>Low Eff Light Manufacturing</t>
  </si>
  <si>
    <t>IWHHE</t>
  </si>
  <si>
    <t>High Eff Warehouse</t>
  </si>
  <si>
    <t>IWHME</t>
  </si>
  <si>
    <t>Medium Eff Warehouse</t>
  </si>
  <si>
    <t>IWHLE</t>
  </si>
  <si>
    <t>Low Eff Warehouse</t>
  </si>
  <si>
    <t>ISMHE</t>
  </si>
  <si>
    <t>High Eff Steel Mill</t>
  </si>
  <si>
    <t>ISMME</t>
  </si>
  <si>
    <t>Medium Eff Steel Mill</t>
  </si>
  <si>
    <t>ISMLE</t>
  </si>
  <si>
    <t>Low Eff Steel Mill</t>
  </si>
  <si>
    <t>IBLDHE</t>
  </si>
  <si>
    <t>High Eff Industrial Building</t>
  </si>
  <si>
    <t>IBLDME</t>
  </si>
  <si>
    <t>Medium Eff Industrial Building</t>
  </si>
  <si>
    <t>IBLDLE</t>
  </si>
  <si>
    <t>Low Eff Industrial Building</t>
  </si>
  <si>
    <t>*Building Types in the Commercial Sector</t>
  </si>
  <si>
    <t>CORHE</t>
  </si>
  <si>
    <t>High Eff Office/Retail</t>
  </si>
  <si>
    <t>CORME</t>
  </si>
  <si>
    <t>Medium Eff Office/Retail</t>
  </si>
  <si>
    <t>CORLE</t>
  </si>
  <si>
    <t>Low Eff Office/Retail</t>
  </si>
  <si>
    <t>CGVHE</t>
  </si>
  <si>
    <t>High Eff Government</t>
  </si>
  <si>
    <t>CGVME</t>
  </si>
  <si>
    <t>Medium Eff Government</t>
  </si>
  <si>
    <t>CGVLE</t>
  </si>
  <si>
    <t>Low Eff Government</t>
  </si>
  <si>
    <t>CEDHE</t>
  </si>
  <si>
    <t>High Eff Education</t>
  </si>
  <si>
    <t>CEDME</t>
  </si>
  <si>
    <t>Medium Eff Education</t>
  </si>
  <si>
    <t>CEDLE</t>
  </si>
  <si>
    <t>Low Eff Education</t>
  </si>
  <si>
    <t>CHEHE</t>
  </si>
  <si>
    <t>High Eff Health</t>
  </si>
  <si>
    <t>CHEME</t>
  </si>
  <si>
    <t>Medium Eff Health</t>
  </si>
  <si>
    <t>CHELE</t>
  </si>
  <si>
    <t>Low Eff Health</t>
  </si>
  <si>
    <t>CBLDHE</t>
  </si>
  <si>
    <t>High Eff Commercial Building</t>
  </si>
  <si>
    <t>CBLDME</t>
  </si>
  <si>
    <t>Medium Eff Commercial Building</t>
  </si>
  <si>
    <t>CBLDLE</t>
  </si>
  <si>
    <t>Low Eff Commercial Building</t>
  </si>
  <si>
    <t>*Building Types in the Residential Sector</t>
  </si>
  <si>
    <t>RAPTHE</t>
  </si>
  <si>
    <t>High Eff Apartment/Condo/Hotel</t>
  </si>
  <si>
    <t>RAPTME</t>
  </si>
  <si>
    <t>Medium Eff Apartment/Condo/Hotel</t>
  </si>
  <si>
    <t>RAPTLE</t>
  </si>
  <si>
    <t>Low Eff Apartment/Condo/Hotel</t>
  </si>
  <si>
    <t>RSAHE</t>
  </si>
  <si>
    <t>High Eff Small Apartment</t>
  </si>
  <si>
    <t>RSAME</t>
  </si>
  <si>
    <t>Medium Eff Small Apartment</t>
  </si>
  <si>
    <t>RSALE</t>
  </si>
  <si>
    <t>Low Eff Small Apartment</t>
  </si>
  <si>
    <t>RLHHE</t>
  </si>
  <si>
    <t>High Eff Large Hotel</t>
  </si>
  <si>
    <t>RLHME</t>
  </si>
  <si>
    <t>Medium Eff Large Hotel</t>
  </si>
  <si>
    <t>RLHLE</t>
  </si>
  <si>
    <t>Low Eff Large Hotel</t>
  </si>
  <si>
    <t>RSHHE</t>
  </si>
  <si>
    <t>High Eff Small Hotel</t>
  </si>
  <si>
    <t>RSHME</t>
  </si>
  <si>
    <t>Medium Eff Small Hotel</t>
  </si>
  <si>
    <t>RSHLE</t>
  </si>
  <si>
    <t>Low Eff Small Hotel</t>
  </si>
  <si>
    <t>RSFDHE</t>
  </si>
  <si>
    <t>High Eff Single Family Dwelling</t>
  </si>
  <si>
    <t>RSFDME</t>
  </si>
  <si>
    <t>Medium Eff Single Family Dwelling</t>
  </si>
  <si>
    <t>RSFDLE</t>
  </si>
  <si>
    <t>Low Eff Single Family Dwelling</t>
  </si>
  <si>
    <t>* Dummy/Backstop Demand Technologies</t>
  </si>
  <si>
    <t>ZZDMYRRFDM</t>
  </si>
  <si>
    <t>Dummy technology to meet RWROOFDM</t>
  </si>
  <si>
    <t>ZZDMYCRFDM</t>
  </si>
  <si>
    <t>Dummy technology to meet CWROOFDM</t>
  </si>
  <si>
    <t>ZZDMYIRFDM</t>
  </si>
  <si>
    <t>Dummy technology to meet IWROOFDM</t>
  </si>
  <si>
    <t>ZZDMYRBLD</t>
  </si>
  <si>
    <t>Dummy RES Building to meet POPDM</t>
  </si>
  <si>
    <t>ZZDMYCBLD</t>
  </si>
  <si>
    <t>Dummy COM Building to meet POPDM</t>
  </si>
  <si>
    <t>ZZDMYIBLD</t>
  </si>
  <si>
    <t>Dummy IND Building to meet POPDM</t>
  </si>
  <si>
    <t>*R3,R6</t>
  </si>
  <si>
    <t>ZZWFLT</t>
  </si>
  <si>
    <t>Dummy Water Filtration Technology</t>
  </si>
  <si>
    <t>ZZWPMPX</t>
  </si>
  <si>
    <t>Dummy Water Pumping Technology for Wastewater</t>
  </si>
  <si>
    <t>ZZWPMPY</t>
  </si>
  <si>
    <t>Dummy Water Pumping Technology for Stormwater</t>
  </si>
  <si>
    <t>ZZWWTPX</t>
  </si>
  <si>
    <t>Dummy WWTP for  Wastewater</t>
  </si>
  <si>
    <t>ZZWWTPY</t>
  </si>
  <si>
    <t>Dummy WWTP for Stormwater</t>
  </si>
  <si>
    <t>* Building Retrofit &amp;Green Infrastructure Technologies</t>
  </si>
  <si>
    <t>XELCRBLD</t>
  </si>
  <si>
    <t>Collects ELC for use in buildings</t>
  </si>
  <si>
    <t>XNGARBLD</t>
  </si>
  <si>
    <t>Collects NGA for use in buildings</t>
  </si>
  <si>
    <t>XRFLRBLD</t>
  </si>
  <si>
    <t>Collects RFL for use in buildings</t>
  </si>
  <si>
    <t>XDSLRBLD</t>
  </si>
  <si>
    <t>Collects DSL for use in buildings</t>
  </si>
  <si>
    <t>RBLDBAUHE</t>
  </si>
  <si>
    <t>High efficiency building energy without retrofits</t>
  </si>
  <si>
    <t>RBLDBAU</t>
  </si>
  <si>
    <t>Building energy without retrofits</t>
  </si>
  <si>
    <t>RBLDR10</t>
  </si>
  <si>
    <t>Building retrofit for 10% energy reduction</t>
  </si>
  <si>
    <t>RBLDR25</t>
  </si>
  <si>
    <t>Building retrofit for 25% energy reduction</t>
  </si>
  <si>
    <t>RBLDR50</t>
  </si>
  <si>
    <t>Building retrofit for 50% energy reduction</t>
  </si>
  <si>
    <t>RELCHE</t>
  </si>
  <si>
    <t>High efficiency building ELC without retrofits</t>
  </si>
  <si>
    <t>RELCBAU</t>
  </si>
  <si>
    <t>Building ELC without retrofits</t>
  </si>
  <si>
    <t>RELCR10</t>
  </si>
  <si>
    <t>Building ELC retrofit for 10% energy reduction</t>
  </si>
  <si>
    <t>RELCR25</t>
  </si>
  <si>
    <t>Building ELC retrofit for 25% energy reduction</t>
  </si>
  <si>
    <t>RELCR50</t>
  </si>
  <si>
    <t>Building ELC retrofit for 50% energy reduction</t>
  </si>
  <si>
    <t>*Green Infrastructure Heating &amp; Cooling Pass Through Technologies</t>
  </si>
  <si>
    <t>RSHRFBLK</t>
  </si>
  <si>
    <t>Heating provided by black roofs</t>
  </si>
  <si>
    <t>RSHRFWT</t>
  </si>
  <si>
    <t>Heating provided by white roofs</t>
  </si>
  <si>
    <t>RSHRFG6</t>
  </si>
  <si>
    <t>Heating provided by 6 inch green roofs</t>
  </si>
  <si>
    <t>RSHRFG12</t>
  </si>
  <si>
    <t>Heating provided by 12 inch green roofs</t>
  </si>
  <si>
    <t>RSCRFBLK</t>
  </si>
  <si>
    <t>Cooling provided by black roofs</t>
  </si>
  <si>
    <t>RSCRFWT</t>
  </si>
  <si>
    <t>Cooling provided by white roofs</t>
  </si>
  <si>
    <t>RSCRFG6</t>
  </si>
  <si>
    <t>Cooling provided by 6 inch green roofs</t>
  </si>
  <si>
    <t>RSCRFG12</t>
  </si>
  <si>
    <t>Cooling provided by 12 inch green roofs</t>
  </si>
  <si>
    <t>ICWELCLEDM</t>
  </si>
  <si>
    <t>ICWELCHEDM</t>
  </si>
  <si>
    <t>IDWELCLEDM</t>
  </si>
  <si>
    <t>IDWELCHEDM</t>
  </si>
  <si>
    <t>ITFLEDM</t>
  </si>
  <si>
    <t>ITFHEDM</t>
  </si>
  <si>
    <t>ISHRLEDM</t>
  </si>
  <si>
    <t>ISHRHEDM</t>
  </si>
  <si>
    <t>IFCTLEDM</t>
  </si>
  <si>
    <t>IFCTHEDM</t>
  </si>
  <si>
    <t>ILKLEDM</t>
  </si>
  <si>
    <t>ILKHEDM</t>
  </si>
  <si>
    <t>IHVACLEDM</t>
  </si>
  <si>
    <t>IHVACHEDM</t>
  </si>
  <si>
    <t>IBROOFDM</t>
  </si>
  <si>
    <t>IWTROOFDM</t>
  </si>
  <si>
    <t>IGROOF6DM</t>
  </si>
  <si>
    <t>IGROOF12DM</t>
  </si>
  <si>
    <t>IBLDGLEDM</t>
  </si>
  <si>
    <t>IBLDGMEDM</t>
  </si>
  <si>
    <t>IBLDGHEDM</t>
  </si>
  <si>
    <t>CCWELCLEDM</t>
  </si>
  <si>
    <t>CCWELCHEDM</t>
  </si>
  <si>
    <t>CDWELCLEDM</t>
  </si>
  <si>
    <t>CDWELCHEDM</t>
  </si>
  <si>
    <t>CTFLEDM</t>
  </si>
  <si>
    <t>CTFHEDM</t>
  </si>
  <si>
    <t>CSHRLEDM</t>
  </si>
  <si>
    <t>CSHRHEDM</t>
  </si>
  <si>
    <t>CFCTLEDM</t>
  </si>
  <si>
    <t>CFCTHEDM</t>
  </si>
  <si>
    <t>CLKLEDM</t>
  </si>
  <si>
    <t>CLKHEDM</t>
  </si>
  <si>
    <t>CHVACLEDM</t>
  </si>
  <si>
    <t>CHVACHEDM</t>
  </si>
  <si>
    <t>CBROOFDM</t>
  </si>
  <si>
    <t>CWTROOFDM</t>
  </si>
  <si>
    <t>CGROOF6DM</t>
  </si>
  <si>
    <t>CGROOF12DM</t>
  </si>
  <si>
    <t>CBLDGLEDM</t>
  </si>
  <si>
    <t>CBLDGMEDM</t>
  </si>
  <si>
    <t>CBLDGHEDM</t>
  </si>
  <si>
    <t>RCWELCLEDM</t>
  </si>
  <si>
    <t>RCWELCHEDM</t>
  </si>
  <si>
    <t>RDWELCLEDM</t>
  </si>
  <si>
    <t>RDWELCHEDM</t>
  </si>
  <si>
    <t>RTFLEDM</t>
  </si>
  <si>
    <t>RTFMEDM</t>
  </si>
  <si>
    <t>RTFHEDM</t>
  </si>
  <si>
    <t>RSHRLEDM</t>
  </si>
  <si>
    <t>RSHRMEDM</t>
  </si>
  <si>
    <t>RSHRHEDM</t>
  </si>
  <si>
    <t>RFCTLEDM</t>
  </si>
  <si>
    <t>RFCTMEDM</t>
  </si>
  <si>
    <t>RFCTHEDM</t>
  </si>
  <si>
    <t>RLKLEDM</t>
  </si>
  <si>
    <t>RLKMEDM</t>
  </si>
  <si>
    <t>RLKHEDM</t>
  </si>
  <si>
    <t>RHVACLEDM</t>
  </si>
  <si>
    <t>RHVACHEDM</t>
  </si>
  <si>
    <t>RBROOFDM</t>
  </si>
  <si>
    <t>RWTROOFDM</t>
  </si>
  <si>
    <t>RGROOF6DM</t>
  </si>
  <si>
    <t>RGROOF12DM</t>
  </si>
  <si>
    <t>RBLDLEDM</t>
  </si>
  <si>
    <t>RBLDMEDM</t>
  </si>
  <si>
    <t>RBLDHEDM</t>
  </si>
  <si>
    <t>IHMFHEDM</t>
  </si>
  <si>
    <t>High Eff Heavy Manufacturing Pass Thru</t>
  </si>
  <si>
    <t>IHMFMEDM</t>
  </si>
  <si>
    <t>Medium Eff Heavy Manufacturing Pass Thru</t>
  </si>
  <si>
    <t>IHMFLEDM</t>
  </si>
  <si>
    <t>Low Eff Heavy Manufacturing Pass Thru</t>
  </si>
  <si>
    <t>ILMFHEDM</t>
  </si>
  <si>
    <t>High Eff Light Manufacturing Pass Thru</t>
  </si>
  <si>
    <t>ILMFMEDM</t>
  </si>
  <si>
    <t>Medium Eff Light Manufacturing Pass Thru</t>
  </si>
  <si>
    <t>ILMFLEDM</t>
  </si>
  <si>
    <t>Low Eff Light Manufacturing Pass Thru</t>
  </si>
  <si>
    <t>IWHHEDM</t>
  </si>
  <si>
    <t>High Eff Warehouse Pass Thru</t>
  </si>
  <si>
    <t>IWHMEDM</t>
  </si>
  <si>
    <t>Medium Eff Warehouse Pass Thru</t>
  </si>
  <si>
    <t>IWHLEDM</t>
  </si>
  <si>
    <t>Low Eff Warehouse Pass Thru</t>
  </si>
  <si>
    <t>ISMHEDM</t>
  </si>
  <si>
    <t>High Eff Steel Mill Pass Thru</t>
  </si>
  <si>
    <t>ISMMEDM</t>
  </si>
  <si>
    <t>Medium Eff Steel Mill Pass Thru</t>
  </si>
  <si>
    <t>ISMLEDM</t>
  </si>
  <si>
    <t>Low Eff Steel Mill Pass Thru</t>
  </si>
  <si>
    <t>IBLDHEDM</t>
  </si>
  <si>
    <t>High Eff Industrial Building Pass Thru</t>
  </si>
  <si>
    <t>IBLDMEDM</t>
  </si>
  <si>
    <t>Medium Eff Industrial Building Pass Thru</t>
  </si>
  <si>
    <t>IBLDLEDM</t>
  </si>
  <si>
    <t>Low Eff Industrial Building Pass Thru</t>
  </si>
  <si>
    <t>CORHEDM</t>
  </si>
  <si>
    <t>High Eff Office/Retail Pass Thru</t>
  </si>
  <si>
    <t>CORMEDM</t>
  </si>
  <si>
    <t>Medium Eff Office/Retail Pass Thru</t>
  </si>
  <si>
    <t>CORLEDM</t>
  </si>
  <si>
    <t>Low Eff Office/Retail Pass Thru</t>
  </si>
  <si>
    <t>CGVHEDM</t>
  </si>
  <si>
    <t>High Eff Government Pass Thru</t>
  </si>
  <si>
    <t>CGVMEDM</t>
  </si>
  <si>
    <t>Medium Eff Government Pass Thru</t>
  </si>
  <si>
    <t>CGVLEDM</t>
  </si>
  <si>
    <t>Low Eff Government Pass Thru</t>
  </si>
  <si>
    <t>CEDHEDM</t>
  </si>
  <si>
    <t>High Eff Education Pass Thru</t>
  </si>
  <si>
    <t>CEDMEDM</t>
  </si>
  <si>
    <t>Medium Eff Education Pass Thru</t>
  </si>
  <si>
    <t>CEDLEDM</t>
  </si>
  <si>
    <t>Low Eff Education Pass Thru</t>
  </si>
  <si>
    <t>CHEHEDM</t>
  </si>
  <si>
    <t>High Eff Health Pass Thru</t>
  </si>
  <si>
    <t>CHEMEDM</t>
  </si>
  <si>
    <t>Medium Eff Health Pass Thru</t>
  </si>
  <si>
    <t>CHELEDM</t>
  </si>
  <si>
    <t>Low Eff Health Pass Thru</t>
  </si>
  <si>
    <t>CBLDHEDM</t>
  </si>
  <si>
    <t>High Eff Commercial Building Pass Thru</t>
  </si>
  <si>
    <t>CBLDMEDM</t>
  </si>
  <si>
    <t>Medium Eff Commercial Building Pass Thru</t>
  </si>
  <si>
    <t>CBLDLEDM</t>
  </si>
  <si>
    <t>Low Eff Commercial Building Pass Thru</t>
  </si>
  <si>
    <t>RAPTHEDM</t>
  </si>
  <si>
    <t>High Eff Apartment/Condo/Hotel Pass Thru</t>
  </si>
  <si>
    <t>RAPTMEDM</t>
  </si>
  <si>
    <t>Medium Eff Apartment/Condo/Hotel Pass Thru</t>
  </si>
  <si>
    <t>RAPTLEDM</t>
  </si>
  <si>
    <t>Low Eff Apartment/Condo/Hotel Pass Thru</t>
  </si>
  <si>
    <t>RSAHEDM</t>
  </si>
  <si>
    <t>High Eff Small Apartment Pass Thru</t>
  </si>
  <si>
    <t>RSAMEDM</t>
  </si>
  <si>
    <t>Medium Eff Small Apartment Pass Thru</t>
  </si>
  <si>
    <t>RSALEDM</t>
  </si>
  <si>
    <t>Low Eff Small Apartment Pass Thru</t>
  </si>
  <si>
    <t>RLHHEDM</t>
  </si>
  <si>
    <t>High Eff Large Hotel Pass Thru</t>
  </si>
  <si>
    <t>RLHMEDM</t>
  </si>
  <si>
    <t>Medium Eff Large Hotel Pass Thru</t>
  </si>
  <si>
    <t>RLHLEDM</t>
  </si>
  <si>
    <t>Low Eff Large Hotel Pass Thru</t>
  </si>
  <si>
    <t>RSHHEDM</t>
  </si>
  <si>
    <t>High Eff Small Hotel Pass Thru</t>
  </si>
  <si>
    <t>RSHMEDM</t>
  </si>
  <si>
    <t>Medium Eff Small Hotel Pass Thru</t>
  </si>
  <si>
    <t>RSHLEDM</t>
  </si>
  <si>
    <t>Low Eff Small Hotel Pass Thru</t>
  </si>
  <si>
    <t>RSFDHEDM</t>
  </si>
  <si>
    <t>High Eff Single Family Dwelling Pass Thru</t>
  </si>
  <si>
    <t>RSFDMEDM</t>
  </si>
  <si>
    <t>Medium Eff Single Family Dwelling Pass Thru</t>
  </si>
  <si>
    <t>RSFDLEDM</t>
  </si>
  <si>
    <t>Low Eff Single Family Dwelling Pass Thru</t>
  </si>
  <si>
    <t>*Electric Radiant Heating</t>
  </si>
  <si>
    <t>*Electric Heat Pumps</t>
  </si>
  <si>
    <t>2030</t>
  </si>
  <si>
    <t>2035</t>
  </si>
  <si>
    <t>*Natural Gas Furnaces</t>
  </si>
  <si>
    <t>*Natural Gas Radiant Heating</t>
  </si>
  <si>
    <t>*Kerosene Furnaces</t>
  </si>
  <si>
    <t>*LPG Furnaces</t>
  </si>
  <si>
    <t>*Fuel Oil (DSL) Furnaces</t>
  </si>
  <si>
    <t>*Dfuel Oil (DSL) Radiant Space Heating</t>
  </si>
  <si>
    <t>*Wood Fired Furnaces</t>
  </si>
  <si>
    <t>*Geothermal Heat Pumps</t>
  </si>
  <si>
    <t>*Natural Gas Heat Pumps</t>
  </si>
  <si>
    <t>*Room/Window AC</t>
  </si>
  <si>
    <t>*Central AC Units</t>
  </si>
  <si>
    <t>*Electric Water Heaters</t>
  </si>
  <si>
    <t>*Fuel Oil (DSL) Water Heaters</t>
  </si>
  <si>
    <t>*Gas Water Heaters</t>
  </si>
  <si>
    <t>Mt, Mt/a</t>
  </si>
  <si>
    <t>_GLOBAL,R0,R1,R2,R3,R4,R5,R6</t>
  </si>
  <si>
    <t>* Dummy/Pass Through Technologies for NYC LITE Model to Meet Populaiton Demand</t>
  </si>
  <si>
    <t>* Green Infrastructure Heating &amp; Cooling Technologies</t>
  </si>
  <si>
    <r>
      <t xml:space="preserve">U.S.
Housing
Units
</t>
    </r>
    <r>
      <rPr>
        <sz val="11"/>
        <color theme="1"/>
        <rFont val="Arial"/>
        <family val="2"/>
      </rPr>
      <t>(millions)</t>
    </r>
  </si>
  <si>
    <r>
      <t xml:space="preserve">Units:         Classes 1-30: </t>
    </r>
    <r>
      <rPr>
        <b/>
        <sz val="10"/>
        <color theme="1"/>
        <rFont val="Arial"/>
        <family val="2"/>
      </rPr>
      <t>MMBtu/unit/yr</t>
    </r>
    <r>
      <rPr>
        <sz val="10"/>
        <color theme="1"/>
        <rFont val="Arial"/>
        <family val="2"/>
      </rPr>
      <t>; classes 31-60: MMBtu/household/yr</t>
    </r>
  </si>
  <si>
    <r>
      <t xml:space="preserve">* </t>
    </r>
    <r>
      <rPr>
        <b/>
        <sz val="10"/>
        <color theme="1"/>
        <rFont val="Arial"/>
        <family val="2"/>
      </rPr>
      <t>NOTE:</t>
    </r>
    <r>
      <rPr>
        <sz val="10"/>
        <color theme="1"/>
        <rFont val="Arial"/>
        <family val="2"/>
      </rPr>
      <t xml:space="preserve"> Data is found on the ftp site with the file name "rsmeqp.txt"</t>
    </r>
  </si>
  <si>
    <t>Brooklyn</t>
  </si>
  <si>
    <t>Bronx</t>
  </si>
  <si>
    <t>Manhattan</t>
  </si>
  <si>
    <t>Staten Island</t>
  </si>
  <si>
    <t>Queens</t>
  </si>
  <si>
    <t>NYC</t>
  </si>
  <si>
    <t>Total NYC</t>
  </si>
  <si>
    <t>Table 7: New York CIty Population by Borough, 1950-2040</t>
  </si>
  <si>
    <t>intercept</t>
  </si>
  <si>
    <t>slope</t>
  </si>
  <si>
    <t>NYC CDD</t>
  </si>
  <si>
    <t>NYC HDD</t>
  </si>
  <si>
    <t xml:space="preserve">* (1) 2010 data is changed to the value provided by NYC gov. and increased by AEO projection </t>
  </si>
  <si>
    <t>WH</t>
  </si>
  <si>
    <t>(%change for US demand)</t>
  </si>
  <si>
    <t>bn-lm yr demand in 2010</t>
  </si>
  <si>
    <t>AEO 2012 Residential Sector Key Indicators and Consumption, Reference case</t>
  </si>
  <si>
    <t>Equipment Efficiency growth is determined by taking the weighted efficiency in 2005 calculated by using the RESIDs and their efficiencies and multiplying out be the Stock Avg Efficiency Change from AEO</t>
  </si>
  <si>
    <t>    1/ Does not include microwave ovens or outdoor grills.</t>
  </si>
  <si>
    <t>    2/ Kilowatthours per year to run the appliance under certain test conditions as specified by the Department of Energy.</t>
  </si>
  <si>
    <t>    3/ The building shell efficiency index sets the heating and cooling value at 1.00 for an average</t>
  </si>
  <si>
    <t>home in 2005 (by type) in each Census division.  The values listed for New Construction</t>
  </si>
  <si>
    <t>represent the change in heating and cooling load based on the difference in physical size and shell</t>
  </si>
  <si>
    <t>attributes for a newly-constructed home (by type and Census division).  As an example, a value of 1.05</t>
  </si>
  <si>
    <t>for cooling in the New Construction row equates to a cooling load 5 percent greater than the 2005 stock,</t>
  </si>
  <si>
    <t>after accounting for the physical size difference and efficiency gains from better insulation and windows.</t>
  </si>
  <si>
    <t>    HSPF = Heating Seasonal Performance Factor:  The total heating output of a heat pump in Btu during its normal annual usage</t>
  </si>
  <si>
    <t>period for heating divided by total electric input in watt-hours during the same period.</t>
  </si>
  <si>
    <t>    COP  = Coefficient of Performance:  Energy efficiency rating measure determined, under specific testing conditions, by</t>
  </si>
  <si>
    <t>dividing the energy output by the energy input.</t>
  </si>
  <si>
    <t>    GCOP = Gas Coefficient of Performance:  Energy efficiency rating measure determined, under specific testing conditions,</t>
  </si>
  <si>
    <t>by dividing the energy output by the energy input.</t>
  </si>
  <si>
    <t>    AFUE = Annual Fuel Utilization Efficiency:  Efficiency rating based on average usage, including on and off cycling, as set</t>
  </si>
  <si>
    <t>out in the standardized Department of Energy test procedures.</t>
  </si>
  <si>
    <t>    SEER = Seasonal Energy Efficiency Ratio:  The total cooling of a central unitary air conditioner or a unitary heat pump in</t>
  </si>
  <si>
    <t>Btu during its normal annual usage period for cooling divided by the total electric energy input in watt-hours during the same</t>
  </si>
  <si>
    <t>period.</t>
  </si>
  <si>
    <t>    EER = Energy Efficiency Ratio:  A ratio calculated by dividing the cooling capacity in Btu per hour by the power input in</t>
  </si>
  <si>
    <t>watts at any given set of rating conditions, expressed in Btu per hour per watt.</t>
  </si>
  <si>
    <t>    EF = Efficiency Factor:  Efficiency (measured in Btu out / Btu in) of water heaters under certain test conditions specified</t>
  </si>
  <si>
    <t>by the Department of Energy.</t>
  </si>
  <si>
    <t>    Btu = British thermal unit.</t>
  </si>
  <si>
    <t>    - - = Not applicable.</t>
  </si>
  <si>
    <t>    Note:  Totals may not equal sum of components due to independent rounding.</t>
  </si>
  <si>
    <t>    Source:  U.S. Energy Information Administration, AEO2012 National Energy Modeling System.</t>
  </si>
  <si>
    <t>Fuel consumption values wrt sectors</t>
  </si>
  <si>
    <t>Space Heating</t>
  </si>
  <si>
    <t>DHW</t>
  </si>
  <si>
    <t>Space Cooling</t>
  </si>
  <si>
    <t>Ventilation</t>
  </si>
  <si>
    <t>Conveyance</t>
  </si>
  <si>
    <t xml:space="preserve"> Process Loads</t>
  </si>
  <si>
    <t>Plug Loads/Misc</t>
  </si>
  <si>
    <t>1 to 4</t>
  </si>
  <si>
    <t>TOTAL</t>
  </si>
  <si>
    <t>Multifamily</t>
  </si>
  <si>
    <t>Institutional</t>
  </si>
  <si>
    <t>Fuel consumption</t>
  </si>
  <si>
    <t>Fuel Shares</t>
  </si>
  <si>
    <t>NGA</t>
  </si>
  <si>
    <t>DSL</t>
  </si>
  <si>
    <t>2015 NYC GHG Inventory (CY 2014)</t>
  </si>
  <si>
    <t>Citywide Site MMBtu, by Fuel Type, per 2015 NYC GHG Inventory (CY2014)</t>
  </si>
  <si>
    <t>Steam</t>
  </si>
  <si>
    <t>MMBtu by End Use</t>
  </si>
  <si>
    <t>Description of Typical Building</t>
  </si>
  <si>
    <t>CY2014 Site MMBtu</t>
  </si>
  <si>
    <t>CY2014 Site MMBtu % of Total</t>
  </si>
  <si>
    <t>CY2014 Site kBtu/SF</t>
  </si>
  <si>
    <t>#2 fuel oil</t>
  </si>
  <si>
    <t>#4 fuel oil</t>
  </si>
  <si>
    <t>#6 fuel oil</t>
  </si>
  <si>
    <t>% Fuel Oil, Space Heating</t>
  </si>
  <si>
    <t>% Fuel Oil, DHW</t>
  </si>
  <si>
    <t>% Fuel Oil, Space Cooling</t>
  </si>
  <si>
    <t>% Fuel Oil, Ventilation</t>
  </si>
  <si>
    <t>% Fuel Oil, Lighting</t>
  </si>
  <si>
    <t>% Fuel Oil, Conveyance</t>
  </si>
  <si>
    <t>% Fuel Oil, Process Loads</t>
  </si>
  <si>
    <t>% Fuel Oil, Plug Loads/Misc</t>
  </si>
  <si>
    <t>% Electricity, Space Heating</t>
  </si>
  <si>
    <t>% Electricity, DHW</t>
  </si>
  <si>
    <t>% Electricity, Space Cooling</t>
  </si>
  <si>
    <t>% Electricity, Ventilation</t>
  </si>
  <si>
    <t>% Electricity, Lighting</t>
  </si>
  <si>
    <t>% Electricity, Conveyance</t>
  </si>
  <si>
    <t>% Electricity, Process Loads</t>
  </si>
  <si>
    <t>% Electricity, Plug Loads/Misc</t>
  </si>
  <si>
    <t>% Natural Gas, Space Heating</t>
  </si>
  <si>
    <t>% Natural Gas, DHW</t>
  </si>
  <si>
    <t>% Natural Gas, Space Cooling</t>
  </si>
  <si>
    <t>% Natural Gas, Ventilation</t>
  </si>
  <si>
    <t>% Natural Gas, Lighting</t>
  </si>
  <si>
    <t>% Natural Gas, Conveyance</t>
  </si>
  <si>
    <t>% Natural Gas, Process Loads</t>
  </si>
  <si>
    <t>% Natural Gas, Plug Loads/Misc</t>
  </si>
  <si>
    <t>% Steam, Space Heating</t>
  </si>
  <si>
    <t>% Steam, DHW</t>
  </si>
  <si>
    <t>% Steam, Space Cooling</t>
  </si>
  <si>
    <t>% Steam, Ventilation</t>
  </si>
  <si>
    <t>% Steam, Lighting</t>
  </si>
  <si>
    <t>% Steam, Conveyance</t>
  </si>
  <si>
    <t>% Steam, Process Loads</t>
  </si>
  <si>
    <t>% Steam, Plug Loads/Misc</t>
  </si>
  <si>
    <t>1 to 4 Family, Freestanding, Wood Frame</t>
  </si>
  <si>
    <t>1 to 4 Family, Row House, Masonry</t>
  </si>
  <si>
    <t>Multifamily, NYCHA</t>
  </si>
  <si>
    <t>Multifamily, Post-1980 &gt;7 stories</t>
  </si>
  <si>
    <t>Multifamily, Post-1980 up to 7 stories</t>
  </si>
  <si>
    <t>Multifamily, Post-war &gt;7 stories</t>
  </si>
  <si>
    <t>Multifamily, Post-war up to 7 stories</t>
  </si>
  <si>
    <t>Multifamily, Pre-war &gt;7 stories</t>
  </si>
  <si>
    <t>Multifamily, Pre-war up to 7 stories</t>
  </si>
  <si>
    <t>Multifamily, VeryLarge</t>
  </si>
  <si>
    <t>Commercial, Post-1980 &gt;7 stories</t>
  </si>
  <si>
    <t>Commercial, Post-1980 up to 7 stories</t>
  </si>
  <si>
    <t>Commercial, Post-war &gt;7 stories</t>
  </si>
  <si>
    <t>Commercial, Post-war up to 7 stories</t>
  </si>
  <si>
    <t>Commercial, Pre-war &gt;7 stories</t>
  </si>
  <si>
    <t>Commercial, Pre-war up to 7 stories</t>
  </si>
  <si>
    <t>Commercial, VeryLarge</t>
  </si>
  <si>
    <t>Commercial, Mixed use</t>
  </si>
  <si>
    <t xml:space="preserve">Industrial, 3 stories of more warehouse/factory building </t>
  </si>
  <si>
    <t xml:space="preserve">Industrial, 3 stories or less warehouse/factory building </t>
  </si>
  <si>
    <t xml:space="preserve">Industrial, Transportation, Garages, and Utilities </t>
  </si>
  <si>
    <t xml:space="preserve">Institutional, Hospital and Health Facilities </t>
  </si>
  <si>
    <t xml:space="preserve">Institutional, Institutional General </t>
  </si>
  <si>
    <t xml:space="preserve">Institutional, K-12 Schools </t>
  </si>
  <si>
    <t xml:space="preserve">Institutional, Religious </t>
  </si>
  <si>
    <t xml:space="preserve">Institutional, University </t>
  </si>
  <si>
    <t>NoData</t>
  </si>
  <si>
    <t>Oil</t>
  </si>
  <si>
    <t>RESID EPAUS9r 2010</t>
  </si>
  <si>
    <t>RESID EPAUS9r (%)</t>
  </si>
  <si>
    <t>R1,R2,R3,R4,R5,R6</t>
  </si>
  <si>
    <t>BK</t>
  </si>
  <si>
    <t>BX</t>
  </si>
  <si>
    <t>MN</t>
  </si>
  <si>
    <t>SI</t>
  </si>
  <si>
    <t>QN</t>
  </si>
  <si>
    <t>Levels of PV/Green Roof Installation</t>
  </si>
  <si>
    <t>PV (ft2/kW)</t>
  </si>
  <si>
    <t>Borough</t>
  </si>
  <si>
    <t>Customer Class</t>
  </si>
  <si>
    <t>General Classification</t>
  </si>
  <si>
    <t>No Green Roof</t>
  </si>
  <si>
    <t>PV KW (75%)</t>
  </si>
  <si>
    <t>PV KW (50%)</t>
  </si>
  <si>
    <t>PV KW (25%)</t>
  </si>
  <si>
    <t>PV KW (10%)</t>
  </si>
  <si>
    <t>1-2 Family Dwelling</t>
  </si>
  <si>
    <t>Transportation</t>
  </si>
  <si>
    <t>Airport</t>
  </si>
  <si>
    <t>Auto Services</t>
  </si>
  <si>
    <t>Church/Mission/Asylum</t>
  </si>
  <si>
    <t>Education College/University</t>
  </si>
  <si>
    <t>Education K12</t>
  </si>
  <si>
    <t>Government</t>
  </si>
  <si>
    <t>Sum of PV KW (50%)</t>
  </si>
  <si>
    <t>Column Labels</t>
  </si>
  <si>
    <t>Hospital/Clinic</t>
  </si>
  <si>
    <t>Row Labels</t>
  </si>
  <si>
    <t>(blank)</t>
  </si>
  <si>
    <t>Grand Total</t>
  </si>
  <si>
    <t>Large Apartment/Hotel</t>
  </si>
  <si>
    <t>Cust. Class</t>
  </si>
  <si>
    <t>Large Retail/Office</t>
  </si>
  <si>
    <t>Parking Area Outdoor</t>
  </si>
  <si>
    <t>Parking Structure</t>
  </si>
  <si>
    <t>Port or Shipping</t>
  </si>
  <si>
    <t>Small Apartment or Condo</t>
  </si>
  <si>
    <t>Small Retail/Office</t>
  </si>
  <si>
    <t>Theater/Public Assembly</t>
  </si>
  <si>
    <t>Utility Electric/Gas</t>
  </si>
  <si>
    <t>Utility Other</t>
  </si>
  <si>
    <t>http://www.nyc.gov/html/dem/downloads/pdf/Solar%20100%20Local%20Law%2024%202016.pdf</t>
  </si>
  <si>
    <t>Warehouse</t>
  </si>
  <si>
    <t>RES</t>
  </si>
  <si>
    <t>COM</t>
  </si>
  <si>
    <t>https://nysolarmap.com/</t>
  </si>
  <si>
    <t>https://www.nrel.gov/docs/fy12osti/50198.pdf</t>
  </si>
  <si>
    <t>At the end of 2015, New York City ranked 8th amongst US cities for total installed solar capacity (84 MW, both municipal and private sector combined)3</t>
  </si>
  <si>
    <t>https://environmentamerica.org/sites/environment/files/reports/EA_shiningcities2016_scrn.pdf</t>
  </si>
  <si>
    <t>The following table is on page 5</t>
  </si>
  <si>
    <t>NYSolar Map Installed Solar Power Generation Capacity (MW) in 2010 -Completed</t>
  </si>
  <si>
    <t>NYSolar Map Installed Solar Power Generation Capacity (MW) in 2015 -Completed</t>
  </si>
  <si>
    <t>NYSolar Map Installed Solar Power Generation Capacity (MW) in 2020 -Completed</t>
  </si>
  <si>
    <t>efficiency</t>
  </si>
  <si>
    <t>NYSolar Map Installed Solar Power Generation Capacity (GW) in 2010 -Completed</t>
  </si>
  <si>
    <t xml:space="preserve"> 2010 -Completed (Generation PJ)</t>
  </si>
  <si>
    <t>(PJ)</t>
  </si>
  <si>
    <t>Building Class</t>
  </si>
  <si>
    <t>PV KW (100%)</t>
  </si>
  <si>
    <t>NYSolar Map Installed Solar Power Generation Capacity (GW) in 2015 -Completed</t>
  </si>
  <si>
    <t xml:space="preserve"> 2015 -Completed (Generation PJ)</t>
  </si>
  <si>
    <t>on page 21</t>
  </si>
  <si>
    <t>Looking ahead, the city has committed to installing 100 MW of solar power on public buildings and spurring the installation of 250 MW on private buildings by 2025</t>
  </si>
  <si>
    <t>NYSolar Map Installed Solar Power Generation Capacity (GW) in 2020 -Completed</t>
  </si>
  <si>
    <t xml:space="preserve"> 2020 -Completed (Generation PJ)</t>
  </si>
  <si>
    <t xml:space="preserve"> 2020 -Upper Bounds (Generation PJ)</t>
  </si>
  <si>
    <t>MW/5 year</t>
  </si>
  <si>
    <t xml:space="preserve"> 2025 -Estimated LB (Generation PJ)</t>
  </si>
  <si>
    <t xml:space="preserve"> 2025 -Upper Bounds  (Generation PJ)</t>
  </si>
  <si>
    <t xml:space="preserve"> 2030 -Estimated LB (Generation PJ)</t>
  </si>
  <si>
    <t xml:space="preserve"> 2030 -Upper Bounds (Generation PJ)</t>
  </si>
  <si>
    <t xml:space="preserve"> 2035 -Estimated LB (Generation PJ)</t>
  </si>
  <si>
    <t xml:space="preserve"> 2035 -Upper Bounds  (Generation PJ)</t>
  </si>
  <si>
    <t xml:space="preserve"> 2040 -Estimated LB (Generation PJ)</t>
  </si>
  <si>
    <t xml:space="preserve"> 2040 -Upper Bounds  (Generation PJ)</t>
  </si>
  <si>
    <t xml:space="preserve"> 2045 -Estimated LB (Generation PJ)</t>
  </si>
  <si>
    <t xml:space="preserve"> 2045 -Upper Bounds (Generation PJ)</t>
  </si>
  <si>
    <t>EPAUS9r base scenario results for R2 region</t>
  </si>
  <si>
    <t>BS14_V14</t>
  </si>
  <si>
    <t>OUTPUT.ELC</t>
  </si>
  <si>
    <t>ESOLPVCOM</t>
  </si>
  <si>
    <t>(% increase)</t>
  </si>
  <si>
    <t xml:space="preserve"> 2050 -Estimated LB (Generation PJ)</t>
  </si>
  <si>
    <t xml:space="preserve"> 2050 -Upper Bounds  (Generation PJ)</t>
  </si>
  <si>
    <t xml:space="preserve"> 2055 -Estimated LB (Generation PJ)</t>
  </si>
  <si>
    <t xml:space="preserve"> 2055 -Upper Bounds (Generation PJ)</t>
  </si>
  <si>
    <t xml:space="preserve">Water heating </t>
  </si>
  <si>
    <t>STEAM</t>
  </si>
  <si>
    <t>Elc (%)</t>
  </si>
  <si>
    <t>Other ELC</t>
  </si>
  <si>
    <t>Other NGA</t>
  </si>
  <si>
    <t>Other DSL</t>
  </si>
  <si>
    <t>Control</t>
  </si>
  <si>
    <t>Consumed</t>
  </si>
  <si>
    <t>liters</t>
  </si>
  <si>
    <t>GJ</t>
  </si>
  <si>
    <t>kg</t>
  </si>
  <si>
    <t>BR</t>
  </si>
  <si>
    <t>Hhi</t>
  </si>
  <si>
    <t>Citywide GHG Emissions Summary 2010</t>
  </si>
  <si>
    <t>Sector</t>
  </si>
  <si>
    <t>Fuel Type</t>
  </si>
  <si>
    <t>MgCO2e</t>
  </si>
  <si>
    <t>Source GJ</t>
  </si>
  <si>
    <t>There is no sub-classification for buildings</t>
  </si>
  <si>
    <t>buildings</t>
  </si>
  <si>
    <t>transit bus</t>
  </si>
  <si>
    <t>transportation</t>
  </si>
  <si>
    <t>CNG</t>
  </si>
  <si>
    <t>commuter rail</t>
  </si>
  <si>
    <t>heavy truck</t>
  </si>
  <si>
    <t>light truck</t>
  </si>
  <si>
    <t>light</t>
  </si>
  <si>
    <t>non-transit bus</t>
  </si>
  <si>
    <t>passenger cars</t>
  </si>
  <si>
    <t>solid waste trn rail</t>
  </si>
  <si>
    <t>solid waste trn truck</t>
  </si>
  <si>
    <t>subway and commuter rail</t>
  </si>
  <si>
    <t>Street light and traffic signals</t>
  </si>
  <si>
    <t>ResidNYC!Q120</t>
  </si>
  <si>
    <t>RLTLFL10</t>
  </si>
  <si>
    <t>RLT.LFL.10</t>
  </si>
  <si>
    <t>Source PJ</t>
  </si>
  <si>
    <t>BldgArea (Data belong to 2010 Pluto)</t>
  </si>
  <si>
    <t>Industrial, 3 stories of more warehouse/factory building</t>
  </si>
  <si>
    <t>Industrial, 3 stories or less warehouse/factory building</t>
  </si>
  <si>
    <t>Industrial, Transportation, Garages, and Utilities</t>
  </si>
  <si>
    <t>Institutional, Hospital and Health Facilities</t>
  </si>
  <si>
    <t>Institutional, Institutional General</t>
  </si>
  <si>
    <t>Institutional, K-12 Schools</t>
  </si>
  <si>
    <t>Institutional, Religious</t>
  </si>
  <si>
    <t>Institutional, University</t>
  </si>
  <si>
    <t>#N/A</t>
  </si>
  <si>
    <t>No Data + N/A percentage</t>
  </si>
  <si>
    <t>TOTAL BLDGAREA Nodata and N/A exclueded)</t>
  </si>
  <si>
    <t>TOTAL BLDGAREA (%) (Nodata and N/A exclueded)</t>
  </si>
  <si>
    <t xml:space="preserve">TOTAL BLDGAREA </t>
  </si>
  <si>
    <t>Fuel consumption values wrt sectors 1 to 4</t>
  </si>
  <si>
    <t>Fuel consumption values wrt sectors Multifamily</t>
  </si>
  <si>
    <t>Fuel consumption values wrt sectors Commercial</t>
  </si>
  <si>
    <t>Fuel consumption values wrt sectors Institutional</t>
  </si>
  <si>
    <t>Fuel consumption values wrt sectors Indsutrial</t>
  </si>
  <si>
    <t xml:space="preserve">1 to 4 </t>
  </si>
  <si>
    <t>2010 Fuel Cons</t>
  </si>
  <si>
    <t>Staten island</t>
  </si>
  <si>
    <t>Lighting Coef.</t>
  </si>
  <si>
    <t>Population effect</t>
  </si>
  <si>
    <t>Building Type  effect</t>
  </si>
  <si>
    <t>Other ELC Coef.</t>
  </si>
  <si>
    <t>Other NGA Coef.</t>
  </si>
  <si>
    <t>Water Heating Coef.</t>
  </si>
  <si>
    <t>Space Heating Coef.</t>
  </si>
  <si>
    <t>Resid Total</t>
  </si>
  <si>
    <t>Demand Total</t>
  </si>
  <si>
    <t>Heating and Cooling Degree Days / Demand Intensity</t>
  </si>
  <si>
    <t>Building heating coefficient</t>
  </si>
  <si>
    <t>PJ/ft2-DD-yr</t>
  </si>
  <si>
    <t>Building cooling coefficient</t>
  </si>
  <si>
    <t>Total Demand (PJ) per million sqft</t>
  </si>
  <si>
    <t>Refrigeration</t>
  </si>
  <si>
    <t>Freezing</t>
  </si>
  <si>
    <t>Residential Miscellaneous - Electricity</t>
  </si>
  <si>
    <t>Residential Miscellaneous - Natural gas</t>
  </si>
  <si>
    <t>Residential Miscellaneous - LPG</t>
  </si>
  <si>
    <t>RWHNWHV120</t>
  </si>
  <si>
    <t>Natural Gas Ver1.RWH.NGA.20</t>
  </si>
  <si>
    <t>RWHNWHV220</t>
  </si>
  <si>
    <t>Natural Gas Ver2.RWH.NGA.20</t>
  </si>
  <si>
    <t>RWHNWHV130</t>
  </si>
  <si>
    <t>RWHNWHV230</t>
  </si>
  <si>
    <t>Natural Gas Ver1.RWH.NGA.30</t>
  </si>
  <si>
    <t>Natural Gas Ver2.RWH.NGA.30</t>
  </si>
  <si>
    <t>RWHNWHV140</t>
  </si>
  <si>
    <t>RWHNWHV240</t>
  </si>
  <si>
    <t>Natural Gas Ver1.RWH.NGA.40</t>
  </si>
  <si>
    <t>Natural Gas Ver2.RWH.NGA.40</t>
  </si>
  <si>
    <t>RWHNWHV150</t>
  </si>
  <si>
    <t>RWHNWHV250</t>
  </si>
  <si>
    <t>Natural Gas Ver1.RWH.NGA.50</t>
  </si>
  <si>
    <t>Natural Gas Ver2.RWH.NGA.50</t>
  </si>
  <si>
    <t>RWHEWHV120</t>
  </si>
  <si>
    <t>Electric Ver1.RWH.ELC.20</t>
  </si>
  <si>
    <t>RWHEWHV220</t>
  </si>
  <si>
    <t>Electric Ver2.RWH.ELC.20</t>
  </si>
  <si>
    <t>RWHEWHV130</t>
  </si>
  <si>
    <t>RWHEWHV230</t>
  </si>
  <si>
    <t>Electric Ver1.RWH.ELC.30</t>
  </si>
  <si>
    <t>Electric Ver2.RWH.ELC.30</t>
  </si>
  <si>
    <t>RWHEWHV140</t>
  </si>
  <si>
    <t>RWHEWHV240</t>
  </si>
  <si>
    <t>RWHEWHV150</t>
  </si>
  <si>
    <t>RWHEWHV250</t>
  </si>
  <si>
    <t>Electric Ver1.RWH.ELC.50</t>
  </si>
  <si>
    <t>Electric Ver2.RWH.ELC.50</t>
  </si>
  <si>
    <t>Electric Ver2.RWH.ELC.40</t>
  </si>
  <si>
    <t>Electric Ver1.RWH.ELC.40</t>
  </si>
  <si>
    <t>RSHNFRV120</t>
  </si>
  <si>
    <t>Natural Gas Furnace Ver1.RSH.NGA.20</t>
  </si>
  <si>
    <t>RSHNFRV220</t>
  </si>
  <si>
    <t>Natural Gas Furnace Ver2.RSH.NGA.20</t>
  </si>
  <si>
    <t>RSHNFRV130</t>
  </si>
  <si>
    <t>RSHNFRV230</t>
  </si>
  <si>
    <t>Natural Gas Furnace Ver1.RSH.NGA.30</t>
  </si>
  <si>
    <t>Natural Gas Furnace Ver1.RSH.NGA.40</t>
  </si>
  <si>
    <t>Natural Gas Furnace Ver1.RSH.NGA.50</t>
  </si>
  <si>
    <t>RSHNFRV150</t>
  </si>
  <si>
    <t>RSHNFRV140</t>
  </si>
  <si>
    <t>RSHNFRV240</t>
  </si>
  <si>
    <t>RSHNFRV250</t>
  </si>
  <si>
    <t>Solar Ver2.RWH.ELC.20</t>
  </si>
  <si>
    <t>RWHSWHV220</t>
  </si>
  <si>
    <t>Solar Ver2.RWH.ELC.30</t>
  </si>
  <si>
    <t>RWHSWHV230</t>
  </si>
  <si>
    <t>Solar Ver1.RWH.ELC.40</t>
  </si>
  <si>
    <t>Solar Ver2.RWH.ELC.40</t>
  </si>
  <si>
    <t>RWHSWHV240</t>
  </si>
  <si>
    <t>RWHSWHV140</t>
  </si>
  <si>
    <t>Solar Ver1.RWH.ELC.50</t>
  </si>
  <si>
    <t>RWHSWHV250</t>
  </si>
  <si>
    <t>RWHSWHV150</t>
  </si>
  <si>
    <t>RSCCACV120</t>
  </si>
  <si>
    <t>Central AC Ver1.RSC.ELC.20</t>
  </si>
  <si>
    <t>RSCCACV130</t>
  </si>
  <si>
    <t>Central AC Ver1.RSC.ELC.30</t>
  </si>
  <si>
    <t>RSCCACV230</t>
  </si>
  <si>
    <t>Central AC Ver2.RSC.ELC.30</t>
  </si>
  <si>
    <t>RSCCACV140</t>
  </si>
  <si>
    <t>RSCCACV240</t>
  </si>
  <si>
    <t>Central AC Ver1.RSC.ELC.40</t>
  </si>
  <si>
    <t>Central AC Ver2.RSC.ELC.40</t>
  </si>
  <si>
    <t>RSCCACV150</t>
  </si>
  <si>
    <t>RSCCACV250</t>
  </si>
  <si>
    <t>Central AC Ver1.RSC.ELC.50</t>
  </si>
  <si>
    <t>Central AC Ver2.RSC.ELC.50</t>
  </si>
  <si>
    <t>RSCRACV130</t>
  </si>
  <si>
    <t>Room AC Ver1.RSC.ELC.30</t>
  </si>
  <si>
    <t>RSCRACV120</t>
  </si>
  <si>
    <t>Room AC Ver1.RSC.ELC.20</t>
  </si>
  <si>
    <t>RSCRACV220</t>
  </si>
  <si>
    <t>Room AC Ver2.RSC.ELC.20</t>
  </si>
  <si>
    <t>RSCRACV140</t>
  </si>
  <si>
    <t>RSCRACV240</t>
  </si>
  <si>
    <t>Room AC Ver1.RSC.ELC.40</t>
  </si>
  <si>
    <t>Room AC Ver2.RSC.ELC.40</t>
  </si>
  <si>
    <t>RSCRACV150</t>
  </si>
  <si>
    <t>RSCRACV250</t>
  </si>
  <si>
    <t>Room AC Ver1.RSC.ELC.50</t>
  </si>
  <si>
    <t>Room AC Ver2.RSC.ELC.50</t>
  </si>
  <si>
    <t>*Portable AC</t>
  </si>
  <si>
    <t>RSCCACP120</t>
  </si>
  <si>
    <t>Portable AC Ver1.RSC.ELC.20</t>
  </si>
  <si>
    <t>Portable AC Ver1.RSC.ELC.30</t>
  </si>
  <si>
    <t>RSCCACP220</t>
  </si>
  <si>
    <t>RSCCACP130</t>
  </si>
  <si>
    <t>RSCCACP230</t>
  </si>
  <si>
    <t>RSCCACP140</t>
  </si>
  <si>
    <t>RSCCACP240</t>
  </si>
  <si>
    <t>RSCCACP150</t>
  </si>
  <si>
    <t>RSCCACP250</t>
  </si>
  <si>
    <t>Portable AC Ver2.RSC.ELC.20</t>
  </si>
  <si>
    <t>Portable AC Ver2.RSC.ELC.30</t>
  </si>
  <si>
    <t>Portable AC Ver1.RSC.ELC.40</t>
  </si>
  <si>
    <t>Portable AC Ver2.RSC.ELC.40</t>
  </si>
  <si>
    <t>Portable AC Ver1.RSC.ELC.50</t>
  </si>
  <si>
    <t>Portable AC Ver2.RSC.ELC.50</t>
  </si>
  <si>
    <t>*Portable AC Units</t>
  </si>
  <si>
    <t>*Electric Resistance Furnaces</t>
  </si>
  <si>
    <t>RSHEFRV120</t>
  </si>
  <si>
    <t>Electric Resistance Furnace Ver1.RSH.ELC.20</t>
  </si>
  <si>
    <t>RSHEFRV220</t>
  </si>
  <si>
    <t>Electric Resistance Furnace Ver2.RSH.ELC.20</t>
  </si>
  <si>
    <t>RSHEFRV130</t>
  </si>
  <si>
    <t>Electric Resistance Furnace Ver1.RSH.ELC.30</t>
  </si>
  <si>
    <t>RSHEFRV230</t>
  </si>
  <si>
    <t>Electric Resistance Furnace Ver2.RSH.ELC.30</t>
  </si>
  <si>
    <t>RSHEFRV140</t>
  </si>
  <si>
    <t>Electric Resistance Furnace Ver1.RSH.ELC.40</t>
  </si>
  <si>
    <t>RSHEFRV240</t>
  </si>
  <si>
    <t>Electric Resistance Furnace Ver2.RSH.ELC.40</t>
  </si>
  <si>
    <t>RSHEFRV150</t>
  </si>
  <si>
    <t>Electric Resistance Furnace Ver1.RSH.ELC.50</t>
  </si>
  <si>
    <t>RSHEFRV250</t>
  </si>
  <si>
    <t>Electric Resistance Furnace Ver2.RSH.ELC.50</t>
  </si>
  <si>
    <t>The NYC DEP established a separate deadline to phase out each type of heating oil. In the case of No. 6, which is the most polluting, the deadline was established for June 30, 2015. As a result, its use in NYC is now very rare, and is in fact against the law! The established deadline to phase out No. 4 heating oil is January 1, 2030, since its causes less pollution than No. 6. However, if any boiler or burner using No. 4 heating oil is replaced before the deadline, conversion to a cleaner fuel is mandatory during the project.</t>
  </si>
  <si>
    <r>
      <t>Total U.S.</t>
    </r>
    <r>
      <rPr>
        <b/>
        <vertAlign val="superscript"/>
        <sz val="10"/>
        <color rgb="FF000000"/>
        <rFont val="Calibri"/>
        <family val="2"/>
      </rPr>
      <t>2</t>
    </r>
  </si>
  <si>
    <t>Total Northeast</t>
  </si>
  <si>
    <t>All homes</t>
  </si>
  <si>
    <t>Space heating equipment</t>
  </si>
  <si>
    <t>Use space heating equipment</t>
  </si>
  <si>
    <t>Have space heating equipment but do not use it</t>
  </si>
  <si>
    <t>Do not have space heating equipment</t>
  </si>
  <si>
    <t>Main heating fuel and equipment</t>
  </si>
  <si>
    <t>Central warm-air furnace</t>
  </si>
  <si>
    <t>Steam or hot water system</t>
  </si>
  <si>
    <t>Built-in room heater</t>
  </si>
  <si>
    <t>Some other equipment</t>
  </si>
  <si>
    <t>Built-in electric units</t>
  </si>
  <si>
    <t>Portable electric heaters</t>
  </si>
  <si>
    <t>Fuel oil/kerosene</t>
  </si>
  <si>
    <t>Propane</t>
  </si>
  <si>
    <t>Heating stove</t>
  </si>
  <si>
    <r>
      <t>Some other fuel</t>
    </r>
    <r>
      <rPr>
        <i/>
        <vertAlign val="superscript"/>
        <sz val="9"/>
        <color rgb="FF000000"/>
        <rFont val="Calibri"/>
        <family val="2"/>
      </rPr>
      <t>3</t>
    </r>
  </si>
  <si>
    <t>Do not use heating equipment</t>
  </si>
  <si>
    <t>Main heating equipment (including all fuels)</t>
  </si>
  <si>
    <t>Built-in oil or gas room heater</t>
  </si>
  <si>
    <t>Heating stove burning wood</t>
  </si>
  <si>
    <t>Built-in pipeless furnace</t>
  </si>
  <si>
    <t>Fireplace</t>
  </si>
  <si>
    <t>Main heating equipment age</t>
  </si>
  <si>
    <t>Less than 2 years old</t>
  </si>
  <si>
    <t>2 to 4 years old</t>
  </si>
  <si>
    <t>5 to 9 years old</t>
  </si>
  <si>
    <t>10 to 14 years old</t>
  </si>
  <si>
    <t>15 to 19 years old</t>
  </si>
  <si>
    <t>20 or more years old</t>
  </si>
  <si>
    <t>Have thermostat for main heating equipment</t>
  </si>
  <si>
    <t>Yes</t>
  </si>
  <si>
    <t>Programmable thermostat</t>
  </si>
  <si>
    <t>Non-programmable thermostat</t>
  </si>
  <si>
    <t>No</t>
  </si>
  <si>
    <t>Smart or Internet-connected thermostat</t>
  </si>
  <si>
    <t>Don't know</t>
  </si>
  <si>
    <t>Not asked (no thermostat or do not use heating and cooling equipment)</t>
  </si>
  <si>
    <t>Main heating equipment control</t>
  </si>
  <si>
    <t>Set one temperature and leave it there most of the time</t>
  </si>
  <si>
    <t>Manually adjust the temperature at night or when no one is at home</t>
  </si>
  <si>
    <t>Program the thermostat to automatically adjust the temperature during the day and night at certain times</t>
  </si>
  <si>
    <t>Turn equipment on or off as needed</t>
  </si>
  <si>
    <t>Household does not have control over the equipment</t>
  </si>
  <si>
    <t>Secondary heating fuel and equipment</t>
  </si>
  <si>
    <t>Secondary heating equipment used</t>
  </si>
  <si>
    <t>Some other fuel</t>
  </si>
  <si>
    <t>Do not use secondary heating equipment</t>
  </si>
  <si>
    <t>Do not use any heating equipment</t>
  </si>
  <si>
    <t>Winter indoor daytime temperature when someone is home</t>
  </si>
  <si>
    <t>63 degrees or less</t>
  </si>
  <si>
    <t>64 to 66 degrees</t>
  </si>
  <si>
    <t>67 to 69 degrees</t>
  </si>
  <si>
    <t>70 degrees</t>
  </si>
  <si>
    <t>71 to 73 degrees</t>
  </si>
  <si>
    <t>74 degrees or more</t>
  </si>
  <si>
    <t>Winter indoor daytime temperature when no one is home</t>
  </si>
  <si>
    <t>Winter indoor temperature at night</t>
  </si>
  <si>
    <t>Heated basement</t>
  </si>
  <si>
    <t>Not asked (heated homes with no basement)</t>
  </si>
  <si>
    <t>Not asked (unheated homes, apartments, and mobile homes)</t>
  </si>
  <si>
    <t>Heated attic</t>
  </si>
  <si>
    <t>Not asked (heated homes with no attic)</t>
  </si>
  <si>
    <t>Heated, attached garage</t>
  </si>
  <si>
    <t>Not asked (heated homes with no attached garage)</t>
  </si>
  <si>
    <t>Humidifiers and usage</t>
  </si>
  <si>
    <t>Have a humidifier</t>
  </si>
  <si>
    <t>Do not use</t>
  </si>
  <si>
    <t>Used less than 4 months</t>
  </si>
  <si>
    <t>Used 4 to 6 months</t>
  </si>
  <si>
    <t>Used 7 to 9 months</t>
  </si>
  <si>
    <t>Used 10 to 11 months</t>
  </si>
  <si>
    <t>Turned on all 12 months</t>
  </si>
  <si>
    <t>Do not have a humidifier</t>
  </si>
  <si>
    <r>
      <t>1</t>
    </r>
    <r>
      <rPr>
        <sz val="9"/>
        <color rgb="FF000000"/>
        <rFont val="Calibri"/>
        <family val="2"/>
      </rPr>
      <t>Housing characteristics data were collected between August 2015 and April 2016.</t>
    </r>
  </si>
  <si>
    <r>
      <t>2</t>
    </r>
    <r>
      <rPr>
        <sz val="9"/>
        <color rgb="FF000000"/>
        <rFont val="Calibri"/>
        <family val="2"/>
      </rPr>
      <t>Total U.S. includes all primary occupied housing units in the 50 states and the District of Columbia. Vacant housing units, seasonal units, second homes, military houses, and group quarters are excluded.</t>
    </r>
  </si>
  <si>
    <r>
      <t>3</t>
    </r>
    <r>
      <rPr>
        <sz val="9"/>
        <color rgb="FF000000"/>
        <rFont val="Calibri"/>
        <family val="2"/>
      </rPr>
      <t>Some other fuel includes coal and district steam.</t>
    </r>
  </si>
  <si>
    <t>Q = Data withheld because either the Relative Standard Error (RSE) was greater than 50% or fewer than 10 cases responded.</t>
  </si>
  <si>
    <t>N = No cases responded.</t>
  </si>
  <si>
    <t>Notes:  Because of rounding, data may not sum to totals.  See RECS Terminology for definition of terms used in these tables.</t>
  </si>
  <si>
    <t>Source: U.S. Energy Information Administration, Office of Energy Consumption and Efficiency Statistics, Forms EIA-457A and EIA-457C of the 2015 Residential Energy Consumption Survey.</t>
  </si>
  <si>
    <t>Source:</t>
  </si>
  <si>
    <t>https://www.eia.gov/consumption/residential/data/2015/hc/php/hc6.7.php</t>
  </si>
  <si>
    <t>RSHNHPV220</t>
  </si>
  <si>
    <t>Natural Gas Heat Pump Ver2.RSH.NGA.20</t>
  </si>
  <si>
    <t>RSHNHPV130</t>
  </si>
  <si>
    <t>RSHNHPV140</t>
  </si>
  <si>
    <t>RSHNHPV150</t>
  </si>
  <si>
    <t>Natural Gas Heat Pump Ver1.RSH.NGA.30</t>
  </si>
  <si>
    <t>Natural Gas Heat Pump Ver1.RSH.NGA.40</t>
  </si>
  <si>
    <t>Natural Gas Heat Pump Ver1.RSH.NGA.50</t>
  </si>
  <si>
    <t>Natural Gas Heat Pump Ver2.RSH.NGA.30</t>
  </si>
  <si>
    <t>Natural Gas Heat Pump Ver2.RSH.NGA.40</t>
  </si>
  <si>
    <t>Natural Gas Heat Pump Ver2.RSH.NGA.50</t>
  </si>
  <si>
    <t>RSHNHPV230</t>
  </si>
  <si>
    <t>RSHNHPV240</t>
  </si>
  <si>
    <t>RSHNHPV250</t>
  </si>
  <si>
    <t>https://insights.regencylighting.com/nyc-energy-conservation-code-2025-lighting-standards</t>
  </si>
  <si>
    <t>75% of lighting must meet high-efficacy standards. This doesn’t necessarily mean that lights have to be LEDs, although that’s probably the easiest way. Compact fluorescent lights (CFLs) and linear fluorescents (T8s or smaller)</t>
  </si>
  <si>
    <t>https://www.eia.gov/todayinenergy/detail.php?id=38452</t>
  </si>
  <si>
    <t>https://nyc-ghg-inventory.cusp.nyu.edu/www.urbanintelligencelab.org/</t>
  </si>
  <si>
    <t>RSHEHPV520</t>
  </si>
  <si>
    <t>Electric Heat Pump Ver5.RSH.ELC.20</t>
  </si>
  <si>
    <t>RSHEHPV630</t>
  </si>
  <si>
    <t>Electric Heat Pump Ver6.RSH.ELC.30</t>
  </si>
  <si>
    <t>RSHEHPV440</t>
  </si>
  <si>
    <t>Electric Heat Pump Ver4.RSH.ELC.40</t>
  </si>
  <si>
    <t>RSHEHPV640</t>
  </si>
  <si>
    <t>Electric Heat Pump Ver6.RSH.ELC.40</t>
  </si>
  <si>
    <t>RSHNFRV115</t>
  </si>
  <si>
    <t>Natural Gas Furnace Ver1.RSH.NGA.15</t>
  </si>
  <si>
    <t>RSHNFRV215</t>
  </si>
  <si>
    <t>Natural Gas Furnace Ver2.RSH.NGA.15</t>
  </si>
  <si>
    <t>RSHNFRV320</t>
  </si>
  <si>
    <t>Natural Gas Furnace Ver3.RSH.NGA.20</t>
  </si>
  <si>
    <t>RSHNFRV520</t>
  </si>
  <si>
    <t>Natural Gas Furnace Ver5.RSH.NGA.20</t>
  </si>
  <si>
    <t>RSHNFRV430</t>
  </si>
  <si>
    <t>Natural Gas Furnace Ver4.RSH.NGA.30</t>
  </si>
  <si>
    <t>RSHNFRV630</t>
  </si>
  <si>
    <t>Natural Gas Furnace Ver6.RSH.NGA.30</t>
  </si>
  <si>
    <t>RSHNFRV440</t>
  </si>
  <si>
    <t>Natural Gas Furnace Ver4.RSH.NGA.40</t>
  </si>
  <si>
    <t>RSHNFRV640</t>
  </si>
  <si>
    <t>Natural Gas Furnace Ver6.RSH.NGA.40</t>
  </si>
  <si>
    <t>RSHNRDV120</t>
  </si>
  <si>
    <t>Natural Gas Radiant Ver1.RSH.NGA.20</t>
  </si>
  <si>
    <t>RSHNRDV215</t>
  </si>
  <si>
    <t>Natural Gas Radiant Ver2.RSH.NGA.15</t>
  </si>
  <si>
    <t>RSHNRDV220</t>
  </si>
  <si>
    <t>Natural Gas Radiant Ver2.RSH.NGA.20</t>
  </si>
  <si>
    <t>RSHNRDV315</t>
  </si>
  <si>
    <t>Natural Gas Radiant Ver3.RSH.NGA.15</t>
  </si>
  <si>
    <t>RSCRACV115</t>
  </si>
  <si>
    <t>Room AC Ver1.RSC.ELC.15</t>
  </si>
  <si>
    <t>Room AC  Ver3.RSC.ELC.20</t>
  </si>
  <si>
    <t>RSCRACV520</t>
  </si>
  <si>
    <t>Room AC  Ver5.RSC.ELC.20</t>
  </si>
  <si>
    <t>RSCRACV430</t>
  </si>
  <si>
    <t>Room AC  Ver4.RSC.ELC.30</t>
  </si>
  <si>
    <t>RSCRACV630</t>
  </si>
  <si>
    <t>Room AC  Ver6.RSC.ELC.30</t>
  </si>
  <si>
    <t>RSCRACV440</t>
  </si>
  <si>
    <t>Room AC  Ver4.RSC.ELC.40</t>
  </si>
  <si>
    <t>RSCRACV640</t>
  </si>
  <si>
    <t>Room AC Ver6.RSC.ELC.40</t>
  </si>
  <si>
    <t>RSCCACV215</t>
  </si>
  <si>
    <t>Central AC Ver2.RSC.ELC.15</t>
  </si>
  <si>
    <t>RSCCACV520</t>
  </si>
  <si>
    <t>Central AC Ver5.RSC.ELC.20</t>
  </si>
  <si>
    <t>RSCCACV430</t>
  </si>
  <si>
    <t>Central AC Ver4.RSC.ELC.30</t>
  </si>
  <si>
    <t>RSCCACV630</t>
  </si>
  <si>
    <t>Central AC Ver6.RSC.ELC.30</t>
  </si>
  <si>
    <t>RSCCACV440</t>
  </si>
  <si>
    <t>Central AC Ver4.RSC.ELC.40</t>
  </si>
  <si>
    <t>RSCCACV640</t>
  </si>
  <si>
    <t>Central AC Ver6.RSC.ELC.40</t>
  </si>
  <si>
    <t>Portable AC Ver4.RSC.ELC.30</t>
  </si>
  <si>
    <t>Portable AC Ver6.RSC.ELC.30</t>
  </si>
  <si>
    <t>Portable AC Ver4.RSC.ELC.40</t>
  </si>
  <si>
    <t>Portable AC Ver6.RSC.ELC.40</t>
  </si>
  <si>
    <t>RSCEHPV520</t>
  </si>
  <si>
    <t>Electric Heat Pump Ver5.RSC.ELC.20</t>
  </si>
  <si>
    <t>RSCEHPV630</t>
  </si>
  <si>
    <t>Electric Heat Pump Ver6.RSC.ELC.30</t>
  </si>
  <si>
    <t>RSCEHPV440</t>
  </si>
  <si>
    <t>Electric Heat Pump Ver4.RSC.ELC.40</t>
  </si>
  <si>
    <t>RSCEHPV640</t>
  </si>
  <si>
    <t>Electric Heat Pump Ver6.RSC.ELC.40</t>
  </si>
  <si>
    <t>RSCNHPV220</t>
  </si>
  <si>
    <t>Natural Gas Heat Pump Ver2.RSC.NGA.20</t>
  </si>
  <si>
    <t>RSCNHPV130</t>
  </si>
  <si>
    <t>Natural Gas Heat Pump Ver1.RSC.NGA.30</t>
  </si>
  <si>
    <t>RSCNHPV230</t>
  </si>
  <si>
    <t>Natural Gas Heat Pump Ver2.RSC.NGA.30</t>
  </si>
  <si>
    <t>RSCNHPV140</t>
  </si>
  <si>
    <t>Natural Gas Heat Pump Ver1.RSC.NGA.40</t>
  </si>
  <si>
    <t>RSCNHPV240</t>
  </si>
  <si>
    <t>Natural Gas Heat Pump Ver2.RSC.NGA.40</t>
  </si>
  <si>
    <t>RSCNHPV150</t>
  </si>
  <si>
    <t>Natural Gas Heat Pump Ver1.RSC.NGA.50</t>
  </si>
  <si>
    <t>RSCNHPV250</t>
  </si>
  <si>
    <t>Natural Gas Heat Pump Ver2.RSC.NGA.50</t>
  </si>
  <si>
    <t>RWHNWHV215</t>
  </si>
  <si>
    <t>Natural Gas Ver2.RWH.NGA.15</t>
  </si>
  <si>
    <t>RWHNWHV520</t>
  </si>
  <si>
    <t>Natural Gas Ver5.RWH.NGA.20</t>
  </si>
  <si>
    <t>RWHNWHV430</t>
  </si>
  <si>
    <t>Natural Gas Ver4.RWH.NGA.30</t>
  </si>
  <si>
    <t>RWHNWHV630</t>
  </si>
  <si>
    <t>Natural Gas Ver6.RWH.NGA.30</t>
  </si>
  <si>
    <t>RWHNWHV440</t>
  </si>
  <si>
    <t>Natural Gas Ver4.RWH.NGA.40</t>
  </si>
  <si>
    <t>RWHNWHV640</t>
  </si>
  <si>
    <t>Natural Gas Ver6.RWH.NGA.40</t>
  </si>
  <si>
    <t>RWHEWHV115</t>
  </si>
  <si>
    <t>Electric Ver1.RWH.ELC.15</t>
  </si>
  <si>
    <t>RWHEWHV320</t>
  </si>
  <si>
    <t>Electric Ver3.RWH.ELC.20</t>
  </si>
  <si>
    <t>RWHEWHV520</t>
  </si>
  <si>
    <t>Electric Ver5.RWH.ELC.20</t>
  </si>
  <si>
    <t>RWHEWHV430</t>
  </si>
  <si>
    <t>Electric Ver4.RWH.ELC.30</t>
  </si>
  <si>
    <t>RWHEWHV630</t>
  </si>
  <si>
    <t>Electric Ver6.RWH.ELC.30</t>
  </si>
  <si>
    <t>RWHEWHV440</t>
  </si>
  <si>
    <t>Electric Ver4.RWH.ELC.40</t>
  </si>
  <si>
    <t>RWHEWHV640</t>
  </si>
  <si>
    <t>Electric Ver6.RWH.ELC.40</t>
  </si>
  <si>
    <t>RWHSWHV115</t>
  </si>
  <si>
    <t>Solar Ver1.RWH.ELC.15</t>
  </si>
  <si>
    <t>RWHSWHV330</t>
  </si>
  <si>
    <t>Solar Ver3.RWH.ELC.30</t>
  </si>
  <si>
    <t>RWHSWHV430</t>
  </si>
  <si>
    <t>Solar Ver4.RWH.ELC.30</t>
  </si>
  <si>
    <t>RWHSWHV340</t>
  </si>
  <si>
    <t>Solar Ver3.RWH.ELC.40</t>
  </si>
  <si>
    <t>RWHSWHV440</t>
  </si>
  <si>
    <t>Solar Ver4.RWH.ELC.40</t>
  </si>
  <si>
    <t>Unit</t>
  </si>
  <si>
    <t>Csets</t>
  </si>
  <si>
    <t>LimType</t>
  </si>
  <si>
    <t>CTSLvl</t>
  </si>
  <si>
    <t>PeakTS</t>
  </si>
  <si>
    <t>Ctype</t>
  </si>
  <si>
    <t>Tact</t>
  </si>
  <si>
    <t>Tcap</t>
  </si>
  <si>
    <t>Sets</t>
  </si>
  <si>
    <t>PrimaryCG</t>
  </si>
  <si>
    <t>Vintage</t>
  </si>
  <si>
    <t>NRG</t>
  </si>
  <si>
    <t>DEM</t>
  </si>
  <si>
    <t>MAT</t>
  </si>
  <si>
    <t>DMD</t>
  </si>
  <si>
    <t>PRE</t>
  </si>
  <si>
    <t>~FI_T</t>
  </si>
  <si>
    <t>*Units</t>
  </si>
  <si>
    <t>*TechDesc</t>
  </si>
  <si>
    <t>NCAP_START</t>
  </si>
  <si>
    <t>NCAP_TLIFE</t>
  </si>
  <si>
    <t>NCAP_COST</t>
  </si>
  <si>
    <t>NCAP_AF~R2</t>
  </si>
  <si>
    <t>NCAP_AF~R3</t>
  </si>
  <si>
    <t>NCAP_AF~R4</t>
  </si>
  <si>
    <t>NCAP_AF~R5</t>
  </si>
  <si>
    <t>NCAP_AF~R6</t>
  </si>
  <si>
    <t>NCAP_FOM</t>
  </si>
  <si>
    <t>NCAP_DRATE</t>
  </si>
  <si>
    <t>PRC_RESID~R2~2010</t>
  </si>
  <si>
    <t>PRC_RESID~R3~2010</t>
  </si>
  <si>
    <t>PRC_RESID~R4~2010</t>
  </si>
  <si>
    <t>PRC_RESID~R5~2010</t>
  </si>
  <si>
    <t>PRC_RESID~R6~2010</t>
  </si>
  <si>
    <t>PRC_RESID~R2~2015</t>
  </si>
  <si>
    <t>PRC_RESID~R3~2015</t>
  </si>
  <si>
    <t>PRC_RESID~R4~2015</t>
  </si>
  <si>
    <t>PRC_RESID~R5~2015</t>
  </si>
  <si>
    <t>PRC_RESID~R6~2015</t>
  </si>
  <si>
    <t>PRC_RESID~R2~2020</t>
  </si>
  <si>
    <t>PRC_RESID~R3~2020</t>
  </si>
  <si>
    <t>PRC_RESID~R4~2020</t>
  </si>
  <si>
    <t>PRC_RESID~R5~2020</t>
  </si>
  <si>
    <t>PRC_RESID~R6~2020</t>
  </si>
  <si>
    <t>NCAP_BND~2010</t>
  </si>
  <si>
    <t>NCAP_BND~2015</t>
  </si>
  <si>
    <t>NCAP_BND~2020</t>
  </si>
  <si>
    <t>NCAP_BND~2025</t>
  </si>
  <si>
    <t>NCAP_BND~2030</t>
  </si>
  <si>
    <t>NCAP_BND~2035</t>
  </si>
  <si>
    <t>NCAP_BND~2040</t>
  </si>
  <si>
    <t>NCAP_BND~2045</t>
  </si>
  <si>
    <t>NCAP_BND~2050</t>
  </si>
  <si>
    <t>NCAP_BND~2055</t>
  </si>
  <si>
    <t>*GROWTH~2015</t>
  </si>
  <si>
    <t>*GROWTH~2020</t>
  </si>
  <si>
    <t>*GROWTH~2025</t>
  </si>
  <si>
    <t>*GROWTH~2030</t>
  </si>
  <si>
    <t>*GROWTH~2035</t>
  </si>
  <si>
    <t>*GROWTH~2040</t>
  </si>
  <si>
    <t>*GROWTH~2045</t>
  </si>
  <si>
    <t>*GROWTH~2050</t>
  </si>
  <si>
    <t>*GROWTH~2055</t>
  </si>
  <si>
    <t>Share~UP</t>
  </si>
  <si>
    <t>PRC_CAPACT</t>
  </si>
  <si>
    <t>Peak</t>
  </si>
  <si>
    <t>Output</t>
  </si>
  <si>
    <t>Input</t>
  </si>
  <si>
    <t>ACT_BND~FX~2010</t>
  </si>
  <si>
    <t>ACT_BND~FX~2015</t>
  </si>
  <si>
    <t>ACT_BND~LO~2020</t>
  </si>
  <si>
    <t>ACT_BND~LO~2025</t>
  </si>
  <si>
    <t>ACT_BND~LO~2030</t>
  </si>
  <si>
    <t>ACT_BND~LO~2035</t>
  </si>
  <si>
    <t>ACT_BND~LO~2040</t>
  </si>
  <si>
    <t>ACT_BND~LO~2045</t>
  </si>
  <si>
    <t>ACT_BND~LO~2050</t>
  </si>
  <si>
    <t>ACT_BND~LO~2055</t>
  </si>
  <si>
    <t>ACT_BND~UP~2020</t>
  </si>
  <si>
    <t>ACT_BND~UP~2025</t>
  </si>
  <si>
    <t>ACT_BND~UP~2030</t>
  </si>
  <si>
    <t>ACT_BND~UP~2035</t>
  </si>
  <si>
    <t>ACT_BND~UP~2040</t>
  </si>
  <si>
    <t>ACT_BND~UP~2045</t>
  </si>
  <si>
    <t>ACT_BND~UP~2050</t>
  </si>
  <si>
    <t>ACT_BND~UP~2055</t>
  </si>
  <si>
    <t>NCAP_COST~2010</t>
  </si>
  <si>
    <t>NCAP_COST~2015</t>
  </si>
  <si>
    <t>NCAP_COST~2020</t>
  </si>
  <si>
    <t>NCAP_COST~2025</t>
  </si>
  <si>
    <t>NCAP_COST~2030</t>
  </si>
  <si>
    <t>NCAP_COST~2035</t>
  </si>
  <si>
    <t>NCAP_COST~2040</t>
  </si>
  <si>
    <t>NCAP_COST~2045</t>
  </si>
  <si>
    <t>NCAP_COST~2050</t>
  </si>
  <si>
    <t>NCAP_COST~2055</t>
  </si>
  <si>
    <t>NCAP_AF~IDAM</t>
  </si>
  <si>
    <t>NCAP_AF~IDPM</t>
  </si>
  <si>
    <t>NCAP_AF~IP</t>
  </si>
  <si>
    <t>NCAP_AF~IN</t>
  </si>
  <si>
    <t>NCAP_AF~SDAM</t>
  </si>
  <si>
    <t>NCAP_AF~SDPM</t>
  </si>
  <si>
    <t>NCAP_AF~SP</t>
  </si>
  <si>
    <t>NCAP_AF~SN</t>
  </si>
  <si>
    <t>NCAP_AF~WDAM</t>
  </si>
  <si>
    <t>NCAP_AF~WDPM</t>
  </si>
  <si>
    <t>NCAP_AF~WP</t>
  </si>
  <si>
    <t>NCAP_AF~WN</t>
  </si>
  <si>
    <t>PRC_RESID~2010</t>
  </si>
  <si>
    <t xml:space="preserve">Minimum production of decentralized Commercial PV </t>
  </si>
  <si>
    <t>~UC_Sets: R_E: AllRegions</t>
  </si>
  <si>
    <t>UC_N</t>
  </si>
  <si>
    <t>Pset_PN</t>
  </si>
  <si>
    <t>Pset_CI</t>
  </si>
  <si>
    <t>Cset_CN</t>
  </si>
  <si>
    <t>UC_FLO</t>
  </si>
  <si>
    <t>UC_RHSRTS~LO~0</t>
  </si>
  <si>
    <t>R0</t>
  </si>
  <si>
    <t>UC_Desc</t>
  </si>
  <si>
    <t xml:space="preserve">Maximum production of decentralized Commercial PV </t>
  </si>
  <si>
    <t>~UC_T: UC_RHSRTS~UP</t>
  </si>
  <si>
    <t>UC_RHSRTS~UP~0</t>
  </si>
  <si>
    <t>UC_SOLRESELCactLO</t>
  </si>
  <si>
    <t>UC_SOLRESELCactUP</t>
  </si>
  <si>
    <t>ESOLPVRES*</t>
  </si>
  <si>
    <t>Minimum capacity technology growth:</t>
  </si>
  <si>
    <t>~UC_Sets: R_E: R2,R3,R4,R5,R6</t>
  </si>
  <si>
    <t>~UC_Sets: T_SUC:</t>
  </si>
  <si>
    <t>~UC_T</t>
  </si>
  <si>
    <t>Pset_CO</t>
  </si>
  <si>
    <t>UC_ATTR</t>
  </si>
  <si>
    <t>UC_CAP~2015</t>
  </si>
  <si>
    <t>UC_CAP~2055</t>
  </si>
  <si>
    <t>UC_CAP~RHS</t>
  </si>
  <si>
    <t>UC_RHSRTS</t>
  </si>
  <si>
    <t>UC_RHSRTS~0</t>
  </si>
  <si>
    <t>CAP, GROWTH</t>
  </si>
  <si>
    <t>UC_CAP~2020</t>
  </si>
  <si>
    <t>UC_CAP~2025</t>
  </si>
  <si>
    <t>UC_CAP~2030</t>
  </si>
  <si>
    <t>UC_CAP~2035</t>
  </si>
  <si>
    <t>UC_CAP~2040</t>
  </si>
  <si>
    <t>UC_CAP~2045</t>
  </si>
  <si>
    <t>UC_CAP~2050</t>
  </si>
  <si>
    <t>UC_GrowthOfRES1</t>
  </si>
  <si>
    <t>UC_GrowthOfRES2</t>
  </si>
  <si>
    <t>UC_GrowthOfRES3</t>
  </si>
  <si>
    <t>UC_GrowthOfRES4</t>
  </si>
  <si>
    <t>UC_GrowthOfRES5</t>
  </si>
  <si>
    <t>UC_GrowthOfRES6</t>
  </si>
  <si>
    <t>UC_GrowthOfRES7</t>
  </si>
  <si>
    <t>UC_GrowthOfRES8</t>
  </si>
  <si>
    <t>UC_GrowthOfRES9</t>
  </si>
  <si>
    <t>UC_GrowthOfRES10</t>
  </si>
  <si>
    <t>UC_GrowthOfRES11</t>
  </si>
  <si>
    <t>UC_GrowthOfRES12</t>
  </si>
  <si>
    <t>UC_GrowthOfRES13</t>
  </si>
  <si>
    <t>UC_GrowthOfRES14</t>
  </si>
  <si>
    <t>UC_GrowthOfRES15</t>
  </si>
  <si>
    <t>UC_GrowthOfRES16</t>
  </si>
  <si>
    <t>UC_GrowthOfRES17</t>
  </si>
  <si>
    <t>UC_GrowthOfRES18</t>
  </si>
  <si>
    <t>RSHERDV1*</t>
  </si>
  <si>
    <t>RWHDWHBS*</t>
  </si>
  <si>
    <t>RWHDWHV1*</t>
  </si>
  <si>
    <t>RWHDWHV2*</t>
  </si>
  <si>
    <t>RWHDWHV3*</t>
  </si>
  <si>
    <t>RLTGCFLBS*</t>
  </si>
  <si>
    <t>RLTGCFL10,RLTGCFL11</t>
  </si>
  <si>
    <t>RLTGLED10,RLTGLED11</t>
  </si>
  <si>
    <t>RLTRCFL10,RLTRCFL11</t>
  </si>
  <si>
    <t>RLTECFL10,RLTECFL11</t>
  </si>
  <si>
    <t>UC_GrowthOfRES19</t>
  </si>
  <si>
    <t>UC_GrowthOfRES20</t>
  </si>
  <si>
    <t>UC_GrowthOfRES21</t>
  </si>
  <si>
    <t>UC_GrowthOfRES22</t>
  </si>
  <si>
    <t>UC_GrowthOfRES23</t>
  </si>
  <si>
    <t>UC_GrowthOfRES24</t>
  </si>
  <si>
    <t>~UC_T: UC_COMPRD</t>
  </si>
  <si>
    <t>UC_RHSRTS~LO</t>
  </si>
  <si>
    <t>Pset_PD</t>
  </si>
  <si>
    <t>UC_RHSRTS~UP</t>
  </si>
  <si>
    <t>RSH*</t>
  </si>
  <si>
    <t>*Furnace*</t>
  </si>
  <si>
    <t>*Heat Pump*</t>
  </si>
  <si>
    <t>*Radiant*</t>
  </si>
  <si>
    <t>RWH*</t>
  </si>
  <si>
    <t>*Instantaneaous*</t>
  </si>
  <si>
    <t>~UC_T: UC_RHSRTS~LO</t>
  </si>
  <si>
    <t>RLTGINC*</t>
  </si>
  <si>
    <t>RLTGCFL*</t>
  </si>
  <si>
    <t>RLTL*</t>
  </si>
  <si>
    <t>RLTR*</t>
  </si>
  <si>
    <t>RLTE*</t>
  </si>
  <si>
    <t>RLTGLED*</t>
  </si>
  <si>
    <t>RSCRAC*</t>
  </si>
  <si>
    <t>RSCCAC*</t>
  </si>
  <si>
    <t>RSC*,RSH*</t>
  </si>
  <si>
    <t>RWHE*</t>
  </si>
  <si>
    <t>RSH*UTI*</t>
  </si>
  <si>
    <t>RWH*UTI*</t>
  </si>
  <si>
    <t>Maximum Retrofit penetration</t>
  </si>
  <si>
    <t>Measure No.</t>
  </si>
  <si>
    <t xml:space="preserve">Energy Demand Reduction (% kBtu/sqft) </t>
  </si>
  <si>
    <t>Cost per Sqft</t>
  </si>
  <si>
    <t xml:space="preserve">% of Residential Area Eligible </t>
  </si>
  <si>
    <t>Cost Calculation</t>
  </si>
  <si>
    <t>Restriction Calculation</t>
  </si>
  <si>
    <t>Insulation – walls</t>
  </si>
  <si>
    <t xml:space="preserve">$41.75 per square foot wall area; wall area calculated as average perimeter area times height in eligible single-family homes </t>
  </si>
  <si>
    <t xml:space="preserve">Only single-family homes built before 2005 </t>
  </si>
  <si>
    <t>Ventilation overhaul</t>
  </si>
  <si>
    <t xml:space="preserve">$1 per sqft </t>
  </si>
  <si>
    <t xml:space="preserve">Only homes built after 1945 </t>
  </si>
  <si>
    <t>Smart thermostats</t>
  </si>
  <si>
    <t xml:space="preserve">$500 / apartment (average size 962 sqft) </t>
  </si>
  <si>
    <t>All homes except steam-heated</t>
  </si>
  <si>
    <t>Insulation – roof</t>
  </si>
  <si>
    <t>$13 / roof area (90% of footprint); foot print is 0.129 of total area</t>
  </si>
  <si>
    <t xml:space="preserve">Only homes built before 2005 </t>
  </si>
  <si>
    <t>Window replacement</t>
  </si>
  <si>
    <t xml:space="preserve">Cost given </t>
  </si>
  <si>
    <t>2005 Building eff (Btu / sqft )</t>
  </si>
  <si>
    <t>% of new build</t>
  </si>
  <si>
    <t>Cost per Btu (M $ 2010 / PJa)</t>
  </si>
  <si>
    <t>Max penetration (% Btu)</t>
  </si>
  <si>
    <t>https://fred.stlouisfed.org/series/FPCPITOTLZGUSA</t>
  </si>
  <si>
    <t>Inflation</t>
  </si>
  <si>
    <t>Cumulated ref 2010</t>
  </si>
  <si>
    <t>Btu to PJ</t>
  </si>
  <si>
    <t>RSHRETSMT</t>
  </si>
  <si>
    <t>RSHRETVEO</t>
  </si>
  <si>
    <t>RSHRETINR</t>
  </si>
  <si>
    <t>RSHRETWIR</t>
  </si>
  <si>
    <t>RSHRETINW</t>
  </si>
  <si>
    <t>RLT*LED*</t>
  </si>
  <si>
    <t>UC_RHSRT~0</t>
  </si>
  <si>
    <t>UC_RHSRT</t>
  </si>
  <si>
    <t>~UC_T: UC_NCAP</t>
  </si>
  <si>
    <t>RLT*EXT*</t>
  </si>
  <si>
    <t>RLT*,-RLT*EXT*</t>
  </si>
  <si>
    <t>RLT*,-RLTL*</t>
  </si>
  <si>
    <t>RLTG*</t>
  </si>
  <si>
    <t>RLT*,-RLTG*</t>
  </si>
  <si>
    <t>RLT*,-RLTR*</t>
  </si>
  <si>
    <t>~UC_Sets: R_S: AllRegions</t>
  </si>
  <si>
    <t>AllRegions</t>
  </si>
  <si>
    <t xml:space="preserve">Maximum capacity of decentralized Residential PV </t>
  </si>
  <si>
    <t>UC_CAP</t>
  </si>
  <si>
    <t>UC_SOLRESELCCAPUP</t>
  </si>
  <si>
    <t>Number of housing units (million)</t>
  </si>
  <si>
    <t>Uses space heating equipment</t>
  </si>
  <si>
    <t>Has space heating equipment but does not use it</t>
  </si>
  <si>
    <t>Does not have space heating equipment</t>
  </si>
  <si>
    <t>Ductless heat pump (mini-split)</t>
  </si>
  <si>
    <t>Fuel oil or kerosene</t>
  </si>
  <si>
    <r>
      <t>Some other fuel</t>
    </r>
    <r>
      <rPr>
        <vertAlign val="superscript"/>
        <sz val="10"/>
        <color theme="1"/>
        <rFont val="Calibri"/>
        <family val="2"/>
        <scheme val="minor"/>
      </rPr>
      <t>b</t>
    </r>
  </si>
  <si>
    <t>Does not use heating equipment</t>
  </si>
  <si>
    <t>Has thermostat</t>
  </si>
  <si>
    <t>Does not use heating or air-conditioning equipment</t>
  </si>
  <si>
    <t>Sets one temperature and leaves it there most of the time</t>
  </si>
  <si>
    <t>Manually adjusts the temperature</t>
  </si>
  <si>
    <t>Programmable or smart thermostat automatically adjusts the temperature</t>
  </si>
  <si>
    <t>Turns equipment on or off as needed</t>
  </si>
  <si>
    <t>Controls heating equipment in some other way</t>
  </si>
  <si>
    <t>Uses Secondary heating equipment</t>
  </si>
  <si>
    <t>Does not use secondary heating equipment</t>
  </si>
  <si>
    <t>Does not use any heating equipment</t>
  </si>
  <si>
    <t>Secondary heating usage</t>
  </si>
  <si>
    <t>Uses all or almost all of the time</t>
  </si>
  <si>
    <t>Uses at least once a week</t>
  </si>
  <si>
    <t>Uses a few times per month</t>
  </si>
  <si>
    <t>Uses only when it is very cold</t>
  </si>
  <si>
    <t>Uses only in rare situations, such as when a guest is visiting</t>
  </si>
  <si>
    <t>Heated attached garage</t>
  </si>
  <si>
    <t>Humidifier usage</t>
  </si>
  <si>
    <t>Uses a humidifier</t>
  </si>
  <si>
    <t>Uses only occasionally</t>
  </si>
  <si>
    <t>Uses only during winter months</t>
  </si>
  <si>
    <t>Uses about half of the year</t>
  </si>
  <si>
    <t>Uses all or almost all of the year</t>
  </si>
  <si>
    <t>Does not use a humidifier</t>
  </si>
  <si>
    <t>Some other equipment including ductless heat pump (mini split) - added in recs 2020</t>
  </si>
  <si>
    <t>Programmable thermostat + Smart or internet-connected  thermostat</t>
  </si>
  <si>
    <t>HC6.7 RECS 2020 Middle Atlantic</t>
  </si>
  <si>
    <t xml:space="preserve">HC6.7 RECS 2015 Middle Atlantic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</si>
</sst>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8" formatCode="&quot;$&quot;#,##0.00_);[Red]\(&quot;$&quot;#,##0.00\)"/>
    <numFmt numFmtId="41" formatCode="_(* #,##0_);_(* \(#,##0\);_(* &quot;-&quot;_);_(@_)"/>
    <numFmt numFmtId="43" formatCode="_(* #,##0.00_);_(* \(#,##0.00\);_(* &quot;-&quot;??_);_(@_)"/>
    <numFmt numFmtId="164" formatCode="_-* #,##0.00_-;\-* #,##0.00_-;_-* &quot;-&quot;??_-;_-@_-"/>
    <numFmt numFmtId="165" formatCode="0.000"/>
    <numFmt numFmtId="166" formatCode="0.0000"/>
    <numFmt numFmtId="167" formatCode="0.0"/>
    <numFmt numFmtId="168" formatCode="0.E+00"/>
    <numFmt numFmtId="169" formatCode="0.0%"/>
    <numFmt numFmtId="170" formatCode="0.000E+00"/>
    <numFmt numFmtId="171" formatCode="0.00_)"/>
    <numFmt numFmtId="172" formatCode="#,##0.0"/>
    <numFmt numFmtId="173" formatCode="0_)"/>
    <numFmt numFmtId="174" formatCode="0.0_)"/>
    <numFmt numFmtId="175" formatCode="@*."/>
    <numFmt numFmtId="177" formatCode="0.000000"/>
    <numFmt numFmtId="178" formatCode="0.00000"/>
    <numFmt numFmtId="179" formatCode="0.000_)"/>
    <numFmt numFmtId="182" formatCode="_-* #,##0_-;\-* #,##0_-;_-* &quot;-&quot;??_-;_-@_-"/>
    <numFmt numFmtId="183" formatCode="_(* #,##0_);_(* \(#,##0\);_(* &quot;-&quot;??_);_(@_)"/>
    <numFmt numFmtId="184" formatCode="0.0000000"/>
    <numFmt numFmtId="185" formatCode="\Te\x\t"/>
    <numFmt numFmtId="186" formatCode="_-* #,##0.0000_-;\-* #,##0.0000_-;_-* &quot;-&quot;??_-;_-@_-"/>
    <numFmt numFmtId="187" formatCode="_(* #,##0.0000_);_(* \(#,##0.0000\);_(* &quot;-&quot;??_);_(@_)"/>
  </numFmts>
  <fonts count="110">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sz val="8"/>
      <name val="Arial"/>
      <family val="2"/>
    </font>
    <font>
      <b/>
      <sz val="8"/>
      <name val="Arial"/>
      <family val="2"/>
    </font>
    <font>
      <b/>
      <sz val="8"/>
      <name val="Arial"/>
      <family val="2"/>
    </font>
    <font>
      <b/>
      <sz val="10"/>
      <color indexed="20"/>
      <name val="Arial"/>
      <family val="2"/>
    </font>
    <font>
      <sz val="10"/>
      <color indexed="20"/>
      <name val="Arial"/>
      <family val="2"/>
    </font>
    <font>
      <sz val="10"/>
      <color indexed="8"/>
      <name val="Arial"/>
      <family val="2"/>
    </font>
    <font>
      <b/>
      <sz val="11"/>
      <name val="Arial"/>
      <family val="2"/>
    </font>
    <font>
      <i/>
      <sz val="10"/>
      <name val="Arial"/>
      <family val="2"/>
    </font>
    <font>
      <b/>
      <sz val="10"/>
      <color indexed="9"/>
      <name val="Arial"/>
      <family val="2"/>
    </font>
    <font>
      <sz val="9"/>
      <name val="Arial"/>
      <family val="2"/>
    </font>
    <font>
      <sz val="9"/>
      <name val="Arial"/>
      <family val="2"/>
    </font>
    <font>
      <sz val="10"/>
      <color indexed="9"/>
      <name val="Arial"/>
      <family val="2"/>
    </font>
    <font>
      <b/>
      <sz val="10"/>
      <color indexed="10"/>
      <name val="Arial"/>
      <family val="2"/>
    </font>
    <font>
      <sz val="10"/>
      <color indexed="56"/>
      <name val="Arial"/>
      <family val="2"/>
    </font>
    <font>
      <b/>
      <sz val="8"/>
      <color indexed="81"/>
      <name val="Tahoma"/>
      <family val="2"/>
    </font>
    <font>
      <sz val="8"/>
      <color indexed="81"/>
      <name val="Tahoma"/>
      <family val="2"/>
    </font>
    <font>
      <b/>
      <sz val="10"/>
      <color indexed="81"/>
      <name val="Tahoma"/>
      <family val="2"/>
    </font>
    <font>
      <sz val="10"/>
      <color indexed="81"/>
      <name val="Tahoma"/>
      <family val="2"/>
    </font>
    <font>
      <sz val="11"/>
      <color theme="1"/>
      <name val="Calibri"/>
      <family val="2"/>
      <scheme val="minor"/>
    </font>
    <font>
      <sz val="10"/>
      <color theme="1"/>
      <name val="Arial"/>
      <family val="2"/>
    </font>
    <font>
      <b/>
      <sz val="10"/>
      <color theme="1"/>
      <name val="Arial"/>
      <family val="2"/>
    </font>
    <font>
      <b/>
      <sz val="10"/>
      <color rgb="FF800080"/>
      <name val="Arial"/>
      <family val="2"/>
    </font>
    <font>
      <u/>
      <sz val="10"/>
      <color theme="10"/>
      <name val="Arial"/>
      <family val="2"/>
    </font>
    <font>
      <sz val="10"/>
      <color rgb="FFFF0000"/>
      <name val="Arial"/>
      <family val="2"/>
    </font>
    <font>
      <sz val="10"/>
      <color rgb="FF0000FF"/>
      <name val="Arial"/>
      <family val="2"/>
    </font>
    <font>
      <sz val="9"/>
      <color indexed="81"/>
      <name val="Tahoma"/>
      <family val="2"/>
    </font>
    <font>
      <b/>
      <sz val="10"/>
      <color rgb="FFFF0000"/>
      <name val="Arial"/>
      <family val="2"/>
    </font>
    <font>
      <b/>
      <sz val="12"/>
      <color theme="4"/>
      <name val="Calibri"/>
      <family val="2"/>
      <scheme val="minor"/>
    </font>
    <font>
      <b/>
      <sz val="9"/>
      <color theme="1"/>
      <name val="Calibri"/>
      <family val="2"/>
      <scheme val="minor"/>
    </font>
    <font>
      <sz val="9"/>
      <color theme="1"/>
      <name val="Calibri"/>
      <family val="2"/>
      <scheme val="minor"/>
    </font>
    <font>
      <sz val="10"/>
      <name val="Arial"/>
      <family val="2"/>
    </font>
    <font>
      <sz val="10"/>
      <name val="Arial"/>
      <family val="2"/>
    </font>
    <font>
      <b/>
      <sz val="12"/>
      <color theme="1"/>
      <name val="Arial"/>
      <family val="2"/>
    </font>
    <font>
      <sz val="8"/>
      <color theme="1"/>
      <name val="Arial"/>
      <family val="2"/>
    </font>
    <font>
      <i/>
      <sz val="10"/>
      <color theme="1"/>
      <name val="Arial"/>
      <family val="2"/>
    </font>
    <font>
      <b/>
      <sz val="10"/>
      <color theme="1"/>
      <name val="Calibri"/>
      <family val="2"/>
      <scheme val="minor"/>
    </font>
    <font>
      <sz val="11"/>
      <color theme="1"/>
      <name val="Arial"/>
      <family val="2"/>
    </font>
    <font>
      <b/>
      <sz val="14"/>
      <color theme="1"/>
      <name val="Arial"/>
      <family val="2"/>
    </font>
    <font>
      <b/>
      <sz val="11"/>
      <color theme="1"/>
      <name val="Arial"/>
      <family val="2"/>
    </font>
    <font>
      <sz val="12"/>
      <color theme="1"/>
      <name val="Arial"/>
      <family val="2"/>
    </font>
    <font>
      <b/>
      <sz val="16"/>
      <color theme="1"/>
      <name val="Arial"/>
      <family val="2"/>
    </font>
    <font>
      <sz val="9"/>
      <color theme="1"/>
      <name val="Arial"/>
      <family val="2"/>
    </font>
    <font>
      <b/>
      <sz val="9"/>
      <color theme="1"/>
      <name val="Arial"/>
      <family val="2"/>
    </font>
    <font>
      <sz val="10"/>
      <color indexed="48"/>
      <name val="Arial"/>
      <family val="2"/>
    </font>
    <font>
      <b/>
      <sz val="9"/>
      <color indexed="81"/>
      <name val="Tahoma"/>
      <family val="2"/>
    </font>
    <font>
      <sz val="10"/>
      <color theme="0"/>
      <name val="Arial"/>
      <family val="2"/>
    </font>
    <font>
      <sz val="10"/>
      <color theme="0" tint="-0.34998626667073579"/>
      <name val="Calibri"/>
      <family val="2"/>
      <scheme val="minor"/>
    </font>
    <font>
      <b/>
      <i/>
      <sz val="10"/>
      <color theme="0" tint="-0.34998626667073579"/>
      <name val="Calibri"/>
      <family val="2"/>
      <scheme val="minor"/>
    </font>
    <font>
      <sz val="10"/>
      <color theme="0" tint="-0.14999847407452621"/>
      <name val="Arial"/>
      <family val="2"/>
    </font>
    <font>
      <sz val="10"/>
      <color theme="0" tint="-0.249977111117893"/>
      <name val="Arial"/>
      <family val="2"/>
    </font>
    <font>
      <sz val="10"/>
      <color theme="0" tint="-0.499984740745262"/>
      <name val="Arial"/>
      <family val="2"/>
    </font>
    <font>
      <i/>
      <sz val="10"/>
      <color theme="0" tint="-0.499984740745262"/>
      <name val="Arial"/>
      <family val="2"/>
    </font>
    <font>
      <sz val="10"/>
      <color theme="3"/>
      <name val="Arial"/>
      <family val="2"/>
    </font>
    <font>
      <sz val="10"/>
      <color theme="9" tint="-0.249977111117893"/>
      <name val="Arial"/>
      <family val="2"/>
    </font>
    <font>
      <sz val="9"/>
      <color theme="0"/>
      <name val="Arial"/>
      <family val="2"/>
    </font>
    <font>
      <b/>
      <sz val="9"/>
      <color theme="0"/>
      <name val="Arial"/>
      <family val="2"/>
    </font>
    <font>
      <sz val="11"/>
      <name val="Arial"/>
      <family val="2"/>
    </font>
    <font>
      <b/>
      <sz val="11"/>
      <color theme="1"/>
      <name val="Calibri"/>
      <family val="2"/>
      <scheme val="minor"/>
    </font>
    <font>
      <b/>
      <i/>
      <sz val="11"/>
      <color theme="1"/>
      <name val="Calibri"/>
      <family val="2"/>
      <scheme val="minor"/>
    </font>
    <font>
      <i/>
      <sz val="10"/>
      <color theme="0" tint="-0.34998626667073579"/>
      <name val="Arial"/>
      <family val="2"/>
    </font>
    <font>
      <b/>
      <sz val="9"/>
      <color rgb="FF000000"/>
      <name val="Tahoma"/>
      <family val="2"/>
    </font>
    <font>
      <sz val="9"/>
      <color rgb="FF000000"/>
      <name val="Tahoma"/>
      <family val="2"/>
    </font>
    <font>
      <i/>
      <sz val="11"/>
      <color theme="2"/>
      <name val="Calibri"/>
      <family val="2"/>
      <scheme val="minor"/>
    </font>
    <font>
      <i/>
      <sz val="11"/>
      <color theme="0" tint="-0.34998626667073579"/>
      <name val="Calibri"/>
      <family val="2"/>
      <scheme val="minor"/>
    </font>
    <font>
      <b/>
      <sz val="10"/>
      <color theme="9" tint="-0.249977111117893"/>
      <name val="Arial"/>
      <family val="2"/>
    </font>
    <font>
      <b/>
      <i/>
      <sz val="10"/>
      <color theme="0" tint="-0.34998626667073579"/>
      <name val="Arial"/>
      <family val="2"/>
    </font>
    <font>
      <b/>
      <sz val="9"/>
      <name val="Arial"/>
      <family val="2"/>
    </font>
    <font>
      <sz val="9"/>
      <color rgb="FFFF0000"/>
      <name val="Arial"/>
      <family val="2"/>
    </font>
    <font>
      <b/>
      <sz val="10"/>
      <color rgb="FF000000"/>
      <name val="Calibri"/>
      <family val="2"/>
    </font>
    <font>
      <b/>
      <sz val="12"/>
      <color rgb="FF0096D7"/>
      <name val="Calibri"/>
      <family val="2"/>
    </font>
    <font>
      <b/>
      <vertAlign val="superscript"/>
      <sz val="10"/>
      <color rgb="FF000000"/>
      <name val="Calibri"/>
      <family val="2"/>
    </font>
    <font>
      <sz val="10"/>
      <color rgb="FF000000"/>
      <name val="Calibri"/>
      <family val="2"/>
    </font>
    <font>
      <i/>
      <vertAlign val="superscript"/>
      <sz val="9"/>
      <color rgb="FF000000"/>
      <name val="Calibri"/>
      <family val="2"/>
    </font>
    <font>
      <sz val="9"/>
      <color rgb="FF000000"/>
      <name val="Calibri"/>
      <family val="2"/>
    </font>
    <font>
      <vertAlign val="superscript"/>
      <sz val="9"/>
      <color rgb="FF000000"/>
      <name val="Calibri"/>
      <family val="2"/>
    </font>
    <font>
      <sz val="11"/>
      <color rgb="FF9C5700"/>
      <name val="Calibri"/>
      <family val="2"/>
      <scheme val="minor"/>
    </font>
    <font>
      <sz val="11"/>
      <color rgb="FF3F3F76"/>
      <name val="Calibri"/>
      <family val="2"/>
      <scheme val="minor"/>
    </font>
    <font>
      <b/>
      <sz val="9"/>
      <color rgb="FF0000FF"/>
      <name val="Arial"/>
      <family val="2"/>
    </font>
    <font>
      <sz val="11"/>
      <color indexed="8"/>
      <name val="Calibri"/>
      <family val="2"/>
    </font>
    <font>
      <sz val="9"/>
      <color indexed="8"/>
      <name val="Calibri"/>
      <family val="2"/>
    </font>
    <font>
      <b/>
      <sz val="9"/>
      <color rgb="FF0000FF"/>
      <name val="Calibri"/>
      <family val="2"/>
    </font>
    <font>
      <sz val="9"/>
      <color indexed="62"/>
      <name val="Calibri"/>
      <family val="2"/>
    </font>
    <font>
      <sz val="10"/>
      <color indexed="8"/>
      <name val="Calibri"/>
      <family val="2"/>
    </font>
    <font>
      <sz val="10"/>
      <name val="Calibri"/>
      <family val="2"/>
    </font>
    <font>
      <sz val="9"/>
      <name val="Calibri"/>
      <family val="2"/>
    </font>
    <font>
      <sz val="9"/>
      <name val="Calibri"/>
      <family val="2"/>
      <scheme val="minor"/>
    </font>
    <font>
      <b/>
      <sz val="9"/>
      <color indexed="12"/>
      <name val="Arial"/>
      <family val="2"/>
    </font>
    <font>
      <sz val="8"/>
      <name val="Arial"/>
      <family val="2"/>
    </font>
    <font>
      <b/>
      <sz val="10"/>
      <color rgb="FF0033CC"/>
      <name val="Arial"/>
      <family val="2"/>
    </font>
    <font>
      <b/>
      <sz val="12"/>
      <color rgb="FF000000"/>
      <name val="Helvetica Neue"/>
      <family val="2"/>
    </font>
    <font>
      <sz val="12"/>
      <color rgb="FF000000"/>
      <name val="Calibri"/>
      <family val="2"/>
      <scheme val="minor"/>
    </font>
    <font>
      <sz val="12"/>
      <color rgb="FF000000"/>
      <name val="Helvetica Neue"/>
      <family val="2"/>
    </font>
    <font>
      <sz val="14"/>
      <color rgb="FF000000"/>
      <name val="Courier New"/>
      <family val="1"/>
    </font>
    <font>
      <b/>
      <sz val="10"/>
      <color rgb="FF0000FF"/>
      <name val="Arial"/>
      <family val="2"/>
    </font>
    <font>
      <sz val="10"/>
      <color theme="1"/>
      <name val="Calibri"/>
      <family val="2"/>
      <scheme val="minor"/>
    </font>
    <font>
      <vertAlign val="superscript"/>
      <sz val="10"/>
      <color theme="1"/>
      <name val="Calibri"/>
      <family val="2"/>
      <scheme val="minor"/>
    </font>
  </fonts>
  <fills count="29">
    <fill>
      <patternFill patternType="none"/>
    </fill>
    <fill>
      <patternFill patternType="gray125"/>
    </fill>
    <fill>
      <patternFill patternType="solid">
        <fgColor indexed="9"/>
        <bgColor indexed="64"/>
      </patternFill>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
      <patternFill patternType="solid">
        <fgColor theme="9" tint="0.59999389629810485"/>
        <bgColor indexed="64"/>
      </patternFill>
    </fill>
    <fill>
      <patternFill patternType="gray125">
        <fgColor indexed="9"/>
        <bgColor theme="0"/>
      </patternFill>
    </fill>
    <fill>
      <patternFill patternType="lightGray">
        <fgColor indexed="9"/>
        <bgColor theme="0"/>
      </patternFill>
    </fill>
    <fill>
      <patternFill patternType="solid">
        <fgColor rgb="FFD5A4FA"/>
        <bgColor indexed="64"/>
      </patternFill>
    </fill>
    <fill>
      <patternFill patternType="solid">
        <fgColor theme="0"/>
        <bgColor theme="4" tint="0.79998168889431442"/>
      </patternFill>
    </fill>
    <fill>
      <patternFill patternType="solid">
        <fgColor theme="3"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rgb="FFFFFF99"/>
        <bgColor indexed="64"/>
      </patternFill>
    </fill>
    <fill>
      <patternFill patternType="solid">
        <fgColor theme="4" tint="0.79998168889431442"/>
        <bgColor indexed="64"/>
      </patternFill>
    </fill>
    <fill>
      <patternFill patternType="solid">
        <fgColor theme="5"/>
        <bgColor indexed="64"/>
      </patternFill>
    </fill>
    <fill>
      <patternFill patternType="solid">
        <fgColor theme="5" tint="0.39997558519241921"/>
        <bgColor indexed="64"/>
      </patternFill>
    </fill>
    <fill>
      <patternFill patternType="solid">
        <fgColor rgb="FFFF0000"/>
        <bgColor indexed="64"/>
      </patternFill>
    </fill>
    <fill>
      <patternFill patternType="solid">
        <fgColor indexed="43"/>
        <bgColor indexed="64"/>
      </patternFill>
    </fill>
    <fill>
      <patternFill patternType="solid">
        <fgColor rgb="FFFFFFCC"/>
        <bgColor indexed="64"/>
      </patternFill>
    </fill>
    <fill>
      <patternFill patternType="solid">
        <fgColor rgb="FFFFEB9C"/>
      </patternFill>
    </fill>
    <fill>
      <patternFill patternType="solid">
        <fgColor rgb="FFFFCC99"/>
      </patternFill>
    </fill>
    <fill>
      <patternFill patternType="solid">
        <fgColor theme="0" tint="-0.249977111117893"/>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0" tint="-0.14999847407452621"/>
        <bgColor indexed="64"/>
      </patternFill>
    </fill>
  </fills>
  <borders count="47">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indexed="64"/>
      </left>
      <right style="thin">
        <color indexed="64"/>
      </right>
      <top/>
      <bottom style="thin">
        <color indexed="64"/>
      </bottom>
      <diagonal/>
    </border>
    <border>
      <left/>
      <right/>
      <top style="thin">
        <color rgb="FF000000"/>
      </top>
      <bottom/>
      <diagonal/>
    </border>
    <border>
      <left/>
      <right/>
      <top/>
      <bottom style="thin">
        <color rgb="FF000000"/>
      </bottom>
      <diagonal/>
    </border>
    <border>
      <left/>
      <right/>
      <top/>
      <bottom style="thick">
        <color theme="4"/>
      </bottom>
      <diagonal/>
    </border>
    <border>
      <left/>
      <right/>
      <top/>
      <bottom style="thin">
        <color theme="0" tint="-0.249977111117893"/>
      </bottom>
      <diagonal/>
    </border>
    <border>
      <left/>
      <right/>
      <top/>
      <bottom style="dashed">
        <color theme="0" tint="-0.2499465926084170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style="thin">
        <color auto="1"/>
      </top>
      <bottom style="thin">
        <color indexed="64"/>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auto="1"/>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auto="1"/>
      </right>
      <top/>
      <bottom style="medium">
        <color indexed="64"/>
      </bottom>
      <diagonal/>
    </border>
    <border>
      <left/>
      <right style="thin">
        <color auto="1"/>
      </right>
      <top style="thin">
        <color auto="1"/>
      </top>
      <bottom style="medium">
        <color indexed="64"/>
      </bottom>
      <diagonal/>
    </border>
    <border>
      <left style="thin">
        <color auto="1"/>
      </left>
      <right/>
      <top style="medium">
        <color indexed="64"/>
      </top>
      <bottom/>
      <diagonal/>
    </border>
    <border>
      <left/>
      <right style="thin">
        <color auto="1"/>
      </right>
      <top style="medium">
        <color indexed="64"/>
      </top>
      <bottom/>
      <diagonal/>
    </border>
    <border>
      <left/>
      <right/>
      <top style="thin">
        <color theme="9" tint="0.79998168889431442"/>
      </top>
      <bottom style="thin">
        <color theme="9" tint="0.79998168889431442"/>
      </bottom>
      <diagonal/>
    </border>
    <border>
      <left/>
      <right/>
      <top/>
      <bottom style="thick">
        <color rgb="FFBFBFBF"/>
      </bottom>
      <diagonal/>
    </border>
    <border>
      <left style="thick">
        <color rgb="FFFFFFFF"/>
      </left>
      <right/>
      <top/>
      <bottom style="thin">
        <color rgb="FFBFBFBF"/>
      </bottom>
      <diagonal/>
    </border>
    <border>
      <left/>
      <right/>
      <top/>
      <bottom style="thin">
        <color rgb="FFBFBFBF"/>
      </bottom>
      <diagonal/>
    </border>
    <border>
      <left/>
      <right style="thick">
        <color rgb="FFFFFFFF"/>
      </right>
      <top/>
      <bottom style="thin">
        <color rgb="FFBFBFBF"/>
      </bottom>
      <diagonal/>
    </border>
    <border>
      <left/>
      <right/>
      <top/>
      <bottom style="thick">
        <color rgb="FF0096D7"/>
      </bottom>
      <diagonal/>
    </border>
    <border>
      <left/>
      <right/>
      <top/>
      <bottom style="dashed">
        <color rgb="FFBFBFBF"/>
      </bottom>
      <diagonal/>
    </border>
    <border>
      <left/>
      <right/>
      <top style="medium">
        <color rgb="FF0096D7"/>
      </top>
      <bottom/>
      <diagonal/>
    </border>
    <border>
      <left style="thick">
        <color rgb="FFFFFFFF"/>
      </left>
      <right/>
      <top style="thick">
        <color rgb="FFBFBFBF"/>
      </top>
      <bottom style="thin">
        <color rgb="FFBFBFBF"/>
      </bottom>
      <diagonal/>
    </border>
    <border>
      <left/>
      <right/>
      <top style="thick">
        <color rgb="FFBFBFBF"/>
      </top>
      <bottom style="thin">
        <color rgb="FFBFBFBF"/>
      </bottom>
      <diagonal/>
    </border>
    <border>
      <left/>
      <right style="thick">
        <color rgb="FFFFFFFF"/>
      </right>
      <top style="thick">
        <color rgb="FFBFBFBF"/>
      </top>
      <bottom style="thin">
        <color rgb="FFBFBFBF"/>
      </bottom>
      <diagonal/>
    </border>
    <border>
      <left style="thin">
        <color rgb="FF7F7F7F"/>
      </left>
      <right style="thin">
        <color rgb="FF7F7F7F"/>
      </right>
      <top style="thin">
        <color rgb="FF7F7F7F"/>
      </top>
      <bottom style="thin">
        <color rgb="FF7F7F7F"/>
      </bottom>
      <diagonal/>
    </border>
    <border>
      <left/>
      <right/>
      <top style="thin">
        <color indexed="64"/>
      </top>
      <bottom style="medium">
        <color indexed="64"/>
      </bottom>
      <diagonal/>
    </border>
    <border>
      <left/>
      <right/>
      <top style="thick">
        <color theme="4"/>
      </top>
      <bottom style="dashed">
        <color theme="0" tint="-0.24994659260841701"/>
      </bottom>
      <diagonal/>
    </border>
  </borders>
  <cellStyleXfs count="30">
    <xf numFmtId="0" fontId="0" fillId="0" borderId="0"/>
    <xf numFmtId="164" fontId="6" fillId="0" borderId="0" applyFont="0" applyFill="0" applyBorder="0" applyAlignment="0" applyProtection="0"/>
    <xf numFmtId="0" fontId="6" fillId="0" borderId="0"/>
    <xf numFmtId="0" fontId="32" fillId="0" borderId="0"/>
    <xf numFmtId="0" fontId="6" fillId="0" borderId="0"/>
    <xf numFmtId="0" fontId="4" fillId="0" borderId="0"/>
    <xf numFmtId="0" fontId="19" fillId="0" borderId="0"/>
    <xf numFmtId="0" fontId="4" fillId="0" borderId="0"/>
    <xf numFmtId="0" fontId="24" fillId="0" borderId="0"/>
    <xf numFmtId="0" fontId="4" fillId="0" borderId="0"/>
    <xf numFmtId="0" fontId="4" fillId="0" borderId="0"/>
    <xf numFmtId="0" fontId="19" fillId="0" borderId="0"/>
    <xf numFmtId="0" fontId="4" fillId="0" borderId="0"/>
    <xf numFmtId="9" fontId="4" fillId="0" borderId="0" applyFont="0" applyFill="0" applyBorder="0" applyAlignment="0" applyProtection="0"/>
    <xf numFmtId="9" fontId="6" fillId="0" borderId="0" applyFont="0" applyFill="0" applyBorder="0" applyAlignment="0" applyProtection="0"/>
    <xf numFmtId="0" fontId="36" fillId="0" borderId="0" applyNumberFormat="0" applyFill="0" applyBorder="0" applyAlignment="0" applyProtection="0">
      <alignment vertical="top"/>
      <protection locked="0"/>
    </xf>
    <xf numFmtId="0" fontId="3" fillId="0" borderId="0"/>
    <xf numFmtId="0" fontId="41" fillId="0" borderId="0" applyNumberFormat="0" applyProtection="0">
      <alignment horizontal="left"/>
    </xf>
    <xf numFmtId="0" fontId="42" fillId="0" borderId="14" applyNumberFormat="0" applyProtection="0">
      <alignment wrapText="1"/>
    </xf>
    <xf numFmtId="0" fontId="42" fillId="0" borderId="15" applyNumberFormat="0" applyProtection="0">
      <alignment wrapText="1"/>
    </xf>
    <xf numFmtId="0" fontId="43" fillId="0" borderId="16" applyNumberFormat="0" applyFont="0" applyProtection="0">
      <alignment wrapText="1"/>
    </xf>
    <xf numFmtId="0" fontId="44" fillId="0" borderId="0"/>
    <xf numFmtId="43" fontId="45" fillId="0" borderId="0" applyFont="0" applyFill="0" applyBorder="0" applyAlignment="0" applyProtection="0"/>
    <xf numFmtId="0" fontId="2" fillId="0" borderId="0"/>
    <xf numFmtId="0" fontId="89" fillId="22" borderId="0" applyNumberFormat="0" applyBorder="0" applyAlignment="0" applyProtection="0"/>
    <xf numFmtId="0" fontId="90" fillId="23" borderId="44" applyNumberFormat="0" applyAlignment="0" applyProtection="0"/>
    <xf numFmtId="0" fontId="92" fillId="0" borderId="0"/>
    <xf numFmtId="0" fontId="4" fillId="0" borderId="0"/>
    <xf numFmtId="9" fontId="4" fillId="0" borderId="0" applyFont="0" applyFill="0" applyBorder="0" applyAlignment="0" applyProtection="0"/>
    <xf numFmtId="169" fontId="4" fillId="0" borderId="0" applyFont="0" applyFill="0" applyBorder="0" applyAlignment="0" applyProtection="0"/>
  </cellStyleXfs>
  <cellXfs count="865">
    <xf numFmtId="0" fontId="0" fillId="0" borderId="0" xfId="0"/>
    <xf numFmtId="0" fontId="5" fillId="0" borderId="0" xfId="0" applyFont="1"/>
    <xf numFmtId="0" fontId="6" fillId="0" borderId="0" xfId="0" applyFont="1"/>
    <xf numFmtId="0" fontId="7" fillId="0" borderId="0" xfId="0" applyFont="1"/>
    <xf numFmtId="0" fontId="8" fillId="0" borderId="0" xfId="0" applyFont="1"/>
    <xf numFmtId="0" fontId="0" fillId="2" borderId="0" xfId="0" applyFill="1"/>
    <xf numFmtId="0" fontId="9" fillId="0" borderId="0" xfId="0" applyFont="1"/>
    <xf numFmtId="49" fontId="7" fillId="0" borderId="0" xfId="0" applyNumberFormat="1" applyFont="1"/>
    <xf numFmtId="11" fontId="7" fillId="0" borderId="0" xfId="0" applyNumberFormat="1" applyFont="1"/>
    <xf numFmtId="0" fontId="10" fillId="0" borderId="0" xfId="0" applyFont="1"/>
    <xf numFmtId="0" fontId="11" fillId="0" borderId="0" xfId="0" applyFont="1"/>
    <xf numFmtId="49" fontId="10" fillId="0" borderId="0" xfId="0" applyNumberFormat="1" applyFont="1"/>
    <xf numFmtId="0" fontId="12" fillId="0" borderId="0" xfId="0" applyFont="1"/>
    <xf numFmtId="0" fontId="4" fillId="0" borderId="0" xfId="0" applyFont="1"/>
    <xf numFmtId="0" fontId="4" fillId="4" borderId="0" xfId="0" applyFont="1" applyFill="1"/>
    <xf numFmtId="0" fontId="0" fillId="4" borderId="0" xfId="0" applyFill="1"/>
    <xf numFmtId="0" fontId="5" fillId="5" borderId="0" xfId="0" applyFont="1" applyFill="1"/>
    <xf numFmtId="0" fontId="4" fillId="5" borderId="0" xfId="0" applyFont="1" applyFill="1"/>
    <xf numFmtId="0" fontId="0" fillId="5" borderId="0" xfId="0" applyFill="1"/>
    <xf numFmtId="0" fontId="10" fillId="5" borderId="0" xfId="0" applyFont="1" applyFill="1"/>
    <xf numFmtId="0" fontId="13" fillId="5" borderId="0" xfId="0" applyFont="1" applyFill="1"/>
    <xf numFmtId="0" fontId="4" fillId="5" borderId="0" xfId="0" applyFont="1" applyFill="1" applyAlignment="1">
      <alignment horizontal="center"/>
    </xf>
    <xf numFmtId="2" fontId="0" fillId="5" borderId="0" xfId="0" applyNumberFormat="1" applyFill="1" applyAlignment="1">
      <alignment horizontal="right"/>
    </xf>
    <xf numFmtId="2" fontId="37" fillId="5" borderId="0" xfId="0" applyNumberFormat="1" applyFont="1" applyFill="1" applyAlignment="1">
      <alignment horizontal="right"/>
    </xf>
    <xf numFmtId="2" fontId="4" fillId="5" borderId="0" xfId="0" applyNumberFormat="1" applyFont="1" applyFill="1"/>
    <xf numFmtId="165" fontId="4" fillId="5" borderId="0" xfId="0" applyNumberFormat="1" applyFont="1" applyFill="1"/>
    <xf numFmtId="2" fontId="0" fillId="4" borderId="0" xfId="0" applyNumberFormat="1" applyFill="1" applyAlignment="1">
      <alignment horizontal="right"/>
    </xf>
    <xf numFmtId="0" fontId="33" fillId="5" borderId="0" xfId="0" applyFont="1" applyFill="1"/>
    <xf numFmtId="0" fontId="33" fillId="5" borderId="0" xfId="0" applyFont="1" applyFill="1" applyAlignment="1">
      <alignment horizontal="center"/>
    </xf>
    <xf numFmtId="0" fontId="0" fillId="5" borderId="0" xfId="0" applyFill="1" applyAlignment="1">
      <alignment horizontal="left"/>
    </xf>
    <xf numFmtId="0" fontId="4" fillId="5" borderId="0" xfId="0" applyFont="1" applyFill="1" applyAlignment="1">
      <alignment vertical="center"/>
    </xf>
    <xf numFmtId="0" fontId="16" fillId="5" borderId="0" xfId="0" applyFont="1" applyFill="1"/>
    <xf numFmtId="0" fontId="5" fillId="5" borderId="0" xfId="0" applyFont="1" applyFill="1" applyAlignment="1">
      <alignment horizontal="left"/>
    </xf>
    <xf numFmtId="0" fontId="5" fillId="5" borderId="0" xfId="0" applyFont="1" applyFill="1" applyAlignment="1">
      <alignment horizontal="right"/>
    </xf>
    <xf numFmtId="0" fontId="4" fillId="5" borderId="0" xfId="0" applyFont="1" applyFill="1" applyAlignment="1">
      <alignment horizontal="left"/>
    </xf>
    <xf numFmtId="1" fontId="4" fillId="5" borderId="0" xfId="0" applyNumberFormat="1" applyFont="1" applyFill="1"/>
    <xf numFmtId="0" fontId="5" fillId="5" borderId="0" xfId="2" applyFont="1" applyFill="1"/>
    <xf numFmtId="0" fontId="4" fillId="5" borderId="0" xfId="2" applyFont="1" applyFill="1"/>
    <xf numFmtId="0" fontId="33" fillId="5" borderId="0" xfId="2" applyFont="1" applyFill="1"/>
    <xf numFmtId="0" fontId="34" fillId="5" borderId="0" xfId="2" applyFont="1" applyFill="1"/>
    <xf numFmtId="2" fontId="34" fillId="5" borderId="0" xfId="2" applyNumberFormat="1" applyFont="1" applyFill="1"/>
    <xf numFmtId="2" fontId="33" fillId="5" borderId="0" xfId="0" applyNumberFormat="1" applyFont="1" applyFill="1"/>
    <xf numFmtId="0" fontId="33" fillId="5" borderId="0" xfId="0" applyFont="1" applyFill="1" applyAlignment="1">
      <alignment wrapText="1"/>
    </xf>
    <xf numFmtId="2" fontId="33" fillId="5" borderId="0" xfId="0" applyNumberFormat="1" applyFont="1" applyFill="1" applyAlignment="1">
      <alignment wrapText="1"/>
    </xf>
    <xf numFmtId="0" fontId="34" fillId="5" borderId="0" xfId="0" applyFont="1" applyFill="1" applyAlignment="1">
      <alignment wrapText="1"/>
    </xf>
    <xf numFmtId="2" fontId="34" fillId="5" borderId="0" xfId="0" applyNumberFormat="1" applyFont="1" applyFill="1" applyAlignment="1">
      <alignment wrapText="1"/>
    </xf>
    <xf numFmtId="0" fontId="33" fillId="5" borderId="0" xfId="0" applyFont="1" applyFill="1" applyAlignment="1">
      <alignment horizontal="left"/>
    </xf>
    <xf numFmtId="0" fontId="34" fillId="5" borderId="0" xfId="0" applyFont="1" applyFill="1" applyAlignment="1">
      <alignment horizontal="left"/>
    </xf>
    <xf numFmtId="0" fontId="34" fillId="5" borderId="0" xfId="0" applyFont="1" applyFill="1"/>
    <xf numFmtId="0" fontId="33" fillId="5" borderId="0" xfId="0" applyFont="1" applyFill="1" applyAlignment="1">
      <alignment horizontal="right"/>
    </xf>
    <xf numFmtId="0" fontId="34" fillId="5" borderId="0" xfId="0" applyFont="1" applyFill="1" applyAlignment="1">
      <alignment horizontal="center"/>
    </xf>
    <xf numFmtId="165" fontId="33" fillId="5" borderId="0" xfId="0" applyNumberFormat="1" applyFont="1" applyFill="1" applyAlignment="1">
      <alignment horizontal="center"/>
    </xf>
    <xf numFmtId="165" fontId="33" fillId="5" borderId="0" xfId="0" applyNumberFormat="1" applyFont="1" applyFill="1"/>
    <xf numFmtId="2" fontId="33" fillId="5" borderId="0" xfId="0" applyNumberFormat="1" applyFont="1" applyFill="1" applyAlignment="1">
      <alignment horizontal="center"/>
    </xf>
    <xf numFmtId="2" fontId="47" fillId="5" borderId="0" xfId="0" applyNumberFormat="1" applyFont="1" applyFill="1"/>
    <xf numFmtId="0" fontId="50" fillId="5" borderId="0" xfId="0" applyFont="1" applyFill="1"/>
    <xf numFmtId="0" fontId="51" fillId="5" borderId="0" xfId="0" applyFont="1" applyFill="1"/>
    <xf numFmtId="0" fontId="52" fillId="5" borderId="0" xfId="0" applyFont="1" applyFill="1"/>
    <xf numFmtId="0" fontId="52" fillId="5" borderId="0" xfId="0" applyFont="1" applyFill="1" applyAlignment="1">
      <alignment horizontal="right"/>
    </xf>
    <xf numFmtId="2" fontId="52" fillId="5" borderId="0" xfId="0" applyNumberFormat="1" applyFont="1" applyFill="1" applyAlignment="1">
      <alignment horizontal="right"/>
    </xf>
    <xf numFmtId="0" fontId="52" fillId="5" borderId="0" xfId="0" applyFont="1" applyFill="1" applyAlignment="1">
      <alignment horizontal="center"/>
    </xf>
    <xf numFmtId="0" fontId="50" fillId="5" borderId="0" xfId="0" applyFont="1" applyFill="1" applyAlignment="1">
      <alignment horizontal="left"/>
    </xf>
    <xf numFmtId="2" fontId="52" fillId="5" borderId="0" xfId="0" applyNumberFormat="1" applyFont="1" applyFill="1" applyAlignment="1">
      <alignment horizontal="center"/>
    </xf>
    <xf numFmtId="10" fontId="50" fillId="5" borderId="0" xfId="13" applyNumberFormat="1" applyFont="1" applyFill="1" applyBorder="1" applyAlignment="1">
      <alignment horizontal="center"/>
    </xf>
    <xf numFmtId="169" fontId="52" fillId="5" borderId="0" xfId="13" applyNumberFormat="1" applyFont="1" applyFill="1" applyBorder="1" applyAlignment="1">
      <alignment horizontal="center"/>
    </xf>
    <xf numFmtId="169" fontId="50" fillId="5" borderId="0" xfId="0" applyNumberFormat="1" applyFont="1" applyFill="1" applyAlignment="1">
      <alignment horizontal="center"/>
    </xf>
    <xf numFmtId="165" fontId="50" fillId="5" borderId="0" xfId="0" applyNumberFormat="1" applyFont="1" applyFill="1" applyAlignment="1">
      <alignment horizontal="center"/>
    </xf>
    <xf numFmtId="1" fontId="50" fillId="5" borderId="0" xfId="0" applyNumberFormat="1" applyFont="1" applyFill="1" applyAlignment="1">
      <alignment horizontal="center"/>
    </xf>
    <xf numFmtId="38" fontId="50" fillId="5" borderId="0" xfId="0" applyNumberFormat="1" applyFont="1" applyFill="1" applyAlignment="1">
      <alignment horizontal="center"/>
    </xf>
    <xf numFmtId="2" fontId="50" fillId="5" borderId="0" xfId="0" applyNumberFormat="1" applyFont="1" applyFill="1" applyAlignment="1">
      <alignment horizontal="center"/>
    </xf>
    <xf numFmtId="2" fontId="50" fillId="5" borderId="0" xfId="13" applyNumberFormat="1" applyFont="1" applyFill="1" applyBorder="1" applyAlignment="1">
      <alignment horizontal="center"/>
    </xf>
    <xf numFmtId="167" fontId="52" fillId="5" borderId="0" xfId="13" applyNumberFormat="1" applyFont="1" applyFill="1" applyBorder="1" applyAlignment="1">
      <alignment horizontal="right"/>
    </xf>
    <xf numFmtId="2" fontId="50" fillId="5" borderId="0" xfId="0" applyNumberFormat="1" applyFont="1" applyFill="1"/>
    <xf numFmtId="10" fontId="52" fillId="5" borderId="0" xfId="13" applyNumberFormat="1" applyFont="1" applyFill="1" applyBorder="1" applyAlignment="1">
      <alignment horizontal="center"/>
    </xf>
    <xf numFmtId="169" fontId="50" fillId="5" borderId="0" xfId="13" applyNumberFormat="1" applyFont="1" applyFill="1" applyBorder="1" applyAlignment="1">
      <alignment horizontal="center"/>
    </xf>
    <xf numFmtId="167" fontId="52" fillId="5" borderId="0" xfId="0" applyNumberFormat="1" applyFont="1" applyFill="1" applyAlignment="1">
      <alignment horizontal="right"/>
    </xf>
    <xf numFmtId="1" fontId="50" fillId="5" borderId="0" xfId="0" applyNumberFormat="1" applyFont="1" applyFill="1"/>
    <xf numFmtId="165" fontId="50" fillId="5" borderId="0" xfId="0" applyNumberFormat="1" applyFont="1" applyFill="1"/>
    <xf numFmtId="9" fontId="50" fillId="5" borderId="0" xfId="0" applyNumberFormat="1" applyFont="1" applyFill="1" applyAlignment="1">
      <alignment horizontal="center"/>
    </xf>
    <xf numFmtId="165" fontId="50" fillId="5" borderId="0" xfId="0" applyNumberFormat="1" applyFont="1" applyFill="1" applyAlignment="1">
      <alignment horizontal="left"/>
    </xf>
    <xf numFmtId="165" fontId="52" fillId="5" borderId="0" xfId="0" applyNumberFormat="1" applyFont="1" applyFill="1" applyAlignment="1">
      <alignment horizontal="center"/>
    </xf>
    <xf numFmtId="178" fontId="50" fillId="5" borderId="0" xfId="0" applyNumberFormat="1" applyFont="1" applyFill="1" applyAlignment="1">
      <alignment horizontal="center"/>
    </xf>
    <xf numFmtId="167" fontId="50" fillId="5" borderId="0" xfId="0" applyNumberFormat="1" applyFont="1" applyFill="1" applyAlignment="1">
      <alignment horizontal="center"/>
    </xf>
    <xf numFmtId="0" fontId="50" fillId="5" borderId="0" xfId="0" applyFont="1" applyFill="1" applyAlignment="1">
      <alignment horizontal="center"/>
    </xf>
    <xf numFmtId="167" fontId="50" fillId="5" borderId="0" xfId="0" applyNumberFormat="1" applyFont="1" applyFill="1"/>
    <xf numFmtId="10" fontId="50" fillId="5" borderId="0" xfId="0" applyNumberFormat="1" applyFont="1" applyFill="1"/>
    <xf numFmtId="1" fontId="33" fillId="5" borderId="0" xfId="0" applyNumberFormat="1" applyFont="1" applyFill="1"/>
    <xf numFmtId="0" fontId="47" fillId="5" borderId="0" xfId="0" applyFont="1" applyFill="1"/>
    <xf numFmtId="1" fontId="47" fillId="5" borderId="0" xfId="0" applyNumberFormat="1" applyFont="1" applyFill="1"/>
    <xf numFmtId="165" fontId="47" fillId="5" borderId="0" xfId="0" applyNumberFormat="1" applyFont="1" applyFill="1"/>
    <xf numFmtId="0" fontId="46" fillId="5" borderId="0" xfId="0" applyFont="1" applyFill="1"/>
    <xf numFmtId="0" fontId="53" fillId="5" borderId="0" xfId="0" applyFont="1" applyFill="1"/>
    <xf numFmtId="0" fontId="52" fillId="5" borderId="0" xfId="0" applyFont="1" applyFill="1" applyAlignment="1">
      <alignment vertical="center"/>
    </xf>
    <xf numFmtId="0" fontId="52" fillId="5" borderId="0" xfId="0" applyFont="1" applyFill="1" applyAlignment="1">
      <alignment vertical="center" wrapText="1"/>
    </xf>
    <xf numFmtId="0" fontId="33" fillId="5" borderId="0" xfId="0" applyFont="1" applyFill="1" applyAlignment="1">
      <alignment vertical="center"/>
    </xf>
    <xf numFmtId="0" fontId="52" fillId="5" borderId="0" xfId="0" applyFont="1" applyFill="1" applyAlignment="1">
      <alignment wrapText="1"/>
    </xf>
    <xf numFmtId="0" fontId="50" fillId="5" borderId="0" xfId="0" applyFont="1" applyFill="1" applyAlignment="1">
      <alignment wrapText="1"/>
    </xf>
    <xf numFmtId="0" fontId="52" fillId="5" borderId="0" xfId="0" applyFont="1" applyFill="1" applyAlignment="1">
      <alignment vertical="distributed"/>
    </xf>
    <xf numFmtId="0" fontId="50" fillId="5" borderId="0" xfId="0" applyFont="1" applyFill="1" applyAlignment="1">
      <alignment vertical="center" wrapText="1"/>
    </xf>
    <xf numFmtId="49" fontId="50" fillId="5" borderId="0" xfId="0" applyNumberFormat="1" applyFont="1" applyFill="1"/>
    <xf numFmtId="167" fontId="50" fillId="5" borderId="0" xfId="0" applyNumberFormat="1" applyFont="1" applyFill="1" applyAlignment="1">
      <alignment horizontal="right" indent="2"/>
    </xf>
    <xf numFmtId="175" fontId="52" fillId="5" borderId="0" xfId="0" applyNumberFormat="1" applyFont="1" applyFill="1"/>
    <xf numFmtId="167" fontId="50" fillId="5" borderId="0" xfId="0" applyNumberFormat="1" applyFont="1" applyFill="1" applyAlignment="1">
      <alignment horizontal="right" indent="1"/>
    </xf>
    <xf numFmtId="175" fontId="52" fillId="5" borderId="0" xfId="0" applyNumberFormat="1" applyFont="1" applyFill="1" applyAlignment="1">
      <alignment horizontal="left"/>
    </xf>
    <xf numFmtId="175" fontId="50" fillId="5" borderId="0" xfId="0" applyNumberFormat="1" applyFont="1" applyFill="1" applyAlignment="1">
      <alignment horizontal="left" indent="1"/>
    </xf>
    <xf numFmtId="175" fontId="52" fillId="5" borderId="0" xfId="0" applyNumberFormat="1" applyFont="1" applyFill="1" applyAlignment="1">
      <alignment horizontal="left" indent="1"/>
    </xf>
    <xf numFmtId="167" fontId="52" fillId="5" borderId="0" xfId="0" applyNumberFormat="1" applyFont="1" applyFill="1" applyAlignment="1">
      <alignment horizontal="right" indent="2"/>
    </xf>
    <xf numFmtId="167" fontId="52" fillId="5" borderId="0" xfId="0" applyNumberFormat="1" applyFont="1" applyFill="1" applyAlignment="1">
      <alignment horizontal="right" indent="1"/>
    </xf>
    <xf numFmtId="165" fontId="52" fillId="5" borderId="0" xfId="0" applyNumberFormat="1" applyFont="1" applyFill="1"/>
    <xf numFmtId="2" fontId="52" fillId="5" borderId="0" xfId="0" applyNumberFormat="1" applyFont="1" applyFill="1"/>
    <xf numFmtId="175" fontId="50" fillId="5" borderId="0" xfId="0" applyNumberFormat="1" applyFont="1" applyFill="1" applyAlignment="1">
      <alignment horizontal="left" indent="2"/>
    </xf>
    <xf numFmtId="167" fontId="50" fillId="5" borderId="0" xfId="0" applyNumberFormat="1" applyFont="1" applyFill="1" applyAlignment="1">
      <alignment horizontal="right"/>
    </xf>
    <xf numFmtId="175" fontId="50" fillId="5" borderId="0" xfId="0" applyNumberFormat="1" applyFont="1" applyFill="1"/>
    <xf numFmtId="2" fontId="52" fillId="5" borderId="0" xfId="0" applyNumberFormat="1" applyFont="1" applyFill="1" applyAlignment="1">
      <alignment horizontal="right" indent="1"/>
    </xf>
    <xf numFmtId="0" fontId="52" fillId="5" borderId="0" xfId="0" applyFont="1" applyFill="1" applyAlignment="1">
      <alignment horizontal="center" wrapText="1"/>
    </xf>
    <xf numFmtId="0" fontId="52" fillId="5" borderId="0" xfId="0" applyFont="1" applyFill="1" applyAlignment="1">
      <alignment horizontal="left" vertical="center"/>
    </xf>
    <xf numFmtId="0" fontId="50" fillId="5" borderId="0" xfId="0" applyFont="1" applyFill="1" applyAlignment="1">
      <alignment horizontal="right" vertical="center" wrapText="1"/>
    </xf>
    <xf numFmtId="0" fontId="50" fillId="5" borderId="0" xfId="0" applyFont="1" applyFill="1" applyAlignment="1">
      <alignment horizontal="right"/>
    </xf>
    <xf numFmtId="0" fontId="50" fillId="5" borderId="0" xfId="0" applyFont="1" applyFill="1" applyAlignment="1">
      <alignment horizontal="left" vertical="center"/>
    </xf>
    <xf numFmtId="0" fontId="50" fillId="5" borderId="0" xfId="0" applyFont="1" applyFill="1" applyAlignment="1">
      <alignment horizontal="center" vertical="center" wrapText="1"/>
    </xf>
    <xf numFmtId="167" fontId="52" fillId="5" borderId="0" xfId="0" applyNumberFormat="1" applyFont="1" applyFill="1"/>
    <xf numFmtId="167" fontId="50" fillId="5" borderId="0" xfId="0" applyNumberFormat="1" applyFont="1" applyFill="1" applyAlignment="1">
      <alignment horizontal="right" indent="3"/>
    </xf>
    <xf numFmtId="172" fontId="50" fillId="5" borderId="0" xfId="0" applyNumberFormat="1" applyFont="1" applyFill="1" applyAlignment="1">
      <alignment horizontal="right" indent="3"/>
    </xf>
    <xf numFmtId="167" fontId="52" fillId="5" borderId="0" xfId="0" applyNumberFormat="1" applyFont="1" applyFill="1" applyAlignment="1">
      <alignment horizontal="right" indent="3"/>
    </xf>
    <xf numFmtId="172" fontId="52" fillId="5" borderId="0" xfId="0" applyNumberFormat="1" applyFont="1" applyFill="1" applyAlignment="1">
      <alignment horizontal="right" indent="3"/>
    </xf>
    <xf numFmtId="167" fontId="50" fillId="5" borderId="0" xfId="0" applyNumberFormat="1" applyFont="1" applyFill="1" applyAlignment="1">
      <alignment horizontal="left"/>
    </xf>
    <xf numFmtId="0" fontId="5" fillId="5" borderId="0" xfId="0" applyFont="1" applyFill="1" applyAlignment="1">
      <alignment horizontal="center"/>
    </xf>
    <xf numFmtId="0" fontId="0" fillId="5" borderId="0" xfId="0" applyFill="1" applyAlignment="1">
      <alignment horizontal="center"/>
    </xf>
    <xf numFmtId="166" fontId="33" fillId="5" borderId="0" xfId="0" applyNumberFormat="1" applyFont="1" applyFill="1"/>
    <xf numFmtId="166" fontId="52" fillId="5" borderId="0" xfId="0" applyNumberFormat="1" applyFont="1" applyFill="1"/>
    <xf numFmtId="169" fontId="33" fillId="5" borderId="0" xfId="13" applyNumberFormat="1" applyFont="1" applyFill="1" applyBorder="1"/>
    <xf numFmtId="0" fontId="34" fillId="5" borderId="0" xfId="0" applyFont="1" applyFill="1" applyAlignment="1">
      <alignment horizontal="center" wrapText="1"/>
    </xf>
    <xf numFmtId="0" fontId="9" fillId="5" borderId="0" xfId="0" applyFont="1" applyFill="1"/>
    <xf numFmtId="0" fontId="4" fillId="5" borderId="0" xfId="0" applyFont="1" applyFill="1" applyAlignment="1">
      <alignment wrapText="1"/>
    </xf>
    <xf numFmtId="6" fontId="34" fillId="5" borderId="0" xfId="0" applyNumberFormat="1" applyFont="1" applyFill="1" applyAlignment="1">
      <alignment horizontal="center" wrapText="1"/>
    </xf>
    <xf numFmtId="6" fontId="33" fillId="5" borderId="0" xfId="0" applyNumberFormat="1" applyFont="1" applyFill="1" applyAlignment="1">
      <alignment horizontal="center" wrapText="1"/>
    </xf>
    <xf numFmtId="38" fontId="34" fillId="5" borderId="0" xfId="0" applyNumberFormat="1" applyFont="1" applyFill="1" applyAlignment="1">
      <alignment horizontal="right" wrapText="1"/>
    </xf>
    <xf numFmtId="0" fontId="33" fillId="5" borderId="0" xfId="0" applyFont="1" applyFill="1" applyAlignment="1">
      <alignment horizontal="center" wrapText="1"/>
    </xf>
    <xf numFmtId="2" fontId="33" fillId="5" borderId="0" xfId="0" applyNumberFormat="1" applyFont="1" applyFill="1" applyAlignment="1">
      <alignment horizontal="right" wrapText="1"/>
    </xf>
    <xf numFmtId="2" fontId="33" fillId="5" borderId="0" xfId="0" applyNumberFormat="1" applyFont="1" applyFill="1" applyAlignment="1">
      <alignment horizontal="right"/>
    </xf>
    <xf numFmtId="2" fontId="34" fillId="5" borderId="0" xfId="0" applyNumberFormat="1" applyFont="1" applyFill="1"/>
    <xf numFmtId="1" fontId="33" fillId="5" borderId="0" xfId="0" applyNumberFormat="1" applyFont="1" applyFill="1" applyAlignment="1">
      <alignment horizontal="right"/>
    </xf>
    <xf numFmtId="166" fontId="33" fillId="5" borderId="0" xfId="0" applyNumberFormat="1" applyFont="1" applyFill="1" applyAlignment="1">
      <alignment horizontal="center"/>
    </xf>
    <xf numFmtId="167" fontId="33" fillId="5" borderId="0" xfId="0" applyNumberFormat="1" applyFont="1" applyFill="1" applyAlignment="1">
      <alignment horizontal="center"/>
    </xf>
    <xf numFmtId="0" fontId="23" fillId="5" borderId="0" xfId="0" applyFont="1" applyFill="1"/>
    <xf numFmtId="14" fontId="4" fillId="5" borderId="0" xfId="0" applyNumberFormat="1" applyFont="1" applyFill="1"/>
    <xf numFmtId="0" fontId="4" fillId="5" borderId="0" xfId="0" quotePrefix="1" applyFont="1" applyFill="1"/>
    <xf numFmtId="0" fontId="4" fillId="5" borderId="7" xfId="0" applyFont="1" applyFill="1" applyBorder="1"/>
    <xf numFmtId="0" fontId="33" fillId="5" borderId="0" xfId="0" applyFont="1" applyFill="1" applyAlignment="1">
      <alignment horizontal="center" vertical="center" wrapText="1"/>
    </xf>
    <xf numFmtId="0" fontId="48" fillId="5" borderId="0" xfId="0" applyFont="1" applyFill="1"/>
    <xf numFmtId="167" fontId="33" fillId="5" borderId="0" xfId="0" applyNumberFormat="1" applyFont="1" applyFill="1"/>
    <xf numFmtId="0" fontId="33" fillId="7" borderId="0" xfId="2" applyFont="1" applyFill="1"/>
    <xf numFmtId="0" fontId="34" fillId="7" borderId="0" xfId="2" applyFont="1" applyFill="1"/>
    <xf numFmtId="1" fontId="34" fillId="5" borderId="0" xfId="2" applyNumberFormat="1" applyFont="1" applyFill="1"/>
    <xf numFmtId="0" fontId="33" fillId="5" borderId="0" xfId="2" applyFont="1" applyFill="1" applyAlignment="1">
      <alignment horizontal="center"/>
    </xf>
    <xf numFmtId="0" fontId="33" fillId="8" borderId="0" xfId="2" applyFont="1" applyFill="1"/>
    <xf numFmtId="0" fontId="34" fillId="8" borderId="0" xfId="2" applyFont="1" applyFill="1"/>
    <xf numFmtId="0" fontId="54" fillId="5" borderId="0" xfId="0" applyFont="1" applyFill="1"/>
    <xf numFmtId="2" fontId="50" fillId="5" borderId="0" xfId="2" applyNumberFormat="1" applyFont="1" applyFill="1"/>
    <xf numFmtId="2" fontId="34" fillId="7" borderId="0" xfId="2" applyNumberFormat="1" applyFont="1" applyFill="1"/>
    <xf numFmtId="1" fontId="34" fillId="7" borderId="0" xfId="2" applyNumberFormat="1" applyFont="1" applyFill="1"/>
    <xf numFmtId="0" fontId="55" fillId="5" borderId="0" xfId="0" applyFont="1" applyFill="1"/>
    <xf numFmtId="2" fontId="55" fillId="5" borderId="0" xfId="0" applyNumberFormat="1" applyFont="1" applyFill="1"/>
    <xf numFmtId="0" fontId="55" fillId="5" borderId="0" xfId="0" applyFont="1" applyFill="1" applyAlignment="1">
      <alignment horizontal="center"/>
    </xf>
    <xf numFmtId="0" fontId="56" fillId="5" borderId="0" xfId="0" applyFont="1" applyFill="1" applyAlignment="1">
      <alignment horizontal="center" vertical="center" wrapText="1"/>
    </xf>
    <xf numFmtId="167" fontId="55" fillId="5" borderId="0" xfId="0" applyNumberFormat="1" applyFont="1" applyFill="1"/>
    <xf numFmtId="0" fontId="55" fillId="5" borderId="0" xfId="0" applyFont="1" applyFill="1" applyAlignment="1">
      <alignment horizontal="right"/>
    </xf>
    <xf numFmtId="169" fontId="55" fillId="5" borderId="0" xfId="13" applyNumberFormat="1" applyFont="1" applyFill="1" applyBorder="1"/>
    <xf numFmtId="0" fontId="5" fillId="5" borderId="0" xfId="0" applyFont="1" applyFill="1" applyAlignment="1">
      <alignment horizontal="center" vertical="center" wrapText="1"/>
    </xf>
    <xf numFmtId="1" fontId="0" fillId="5" borderId="0" xfId="0" applyNumberFormat="1" applyFill="1"/>
    <xf numFmtId="1" fontId="5" fillId="5" borderId="0" xfId="0" applyNumberFormat="1" applyFont="1" applyFill="1" applyAlignment="1">
      <alignment wrapText="1"/>
    </xf>
    <xf numFmtId="0" fontId="21" fillId="5" borderId="0" xfId="0" applyFont="1" applyFill="1"/>
    <xf numFmtId="2" fontId="5" fillId="5" borderId="0" xfId="0" applyNumberFormat="1" applyFont="1" applyFill="1"/>
    <xf numFmtId="1" fontId="5" fillId="5" borderId="0" xfId="0" applyNumberFormat="1" applyFont="1" applyFill="1"/>
    <xf numFmtId="165" fontId="5" fillId="5" borderId="0" xfId="0" applyNumberFormat="1" applyFont="1" applyFill="1"/>
    <xf numFmtId="1" fontId="9" fillId="5" borderId="0" xfId="0" applyNumberFormat="1" applyFont="1" applyFill="1"/>
    <xf numFmtId="166" fontId="4" fillId="5" borderId="0" xfId="0" applyNumberFormat="1" applyFont="1" applyFill="1"/>
    <xf numFmtId="166" fontId="10" fillId="5" borderId="0" xfId="0" applyNumberFormat="1" applyFont="1" applyFill="1"/>
    <xf numFmtId="166" fontId="9" fillId="5" borderId="0" xfId="0" applyNumberFormat="1" applyFont="1" applyFill="1"/>
    <xf numFmtId="1" fontId="4" fillId="5" borderId="0" xfId="0" applyNumberFormat="1" applyFont="1" applyFill="1" applyAlignment="1">
      <alignment wrapText="1"/>
    </xf>
    <xf numFmtId="167" fontId="4" fillId="5" borderId="0" xfId="0" applyNumberFormat="1" applyFont="1" applyFill="1" applyAlignment="1">
      <alignment wrapText="1"/>
    </xf>
    <xf numFmtId="1" fontId="34" fillId="5" borderId="0" xfId="0" applyNumberFormat="1" applyFont="1" applyFill="1" applyAlignment="1">
      <alignment wrapText="1"/>
    </xf>
    <xf numFmtId="0" fontId="4" fillId="5" borderId="0" xfId="0" applyFont="1" applyFill="1" applyAlignment="1">
      <alignment horizontal="right"/>
    </xf>
    <xf numFmtId="2" fontId="4" fillId="5" borderId="0" xfId="0" applyNumberFormat="1" applyFont="1" applyFill="1" applyAlignment="1">
      <alignment wrapText="1"/>
    </xf>
    <xf numFmtId="171" fontId="4" fillId="5" borderId="0" xfId="0" applyNumberFormat="1" applyFont="1" applyFill="1"/>
    <xf numFmtId="1" fontId="57" fillId="5" borderId="0" xfId="0" applyNumberFormat="1" applyFont="1" applyFill="1"/>
    <xf numFmtId="2" fontId="4" fillId="5" borderId="0" xfId="0" applyNumberFormat="1" applyFont="1" applyFill="1" applyAlignment="1">
      <alignment horizontal="left"/>
    </xf>
    <xf numFmtId="0" fontId="57" fillId="5" borderId="0" xfId="0" applyFont="1" applyFill="1"/>
    <xf numFmtId="173" fontId="4" fillId="5" borderId="0" xfId="0" applyNumberFormat="1" applyFont="1" applyFill="1"/>
    <xf numFmtId="169" fontId="4" fillId="5" borderId="0" xfId="13" applyNumberFormat="1" applyFont="1" applyFill="1" applyBorder="1"/>
    <xf numFmtId="167" fontId="5" fillId="5" borderId="0" xfId="0" applyNumberFormat="1" applyFont="1" applyFill="1"/>
    <xf numFmtId="167" fontId="4" fillId="5" borderId="0" xfId="0" applyNumberFormat="1" applyFont="1" applyFill="1" applyAlignment="1">
      <alignment horizontal="right" indent="1"/>
    </xf>
    <xf numFmtId="171" fontId="37" fillId="5" borderId="0" xfId="0" applyNumberFormat="1" applyFont="1" applyFill="1"/>
    <xf numFmtId="0" fontId="10" fillId="5" borderId="0" xfId="0" applyFont="1" applyFill="1" applyAlignment="1">
      <alignment horizontal="left"/>
    </xf>
    <xf numFmtId="171" fontId="5" fillId="5" borderId="0" xfId="0" applyNumberFormat="1" applyFont="1" applyFill="1"/>
    <xf numFmtId="0" fontId="9" fillId="5" borderId="0" xfId="0" applyFont="1" applyFill="1" applyAlignment="1">
      <alignment horizontal="left"/>
    </xf>
    <xf numFmtId="2" fontId="27" fillId="5" borderId="0" xfId="0" applyNumberFormat="1" applyFont="1" applyFill="1"/>
    <xf numFmtId="0" fontId="34" fillId="5" borderId="0" xfId="12" applyFont="1" applyFill="1" applyProtection="1">
      <protection locked="0"/>
    </xf>
    <xf numFmtId="0" fontId="33" fillId="5" borderId="0" xfId="12" applyFont="1" applyFill="1" applyProtection="1">
      <protection locked="0"/>
    </xf>
    <xf numFmtId="0" fontId="34" fillId="5" borderId="0" xfId="12" applyFont="1" applyFill="1" applyAlignment="1" applyProtection="1">
      <alignment wrapText="1"/>
      <protection locked="0"/>
    </xf>
    <xf numFmtId="0" fontId="34" fillId="5" borderId="0" xfId="12" applyFont="1" applyFill="1" applyAlignment="1" applyProtection="1">
      <alignment horizontal="right"/>
      <protection locked="0"/>
    </xf>
    <xf numFmtId="0" fontId="34" fillId="5" borderId="0" xfId="12" applyFont="1" applyFill="1" applyAlignment="1" applyProtection="1">
      <alignment horizontal="left" indent="1"/>
      <protection locked="0"/>
    </xf>
    <xf numFmtId="3" fontId="34" fillId="5" borderId="0" xfId="12" applyNumberFormat="1" applyFont="1" applyFill="1" applyProtection="1">
      <protection locked="0"/>
    </xf>
    <xf numFmtId="0" fontId="33" fillId="5" borderId="0" xfId="12" applyFont="1" applyFill="1" applyAlignment="1" applyProtection="1">
      <alignment horizontal="left" indent="1"/>
      <protection locked="0"/>
    </xf>
    <xf numFmtId="167" fontId="33" fillId="5" borderId="0" xfId="12" applyNumberFormat="1" applyFont="1" applyFill="1" applyAlignment="1" applyProtection="1">
      <alignment horizontal="right"/>
      <protection locked="0"/>
    </xf>
    <xf numFmtId="0" fontId="34" fillId="5" borderId="0" xfId="0" applyFont="1" applyFill="1" applyAlignment="1">
      <alignment horizontal="right"/>
    </xf>
    <xf numFmtId="171" fontId="33" fillId="5" borderId="0" xfId="0" applyNumberFormat="1" applyFont="1" applyFill="1" applyAlignment="1">
      <alignment wrapText="1"/>
    </xf>
    <xf numFmtId="1" fontId="33" fillId="5" borderId="0" xfId="0" applyNumberFormat="1" applyFont="1" applyFill="1" applyAlignment="1">
      <alignment wrapText="1"/>
    </xf>
    <xf numFmtId="0" fontId="34" fillId="5" borderId="0" xfId="0" applyFont="1" applyFill="1" applyAlignment="1">
      <alignment vertical="center" wrapText="1"/>
    </xf>
    <xf numFmtId="0" fontId="33" fillId="5" borderId="0" xfId="0" applyFont="1" applyFill="1" applyAlignment="1">
      <alignment vertical="center" wrapText="1"/>
    </xf>
    <xf numFmtId="172" fontId="33" fillId="5" borderId="0" xfId="12" applyNumberFormat="1" applyFont="1" applyFill="1" applyAlignment="1" applyProtection="1">
      <alignment horizontal="right" indent="1"/>
      <protection locked="0"/>
    </xf>
    <xf numFmtId="0" fontId="34" fillId="5" borderId="0" xfId="0" applyFont="1" applyFill="1" applyAlignment="1">
      <alignment horizontal="center" vertical="center" wrapText="1"/>
    </xf>
    <xf numFmtId="0" fontId="33" fillId="5" borderId="0" xfId="10" applyFont="1" applyFill="1"/>
    <xf numFmtId="171" fontId="33" fillId="5" borderId="0" xfId="0" applyNumberFormat="1" applyFont="1" applyFill="1" applyAlignment="1">
      <alignment horizontal="right" indent="1"/>
    </xf>
    <xf numFmtId="1" fontId="34" fillId="5" borderId="0" xfId="0" applyNumberFormat="1" applyFont="1" applyFill="1" applyAlignment="1">
      <alignment vertical="center" wrapText="1"/>
    </xf>
    <xf numFmtId="3" fontId="34" fillId="5" borderId="0" xfId="0" applyNumberFormat="1" applyFont="1" applyFill="1" applyAlignment="1">
      <alignment vertical="center" wrapText="1"/>
    </xf>
    <xf numFmtId="169" fontId="34" fillId="5" borderId="0" xfId="13" applyNumberFormat="1" applyFont="1" applyFill="1" applyBorder="1" applyAlignment="1">
      <alignment vertical="center" wrapText="1"/>
    </xf>
    <xf numFmtId="165" fontId="33" fillId="5" borderId="0" xfId="0" applyNumberFormat="1" applyFont="1" applyFill="1" applyAlignment="1">
      <alignment vertical="center" wrapText="1"/>
    </xf>
    <xf numFmtId="171" fontId="33" fillId="5" borderId="0" xfId="0" applyNumberFormat="1" applyFont="1" applyFill="1" applyAlignment="1">
      <alignment horizontal="center"/>
    </xf>
    <xf numFmtId="4" fontId="33" fillId="5" borderId="0" xfId="5" applyNumberFormat="1" applyFont="1" applyFill="1" applyAlignment="1">
      <alignment horizontal="right" indent="1"/>
    </xf>
    <xf numFmtId="169" fontId="33" fillId="5" borderId="0" xfId="13" applyNumberFormat="1" applyFont="1" applyFill="1" applyBorder="1" applyAlignment="1">
      <alignment vertical="center" wrapText="1"/>
    </xf>
    <xf numFmtId="173" fontId="34" fillId="5" borderId="0" xfId="0" applyNumberFormat="1" applyFont="1" applyFill="1" applyAlignment="1">
      <alignment horizontal="center"/>
    </xf>
    <xf numFmtId="169" fontId="33" fillId="5" borderId="0" xfId="0" applyNumberFormat="1" applyFont="1" applyFill="1"/>
    <xf numFmtId="171" fontId="33" fillId="5" borderId="0" xfId="0" applyNumberFormat="1" applyFont="1" applyFill="1"/>
    <xf numFmtId="9" fontId="34" fillId="5" borderId="0" xfId="13" applyFont="1" applyFill="1" applyBorder="1"/>
    <xf numFmtId="173" fontId="33" fillId="5" borderId="0" xfId="0" applyNumberFormat="1" applyFont="1" applyFill="1"/>
    <xf numFmtId="1" fontId="34" fillId="5" borderId="0" xfId="0" applyNumberFormat="1" applyFont="1" applyFill="1"/>
    <xf numFmtId="174" fontId="33" fillId="5" borderId="0" xfId="0" applyNumberFormat="1" applyFont="1" applyFill="1"/>
    <xf numFmtId="169" fontId="33" fillId="5" borderId="0" xfId="13" quotePrefix="1" applyNumberFormat="1" applyFont="1" applyFill="1" applyBorder="1" applyAlignment="1">
      <alignment horizontal="center"/>
    </xf>
    <xf numFmtId="169" fontId="34" fillId="5" borderId="0" xfId="0" applyNumberFormat="1" applyFont="1" applyFill="1"/>
    <xf numFmtId="9" fontId="33" fillId="5" borderId="0" xfId="13" applyFont="1" applyFill="1" applyBorder="1" applyAlignment="1">
      <alignment horizontal="center" vertical="center" wrapText="1"/>
    </xf>
    <xf numFmtId="171" fontId="34" fillId="5" borderId="0" xfId="0" applyNumberFormat="1" applyFont="1" applyFill="1"/>
    <xf numFmtId="179" fontId="33" fillId="5" borderId="0" xfId="0" applyNumberFormat="1" applyFont="1" applyFill="1"/>
    <xf numFmtId="179" fontId="33" fillId="5" borderId="0" xfId="0" applyNumberFormat="1" applyFont="1" applyFill="1" applyAlignment="1">
      <alignment wrapText="1"/>
    </xf>
    <xf numFmtId="1" fontId="33" fillId="5" borderId="0" xfId="13" applyNumberFormat="1" applyFont="1" applyFill="1" applyBorder="1" applyAlignment="1">
      <alignment vertical="center" wrapText="1"/>
    </xf>
    <xf numFmtId="165" fontId="33" fillId="5" borderId="0" xfId="13" applyNumberFormat="1" applyFont="1" applyFill="1" applyBorder="1" applyAlignment="1">
      <alignment vertical="center" wrapText="1"/>
    </xf>
    <xf numFmtId="0" fontId="34" fillId="5" borderId="0" xfId="0" applyFont="1" applyFill="1" applyAlignment="1">
      <alignment horizontal="right" vertical="center" wrapText="1"/>
    </xf>
    <xf numFmtId="179" fontId="34" fillId="5" borderId="0" xfId="0" applyNumberFormat="1" applyFont="1" applyFill="1"/>
    <xf numFmtId="2" fontId="33" fillId="5" borderId="0" xfId="0" applyNumberFormat="1" applyFont="1" applyFill="1" applyAlignment="1">
      <alignment vertical="center" wrapText="1"/>
    </xf>
    <xf numFmtId="3" fontId="33" fillId="5" borderId="0" xfId="5" applyNumberFormat="1" applyFont="1" applyFill="1"/>
    <xf numFmtId="0" fontId="33" fillId="5" borderId="0" xfId="8" applyFont="1" applyFill="1" applyAlignment="1">
      <alignment horizontal="center"/>
    </xf>
    <xf numFmtId="3" fontId="33" fillId="5" borderId="0" xfId="0" applyNumberFormat="1" applyFont="1" applyFill="1" applyAlignment="1">
      <alignment vertical="center" wrapText="1"/>
    </xf>
    <xf numFmtId="0" fontId="33" fillId="5" borderId="0" xfId="8" applyFont="1" applyFill="1"/>
    <xf numFmtId="11" fontId="33" fillId="5" borderId="0" xfId="8" applyNumberFormat="1" applyFont="1" applyFill="1"/>
    <xf numFmtId="3" fontId="33" fillId="5" borderId="0" xfId="0" applyNumberFormat="1" applyFont="1" applyFill="1"/>
    <xf numFmtId="169" fontId="33" fillId="5" borderId="0" xfId="13" applyNumberFormat="1" applyFont="1" applyFill="1" applyBorder="1" applyAlignment="1">
      <alignment horizontal="center" vertical="center" wrapText="1"/>
    </xf>
    <xf numFmtId="10" fontId="33" fillId="5" borderId="0" xfId="13" applyNumberFormat="1" applyFont="1" applyFill="1" applyBorder="1" applyAlignment="1">
      <alignment horizontal="center" vertical="center" wrapText="1"/>
    </xf>
    <xf numFmtId="0" fontId="34" fillId="5" borderId="0" xfId="0" applyFont="1" applyFill="1" applyAlignment="1">
      <alignment horizontal="left" vertical="center" wrapText="1"/>
    </xf>
    <xf numFmtId="2" fontId="33" fillId="5" borderId="0" xfId="13" applyNumberFormat="1" applyFont="1" applyFill="1" applyBorder="1" applyAlignment="1">
      <alignment vertical="center" wrapText="1"/>
    </xf>
    <xf numFmtId="165" fontId="34" fillId="5" borderId="0" xfId="0" applyNumberFormat="1" applyFont="1" applyFill="1" applyAlignment="1">
      <alignment vertical="center" wrapText="1"/>
    </xf>
    <xf numFmtId="2" fontId="34" fillId="5" borderId="0" xfId="0" applyNumberFormat="1" applyFont="1" applyFill="1" applyAlignment="1">
      <alignment vertical="center" wrapText="1"/>
    </xf>
    <xf numFmtId="0" fontId="33" fillId="5" borderId="6" xfId="0" applyFont="1" applyFill="1" applyBorder="1"/>
    <xf numFmtId="0" fontId="4" fillId="5" borderId="9" xfId="0" applyFont="1" applyFill="1" applyBorder="1"/>
    <xf numFmtId="0" fontId="4" fillId="5" borderId="10" xfId="0" applyFont="1" applyFill="1" applyBorder="1"/>
    <xf numFmtId="168" fontId="13" fillId="5" borderId="0" xfId="0" applyNumberFormat="1" applyFont="1" applyFill="1"/>
    <xf numFmtId="2" fontId="13" fillId="5" borderId="0" xfId="0" applyNumberFormat="1" applyFont="1" applyFill="1" applyAlignment="1">
      <alignment horizontal="left"/>
    </xf>
    <xf numFmtId="11" fontId="13" fillId="5" borderId="0" xfId="0" applyNumberFormat="1" applyFont="1" applyFill="1" applyAlignment="1">
      <alignment horizontal="right"/>
    </xf>
    <xf numFmtId="1" fontId="13" fillId="5" borderId="0" xfId="0" applyNumberFormat="1" applyFont="1" applyFill="1" applyAlignment="1">
      <alignment horizontal="right"/>
    </xf>
    <xf numFmtId="0" fontId="13" fillId="5" borderId="0" xfId="9" applyFont="1" applyFill="1"/>
    <xf numFmtId="165" fontId="13" fillId="5" borderId="0" xfId="9" applyNumberFormat="1" applyFont="1" applyFill="1"/>
    <xf numFmtId="0" fontId="6" fillId="5" borderId="0" xfId="7" applyFont="1" applyFill="1"/>
    <xf numFmtId="0" fontId="7" fillId="5" borderId="0" xfId="6" applyFont="1" applyFill="1" applyAlignment="1">
      <alignment horizontal="right" wrapText="1"/>
    </xf>
    <xf numFmtId="0" fontId="13" fillId="5" borderId="0" xfId="0" applyFont="1" applyFill="1" applyAlignment="1">
      <alignment horizontal="center"/>
    </xf>
    <xf numFmtId="1" fontId="13" fillId="5" borderId="0" xfId="0" applyNumberFormat="1" applyFont="1" applyFill="1" applyAlignment="1">
      <alignment horizontal="center"/>
    </xf>
    <xf numFmtId="2" fontId="13" fillId="5" borderId="0" xfId="0" applyNumberFormat="1" applyFont="1" applyFill="1" applyAlignment="1">
      <alignment horizontal="center"/>
    </xf>
    <xf numFmtId="0" fontId="15" fillId="5" borderId="0" xfId="9" applyFont="1" applyFill="1"/>
    <xf numFmtId="0" fontId="36" fillId="5" borderId="0" xfId="15" applyFill="1" applyBorder="1" applyAlignment="1" applyProtection="1"/>
    <xf numFmtId="0" fontId="56" fillId="4" borderId="0" xfId="0" applyFont="1" applyFill="1"/>
    <xf numFmtId="0" fontId="55" fillId="4" borderId="0" xfId="0" applyFont="1" applyFill="1"/>
    <xf numFmtId="0" fontId="56" fillId="4" borderId="0" xfId="0" quotePrefix="1" applyFont="1" applyFill="1"/>
    <xf numFmtId="0" fontId="59" fillId="5" borderId="0" xfId="0" applyFont="1" applyFill="1"/>
    <xf numFmtId="0" fontId="59" fillId="5" borderId="0" xfId="0" applyFont="1" applyFill="1" applyAlignment="1">
      <alignment horizontal="center"/>
    </xf>
    <xf numFmtId="0" fontId="59" fillId="5" borderId="0" xfId="0" applyFont="1" applyFill="1" applyAlignment="1">
      <alignment horizontal="right"/>
    </xf>
    <xf numFmtId="9" fontId="59" fillId="5" borderId="0" xfId="13" applyFont="1" applyFill="1" applyBorder="1" applyAlignment="1">
      <alignment horizontal="center"/>
    </xf>
    <xf numFmtId="0" fontId="5" fillId="4" borderId="0" xfId="0" applyFont="1" applyFill="1" applyAlignment="1">
      <alignment horizontal="right" vertical="center" wrapText="1"/>
    </xf>
    <xf numFmtId="2" fontId="4" fillId="5" borderId="0" xfId="0" applyNumberFormat="1" applyFont="1" applyFill="1" applyAlignment="1">
      <alignment horizontal="right"/>
    </xf>
    <xf numFmtId="2" fontId="57" fillId="5" borderId="0" xfId="0" applyNumberFormat="1" applyFont="1" applyFill="1" applyAlignment="1">
      <alignment horizontal="right"/>
    </xf>
    <xf numFmtId="1" fontId="57" fillId="5" borderId="0" xfId="0" applyNumberFormat="1" applyFont="1" applyFill="1" applyAlignment="1">
      <alignment horizontal="right"/>
    </xf>
    <xf numFmtId="1" fontId="59" fillId="5" borderId="0" xfId="0" applyNumberFormat="1" applyFont="1" applyFill="1"/>
    <xf numFmtId="0" fontId="33" fillId="4" borderId="0" xfId="0" applyFont="1" applyFill="1"/>
    <xf numFmtId="0" fontId="4" fillId="4" borderId="0" xfId="0" applyFont="1" applyFill="1" applyAlignment="1">
      <alignment horizontal="right"/>
    </xf>
    <xf numFmtId="0" fontId="5" fillId="4" borderId="0" xfId="0" applyFont="1" applyFill="1" applyAlignment="1">
      <alignment horizontal="right" wrapText="1"/>
    </xf>
    <xf numFmtId="3" fontId="4" fillId="5" borderId="0" xfId="0" applyNumberFormat="1" applyFont="1" applyFill="1" applyAlignment="1">
      <alignment horizontal="right"/>
    </xf>
    <xf numFmtId="0" fontId="60" fillId="5" borderId="0" xfId="0" applyFont="1" applyFill="1" applyAlignment="1">
      <alignment horizontal="right"/>
    </xf>
    <xf numFmtId="0" fontId="49" fillId="5" borderId="0" xfId="0" applyFont="1" applyFill="1" applyAlignment="1">
      <alignment horizontal="right"/>
    </xf>
    <xf numFmtId="1" fontId="4" fillId="5" borderId="0" xfId="0" applyNumberFormat="1" applyFont="1" applyFill="1" applyAlignment="1">
      <alignment horizontal="right"/>
    </xf>
    <xf numFmtId="2" fontId="61" fillId="5" borderId="0" xfId="0" applyNumberFormat="1" applyFont="1" applyFill="1" applyAlignment="1">
      <alignment horizontal="right"/>
    </xf>
    <xf numFmtId="167" fontId="61" fillId="5" borderId="0" xfId="0" applyNumberFormat="1" applyFont="1" applyFill="1" applyAlignment="1">
      <alignment horizontal="right"/>
    </xf>
    <xf numFmtId="0" fontId="5" fillId="5" borderId="0" xfId="0" applyFont="1" applyFill="1" applyAlignment="1">
      <alignment horizontal="right" vertical="center" wrapText="1"/>
    </xf>
    <xf numFmtId="0" fontId="26" fillId="5" borderId="0" xfId="0" applyFont="1" applyFill="1" applyAlignment="1">
      <alignment horizontal="left" wrapText="1"/>
    </xf>
    <xf numFmtId="0" fontId="5" fillId="5" borderId="0" xfId="0" applyFont="1" applyFill="1" applyAlignment="1">
      <alignment horizontal="left" wrapText="1"/>
    </xf>
    <xf numFmtId="0" fontId="4" fillId="5" borderId="0" xfId="0" applyFont="1" applyFill="1" applyAlignment="1">
      <alignment horizontal="left" wrapText="1"/>
    </xf>
    <xf numFmtId="0" fontId="5" fillId="4" borderId="0" xfId="0" applyFont="1" applyFill="1" applyAlignment="1">
      <alignment horizontal="left" wrapText="1"/>
    </xf>
    <xf numFmtId="0" fontId="4" fillId="5" borderId="0" xfId="10" applyFill="1" applyAlignment="1">
      <alignment horizontal="left"/>
    </xf>
    <xf numFmtId="2" fontId="4" fillId="5" borderId="0" xfId="5" applyNumberFormat="1" applyFill="1" applyAlignment="1">
      <alignment horizontal="left"/>
    </xf>
    <xf numFmtId="0" fontId="4" fillId="5" borderId="0" xfId="8" applyFont="1" applyFill="1" applyAlignment="1">
      <alignment horizontal="left"/>
    </xf>
    <xf numFmtId="0" fontId="62" fillId="5" borderId="0" xfId="10" applyFont="1" applyFill="1" applyAlignment="1">
      <alignment horizontal="left"/>
    </xf>
    <xf numFmtId="2" fontId="62" fillId="5" borderId="0" xfId="0" applyNumberFormat="1" applyFont="1" applyFill="1" applyAlignment="1">
      <alignment horizontal="left" wrapText="1"/>
    </xf>
    <xf numFmtId="11" fontId="4" fillId="5" borderId="0" xfId="8" applyNumberFormat="1" applyFont="1" applyFill="1" applyAlignment="1">
      <alignment horizontal="left"/>
    </xf>
    <xf numFmtId="0" fontId="5" fillId="5" borderId="0" xfId="12" applyFont="1" applyFill="1" applyAlignment="1" applyProtection="1">
      <alignment horizontal="left"/>
      <protection locked="0"/>
    </xf>
    <xf numFmtId="0" fontId="4" fillId="5" borderId="0" xfId="12" applyFill="1" applyAlignment="1" applyProtection="1">
      <alignment horizontal="left"/>
      <protection locked="0"/>
    </xf>
    <xf numFmtId="0" fontId="5" fillId="5" borderId="0" xfId="12" applyFont="1" applyFill="1" applyAlignment="1" applyProtection="1">
      <alignment horizontal="left" wrapText="1"/>
      <protection locked="0"/>
    </xf>
    <xf numFmtId="2" fontId="63" fillId="5" borderId="0" xfId="5" applyNumberFormat="1" applyFont="1" applyFill="1" applyAlignment="1">
      <alignment horizontal="left"/>
    </xf>
    <xf numFmtId="2" fontId="63" fillId="5" borderId="0" xfId="0" applyNumberFormat="1" applyFont="1" applyFill="1" applyAlignment="1">
      <alignment horizontal="left"/>
    </xf>
    <xf numFmtId="0" fontId="22" fillId="5" borderId="0" xfId="12" applyFont="1" applyFill="1" applyAlignment="1" applyProtection="1">
      <alignment horizontal="left"/>
      <protection locked="0"/>
    </xf>
    <xf numFmtId="3" fontId="5" fillId="5" borderId="0" xfId="12" applyNumberFormat="1" applyFont="1" applyFill="1" applyAlignment="1" applyProtection="1">
      <alignment horizontal="left"/>
      <protection locked="0"/>
    </xf>
    <xf numFmtId="0" fontId="10" fillId="5" borderId="0" xfId="10" applyFont="1" applyFill="1" applyAlignment="1">
      <alignment horizontal="left"/>
    </xf>
    <xf numFmtId="3" fontId="10" fillId="5" borderId="0" xfId="5" applyNumberFormat="1" applyFont="1" applyFill="1" applyAlignment="1">
      <alignment horizontal="left"/>
    </xf>
    <xf numFmtId="0" fontId="25" fillId="5" borderId="0" xfId="12" applyFont="1" applyFill="1" applyAlignment="1" applyProtection="1">
      <alignment horizontal="left"/>
      <protection locked="0"/>
    </xf>
    <xf numFmtId="167" fontId="4" fillId="5" borderId="0" xfId="12" applyNumberFormat="1" applyFill="1" applyAlignment="1" applyProtection="1">
      <alignment horizontal="left"/>
      <protection locked="0"/>
    </xf>
    <xf numFmtId="0" fontId="4" fillId="4" borderId="0" xfId="0" applyFont="1" applyFill="1" applyAlignment="1">
      <alignment horizontal="left" wrapText="1"/>
    </xf>
    <xf numFmtId="0" fontId="62" fillId="5" borderId="0" xfId="0" applyFont="1" applyFill="1" applyAlignment="1">
      <alignment horizontal="left" wrapText="1"/>
    </xf>
    <xf numFmtId="2" fontId="4" fillId="5" borderId="0" xfId="0" applyNumberFormat="1" applyFont="1" applyFill="1" applyAlignment="1">
      <alignment horizontal="left" wrapText="1"/>
    </xf>
    <xf numFmtId="10" fontId="4" fillId="5" borderId="0" xfId="13" applyNumberFormat="1" applyFont="1" applyFill="1" applyBorder="1" applyAlignment="1">
      <alignment horizontal="left" wrapText="1"/>
    </xf>
    <xf numFmtId="172" fontId="9" fillId="5" borderId="0" xfId="12" applyNumberFormat="1" applyFont="1" applyFill="1" applyAlignment="1" applyProtection="1">
      <alignment horizontal="left"/>
      <protection locked="0"/>
    </xf>
    <xf numFmtId="171" fontId="10" fillId="5" borderId="0" xfId="0" applyNumberFormat="1" applyFont="1" applyFill="1" applyAlignment="1">
      <alignment horizontal="left"/>
    </xf>
    <xf numFmtId="171" fontId="4" fillId="5" borderId="0" xfId="0" applyNumberFormat="1" applyFont="1" applyFill="1" applyAlignment="1">
      <alignment horizontal="left"/>
    </xf>
    <xf numFmtId="165" fontId="4" fillId="5" borderId="0" xfId="0" applyNumberFormat="1" applyFont="1" applyFill="1" applyAlignment="1">
      <alignment horizontal="left" wrapText="1"/>
    </xf>
    <xf numFmtId="165" fontId="9" fillId="5" borderId="0" xfId="0" applyNumberFormat="1" applyFont="1" applyFill="1" applyAlignment="1">
      <alignment horizontal="left" wrapText="1"/>
    </xf>
    <xf numFmtId="2" fontId="38" fillId="5" borderId="0" xfId="0" applyNumberFormat="1" applyFont="1" applyFill="1" applyAlignment="1">
      <alignment horizontal="left"/>
    </xf>
    <xf numFmtId="3" fontId="4" fillId="5" borderId="0" xfId="5" applyNumberFormat="1" applyFill="1" applyAlignment="1">
      <alignment horizontal="left"/>
    </xf>
    <xf numFmtId="165" fontId="4" fillId="5" borderId="0" xfId="0" applyNumberFormat="1" applyFont="1" applyFill="1" applyAlignment="1">
      <alignment horizontal="left"/>
    </xf>
    <xf numFmtId="0" fontId="4" fillId="4" borderId="0" xfId="0" applyFont="1" applyFill="1" applyAlignment="1">
      <alignment horizontal="left"/>
    </xf>
    <xf numFmtId="169" fontId="4" fillId="5" borderId="0" xfId="13" applyNumberFormat="1" applyFont="1" applyFill="1" applyAlignment="1">
      <alignment horizontal="left" wrapText="1"/>
    </xf>
    <xf numFmtId="173" fontId="5" fillId="5" borderId="0" xfId="0" applyNumberFormat="1" applyFont="1" applyFill="1" applyAlignment="1">
      <alignment horizontal="left"/>
    </xf>
    <xf numFmtId="169" fontId="4" fillId="5" borderId="0" xfId="13" applyNumberFormat="1" applyFont="1" applyFill="1" applyAlignment="1">
      <alignment horizontal="left"/>
    </xf>
    <xf numFmtId="169" fontId="4" fillId="5" borderId="0" xfId="0" applyNumberFormat="1" applyFont="1" applyFill="1" applyAlignment="1">
      <alignment horizontal="left"/>
    </xf>
    <xf numFmtId="0" fontId="34" fillId="5" borderId="0" xfId="0" applyFont="1" applyFill="1" applyAlignment="1">
      <alignment horizontal="left" wrapText="1"/>
    </xf>
    <xf numFmtId="9" fontId="4" fillId="5" borderId="0" xfId="13" applyFont="1" applyFill="1" applyAlignment="1">
      <alignment horizontal="left"/>
    </xf>
    <xf numFmtId="2" fontId="5" fillId="5" borderId="0" xfId="0" applyNumberFormat="1" applyFont="1" applyFill="1" applyAlignment="1">
      <alignment horizontal="left"/>
    </xf>
    <xf numFmtId="9" fontId="5" fillId="5" borderId="0" xfId="13" applyFont="1" applyFill="1" applyAlignment="1">
      <alignment horizontal="left"/>
    </xf>
    <xf numFmtId="173" fontId="4" fillId="5" borderId="0" xfId="0" applyNumberFormat="1" applyFont="1" applyFill="1" applyAlignment="1">
      <alignment horizontal="left"/>
    </xf>
    <xf numFmtId="1" fontId="5" fillId="5" borderId="0" xfId="0" applyNumberFormat="1" applyFont="1" applyFill="1" applyAlignment="1">
      <alignment horizontal="left"/>
    </xf>
    <xf numFmtId="174" fontId="4" fillId="5" borderId="0" xfId="0" applyNumberFormat="1" applyFont="1" applyFill="1" applyAlignment="1">
      <alignment horizontal="left"/>
    </xf>
    <xf numFmtId="167" fontId="4" fillId="5" borderId="0" xfId="0" applyNumberFormat="1" applyFont="1" applyFill="1" applyAlignment="1">
      <alignment horizontal="left"/>
    </xf>
    <xf numFmtId="169" fontId="4" fillId="5" borderId="0" xfId="13" quotePrefix="1" applyNumberFormat="1" applyFont="1" applyFill="1" applyAlignment="1">
      <alignment horizontal="left"/>
    </xf>
    <xf numFmtId="2" fontId="5" fillId="5" borderId="0" xfId="0" applyNumberFormat="1" applyFont="1" applyFill="1" applyAlignment="1">
      <alignment wrapText="1"/>
    </xf>
    <xf numFmtId="169" fontId="5" fillId="5" borderId="0" xfId="0" applyNumberFormat="1" applyFont="1" applyFill="1" applyAlignment="1">
      <alignment horizontal="left"/>
    </xf>
    <xf numFmtId="9" fontId="4" fillId="5" borderId="0" xfId="13" applyFont="1" applyFill="1" applyAlignment="1">
      <alignment horizontal="center" vertical="center" wrapText="1"/>
    </xf>
    <xf numFmtId="0" fontId="34" fillId="5" borderId="13" xfId="0" applyFont="1" applyFill="1" applyBorder="1" applyAlignment="1">
      <alignment wrapText="1"/>
    </xf>
    <xf numFmtId="171" fontId="5" fillId="5" borderId="0" xfId="0" applyNumberFormat="1" applyFont="1" applyFill="1" applyAlignment="1">
      <alignment horizontal="left"/>
    </xf>
    <xf numFmtId="0" fontId="9" fillId="5" borderId="0" xfId="0" applyFont="1" applyFill="1" applyAlignment="1">
      <alignment horizontal="left" wrapText="1"/>
    </xf>
    <xf numFmtId="165" fontId="9" fillId="5" borderId="0" xfId="0" applyNumberFormat="1" applyFont="1" applyFill="1" applyAlignment="1">
      <alignment horizontal="left"/>
    </xf>
    <xf numFmtId="179" fontId="4" fillId="5" borderId="0" xfId="0" applyNumberFormat="1" applyFont="1" applyFill="1" applyAlignment="1">
      <alignment wrapText="1"/>
    </xf>
    <xf numFmtId="1" fontId="4" fillId="5" borderId="0" xfId="13" applyNumberFormat="1" applyFont="1" applyFill="1" applyAlignment="1">
      <alignment horizontal="left" wrapText="1"/>
    </xf>
    <xf numFmtId="165" fontId="4" fillId="5" borderId="0" xfId="13" applyNumberFormat="1" applyFont="1" applyFill="1" applyAlignment="1">
      <alignment horizontal="left" wrapText="1"/>
    </xf>
    <xf numFmtId="165" fontId="26" fillId="5" borderId="0" xfId="0" applyNumberFormat="1" applyFont="1" applyFill="1" applyAlignment="1">
      <alignment horizontal="left"/>
    </xf>
    <xf numFmtId="2" fontId="37" fillId="5" borderId="0" xfId="13" applyNumberFormat="1" applyFont="1" applyFill="1" applyAlignment="1">
      <alignment horizontal="left" wrapText="1"/>
    </xf>
    <xf numFmtId="2" fontId="4" fillId="5" borderId="0" xfId="13" applyNumberFormat="1" applyFont="1" applyFill="1" applyAlignment="1">
      <alignment horizontal="left" wrapText="1"/>
    </xf>
    <xf numFmtId="171" fontId="26" fillId="5" borderId="0" xfId="0" applyNumberFormat="1" applyFont="1" applyFill="1" applyAlignment="1">
      <alignment horizontal="left"/>
    </xf>
    <xf numFmtId="2" fontId="4" fillId="5" borderId="0" xfId="13" applyNumberFormat="1" applyFont="1" applyFill="1" applyAlignment="1">
      <alignment horizontal="left"/>
    </xf>
    <xf numFmtId="171" fontId="9" fillId="5" borderId="0" xfId="0" applyNumberFormat="1" applyFont="1" applyFill="1" applyAlignment="1">
      <alignment horizontal="left"/>
    </xf>
    <xf numFmtId="0" fontId="40" fillId="5" borderId="0" xfId="0" applyFont="1" applyFill="1" applyAlignment="1">
      <alignment horizontal="left" wrapText="1"/>
    </xf>
    <xf numFmtId="2" fontId="40" fillId="5" borderId="0" xfId="13" applyNumberFormat="1" applyFont="1" applyFill="1" applyAlignment="1">
      <alignment horizontal="left" wrapText="1"/>
    </xf>
    <xf numFmtId="2" fontId="9" fillId="5" borderId="0" xfId="0" applyNumberFormat="1" applyFont="1" applyFill="1" applyAlignment="1">
      <alignment horizontal="left" wrapText="1"/>
    </xf>
    <xf numFmtId="0" fontId="4" fillId="5" borderId="12" xfId="0" applyFont="1" applyFill="1" applyBorder="1" applyAlignment="1">
      <alignment horizontal="left"/>
    </xf>
    <xf numFmtId="0" fontId="5" fillId="4" borderId="0" xfId="0" applyFont="1" applyFill="1"/>
    <xf numFmtId="165" fontId="5" fillId="9" borderId="0" xfId="0" applyNumberFormat="1" applyFont="1" applyFill="1"/>
    <xf numFmtId="165" fontId="59" fillId="5" borderId="0" xfId="0" applyNumberFormat="1" applyFont="1" applyFill="1"/>
    <xf numFmtId="0" fontId="34" fillId="10" borderId="7" xfId="0" applyFont="1" applyFill="1" applyBorder="1" applyAlignment="1">
      <alignment wrapText="1"/>
    </xf>
    <xf numFmtId="10" fontId="4" fillId="5" borderId="7" xfId="0" applyNumberFormat="1" applyFont="1" applyFill="1" applyBorder="1"/>
    <xf numFmtId="2" fontId="4" fillId="5" borderId="7" xfId="0" applyNumberFormat="1" applyFont="1" applyFill="1" applyBorder="1"/>
    <xf numFmtId="0" fontId="34" fillId="5" borderId="1" xfId="0" applyFont="1" applyFill="1" applyBorder="1"/>
    <xf numFmtId="0" fontId="34" fillId="5" borderId="3" xfId="0" applyFont="1" applyFill="1" applyBorder="1" applyAlignment="1">
      <alignment horizontal="left" wrapText="1"/>
    </xf>
    <xf numFmtId="0" fontId="34" fillId="5" borderId="4" xfId="0" applyFont="1" applyFill="1" applyBorder="1" applyAlignment="1">
      <alignment wrapText="1" readingOrder="1"/>
    </xf>
    <xf numFmtId="0" fontId="34" fillId="5" borderId="5" xfId="0" applyFont="1" applyFill="1" applyBorder="1" applyAlignment="1">
      <alignment wrapText="1" readingOrder="1"/>
    </xf>
    <xf numFmtId="3" fontId="34" fillId="5" borderId="1" xfId="0" applyNumberFormat="1" applyFont="1" applyFill="1" applyBorder="1"/>
    <xf numFmtId="3" fontId="34" fillId="5" borderId="0" xfId="0" applyNumberFormat="1" applyFont="1" applyFill="1"/>
    <xf numFmtId="182" fontId="4" fillId="5" borderId="1" xfId="0" applyNumberFormat="1" applyFont="1" applyFill="1" applyBorder="1" applyAlignment="1">
      <alignment vertical="center"/>
    </xf>
    <xf numFmtId="10" fontId="4" fillId="5" borderId="0" xfId="13" applyNumberFormat="1" applyFont="1" applyFill="1" applyBorder="1" applyAlignment="1">
      <alignment horizontal="right" vertical="center" readingOrder="1"/>
    </xf>
    <xf numFmtId="2" fontId="4" fillId="5" borderId="0" xfId="0" applyNumberFormat="1" applyFont="1" applyFill="1" applyAlignment="1">
      <alignment horizontal="right" vertical="center" readingOrder="1"/>
    </xf>
    <xf numFmtId="183" fontId="4" fillId="5" borderId="1" xfId="0" applyNumberFormat="1" applyFont="1" applyFill="1" applyBorder="1"/>
    <xf numFmtId="183" fontId="4" fillId="5" borderId="0" xfId="0" applyNumberFormat="1" applyFont="1" applyFill="1"/>
    <xf numFmtId="43" fontId="33" fillId="5" borderId="20" xfId="0" applyNumberFormat="1" applyFont="1" applyFill="1" applyBorder="1"/>
    <xf numFmtId="43" fontId="4" fillId="5" borderId="1" xfId="0" applyNumberFormat="1" applyFont="1" applyFill="1" applyBorder="1"/>
    <xf numFmtId="41" fontId="33" fillId="5" borderId="1" xfId="0" applyNumberFormat="1" applyFont="1" applyFill="1" applyBorder="1"/>
    <xf numFmtId="41" fontId="33" fillId="5" borderId="0" xfId="0" applyNumberFormat="1" applyFont="1" applyFill="1"/>
    <xf numFmtId="41" fontId="33" fillId="5" borderId="2" xfId="0" applyNumberFormat="1" applyFont="1" applyFill="1" applyBorder="1"/>
    <xf numFmtId="43" fontId="33" fillId="5" borderId="2" xfId="0" applyNumberFormat="1" applyFont="1" applyFill="1" applyBorder="1"/>
    <xf numFmtId="10" fontId="4" fillId="5" borderId="10" xfId="13" applyNumberFormat="1" applyFont="1" applyFill="1" applyBorder="1" applyAlignment="1">
      <alignment horizontal="right" vertical="center" readingOrder="1"/>
    </xf>
    <xf numFmtId="2" fontId="4" fillId="5" borderId="10" xfId="0" applyNumberFormat="1" applyFont="1" applyFill="1" applyBorder="1" applyAlignment="1">
      <alignment horizontal="right" vertical="center" readingOrder="1"/>
    </xf>
    <xf numFmtId="183" fontId="4" fillId="5" borderId="28" xfId="0" applyNumberFormat="1" applyFont="1" applyFill="1" applyBorder="1"/>
    <xf numFmtId="183" fontId="4" fillId="5" borderId="10" xfId="0" applyNumberFormat="1" applyFont="1" applyFill="1" applyBorder="1"/>
    <xf numFmtId="41" fontId="33" fillId="5" borderId="28" xfId="0" applyNumberFormat="1" applyFont="1" applyFill="1" applyBorder="1"/>
    <xf numFmtId="41" fontId="33" fillId="5" borderId="10" xfId="0" applyNumberFormat="1" applyFont="1" applyFill="1" applyBorder="1"/>
    <xf numFmtId="41" fontId="33" fillId="5" borderId="29" xfId="0" applyNumberFormat="1" applyFont="1" applyFill="1" applyBorder="1"/>
    <xf numFmtId="43" fontId="33" fillId="5" borderId="30" xfId="0" applyNumberFormat="1" applyFont="1" applyFill="1" applyBorder="1"/>
    <xf numFmtId="43" fontId="4" fillId="5" borderId="28" xfId="0" applyNumberFormat="1" applyFont="1" applyFill="1" applyBorder="1"/>
    <xf numFmtId="0" fontId="4" fillId="5" borderId="2" xfId="0" applyFont="1" applyFill="1" applyBorder="1" applyAlignment="1">
      <alignment vertical="center"/>
    </xf>
    <xf numFmtId="183" fontId="4" fillId="5" borderId="2" xfId="0" applyNumberFormat="1" applyFont="1" applyFill="1" applyBorder="1"/>
    <xf numFmtId="0" fontId="4" fillId="5" borderId="9" xfId="0" applyFont="1" applyFill="1" applyBorder="1" applyAlignment="1">
      <alignment vertical="center"/>
    </xf>
    <xf numFmtId="182" fontId="4" fillId="5" borderId="31" xfId="0" applyNumberFormat="1" applyFont="1" applyFill="1" applyBorder="1" applyAlignment="1">
      <alignment vertical="center"/>
    </xf>
    <xf numFmtId="10" fontId="4" fillId="5" borderId="9" xfId="13" applyNumberFormat="1" applyFont="1" applyFill="1" applyBorder="1" applyAlignment="1">
      <alignment horizontal="right" vertical="center" readingOrder="1"/>
    </xf>
    <xf numFmtId="2" fontId="4" fillId="5" borderId="9" xfId="0" applyNumberFormat="1" applyFont="1" applyFill="1" applyBorder="1" applyAlignment="1">
      <alignment horizontal="right" vertical="center" readingOrder="1"/>
    </xf>
    <xf numFmtId="183" fontId="4" fillId="5" borderId="31" xfId="0" applyNumberFormat="1" applyFont="1" applyFill="1" applyBorder="1"/>
    <xf numFmtId="183" fontId="4" fillId="5" borderId="9" xfId="0" applyNumberFormat="1" applyFont="1" applyFill="1" applyBorder="1"/>
    <xf numFmtId="41" fontId="33" fillId="5" borderId="31" xfId="0" applyNumberFormat="1" applyFont="1" applyFill="1" applyBorder="1"/>
    <xf numFmtId="2" fontId="33" fillId="5" borderId="9" xfId="0" applyNumberFormat="1" applyFont="1" applyFill="1" applyBorder="1"/>
    <xf numFmtId="41" fontId="33" fillId="5" borderId="9" xfId="0" applyNumberFormat="1" applyFont="1" applyFill="1" applyBorder="1"/>
    <xf numFmtId="41" fontId="33" fillId="5" borderId="32" xfId="0" applyNumberFormat="1" applyFont="1" applyFill="1" applyBorder="1"/>
    <xf numFmtId="43" fontId="33" fillId="5" borderId="32" xfId="0" applyNumberFormat="1" applyFont="1" applyFill="1" applyBorder="1"/>
    <xf numFmtId="43" fontId="4" fillId="5" borderId="31" xfId="0" applyNumberFormat="1" applyFont="1" applyFill="1" applyBorder="1"/>
    <xf numFmtId="0" fontId="4" fillId="5" borderId="10" xfId="0" applyFont="1" applyFill="1" applyBorder="1" applyAlignment="1">
      <alignment vertical="center"/>
    </xf>
    <xf numFmtId="182" fontId="4" fillId="5" borderId="28" xfId="0" applyNumberFormat="1" applyFont="1" applyFill="1" applyBorder="1" applyAlignment="1">
      <alignment vertical="center"/>
    </xf>
    <xf numFmtId="0" fontId="34" fillId="5" borderId="21" xfId="0" applyFont="1" applyFill="1" applyBorder="1" applyAlignment="1">
      <alignment horizontal="center" vertical="center" textRotation="90"/>
    </xf>
    <xf numFmtId="0" fontId="4" fillId="5" borderId="21" xfId="0" applyFont="1" applyFill="1" applyBorder="1" applyAlignment="1">
      <alignment vertical="center"/>
    </xf>
    <xf numFmtId="164" fontId="4" fillId="5" borderId="6" xfId="0" applyNumberFormat="1" applyFont="1" applyFill="1" applyBorder="1" applyAlignment="1">
      <alignment vertical="center"/>
    </xf>
    <xf numFmtId="10" fontId="4" fillId="5" borderId="21" xfId="13" applyNumberFormat="1" applyFont="1" applyFill="1" applyBorder="1" applyAlignment="1">
      <alignment horizontal="right" vertical="center" readingOrder="1"/>
    </xf>
    <xf numFmtId="2" fontId="4" fillId="5" borderId="21" xfId="0" applyNumberFormat="1" applyFont="1" applyFill="1" applyBorder="1" applyAlignment="1">
      <alignment horizontal="right" vertical="center" readingOrder="1"/>
    </xf>
    <xf numFmtId="10" fontId="4" fillId="5" borderId="6" xfId="0" applyNumberFormat="1" applyFont="1" applyFill="1" applyBorder="1"/>
    <xf numFmtId="10" fontId="4" fillId="5" borderId="21" xfId="0" applyNumberFormat="1" applyFont="1" applyFill="1" applyBorder="1"/>
    <xf numFmtId="0" fontId="33" fillId="5" borderId="21" xfId="0" applyFont="1" applyFill="1" applyBorder="1"/>
    <xf numFmtId="0" fontId="33" fillId="5" borderId="22" xfId="0" applyFont="1" applyFill="1" applyBorder="1"/>
    <xf numFmtId="3" fontId="33" fillId="5" borderId="21" xfId="0" applyNumberFormat="1" applyFont="1" applyFill="1" applyBorder="1"/>
    <xf numFmtId="43" fontId="4" fillId="5" borderId="6" xfId="0" applyNumberFormat="1" applyFont="1" applyFill="1" applyBorder="1"/>
    <xf numFmtId="0" fontId="4" fillId="5" borderId="21" xfId="0" applyFont="1" applyFill="1" applyBorder="1"/>
    <xf numFmtId="183" fontId="4" fillId="5" borderId="1" xfId="22" applyNumberFormat="1" applyFont="1" applyFill="1" applyBorder="1"/>
    <xf numFmtId="9" fontId="4" fillId="5" borderId="0" xfId="13" applyFont="1" applyFill="1" applyBorder="1" applyAlignment="1">
      <alignment vertical="center" readingOrder="1"/>
    </xf>
    <xf numFmtId="0" fontId="4" fillId="5" borderId="0" xfId="0" applyFont="1" applyFill="1" applyAlignment="1">
      <alignment horizontal="center" vertical="center" readingOrder="1"/>
    </xf>
    <xf numFmtId="183" fontId="64" fillId="5" borderId="0" xfId="22" applyNumberFormat="1" applyFont="1" applyFill="1"/>
    <xf numFmtId="2" fontId="64" fillId="5" borderId="0" xfId="22" applyNumberFormat="1" applyFont="1" applyFill="1"/>
    <xf numFmtId="0" fontId="65" fillId="5" borderId="0" xfId="0" applyFont="1" applyFill="1"/>
    <xf numFmtId="183" fontId="33" fillId="5" borderId="0" xfId="0" applyNumberFormat="1" applyFont="1" applyFill="1"/>
    <xf numFmtId="183" fontId="4" fillId="5" borderId="0" xfId="22" applyNumberFormat="1" applyFont="1" applyFill="1"/>
    <xf numFmtId="9" fontId="4" fillId="5" borderId="0" xfId="13" applyFont="1" applyFill="1"/>
    <xf numFmtId="9" fontId="66" fillId="5" borderId="0" xfId="13" applyFont="1" applyFill="1"/>
    <xf numFmtId="3" fontId="4" fillId="5" borderId="0" xfId="0" applyNumberFormat="1" applyFont="1" applyFill="1"/>
    <xf numFmtId="10" fontId="4" fillId="5" borderId="0" xfId="0" applyNumberFormat="1" applyFont="1" applyFill="1"/>
    <xf numFmtId="3" fontId="34" fillId="5" borderId="7" xfId="0" applyNumberFormat="1" applyFont="1" applyFill="1" applyBorder="1"/>
    <xf numFmtId="43" fontId="4" fillId="5" borderId="7" xfId="0" applyNumberFormat="1" applyFont="1" applyFill="1" applyBorder="1"/>
    <xf numFmtId="2" fontId="67" fillId="5" borderId="0" xfId="0" applyNumberFormat="1" applyFont="1" applyFill="1" applyAlignment="1">
      <alignment horizontal="right"/>
    </xf>
    <xf numFmtId="0" fontId="33" fillId="5" borderId="0" xfId="0" applyFont="1" applyFill="1" applyAlignment="1">
      <alignment horizontal="right" wrapText="1"/>
    </xf>
    <xf numFmtId="10" fontId="33" fillId="5" borderId="0" xfId="0" applyNumberFormat="1" applyFont="1" applyFill="1" applyAlignment="1">
      <alignment horizontal="right" wrapText="1"/>
    </xf>
    <xf numFmtId="2" fontId="4" fillId="5" borderId="0" xfId="0" applyNumberFormat="1" applyFont="1" applyFill="1" applyAlignment="1">
      <alignment horizontal="right" wrapText="1"/>
    </xf>
    <xf numFmtId="166" fontId="4" fillId="5" borderId="0" xfId="0" applyNumberFormat="1" applyFont="1" applyFill="1" applyAlignment="1">
      <alignment horizontal="right"/>
    </xf>
    <xf numFmtId="2" fontId="4" fillId="4" borderId="0" xfId="0" applyNumberFormat="1" applyFont="1" applyFill="1" applyAlignment="1">
      <alignment horizontal="right"/>
    </xf>
    <xf numFmtId="2" fontId="67" fillId="4" borderId="0" xfId="0" applyNumberFormat="1" applyFont="1" applyFill="1" applyAlignment="1">
      <alignment horizontal="right"/>
    </xf>
    <xf numFmtId="2" fontId="33" fillId="4" borderId="0" xfId="0" applyNumberFormat="1" applyFont="1" applyFill="1" applyAlignment="1">
      <alignment horizontal="right" wrapText="1"/>
    </xf>
    <xf numFmtId="10" fontId="33" fillId="4" borderId="0" xfId="0" applyNumberFormat="1" applyFont="1" applyFill="1" applyAlignment="1">
      <alignment horizontal="right"/>
    </xf>
    <xf numFmtId="10" fontId="4" fillId="5" borderId="0" xfId="0" applyNumberFormat="1" applyFont="1" applyFill="1" applyAlignment="1">
      <alignment horizontal="right"/>
    </xf>
    <xf numFmtId="2" fontId="4" fillId="3" borderId="0" xfId="0" applyNumberFormat="1" applyFont="1" applyFill="1" applyAlignment="1">
      <alignment horizontal="right"/>
    </xf>
    <xf numFmtId="10" fontId="4" fillId="4" borderId="0" xfId="0" applyNumberFormat="1" applyFont="1" applyFill="1" applyAlignment="1">
      <alignment horizontal="right"/>
    </xf>
    <xf numFmtId="2" fontId="37" fillId="4" borderId="0" xfId="0" applyNumberFormat="1" applyFont="1" applyFill="1" applyAlignment="1">
      <alignment horizontal="right"/>
    </xf>
    <xf numFmtId="10" fontId="37" fillId="4" borderId="0" xfId="0" applyNumberFormat="1" applyFont="1" applyFill="1" applyAlignment="1">
      <alignment horizontal="right"/>
    </xf>
    <xf numFmtId="165" fontId="4" fillId="5" borderId="0" xfId="0" applyNumberFormat="1" applyFont="1" applyFill="1" applyAlignment="1">
      <alignment horizontal="right"/>
    </xf>
    <xf numFmtId="0" fontId="4" fillId="11" borderId="0" xfId="0" applyFont="1" applyFill="1" applyAlignment="1">
      <alignment horizontal="right"/>
    </xf>
    <xf numFmtId="2" fontId="4" fillId="11" borderId="0" xfId="0" applyNumberFormat="1" applyFont="1" applyFill="1" applyAlignment="1">
      <alignment horizontal="right"/>
    </xf>
    <xf numFmtId="2" fontId="67" fillId="11" borderId="0" xfId="0" applyNumberFormat="1" applyFont="1" applyFill="1" applyAlignment="1">
      <alignment horizontal="right"/>
    </xf>
    <xf numFmtId="10" fontId="4" fillId="11" borderId="0" xfId="0" applyNumberFormat="1" applyFont="1" applyFill="1" applyAlignment="1">
      <alignment horizontal="right"/>
    </xf>
    <xf numFmtId="0" fontId="68" fillId="5" borderId="0" xfId="0" applyFont="1" applyFill="1"/>
    <xf numFmtId="167" fontId="68" fillId="5" borderId="0" xfId="0" applyNumberFormat="1" applyFont="1" applyFill="1"/>
    <xf numFmtId="167" fontId="55" fillId="6" borderId="0" xfId="0" applyNumberFormat="1" applyFont="1" applyFill="1"/>
    <xf numFmtId="2" fontId="68" fillId="5" borderId="0" xfId="0" applyNumberFormat="1" applyFont="1" applyFill="1"/>
    <xf numFmtId="0" fontId="68" fillId="5" borderId="0" xfId="0" applyFont="1" applyFill="1" applyAlignment="1">
      <alignment horizontal="right"/>
    </xf>
    <xf numFmtId="0" fontId="69" fillId="5" borderId="0" xfId="0" applyFont="1" applyFill="1"/>
    <xf numFmtId="0" fontId="69" fillId="5" borderId="0" xfId="0" quotePrefix="1" applyFont="1" applyFill="1"/>
    <xf numFmtId="0" fontId="37" fillId="5" borderId="0" xfId="0" applyFont="1" applyFill="1" applyAlignment="1">
      <alignment horizontal="right"/>
    </xf>
    <xf numFmtId="165" fontId="33" fillId="4" borderId="0" xfId="0" applyNumberFormat="1" applyFont="1" applyFill="1"/>
    <xf numFmtId="184" fontId="33" fillId="4" borderId="0" xfId="0" applyNumberFormat="1" applyFont="1" applyFill="1"/>
    <xf numFmtId="2" fontId="50" fillId="5" borderId="0" xfId="0" applyNumberFormat="1" applyFont="1" applyFill="1" applyAlignment="1">
      <alignment horizontal="left"/>
    </xf>
    <xf numFmtId="2" fontId="52" fillId="5" borderId="0" xfId="0" applyNumberFormat="1" applyFont="1" applyFill="1" applyAlignment="1">
      <alignment horizontal="left" vertical="center"/>
    </xf>
    <xf numFmtId="2" fontId="52" fillId="5" borderId="0" xfId="0" applyNumberFormat="1" applyFont="1" applyFill="1" applyAlignment="1">
      <alignment horizontal="left"/>
    </xf>
    <xf numFmtId="2" fontId="50" fillId="5" borderId="0" xfId="0" applyNumberFormat="1" applyFont="1" applyFill="1" applyAlignment="1">
      <alignment horizontal="left" vertical="center"/>
    </xf>
    <xf numFmtId="2" fontId="36" fillId="5" borderId="0" xfId="15" applyNumberFormat="1" applyFill="1" applyBorder="1" applyAlignment="1" applyProtection="1">
      <alignment horizontal="left"/>
    </xf>
    <xf numFmtId="2" fontId="50" fillId="5" borderId="0" xfId="0" applyNumberFormat="1" applyFont="1" applyFill="1" applyAlignment="1">
      <alignment horizontal="right"/>
    </xf>
    <xf numFmtId="2" fontId="50" fillId="4" borderId="0" xfId="0" applyNumberFormat="1" applyFont="1" applyFill="1" applyAlignment="1">
      <alignment horizontal="right"/>
    </xf>
    <xf numFmtId="166" fontId="50" fillId="5" borderId="0" xfId="0" applyNumberFormat="1" applyFont="1" applyFill="1" applyAlignment="1">
      <alignment horizontal="left"/>
    </xf>
    <xf numFmtId="166" fontId="50" fillId="5" borderId="0" xfId="0" applyNumberFormat="1" applyFont="1" applyFill="1" applyAlignment="1">
      <alignment horizontal="right"/>
    </xf>
    <xf numFmtId="166" fontId="50" fillId="4" borderId="0" xfId="0" applyNumberFormat="1" applyFont="1" applyFill="1" applyAlignment="1">
      <alignment horizontal="right"/>
    </xf>
    <xf numFmtId="166" fontId="50" fillId="12" borderId="0" xfId="0" applyNumberFormat="1" applyFont="1" applyFill="1" applyAlignment="1">
      <alignment horizontal="right"/>
    </xf>
    <xf numFmtId="1" fontId="50" fillId="4" borderId="0" xfId="0" applyNumberFormat="1" applyFont="1" applyFill="1" applyAlignment="1">
      <alignment horizontal="left"/>
    </xf>
    <xf numFmtId="9" fontId="50" fillId="5" borderId="0" xfId="0" applyNumberFormat="1" applyFont="1" applyFill="1" applyAlignment="1">
      <alignment horizontal="left"/>
    </xf>
    <xf numFmtId="2" fontId="50" fillId="5" borderId="0" xfId="0" pivotButton="1" applyNumberFormat="1" applyFont="1" applyFill="1" applyAlignment="1">
      <alignment horizontal="left"/>
    </xf>
    <xf numFmtId="2" fontId="50" fillId="4" borderId="0" xfId="0" applyNumberFormat="1" applyFont="1" applyFill="1" applyAlignment="1">
      <alignment horizontal="left"/>
    </xf>
    <xf numFmtId="10" fontId="33" fillId="5" borderId="0" xfId="0" applyNumberFormat="1" applyFont="1" applyFill="1" applyAlignment="1">
      <alignment vertical="center" wrapText="1"/>
    </xf>
    <xf numFmtId="41" fontId="4" fillId="5" borderId="7" xfId="0" applyNumberFormat="1" applyFont="1" applyFill="1" applyBorder="1"/>
    <xf numFmtId="165" fontId="66" fillId="5" borderId="0" xfId="13" applyNumberFormat="1" applyFont="1" applyFill="1"/>
    <xf numFmtId="2" fontId="5" fillId="4" borderId="0" xfId="0" applyNumberFormat="1" applyFont="1" applyFill="1" applyAlignment="1">
      <alignment horizontal="right" vertical="center"/>
    </xf>
    <xf numFmtId="2" fontId="33" fillId="13" borderId="0" xfId="0" applyNumberFormat="1" applyFont="1" applyFill="1"/>
    <xf numFmtId="0" fontId="0" fillId="5" borderId="0" xfId="0" applyFill="1" applyAlignment="1">
      <alignment horizontal="right"/>
    </xf>
    <xf numFmtId="0" fontId="0" fillId="4" borderId="0" xfId="0" applyFill="1" applyAlignment="1">
      <alignment horizontal="right"/>
    </xf>
    <xf numFmtId="0" fontId="34" fillId="4" borderId="0" xfId="0" applyFont="1" applyFill="1" applyAlignment="1">
      <alignment horizontal="right"/>
    </xf>
    <xf numFmtId="0" fontId="33" fillId="14" borderId="0" xfId="0" applyFont="1" applyFill="1"/>
    <xf numFmtId="0" fontId="52" fillId="14" borderId="0" xfId="0" applyFont="1" applyFill="1" applyAlignment="1">
      <alignment horizontal="center"/>
    </xf>
    <xf numFmtId="0" fontId="50" fillId="14" borderId="0" xfId="0" applyFont="1" applyFill="1"/>
    <xf numFmtId="10" fontId="50" fillId="14" borderId="0" xfId="13" applyNumberFormat="1" applyFont="1" applyFill="1" applyBorder="1" applyAlignment="1">
      <alignment horizontal="center"/>
    </xf>
    <xf numFmtId="169" fontId="50" fillId="14" borderId="0" xfId="13" applyNumberFormat="1" applyFont="1" applyFill="1" applyBorder="1" applyAlignment="1">
      <alignment horizontal="center"/>
    </xf>
    <xf numFmtId="165" fontId="50" fillId="14" borderId="0" xfId="0" applyNumberFormat="1" applyFont="1" applyFill="1"/>
    <xf numFmtId="165" fontId="50" fillId="14" borderId="0" xfId="0" applyNumberFormat="1" applyFont="1" applyFill="1" applyAlignment="1">
      <alignment horizontal="center"/>
    </xf>
    <xf numFmtId="167" fontId="50" fillId="14" borderId="0" xfId="0" applyNumberFormat="1" applyFont="1" applyFill="1" applyAlignment="1">
      <alignment horizontal="center"/>
    </xf>
    <xf numFmtId="0" fontId="50" fillId="14" borderId="0" xfId="0" applyFont="1" applyFill="1" applyAlignment="1">
      <alignment horizontal="center"/>
    </xf>
    <xf numFmtId="2" fontId="50" fillId="14" borderId="0" xfId="0" applyNumberFormat="1" applyFont="1" applyFill="1" applyAlignment="1">
      <alignment horizontal="center"/>
    </xf>
    <xf numFmtId="10" fontId="50" fillId="14" borderId="0" xfId="0" applyNumberFormat="1" applyFont="1" applyFill="1"/>
    <xf numFmtId="0" fontId="47" fillId="14" borderId="0" xfId="0" applyFont="1" applyFill="1"/>
    <xf numFmtId="0" fontId="52" fillId="14" borderId="0" xfId="0" applyFont="1" applyFill="1"/>
    <xf numFmtId="167" fontId="50" fillId="14" borderId="0" xfId="0" applyNumberFormat="1" applyFont="1" applyFill="1" applyAlignment="1">
      <alignment horizontal="right" indent="2"/>
    </xf>
    <xf numFmtId="167" fontId="52" fillId="14" borderId="0" xfId="0" applyNumberFormat="1" applyFont="1" applyFill="1" applyAlignment="1">
      <alignment horizontal="right" indent="2"/>
    </xf>
    <xf numFmtId="0" fontId="50" fillId="14" borderId="0" xfId="0" applyFont="1" applyFill="1" applyAlignment="1">
      <alignment horizontal="right" wrapText="1"/>
    </xf>
    <xf numFmtId="0" fontId="50" fillId="14" borderId="0" xfId="0" applyFont="1" applyFill="1" applyAlignment="1">
      <alignment horizontal="center" wrapText="1"/>
    </xf>
    <xf numFmtId="167" fontId="50" fillId="14" borderId="0" xfId="0" applyNumberFormat="1" applyFont="1" applyFill="1"/>
    <xf numFmtId="167" fontId="52" fillId="14" borderId="0" xfId="0" applyNumberFormat="1" applyFont="1" applyFill="1"/>
    <xf numFmtId="0" fontId="53" fillId="14" borderId="0" xfId="0" applyFont="1" applyFill="1"/>
    <xf numFmtId="167" fontId="50" fillId="14" borderId="0" xfId="0" applyNumberFormat="1" applyFont="1" applyFill="1" applyAlignment="1">
      <alignment horizontal="right" indent="3"/>
    </xf>
    <xf numFmtId="167" fontId="52" fillId="14" borderId="0" xfId="0" applyNumberFormat="1" applyFont="1" applyFill="1" applyAlignment="1">
      <alignment horizontal="right" indent="3"/>
    </xf>
    <xf numFmtId="0" fontId="50" fillId="14" borderId="0" xfId="0" applyFont="1" applyFill="1" applyAlignment="1">
      <alignment horizontal="left"/>
    </xf>
    <xf numFmtId="0" fontId="50" fillId="3" borderId="0" xfId="0" applyFont="1" applyFill="1"/>
    <xf numFmtId="0" fontId="33" fillId="3" borderId="0" xfId="0" applyFont="1" applyFill="1"/>
    <xf numFmtId="0" fontId="52" fillId="3" borderId="0" xfId="0" applyFont="1" applyFill="1" applyAlignment="1">
      <alignment horizontal="center"/>
    </xf>
    <xf numFmtId="2" fontId="50" fillId="3" borderId="0" xfId="13" applyNumberFormat="1" applyFont="1" applyFill="1" applyBorder="1" applyAlignment="1">
      <alignment horizontal="center"/>
    </xf>
    <xf numFmtId="165" fontId="50" fillId="3" borderId="0" xfId="0" applyNumberFormat="1" applyFont="1" applyFill="1" applyAlignment="1">
      <alignment horizontal="center"/>
    </xf>
    <xf numFmtId="178" fontId="50" fillId="3" borderId="0" xfId="0" applyNumberFormat="1" applyFont="1" applyFill="1" applyAlignment="1">
      <alignment horizontal="center"/>
    </xf>
    <xf numFmtId="167" fontId="50" fillId="3" borderId="0" xfId="0" applyNumberFormat="1" applyFont="1" applyFill="1" applyAlignment="1">
      <alignment horizontal="center"/>
    </xf>
    <xf numFmtId="0" fontId="50" fillId="3" borderId="0" xfId="0" applyFont="1" applyFill="1" applyAlignment="1">
      <alignment horizontal="center"/>
    </xf>
    <xf numFmtId="2" fontId="50" fillId="3" borderId="0" xfId="0" applyNumberFormat="1" applyFont="1" applyFill="1" applyAlignment="1">
      <alignment horizontal="center"/>
    </xf>
    <xf numFmtId="10" fontId="50" fillId="3" borderId="0" xfId="0" applyNumberFormat="1" applyFont="1" applyFill="1"/>
    <xf numFmtId="2" fontId="33" fillId="3" borderId="0" xfId="0" applyNumberFormat="1" applyFont="1" applyFill="1"/>
    <xf numFmtId="2" fontId="47" fillId="3" borderId="0" xfId="0" applyNumberFormat="1" applyFont="1" applyFill="1"/>
    <xf numFmtId="0" fontId="52" fillId="3" borderId="0" xfId="0" applyFont="1" applyFill="1"/>
    <xf numFmtId="0" fontId="52" fillId="3" borderId="0" xfId="0" applyFont="1" applyFill="1" applyAlignment="1">
      <alignment vertical="center" wrapText="1"/>
    </xf>
    <xf numFmtId="167" fontId="50" fillId="3" borderId="0" xfId="0" applyNumberFormat="1" applyFont="1" applyFill="1" applyAlignment="1">
      <alignment horizontal="right" indent="2"/>
    </xf>
    <xf numFmtId="2" fontId="50" fillId="3" borderId="0" xfId="0" applyNumberFormat="1" applyFont="1" applyFill="1"/>
    <xf numFmtId="165" fontId="50" fillId="3" borderId="0" xfId="0" applyNumberFormat="1" applyFont="1" applyFill="1"/>
    <xf numFmtId="165" fontId="70" fillId="5" borderId="0" xfId="0" applyNumberFormat="1" applyFont="1" applyFill="1" applyAlignment="1">
      <alignment horizontal="center"/>
    </xf>
    <xf numFmtId="2" fontId="33" fillId="4" borderId="0" xfId="0" applyNumberFormat="1" applyFont="1" applyFill="1"/>
    <xf numFmtId="10" fontId="5" fillId="4" borderId="0" xfId="13" applyNumberFormat="1" applyFont="1" applyFill="1" applyBorder="1" applyAlignment="1">
      <alignment horizontal="center" vertical="center"/>
    </xf>
    <xf numFmtId="165" fontId="5" fillId="4" borderId="0" xfId="0" applyNumberFormat="1" applyFont="1" applyFill="1" applyAlignment="1">
      <alignment horizontal="center" vertical="center"/>
    </xf>
    <xf numFmtId="2" fontId="33" fillId="15" borderId="0" xfId="0" applyNumberFormat="1" applyFont="1" applyFill="1"/>
    <xf numFmtId="0" fontId="0" fillId="5" borderId="7" xfId="0" applyFill="1" applyBorder="1"/>
    <xf numFmtId="9" fontId="48" fillId="5" borderId="0" xfId="13" applyFont="1" applyFill="1"/>
    <xf numFmtId="183" fontId="48" fillId="5" borderId="0" xfId="13" applyNumberFormat="1" applyFont="1" applyFill="1"/>
    <xf numFmtId="2" fontId="48" fillId="5" borderId="0" xfId="13" applyNumberFormat="1" applyFont="1" applyFill="1"/>
    <xf numFmtId="183" fontId="48" fillId="5" borderId="0" xfId="0" applyNumberFormat="1" applyFont="1" applyFill="1"/>
    <xf numFmtId="41" fontId="66" fillId="5" borderId="0" xfId="13" applyNumberFormat="1" applyFont="1" applyFill="1"/>
    <xf numFmtId="43" fontId="66" fillId="5" borderId="0" xfId="13" applyNumberFormat="1" applyFont="1" applyFill="1"/>
    <xf numFmtId="0" fontId="66" fillId="5" borderId="0" xfId="13" applyNumberFormat="1" applyFont="1" applyFill="1"/>
    <xf numFmtId="0" fontId="34" fillId="10" borderId="0" xfId="0" applyFont="1" applyFill="1" applyAlignment="1">
      <alignment wrapText="1"/>
    </xf>
    <xf numFmtId="0" fontId="34" fillId="10" borderId="1" xfId="0" applyFont="1" applyFill="1" applyBorder="1" applyAlignment="1">
      <alignment wrapText="1"/>
    </xf>
    <xf numFmtId="0" fontId="34" fillId="10" borderId="2" xfId="0" applyFont="1" applyFill="1" applyBorder="1" applyAlignment="1">
      <alignment wrapText="1"/>
    </xf>
    <xf numFmtId="0" fontId="34" fillId="10" borderId="6" xfId="0" applyFont="1" applyFill="1" applyBorder="1" applyAlignment="1">
      <alignment wrapText="1"/>
    </xf>
    <xf numFmtId="0" fontId="34" fillId="10" borderId="21" xfId="0" applyFont="1" applyFill="1" applyBorder="1" applyAlignment="1">
      <alignment wrapText="1"/>
    </xf>
    <xf numFmtId="0" fontId="34" fillId="10" borderId="22" xfId="0" applyFont="1" applyFill="1" applyBorder="1" applyAlignment="1">
      <alignment wrapText="1"/>
    </xf>
    <xf numFmtId="43" fontId="4" fillId="5" borderId="0" xfId="0" applyNumberFormat="1" applyFont="1" applyFill="1"/>
    <xf numFmtId="41" fontId="4" fillId="5" borderId="0" xfId="0" applyNumberFormat="1" applyFont="1" applyFill="1"/>
    <xf numFmtId="0" fontId="0" fillId="5" borderId="33" xfId="0" applyFill="1" applyBorder="1" applyAlignment="1">
      <alignment horizontal="left"/>
    </xf>
    <xf numFmtId="0" fontId="0" fillId="5" borderId="33" xfId="0" applyFill="1" applyBorder="1"/>
    <xf numFmtId="10" fontId="0" fillId="5" borderId="0" xfId="0" applyNumberFormat="1" applyFill="1"/>
    <xf numFmtId="0" fontId="71" fillId="5" borderId="0" xfId="0" applyFont="1" applyFill="1"/>
    <xf numFmtId="0" fontId="72" fillId="5" borderId="0" xfId="0" applyFont="1" applyFill="1"/>
    <xf numFmtId="0" fontId="71" fillId="4" borderId="0" xfId="0" applyFont="1" applyFill="1"/>
    <xf numFmtId="0" fontId="71" fillId="4" borderId="0" xfId="0" applyFont="1" applyFill="1" applyAlignment="1">
      <alignment horizontal="right"/>
    </xf>
    <xf numFmtId="10" fontId="0" fillId="5" borderId="33" xfId="0" applyNumberFormat="1" applyFill="1" applyBorder="1"/>
    <xf numFmtId="1" fontId="0" fillId="5" borderId="33" xfId="0" applyNumberFormat="1" applyFill="1" applyBorder="1"/>
    <xf numFmtId="0" fontId="49" fillId="10" borderId="0" xfId="0" applyFont="1" applyFill="1" applyAlignment="1">
      <alignment wrapText="1"/>
    </xf>
    <xf numFmtId="0" fontId="73" fillId="5" borderId="0" xfId="0" applyFont="1" applyFill="1"/>
    <xf numFmtId="10" fontId="73" fillId="5" borderId="0" xfId="0" applyNumberFormat="1" applyFont="1" applyFill="1"/>
    <xf numFmtId="0" fontId="4" fillId="5" borderId="7" xfId="0" applyFont="1" applyFill="1" applyBorder="1" applyAlignment="1">
      <alignment horizontal="center" wrapText="1"/>
    </xf>
    <xf numFmtId="0" fontId="49" fillId="10" borderId="7" xfId="0" applyFont="1" applyFill="1" applyBorder="1" applyAlignment="1">
      <alignment wrapText="1"/>
    </xf>
    <xf numFmtId="0" fontId="71" fillId="5" borderId="7" xfId="0" applyFont="1" applyFill="1" applyBorder="1"/>
    <xf numFmtId="41" fontId="0" fillId="5" borderId="7" xfId="0" applyNumberFormat="1" applyFill="1" applyBorder="1"/>
    <xf numFmtId="1" fontId="4" fillId="5" borderId="7" xfId="0" applyNumberFormat="1" applyFont="1" applyFill="1" applyBorder="1"/>
    <xf numFmtId="41" fontId="0" fillId="5" borderId="0" xfId="0" applyNumberFormat="1" applyFill="1" applyAlignment="1">
      <alignment horizontal="right" vertical="top"/>
    </xf>
    <xf numFmtId="41" fontId="0" fillId="5" borderId="0" xfId="0" applyNumberFormat="1" applyFill="1" applyAlignment="1">
      <alignment horizontal="right"/>
    </xf>
    <xf numFmtId="0" fontId="0" fillId="5" borderId="33" xfId="0" applyFill="1" applyBorder="1" applyAlignment="1">
      <alignment horizontal="right"/>
    </xf>
    <xf numFmtId="1" fontId="0" fillId="5" borderId="33" xfId="0" applyNumberFormat="1" applyFill="1" applyBorder="1" applyAlignment="1">
      <alignment horizontal="right"/>
    </xf>
    <xf numFmtId="2" fontId="0" fillId="5" borderId="33" xfId="0" applyNumberFormat="1" applyFill="1" applyBorder="1" applyAlignment="1">
      <alignment horizontal="right"/>
    </xf>
    <xf numFmtId="1" fontId="0" fillId="5" borderId="0" xfId="0" applyNumberFormat="1" applyFill="1" applyAlignment="1">
      <alignment horizontal="right"/>
    </xf>
    <xf numFmtId="0" fontId="76" fillId="5" borderId="0" xfId="0" applyFont="1" applyFill="1" applyAlignment="1">
      <alignment horizontal="right"/>
    </xf>
    <xf numFmtId="0" fontId="77" fillId="5" borderId="0" xfId="0" applyFont="1" applyFill="1" applyAlignment="1">
      <alignment horizontal="right"/>
    </xf>
    <xf numFmtId="10" fontId="0" fillId="5" borderId="0" xfId="0" applyNumberFormat="1" applyFill="1" applyAlignment="1">
      <alignment horizontal="right"/>
    </xf>
    <xf numFmtId="2" fontId="76" fillId="5" borderId="0" xfId="0" applyNumberFormat="1" applyFont="1" applyFill="1" applyAlignment="1">
      <alignment horizontal="right"/>
    </xf>
    <xf numFmtId="2" fontId="77" fillId="5" borderId="0" xfId="0" applyNumberFormat="1" applyFont="1" applyFill="1" applyAlignment="1">
      <alignment horizontal="right"/>
    </xf>
    <xf numFmtId="0" fontId="0" fillId="4" borderId="0" xfId="0" applyFill="1" applyAlignment="1">
      <alignment horizontal="right" wrapText="1"/>
    </xf>
    <xf numFmtId="2" fontId="0" fillId="5" borderId="0" xfId="0" applyNumberFormat="1" applyFill="1" applyAlignment="1">
      <alignment horizontal="right" wrapText="1"/>
    </xf>
    <xf numFmtId="2" fontId="71" fillId="5" borderId="0" xfId="0" applyNumberFormat="1" applyFont="1" applyFill="1" applyAlignment="1">
      <alignment horizontal="right"/>
    </xf>
    <xf numFmtId="2" fontId="0" fillId="4" borderId="0" xfId="0" applyNumberFormat="1" applyFill="1" applyAlignment="1">
      <alignment horizontal="right" wrapText="1"/>
    </xf>
    <xf numFmtId="0" fontId="0" fillId="5" borderId="0" xfId="0" applyFill="1" applyAlignment="1">
      <alignment horizontal="right" wrapText="1"/>
    </xf>
    <xf numFmtId="43" fontId="0" fillId="5" borderId="0" xfId="0" applyNumberFormat="1" applyFill="1" applyAlignment="1">
      <alignment horizontal="right"/>
    </xf>
    <xf numFmtId="0" fontId="5" fillId="4" borderId="0" xfId="0" applyFont="1" applyFill="1" applyAlignment="1">
      <alignment horizontal="right"/>
    </xf>
    <xf numFmtId="2" fontId="5" fillId="4" borderId="0" xfId="0" applyNumberFormat="1" applyFont="1" applyFill="1" applyAlignment="1">
      <alignment horizontal="right"/>
    </xf>
    <xf numFmtId="0" fontId="71" fillId="5" borderId="0" xfId="0" applyFont="1" applyFill="1" applyAlignment="1">
      <alignment horizontal="right"/>
    </xf>
    <xf numFmtId="2" fontId="55" fillId="12" borderId="0" xfId="0" applyNumberFormat="1" applyFont="1" applyFill="1"/>
    <xf numFmtId="2" fontId="5" fillId="5" borderId="0" xfId="0" applyNumberFormat="1" applyFont="1" applyFill="1" applyAlignment="1">
      <alignment horizontal="right" vertical="center"/>
    </xf>
    <xf numFmtId="165" fontId="67" fillId="5" borderId="0" xfId="0" applyNumberFormat="1" applyFont="1" applyFill="1" applyAlignment="1">
      <alignment horizontal="right"/>
    </xf>
    <xf numFmtId="2" fontId="33" fillId="11" borderId="0" xfId="0" applyNumberFormat="1" applyFont="1" applyFill="1" applyAlignment="1">
      <alignment horizontal="right"/>
    </xf>
    <xf numFmtId="2" fontId="5" fillId="5" borderId="0" xfId="0" applyNumberFormat="1" applyFont="1" applyFill="1" applyAlignment="1">
      <alignment horizontal="center" vertical="center"/>
    </xf>
    <xf numFmtId="2" fontId="4" fillId="6" borderId="0" xfId="0" applyNumberFormat="1" applyFont="1" applyFill="1" applyAlignment="1">
      <alignment horizontal="right"/>
    </xf>
    <xf numFmtId="0" fontId="5" fillId="11" borderId="0" xfId="0" applyFont="1" applyFill="1" applyAlignment="1">
      <alignment horizontal="right"/>
    </xf>
    <xf numFmtId="10" fontId="33" fillId="11" borderId="0" xfId="0" applyNumberFormat="1" applyFont="1" applyFill="1" applyAlignment="1">
      <alignment horizontal="right"/>
    </xf>
    <xf numFmtId="167" fontId="55" fillId="12" borderId="0" xfId="0" applyNumberFormat="1" applyFont="1" applyFill="1"/>
    <xf numFmtId="2" fontId="5" fillId="5" borderId="0" xfId="0" applyNumberFormat="1" applyFont="1" applyFill="1" applyAlignment="1">
      <alignment horizontal="center" vertical="center" wrapText="1"/>
    </xf>
    <xf numFmtId="2" fontId="78" fillId="4" borderId="0" xfId="0" applyNumberFormat="1" applyFont="1" applyFill="1" applyAlignment="1">
      <alignment horizontal="right"/>
    </xf>
    <xf numFmtId="2" fontId="34" fillId="4" borderId="0" xfId="0" applyNumberFormat="1" applyFont="1" applyFill="1" applyAlignment="1">
      <alignment horizontal="right" wrapText="1"/>
    </xf>
    <xf numFmtId="10" fontId="34" fillId="4" borderId="0" xfId="0" applyNumberFormat="1" applyFont="1" applyFill="1" applyAlignment="1">
      <alignment horizontal="right"/>
    </xf>
    <xf numFmtId="2" fontId="5" fillId="5" borderId="0" xfId="0" applyNumberFormat="1" applyFont="1" applyFill="1" applyAlignment="1">
      <alignment horizontal="right"/>
    </xf>
    <xf numFmtId="2" fontId="79" fillId="5" borderId="0" xfId="0" applyNumberFormat="1" applyFont="1" applyFill="1" applyAlignment="1">
      <alignment horizontal="right"/>
    </xf>
    <xf numFmtId="0" fontId="20" fillId="16" borderId="0" xfId="2" applyFont="1" applyFill="1"/>
    <xf numFmtId="0" fontId="23" fillId="16" borderId="0" xfId="2" applyFont="1" applyFill="1"/>
    <xf numFmtId="0" fontId="80" fillId="16" borderId="0" xfId="2" applyFont="1" applyFill="1"/>
    <xf numFmtId="0" fontId="13" fillId="16" borderId="0" xfId="2" applyFont="1" applyFill="1"/>
    <xf numFmtId="177" fontId="23" fillId="16" borderId="0" xfId="2" applyNumberFormat="1" applyFont="1" applyFill="1"/>
    <xf numFmtId="0" fontId="81" fillId="16" borderId="0" xfId="2" applyFont="1" applyFill="1"/>
    <xf numFmtId="166" fontId="81" fillId="16" borderId="0" xfId="2" applyNumberFormat="1" applyFont="1" applyFill="1"/>
    <xf numFmtId="166" fontId="23" fillId="16" borderId="0" xfId="2" applyNumberFormat="1" applyFont="1" applyFill="1"/>
    <xf numFmtId="171" fontId="4" fillId="6" borderId="0" xfId="0" applyNumberFormat="1" applyFont="1" applyFill="1" applyAlignment="1">
      <alignment horizontal="left"/>
    </xf>
    <xf numFmtId="166" fontId="5" fillId="4" borderId="0" xfId="0" applyNumberFormat="1" applyFont="1" applyFill="1" applyAlignment="1">
      <alignment horizontal="right" vertical="center"/>
    </xf>
    <xf numFmtId="166" fontId="4" fillId="11" borderId="0" xfId="0" applyNumberFormat="1" applyFont="1" applyFill="1" applyAlignment="1">
      <alignment horizontal="right"/>
    </xf>
    <xf numFmtId="165" fontId="5" fillId="4" borderId="0" xfId="0" applyNumberFormat="1" applyFont="1" applyFill="1" applyAlignment="1">
      <alignment horizontal="right"/>
    </xf>
    <xf numFmtId="165" fontId="4" fillId="11" borderId="0" xfId="0" applyNumberFormat="1" applyFont="1" applyFill="1" applyAlignment="1">
      <alignment horizontal="right"/>
    </xf>
    <xf numFmtId="0" fontId="34" fillId="5" borderId="8" xfId="0" applyFont="1" applyFill="1" applyBorder="1" applyAlignment="1">
      <alignment horizontal="center" vertical="center" textRotation="90"/>
    </xf>
    <xf numFmtId="170" fontId="4" fillId="5" borderId="0" xfId="0" applyNumberFormat="1" applyFont="1" applyFill="1"/>
    <xf numFmtId="170" fontId="4" fillId="5" borderId="0" xfId="0" applyNumberFormat="1" applyFont="1" applyFill="1" applyAlignment="1">
      <alignment horizontal="right"/>
    </xf>
    <xf numFmtId="0" fontId="4" fillId="5" borderId="18" xfId="0" applyFont="1" applyFill="1" applyBorder="1" applyAlignment="1">
      <alignment vertical="center"/>
    </xf>
    <xf numFmtId="183" fontId="4" fillId="5" borderId="18" xfId="0" applyNumberFormat="1" applyFont="1" applyFill="1" applyBorder="1"/>
    <xf numFmtId="183" fontId="4" fillId="5" borderId="19" xfId="0" applyNumberFormat="1" applyFont="1" applyFill="1" applyBorder="1"/>
    <xf numFmtId="183" fontId="4" fillId="5" borderId="20" xfId="0" applyNumberFormat="1" applyFont="1" applyFill="1" applyBorder="1"/>
    <xf numFmtId="41" fontId="33" fillId="5" borderId="18" xfId="0" applyNumberFormat="1" applyFont="1" applyFill="1" applyBorder="1"/>
    <xf numFmtId="41" fontId="33" fillId="5" borderId="19" xfId="0" applyNumberFormat="1" applyFont="1" applyFill="1" applyBorder="1"/>
    <xf numFmtId="41" fontId="33" fillId="5" borderId="20" xfId="0" applyNumberFormat="1" applyFont="1" applyFill="1" applyBorder="1"/>
    <xf numFmtId="0" fontId="4" fillId="5" borderId="19" xfId="0" applyFont="1" applyFill="1" applyBorder="1"/>
    <xf numFmtId="43" fontId="4" fillId="5" borderId="18" xfId="0" applyNumberFormat="1" applyFont="1" applyFill="1" applyBorder="1"/>
    <xf numFmtId="0" fontId="4" fillId="5" borderId="20" xfId="0" applyFont="1" applyFill="1" applyBorder="1"/>
    <xf numFmtId="0" fontId="4" fillId="5" borderId="1" xfId="0" applyFont="1" applyFill="1" applyBorder="1" applyAlignment="1">
      <alignment vertical="center"/>
    </xf>
    <xf numFmtId="183" fontId="4" fillId="5" borderId="3" xfId="0" applyNumberFormat="1" applyFont="1" applyFill="1" applyBorder="1"/>
    <xf numFmtId="183" fontId="4" fillId="5" borderId="4" xfId="0" applyNumberFormat="1" applyFont="1" applyFill="1" applyBorder="1"/>
    <xf numFmtId="183" fontId="4" fillId="5" borderId="5" xfId="0" applyNumberFormat="1" applyFont="1" applyFill="1" applyBorder="1"/>
    <xf numFmtId="41" fontId="33" fillId="5" borderId="3" xfId="0" applyNumberFormat="1" applyFont="1" applyFill="1" applyBorder="1"/>
    <xf numFmtId="41" fontId="33" fillId="5" borderId="4" xfId="0" applyNumberFormat="1" applyFont="1" applyFill="1" applyBorder="1"/>
    <xf numFmtId="41" fontId="33" fillId="5" borderId="5" xfId="0" applyNumberFormat="1" applyFont="1" applyFill="1" applyBorder="1"/>
    <xf numFmtId="43" fontId="33" fillId="5" borderId="22" xfId="0" applyNumberFormat="1" applyFont="1" applyFill="1" applyBorder="1"/>
    <xf numFmtId="43" fontId="4" fillId="5" borderId="3" xfId="0" applyNumberFormat="1" applyFont="1" applyFill="1" applyBorder="1"/>
    <xf numFmtId="0" fontId="4" fillId="5" borderId="4" xfId="0" applyFont="1" applyFill="1" applyBorder="1"/>
    <xf numFmtId="0" fontId="4" fillId="5" borderId="5" xfId="0" applyFont="1" applyFill="1" applyBorder="1"/>
    <xf numFmtId="0" fontId="4" fillId="5" borderId="24" xfId="0" applyFont="1" applyFill="1" applyBorder="1" applyAlignment="1">
      <alignment vertical="center"/>
    </xf>
    <xf numFmtId="183" fontId="4" fillId="5" borderId="25" xfId="22" applyNumberFormat="1" applyFont="1" applyFill="1" applyBorder="1" applyAlignment="1">
      <alignment horizontal="right" vertical="center" readingOrder="1"/>
    </xf>
    <xf numFmtId="10" fontId="4" fillId="5" borderId="25" xfId="13" applyNumberFormat="1" applyFont="1" applyFill="1" applyBorder="1" applyAlignment="1">
      <alignment horizontal="right" vertical="center" readingOrder="1"/>
    </xf>
    <xf numFmtId="2" fontId="4" fillId="5" borderId="25" xfId="0" applyNumberFormat="1" applyFont="1" applyFill="1" applyBorder="1" applyAlignment="1">
      <alignment horizontal="right" vertical="center" readingOrder="1"/>
    </xf>
    <xf numFmtId="43" fontId="33" fillId="5" borderId="5" xfId="0" applyNumberFormat="1" applyFont="1" applyFill="1" applyBorder="1"/>
    <xf numFmtId="0" fontId="4" fillId="5" borderId="25" xfId="0" applyFont="1" applyFill="1" applyBorder="1"/>
    <xf numFmtId="183" fontId="4" fillId="5" borderId="0" xfId="22" applyNumberFormat="1" applyFont="1" applyFill="1" applyBorder="1" applyAlignment="1">
      <alignment horizontal="right" vertical="center" readingOrder="1"/>
    </xf>
    <xf numFmtId="41" fontId="4" fillId="5" borderId="1" xfId="0" applyNumberFormat="1" applyFont="1" applyFill="1" applyBorder="1"/>
    <xf numFmtId="0" fontId="4" fillId="5" borderId="28" xfId="0" applyFont="1" applyFill="1" applyBorder="1" applyAlignment="1">
      <alignment vertical="center"/>
    </xf>
    <xf numFmtId="183" fontId="4" fillId="5" borderId="10" xfId="22" applyNumberFormat="1" applyFont="1" applyFill="1" applyBorder="1" applyAlignment="1">
      <alignment horizontal="right" vertical="center" readingOrder="1"/>
    </xf>
    <xf numFmtId="2" fontId="4" fillId="17" borderId="0" xfId="0" applyNumberFormat="1" applyFont="1" applyFill="1" applyAlignment="1">
      <alignment horizontal="left" wrapText="1"/>
    </xf>
    <xf numFmtId="2" fontId="0" fillId="18" borderId="0" xfId="0" applyNumberFormat="1" applyFill="1" applyAlignment="1">
      <alignment horizontal="right"/>
    </xf>
    <xf numFmtId="0" fontId="4" fillId="18" borderId="0" xfId="0" applyFont="1" applyFill="1" applyAlignment="1">
      <alignment horizontal="right"/>
    </xf>
    <xf numFmtId="0" fontId="82" fillId="0" borderId="0" xfId="0" applyFont="1" applyAlignment="1">
      <alignment horizontal="left" wrapText="1"/>
    </xf>
    <xf numFmtId="0" fontId="83" fillId="0" borderId="0" xfId="0" applyFont="1" applyAlignment="1">
      <alignment horizontal="left" wrapText="1"/>
    </xf>
    <xf numFmtId="0" fontId="82" fillId="0" borderId="36" xfId="0" applyFont="1" applyBorder="1" applyAlignment="1">
      <alignment horizontal="left" wrapText="1"/>
    </xf>
    <xf numFmtId="0" fontId="82" fillId="0" borderId="38" xfId="0" applyFont="1" applyBorder="1" applyAlignment="1">
      <alignment horizontal="left" wrapText="1"/>
    </xf>
    <xf numFmtId="0" fontId="82" fillId="0" borderId="38" xfId="0" applyFont="1" applyBorder="1" applyAlignment="1">
      <alignment horizontal="right" wrapText="1"/>
    </xf>
    <xf numFmtId="0" fontId="82" fillId="0" borderId="39" xfId="0" applyFont="1" applyBorder="1" applyAlignment="1">
      <alignment horizontal="left" wrapText="1"/>
    </xf>
    <xf numFmtId="0" fontId="85" fillId="0" borderId="39" xfId="0" applyFont="1" applyBorder="1" applyAlignment="1">
      <alignment horizontal="right" wrapText="1"/>
    </xf>
    <xf numFmtId="0" fontId="82" fillId="0" borderId="36" xfId="0" applyFont="1" applyBorder="1" applyAlignment="1">
      <alignment horizontal="right" wrapText="1"/>
    </xf>
    <xf numFmtId="0" fontId="85" fillId="0" borderId="39" xfId="0" applyFont="1" applyBorder="1" applyAlignment="1">
      <alignment horizontal="left" wrapText="1"/>
    </xf>
    <xf numFmtId="0" fontId="85" fillId="0" borderId="39" xfId="0" applyFont="1" applyBorder="1" applyAlignment="1">
      <alignment horizontal="left" wrapText="1" indent="1"/>
    </xf>
    <xf numFmtId="0" fontId="85" fillId="0" borderId="39" xfId="0" applyFont="1" applyBorder="1" applyAlignment="1">
      <alignment horizontal="left" wrapText="1" indent="2"/>
    </xf>
    <xf numFmtId="0" fontId="85" fillId="0" borderId="36" xfId="0" applyFont="1" applyBorder="1" applyAlignment="1">
      <alignment horizontal="right" wrapText="1"/>
    </xf>
    <xf numFmtId="0" fontId="82" fillId="12" borderId="38" xfId="0" applyFont="1" applyFill="1" applyBorder="1" applyAlignment="1">
      <alignment horizontal="right" wrapText="1"/>
    </xf>
    <xf numFmtId="0" fontId="85" fillId="12" borderId="39" xfId="0" applyFont="1" applyFill="1" applyBorder="1" applyAlignment="1">
      <alignment horizontal="right" wrapText="1"/>
    </xf>
    <xf numFmtId="0" fontId="82" fillId="12" borderId="36" xfId="0" applyFont="1" applyFill="1" applyBorder="1" applyAlignment="1">
      <alignment horizontal="right" wrapText="1"/>
    </xf>
    <xf numFmtId="0" fontId="85" fillId="12" borderId="36" xfId="0" applyFont="1" applyFill="1" applyBorder="1" applyAlignment="1">
      <alignment horizontal="right" wrapText="1"/>
    </xf>
    <xf numFmtId="0" fontId="85" fillId="12" borderId="39" xfId="0" applyFont="1" applyFill="1" applyBorder="1" applyAlignment="1">
      <alignment horizontal="left" wrapText="1" indent="1"/>
    </xf>
    <xf numFmtId="2" fontId="4" fillId="12" borderId="0" xfId="0" applyNumberFormat="1" applyFont="1" applyFill="1" applyAlignment="1">
      <alignment horizontal="right"/>
    </xf>
    <xf numFmtId="10" fontId="4" fillId="12" borderId="0" xfId="0" applyNumberFormat="1" applyFont="1" applyFill="1" applyAlignment="1">
      <alignment horizontal="right"/>
    </xf>
    <xf numFmtId="0" fontId="4" fillId="12" borderId="0" xfId="0" applyFont="1" applyFill="1" applyAlignment="1">
      <alignment horizontal="right"/>
    </xf>
    <xf numFmtId="0" fontId="85" fillId="0" borderId="0" xfId="0" applyFont="1" applyAlignment="1">
      <alignment horizontal="right" wrapText="1"/>
    </xf>
    <xf numFmtId="0" fontId="4" fillId="0" borderId="0" xfId="21" applyFont="1" applyAlignment="1">
      <alignment vertical="center"/>
    </xf>
    <xf numFmtId="0" fontId="17" fillId="0" borderId="0" xfId="0" applyFont="1"/>
    <xf numFmtId="0" fontId="4" fillId="0" borderId="0" xfId="0" applyFont="1" applyAlignment="1">
      <alignment vertical="center"/>
    </xf>
    <xf numFmtId="0" fontId="4" fillId="0" borderId="0" xfId="0" applyFont="1" applyAlignment="1">
      <alignment horizontal="center" vertical="center"/>
    </xf>
    <xf numFmtId="185" fontId="11" fillId="0" borderId="0" xfId="0" applyNumberFormat="1" applyFont="1"/>
    <xf numFmtId="185" fontId="5" fillId="15" borderId="19" xfId="0" applyNumberFormat="1" applyFont="1" applyFill="1" applyBorder="1" applyAlignment="1">
      <alignment horizontal="left"/>
    </xf>
    <xf numFmtId="185" fontId="5" fillId="20" borderId="21" xfId="0" applyNumberFormat="1" applyFont="1" applyFill="1" applyBorder="1"/>
    <xf numFmtId="0" fontId="5" fillId="21" borderId="0" xfId="0" applyFont="1" applyFill="1"/>
    <xf numFmtId="0" fontId="4" fillId="21" borderId="0" xfId="0" applyFont="1" applyFill="1"/>
    <xf numFmtId="0" fontId="17" fillId="21" borderId="0" xfId="0" applyFont="1" applyFill="1"/>
    <xf numFmtId="0" fontId="7" fillId="21" borderId="0" xfId="11" applyFont="1" applyFill="1" applyAlignment="1">
      <alignment wrapText="1"/>
    </xf>
    <xf numFmtId="0" fontId="4" fillId="21" borderId="0" xfId="21" applyFont="1" applyFill="1" applyAlignment="1">
      <alignment vertical="center"/>
    </xf>
    <xf numFmtId="0" fontId="18" fillId="21" borderId="0" xfId="0" applyFont="1" applyFill="1"/>
    <xf numFmtId="0" fontId="35" fillId="21" borderId="0" xfId="0" applyFont="1" applyFill="1"/>
    <xf numFmtId="0" fontId="7" fillId="21" borderId="0" xfId="0" applyFont="1" applyFill="1"/>
    <xf numFmtId="0" fontId="4" fillId="15" borderId="0" xfId="21" applyFont="1" applyFill="1" applyAlignment="1">
      <alignment vertical="center"/>
    </xf>
    <xf numFmtId="0" fontId="4" fillId="15" borderId="0" xfId="0" applyFont="1" applyFill="1"/>
    <xf numFmtId="0" fontId="5" fillId="15" borderId="0" xfId="21" applyFont="1" applyFill="1" applyAlignment="1">
      <alignment vertical="center"/>
    </xf>
    <xf numFmtId="0" fontId="5" fillId="15" borderId="0" xfId="0" applyFont="1" applyFill="1"/>
    <xf numFmtId="0" fontId="17" fillId="15" borderId="0" xfId="0" applyFont="1" applyFill="1"/>
    <xf numFmtId="0" fontId="0" fillId="15" borderId="0" xfId="0" applyFill="1"/>
    <xf numFmtId="0" fontId="11" fillId="0" borderId="0" xfId="23" applyFont="1" applyAlignment="1">
      <alignment horizontal="left"/>
    </xf>
    <xf numFmtId="0" fontId="13" fillId="0" borderId="0" xfId="0" applyFont="1" applyAlignment="1">
      <alignment horizontal="left"/>
    </xf>
    <xf numFmtId="0" fontId="13" fillId="0" borderId="0" xfId="0" applyFont="1"/>
    <xf numFmtId="0" fontId="13" fillId="0" borderId="0" xfId="0" applyFont="1" applyAlignment="1">
      <alignment horizontal="right"/>
    </xf>
    <xf numFmtId="0" fontId="4" fillId="0" borderId="0" xfId="0" applyFont="1" applyAlignment="1">
      <alignment horizontal="right"/>
    </xf>
    <xf numFmtId="0" fontId="15" fillId="0" borderId="0" xfId="0" applyFont="1"/>
    <xf numFmtId="0" fontId="4" fillId="0" borderId="0" xfId="0" applyFont="1" applyAlignment="1">
      <alignment horizontal="left"/>
    </xf>
    <xf numFmtId="0" fontId="13" fillId="19" borderId="0" xfId="0" applyFont="1" applyFill="1" applyAlignment="1">
      <alignment horizontal="right"/>
    </xf>
    <xf numFmtId="0" fontId="13" fillId="21" borderId="0" xfId="0" applyFont="1" applyFill="1"/>
    <xf numFmtId="0" fontId="4" fillId="21" borderId="0" xfId="0" applyFont="1" applyFill="1" applyAlignment="1">
      <alignment horizontal="right"/>
    </xf>
    <xf numFmtId="0" fontId="4" fillId="21" borderId="0" xfId="0" applyFont="1" applyFill="1" applyAlignment="1">
      <alignment horizontal="left"/>
    </xf>
    <xf numFmtId="2" fontId="4" fillId="21" borderId="0" xfId="0" applyNumberFormat="1" applyFont="1" applyFill="1"/>
    <xf numFmtId="2" fontId="4" fillId="21" borderId="0" xfId="0" applyNumberFormat="1" applyFont="1" applyFill="1" applyAlignment="1">
      <alignment horizontal="right"/>
    </xf>
    <xf numFmtId="4" fontId="4" fillId="21" borderId="0" xfId="0" applyNumberFormat="1" applyFont="1" applyFill="1" applyAlignment="1">
      <alignment horizontal="right"/>
    </xf>
    <xf numFmtId="2" fontId="13" fillId="21" borderId="0" xfId="0" applyNumberFormat="1" applyFont="1" applyFill="1"/>
    <xf numFmtId="169" fontId="4" fillId="21" borderId="0" xfId="13" applyNumberFormat="1" applyFont="1" applyFill="1" applyAlignment="1">
      <alignment horizontal="right"/>
    </xf>
    <xf numFmtId="1" fontId="4" fillId="21" borderId="0" xfId="0" applyNumberFormat="1" applyFont="1" applyFill="1" applyAlignment="1">
      <alignment horizontal="right"/>
    </xf>
    <xf numFmtId="0" fontId="13" fillId="15" borderId="0" xfId="0" applyFont="1" applyFill="1" applyAlignment="1">
      <alignment horizontal="left"/>
    </xf>
    <xf numFmtId="0" fontId="13" fillId="15" borderId="0" xfId="0" applyFont="1" applyFill="1"/>
    <xf numFmtId="0" fontId="15" fillId="15" borderId="0" xfId="0" applyFont="1" applyFill="1"/>
    <xf numFmtId="0" fontId="13" fillId="15" borderId="0" xfId="0" applyFont="1" applyFill="1" applyAlignment="1">
      <alignment horizontal="right"/>
    </xf>
    <xf numFmtId="0" fontId="4" fillId="15" borderId="0" xfId="0" applyFont="1" applyFill="1" applyAlignment="1">
      <alignment horizontal="right"/>
    </xf>
    <xf numFmtId="4" fontId="4" fillId="21" borderId="0" xfId="0" applyNumberFormat="1" applyFont="1" applyFill="1"/>
    <xf numFmtId="0" fontId="4" fillId="15" borderId="0" xfId="0" applyFont="1" applyFill="1" applyAlignment="1">
      <alignment horizontal="left"/>
    </xf>
    <xf numFmtId="185" fontId="5" fillId="19" borderId="0" xfId="0" applyNumberFormat="1" applyFont="1" applyFill="1" applyAlignment="1">
      <alignment horizontal="left"/>
    </xf>
    <xf numFmtId="0" fontId="4" fillId="19" borderId="0" xfId="0" applyFont="1" applyFill="1"/>
    <xf numFmtId="185" fontId="5" fillId="0" borderId="0" xfId="0" applyNumberFormat="1" applyFont="1" applyAlignment="1">
      <alignment horizontal="left"/>
    </xf>
    <xf numFmtId="2" fontId="4" fillId="0" borderId="0" xfId="0" applyNumberFormat="1" applyFont="1" applyAlignment="1">
      <alignment horizontal="right"/>
    </xf>
    <xf numFmtId="43" fontId="4" fillId="19" borderId="0" xfId="22" applyFont="1" applyFill="1"/>
    <xf numFmtId="0" fontId="5" fillId="3" borderId="0" xfId="0" applyFont="1" applyFill="1"/>
    <xf numFmtId="0" fontId="4" fillId="3" borderId="0" xfId="0" applyFont="1" applyFill="1"/>
    <xf numFmtId="0" fontId="91" fillId="0" borderId="0" xfId="0" applyFont="1"/>
    <xf numFmtId="0" fontId="92" fillId="0" borderId="0" xfId="26"/>
    <xf numFmtId="2" fontId="90" fillId="0" borderId="0" xfId="25" applyNumberFormat="1" applyFill="1" applyBorder="1"/>
    <xf numFmtId="0" fontId="23" fillId="0" borderId="0" xfId="0" applyFont="1"/>
    <xf numFmtId="0" fontId="93" fillId="0" borderId="0" xfId="26" applyFont="1"/>
    <xf numFmtId="0" fontId="94" fillId="0" borderId="0" xfId="26" applyFont="1"/>
    <xf numFmtId="2" fontId="95" fillId="0" borderId="0" xfId="25" applyNumberFormat="1" applyFont="1" applyFill="1" applyBorder="1"/>
    <xf numFmtId="0" fontId="96" fillId="15" borderId="45" xfId="26" applyFont="1" applyFill="1" applyBorder="1"/>
    <xf numFmtId="0" fontId="96" fillId="15" borderId="45" xfId="0" applyFont="1" applyFill="1" applyBorder="1"/>
    <xf numFmtId="0" fontId="97" fillId="15" borderId="45" xfId="24" applyFont="1" applyFill="1" applyBorder="1"/>
    <xf numFmtId="0" fontId="98" fillId="15" borderId="45" xfId="24" applyFont="1" applyFill="1" applyBorder="1" applyAlignment="1">
      <alignment wrapText="1"/>
    </xf>
    <xf numFmtId="0" fontId="23" fillId="15" borderId="45" xfId="24" applyFont="1" applyFill="1" applyBorder="1" applyAlignment="1">
      <alignment horizontal="center"/>
    </xf>
    <xf numFmtId="0" fontId="23" fillId="15" borderId="45" xfId="0" applyFont="1" applyFill="1" applyBorder="1"/>
    <xf numFmtId="0" fontId="23" fillId="21" borderId="0" xfId="0" applyFont="1" applyFill="1"/>
    <xf numFmtId="0" fontId="96" fillId="21" borderId="0" xfId="26" applyFont="1" applyFill="1"/>
    <xf numFmtId="186" fontId="99" fillId="24" borderId="0" xfId="0" applyNumberFormat="1" applyFont="1" applyFill="1"/>
    <xf numFmtId="186" fontId="93" fillId="0" borderId="0" xfId="26" applyNumberFormat="1" applyFont="1"/>
    <xf numFmtId="0" fontId="93" fillId="21" borderId="0" xfId="26" applyFont="1" applyFill="1"/>
    <xf numFmtId="187" fontId="99" fillId="24" borderId="0" xfId="22" applyNumberFormat="1" applyFont="1" applyFill="1"/>
    <xf numFmtId="0" fontId="1" fillId="21" borderId="0" xfId="23" applyFont="1" applyFill="1"/>
    <xf numFmtId="0" fontId="5" fillId="25" borderId="0" xfId="0" applyFont="1" applyFill="1"/>
    <xf numFmtId="0" fontId="4" fillId="25" borderId="0" xfId="0" applyFont="1" applyFill="1"/>
    <xf numFmtId="0" fontId="100" fillId="0" borderId="0" xfId="0" applyFont="1"/>
    <xf numFmtId="0" fontId="80" fillId="15" borderId="45" xfId="0" applyFont="1" applyFill="1" applyBorder="1"/>
    <xf numFmtId="0" fontId="80" fillId="26" borderId="45" xfId="0" applyFont="1" applyFill="1" applyBorder="1"/>
    <xf numFmtId="0" fontId="80" fillId="27" borderId="45" xfId="0" applyFont="1" applyFill="1" applyBorder="1"/>
    <xf numFmtId="0" fontId="0" fillId="26" borderId="0" xfId="0" applyFill="1"/>
    <xf numFmtId="0" fontId="0" fillId="24" borderId="0" xfId="0" applyFill="1"/>
    <xf numFmtId="0" fontId="0" fillId="27" borderId="0" xfId="0" applyFill="1"/>
    <xf numFmtId="0" fontId="23" fillId="15" borderId="0" xfId="2" applyFont="1" applyFill="1"/>
    <xf numFmtId="0" fontId="0" fillId="28" borderId="0" xfId="0" applyFill="1"/>
    <xf numFmtId="0" fontId="102" fillId="0" borderId="0" xfId="0" applyFont="1"/>
    <xf numFmtId="0" fontId="5" fillId="15" borderId="45" xfId="0" applyFont="1" applyFill="1" applyBorder="1"/>
    <xf numFmtId="0" fontId="80" fillId="15" borderId="45" xfId="0" applyFont="1" applyFill="1" applyBorder="1" applyAlignment="1">
      <alignment wrapText="1"/>
    </xf>
    <xf numFmtId="0" fontId="80" fillId="21" borderId="0" xfId="0" applyFont="1" applyFill="1"/>
    <xf numFmtId="0" fontId="4" fillId="21" borderId="0" xfId="27" applyFill="1" applyAlignment="1">
      <alignment horizontal="left"/>
    </xf>
    <xf numFmtId="0" fontId="4" fillId="21" borderId="0" xfId="27" applyFill="1" applyAlignment="1">
      <alignment wrapText="1"/>
    </xf>
    <xf numFmtId="169" fontId="4" fillId="24" borderId="0" xfId="14" applyNumberFormat="1" applyFont="1" applyFill="1" applyBorder="1"/>
    <xf numFmtId="169" fontId="4" fillId="24" borderId="0" xfId="13" applyNumberFormat="1" applyFont="1" applyFill="1" applyBorder="1"/>
    <xf numFmtId="2" fontId="0" fillId="28" borderId="0" xfId="0" applyNumberFormat="1" applyFill="1"/>
    <xf numFmtId="0" fontId="4" fillId="0" borderId="0" xfId="27" applyAlignment="1">
      <alignment horizontal="left"/>
    </xf>
    <xf numFmtId="0" fontId="4" fillId="0" borderId="0" xfId="27" applyAlignment="1">
      <alignment wrapText="1"/>
    </xf>
    <xf numFmtId="169" fontId="4" fillId="0" borderId="0" xfId="14" applyNumberFormat="1" applyFont="1" applyFill="1" applyBorder="1"/>
    <xf numFmtId="0" fontId="37" fillId="21" borderId="0" xfId="27" applyFont="1" applyFill="1" applyAlignment="1">
      <alignment horizontal="left"/>
    </xf>
    <xf numFmtId="0" fontId="37" fillId="21" borderId="0" xfId="27" applyFont="1" applyFill="1" applyAlignment="1">
      <alignment wrapText="1"/>
    </xf>
    <xf numFmtId="0" fontId="37" fillId="21" borderId="0" xfId="0" applyFont="1" applyFill="1"/>
    <xf numFmtId="169" fontId="37" fillId="24" borderId="0" xfId="14" applyNumberFormat="1" applyFont="1" applyFill="1" applyBorder="1"/>
    <xf numFmtId="169" fontId="0" fillId="0" borderId="0" xfId="0" applyNumberFormat="1"/>
    <xf numFmtId="0" fontId="103" fillId="0" borderId="0" xfId="27" applyFont="1"/>
    <xf numFmtId="0" fontId="104" fillId="0" borderId="0" xfId="27" applyFont="1"/>
    <xf numFmtId="0" fontId="4" fillId="0" borderId="0" xfId="27"/>
    <xf numFmtId="0" fontId="105" fillId="0" borderId="0" xfId="27" applyFont="1"/>
    <xf numFmtId="9" fontId="104" fillId="0" borderId="0" xfId="27" applyNumberFormat="1" applyFont="1"/>
    <xf numFmtId="8" fontId="104" fillId="0" borderId="0" xfId="27" applyNumberFormat="1" applyFont="1"/>
    <xf numFmtId="0" fontId="106" fillId="0" borderId="0" xfId="27" applyFont="1"/>
    <xf numFmtId="0" fontId="71" fillId="0" borderId="0" xfId="27" applyFont="1"/>
    <xf numFmtId="1" fontId="4" fillId="0" borderId="0" xfId="27" applyNumberFormat="1"/>
    <xf numFmtId="169" fontId="4" fillId="0" borderId="0" xfId="27" applyNumberFormat="1"/>
    <xf numFmtId="6" fontId="4" fillId="0" borderId="0" xfId="27" applyNumberFormat="1"/>
    <xf numFmtId="0" fontId="5" fillId="0" borderId="0" xfId="27" applyFont="1"/>
    <xf numFmtId="167" fontId="4" fillId="0" borderId="0" xfId="27" applyNumberFormat="1"/>
    <xf numFmtId="169" fontId="4" fillId="24" borderId="0" xfId="29" applyFont="1" applyFill="1"/>
    <xf numFmtId="0" fontId="4" fillId="21" borderId="0" xfId="0" applyFont="1" applyFill="1" applyAlignment="1">
      <alignment horizontal="center"/>
    </xf>
    <xf numFmtId="0" fontId="33" fillId="21" borderId="0" xfId="3" applyFont="1" applyFill="1"/>
    <xf numFmtId="169" fontId="4" fillId="21" borderId="0" xfId="28" applyNumberFormat="1" applyFont="1" applyFill="1"/>
    <xf numFmtId="0" fontId="4" fillId="21" borderId="0" xfId="0" quotePrefix="1" applyFont="1" applyFill="1"/>
    <xf numFmtId="0" fontId="4" fillId="26" borderId="45" xfId="24" applyFont="1" applyFill="1" applyBorder="1" applyAlignment="1">
      <alignment horizontal="center"/>
    </xf>
    <xf numFmtId="0" fontId="5" fillId="20" borderId="45" xfId="0" applyFont="1" applyFill="1" applyBorder="1" applyAlignment="1">
      <alignment wrapText="1"/>
    </xf>
    <xf numFmtId="0" fontId="5" fillId="20" borderId="45" xfId="0" applyFont="1" applyFill="1" applyBorder="1" applyAlignment="1">
      <alignment horizontal="left"/>
    </xf>
    <xf numFmtId="0" fontId="5" fillId="20" borderId="45" xfId="0" applyFont="1" applyFill="1" applyBorder="1"/>
    <xf numFmtId="0" fontId="33" fillId="0" borderId="0" xfId="0" applyFont="1"/>
    <xf numFmtId="0" fontId="107" fillId="0" borderId="0" xfId="0" applyFont="1"/>
    <xf numFmtId="182" fontId="33" fillId="0" borderId="0" xfId="22" applyNumberFormat="1" applyFont="1"/>
    <xf numFmtId="0" fontId="36" fillId="0" borderId="0" xfId="15" applyAlignment="1" applyProtection="1"/>
    <xf numFmtId="0" fontId="49" fillId="0" borderId="46" xfId="20" applyFont="1" applyBorder="1">
      <alignment wrapText="1"/>
    </xf>
    <xf numFmtId="0" fontId="49" fillId="0" borderId="15" xfId="19" applyFont="1">
      <alignment wrapText="1"/>
    </xf>
    <xf numFmtId="0" fontId="108" fillId="0" borderId="16" xfId="20" applyFont="1">
      <alignment wrapText="1"/>
    </xf>
    <xf numFmtId="0" fontId="108" fillId="0" borderId="16" xfId="20" applyFont="1" applyAlignment="1">
      <alignment horizontal="left" wrapText="1"/>
    </xf>
    <xf numFmtId="0" fontId="49" fillId="0" borderId="15" xfId="19" applyFont="1" applyAlignment="1">
      <alignment horizontal="left" wrapText="1"/>
    </xf>
    <xf numFmtId="0" fontId="108" fillId="0" borderId="16" xfId="20" applyFont="1" applyAlignment="1">
      <alignment horizontal="left" wrapText="1" indent="1"/>
    </xf>
    <xf numFmtId="0" fontId="108" fillId="0" borderId="16" xfId="20" applyFont="1" applyAlignment="1">
      <alignment horizontal="left" wrapText="1" indent="2"/>
    </xf>
    <xf numFmtId="0" fontId="85" fillId="0" borderId="0" xfId="0" applyFont="1" applyBorder="1" applyAlignment="1">
      <alignment horizontal="left" wrapText="1"/>
    </xf>
    <xf numFmtId="0" fontId="85" fillId="0" borderId="0" xfId="0" applyFont="1" applyBorder="1" applyAlignment="1">
      <alignment horizontal="right" wrapText="1"/>
    </xf>
    <xf numFmtId="0" fontId="85" fillId="12" borderId="0" xfId="0" applyFont="1" applyFill="1" applyBorder="1" applyAlignment="1">
      <alignment horizontal="right" wrapText="1"/>
    </xf>
    <xf numFmtId="0" fontId="82" fillId="0" borderId="0" xfId="0" applyFont="1" applyFill="1" applyBorder="1" applyAlignment="1">
      <alignment horizontal="right" wrapText="1"/>
    </xf>
    <xf numFmtId="2" fontId="5" fillId="3" borderId="0" xfId="0" applyNumberFormat="1" applyFont="1" applyFill="1" applyAlignment="1">
      <alignment horizontal="center" vertical="center"/>
    </xf>
    <xf numFmtId="2" fontId="5" fillId="6" borderId="0" xfId="0" applyNumberFormat="1" applyFont="1" applyFill="1" applyAlignment="1">
      <alignment horizontal="center" vertical="center"/>
    </xf>
    <xf numFmtId="0" fontId="4" fillId="5" borderId="0" xfId="0" applyFont="1" applyFill="1" applyAlignment="1">
      <alignment horizontal="center"/>
    </xf>
    <xf numFmtId="169" fontId="5" fillId="5" borderId="0" xfId="13" applyNumberFormat="1" applyFont="1" applyFill="1" applyAlignment="1">
      <alignment horizontal="left" wrapText="1"/>
    </xf>
    <xf numFmtId="0" fontId="5" fillId="5" borderId="0" xfId="0" applyFont="1" applyFill="1" applyAlignment="1">
      <alignment horizontal="left" wrapText="1"/>
    </xf>
    <xf numFmtId="0" fontId="5" fillId="5" borderId="0" xfId="0" applyFont="1" applyFill="1" applyAlignment="1">
      <alignment horizontal="left"/>
    </xf>
    <xf numFmtId="0" fontId="4" fillId="5" borderId="0" xfId="0" applyFont="1" applyFill="1" applyAlignment="1">
      <alignment horizontal="left" wrapText="1"/>
    </xf>
    <xf numFmtId="0" fontId="34" fillId="5" borderId="0" xfId="0" applyFont="1" applyFill="1" applyAlignment="1">
      <alignment horizontal="left" wrapText="1"/>
    </xf>
    <xf numFmtId="0" fontId="34" fillId="5" borderId="0" xfId="0" applyFont="1" applyFill="1" applyAlignment="1">
      <alignment horizontal="center" wrapText="1"/>
    </xf>
    <xf numFmtId="0" fontId="4" fillId="5" borderId="12" xfId="0" applyFont="1" applyFill="1" applyBorder="1" applyAlignment="1">
      <alignment horizontal="left" wrapText="1"/>
    </xf>
    <xf numFmtId="0" fontId="4" fillId="5" borderId="0" xfId="0" applyFont="1" applyFill="1" applyAlignment="1">
      <alignment horizontal="right"/>
    </xf>
    <xf numFmtId="0" fontId="4" fillId="5" borderId="0" xfId="0" applyFont="1" applyFill="1" applyAlignment="1">
      <alignment horizontal="center" wrapText="1"/>
    </xf>
    <xf numFmtId="0" fontId="88" fillId="0" borderId="0" xfId="0" applyFont="1" applyAlignment="1">
      <alignment horizontal="left" vertical="top" wrapText="1"/>
    </xf>
    <xf numFmtId="0" fontId="82" fillId="0" borderId="34" xfId="0" applyFont="1" applyBorder="1" applyAlignment="1">
      <alignment horizontal="left" wrapText="1"/>
    </xf>
    <xf numFmtId="0" fontId="82" fillId="0" borderId="41" xfId="0" applyFont="1" applyBorder="1" applyAlignment="1">
      <alignment horizontal="left" wrapText="1"/>
    </xf>
    <xf numFmtId="0" fontId="82" fillId="0" borderId="42" xfId="0" applyFont="1" applyBorder="1" applyAlignment="1">
      <alignment horizontal="left" wrapText="1"/>
    </xf>
    <xf numFmtId="0" fontId="82" fillId="0" borderId="43" xfId="0" applyFont="1" applyBorder="1" applyAlignment="1">
      <alignment horizontal="left" wrapText="1"/>
    </xf>
    <xf numFmtId="0" fontId="82" fillId="0" borderId="35" xfId="0" applyFont="1" applyBorder="1" applyAlignment="1">
      <alignment horizontal="left" wrapText="1"/>
    </xf>
    <xf numFmtId="0" fontId="82" fillId="0" borderId="36" xfId="0" applyFont="1" applyBorder="1" applyAlignment="1">
      <alignment horizontal="left" wrapText="1"/>
    </xf>
    <xf numFmtId="0" fontId="82" fillId="0" borderId="37" xfId="0" applyFont="1" applyBorder="1" applyAlignment="1">
      <alignment horizontal="left" wrapText="1"/>
    </xf>
    <xf numFmtId="0" fontId="88" fillId="0" borderId="40" xfId="0" applyFont="1" applyBorder="1" applyAlignment="1">
      <alignment horizontal="left" vertical="top" wrapText="1"/>
    </xf>
    <xf numFmtId="0" fontId="36" fillId="0" borderId="0" xfId="15" applyAlignment="1" applyProtection="1">
      <alignment horizontal="left" vertical="center" wrapText="1"/>
    </xf>
    <xf numFmtId="0" fontId="0" fillId="0" borderId="0" xfId="0" applyAlignment="1">
      <alignment horizontal="left" vertical="top" wrapText="1"/>
    </xf>
    <xf numFmtId="0" fontId="87" fillId="0" borderId="0" xfId="0" applyFont="1" applyAlignment="1">
      <alignment horizontal="left" vertical="center" wrapText="1"/>
    </xf>
    <xf numFmtId="0" fontId="34" fillId="5" borderId="17" xfId="0" applyFont="1" applyFill="1" applyBorder="1" applyAlignment="1">
      <alignment horizontal="center" vertical="center" textRotation="90"/>
    </xf>
    <xf numFmtId="0" fontId="34" fillId="5" borderId="8" xfId="0" applyFont="1" applyFill="1" applyBorder="1" applyAlignment="1">
      <alignment horizontal="center" vertical="center" textRotation="90"/>
    </xf>
    <xf numFmtId="0" fontId="34" fillId="5" borderId="11" xfId="0" applyFont="1" applyFill="1" applyBorder="1" applyAlignment="1">
      <alignment horizontal="center" vertical="center" textRotation="90"/>
    </xf>
    <xf numFmtId="0" fontId="34" fillId="5" borderId="18" xfId="0" applyFont="1" applyFill="1" applyBorder="1" applyAlignment="1">
      <alignment horizontal="left"/>
    </xf>
    <xf numFmtId="0" fontId="34" fillId="5" borderId="19" xfId="0" applyFont="1" applyFill="1" applyBorder="1" applyAlignment="1">
      <alignment horizontal="left"/>
    </xf>
    <xf numFmtId="0" fontId="34" fillId="5" borderId="20" xfId="0" applyFont="1" applyFill="1" applyBorder="1" applyAlignment="1">
      <alignment horizontal="left"/>
    </xf>
    <xf numFmtId="0" fontId="34" fillId="5" borderId="3" xfId="0" applyFont="1" applyFill="1" applyBorder="1"/>
    <xf numFmtId="0" fontId="34" fillId="5" borderId="4" xfId="0" applyFont="1" applyFill="1" applyBorder="1"/>
    <xf numFmtId="0" fontId="34" fillId="5" borderId="6" xfId="0" applyFont="1" applyFill="1" applyBorder="1" applyAlignment="1">
      <alignment wrapText="1"/>
    </xf>
    <xf numFmtId="0" fontId="34" fillId="5" borderId="21" xfId="0" applyFont="1" applyFill="1" applyBorder="1" applyAlignment="1">
      <alignment wrapText="1"/>
    </xf>
    <xf numFmtId="0" fontId="34" fillId="5" borderId="22" xfId="0" applyFont="1" applyFill="1" applyBorder="1" applyAlignment="1">
      <alignment wrapText="1"/>
    </xf>
    <xf numFmtId="0" fontId="34" fillId="5" borderId="0" xfId="0" applyFont="1" applyFill="1"/>
    <xf numFmtId="0" fontId="34" fillId="5" borderId="23" xfId="0" applyFont="1" applyFill="1" applyBorder="1" applyAlignment="1">
      <alignment horizontal="center" vertical="center" textRotation="90"/>
    </xf>
    <xf numFmtId="0" fontId="34" fillId="5" borderId="26" xfId="0" applyFont="1" applyFill="1" applyBorder="1" applyAlignment="1">
      <alignment horizontal="center" vertical="center" textRotation="90"/>
    </xf>
    <xf numFmtId="0" fontId="34" fillId="5" borderId="27" xfId="0" applyFont="1" applyFill="1" applyBorder="1" applyAlignment="1">
      <alignment horizontal="center" vertical="center" textRotation="90"/>
    </xf>
    <xf numFmtId="169" fontId="34" fillId="5" borderId="0" xfId="13" applyNumberFormat="1" applyFont="1" applyFill="1" applyBorder="1" applyAlignment="1">
      <alignment horizontal="center" vertical="center" wrapText="1"/>
    </xf>
    <xf numFmtId="0" fontId="34" fillId="5" borderId="0" xfId="0" applyFont="1" applyFill="1" applyAlignment="1">
      <alignment horizontal="center" vertical="center" wrapText="1"/>
    </xf>
    <xf numFmtId="0" fontId="34" fillId="5" borderId="0" xfId="0" applyFont="1" applyFill="1" applyAlignment="1">
      <alignment vertical="center"/>
    </xf>
    <xf numFmtId="0" fontId="34" fillId="5" borderId="0" xfId="0" applyFont="1" applyFill="1" applyAlignment="1">
      <alignment horizontal="left" vertical="center" wrapText="1"/>
    </xf>
    <xf numFmtId="0" fontId="33" fillId="5" borderId="0" xfId="0" applyFont="1" applyFill="1" applyAlignment="1">
      <alignment horizontal="center"/>
    </xf>
    <xf numFmtId="0" fontId="33" fillId="4" borderId="0" xfId="0" applyFont="1" applyFill="1" applyAlignment="1">
      <alignment horizontal="center"/>
    </xf>
    <xf numFmtId="0" fontId="52" fillId="5" borderId="0" xfId="0" applyFont="1" applyFill="1" applyAlignment="1">
      <alignment horizontal="center" vertical="center"/>
    </xf>
    <xf numFmtId="0" fontId="52" fillId="5" borderId="0" xfId="0" applyFont="1" applyFill="1" applyAlignment="1">
      <alignment horizontal="center" vertical="center" wrapText="1"/>
    </xf>
    <xf numFmtId="0" fontId="50" fillId="5" borderId="0" xfId="0" applyFont="1" applyFill="1" applyAlignment="1">
      <alignment wrapText="1"/>
    </xf>
    <xf numFmtId="0" fontId="50" fillId="5" borderId="0" xfId="0" applyFont="1" applyFill="1"/>
    <xf numFmtId="0" fontId="50" fillId="5" borderId="0" xfId="0" applyFont="1" applyFill="1" applyAlignment="1">
      <alignment horizontal="center" vertical="center" wrapText="1"/>
    </xf>
    <xf numFmtId="0" fontId="52" fillId="5" borderId="0" xfId="0" applyFont="1" applyFill="1"/>
    <xf numFmtId="0" fontId="52" fillId="14" borderId="0" xfId="0" applyFont="1" applyFill="1" applyAlignment="1">
      <alignment horizontal="center" vertical="center" wrapText="1"/>
    </xf>
    <xf numFmtId="0" fontId="50" fillId="14" borderId="0" xfId="0" applyFont="1" applyFill="1" applyAlignment="1">
      <alignment wrapText="1"/>
    </xf>
    <xf numFmtId="0" fontId="52" fillId="5" borderId="0" xfId="0" applyFont="1" applyFill="1" applyAlignment="1">
      <alignment horizontal="center" vertical="distributed"/>
    </xf>
    <xf numFmtId="0" fontId="52" fillId="5" borderId="0" xfId="0" applyFont="1" applyFill="1" applyAlignment="1">
      <alignment horizontal="center" wrapText="1"/>
    </xf>
    <xf numFmtId="0" fontId="52" fillId="5" borderId="0" xfId="0" applyFont="1" applyFill="1" applyAlignment="1">
      <alignment horizontal="center"/>
    </xf>
    <xf numFmtId="0" fontId="50" fillId="5" borderId="0" xfId="0" applyFont="1" applyFill="1" applyAlignment="1">
      <alignment horizontal="center"/>
    </xf>
    <xf numFmtId="0" fontId="52" fillId="14" borderId="0" xfId="0" applyFont="1" applyFill="1" applyAlignment="1">
      <alignment horizontal="center" wrapText="1"/>
    </xf>
    <xf numFmtId="0" fontId="46" fillId="5" borderId="0" xfId="0" applyFont="1" applyFill="1"/>
    <xf numFmtId="0" fontId="33" fillId="5" borderId="0" xfId="0" applyFont="1" applyFill="1"/>
    <xf numFmtId="2" fontId="50" fillId="5" borderId="0" xfId="0" applyNumberFormat="1" applyFont="1" applyFill="1" applyAlignment="1">
      <alignment horizontal="left"/>
    </xf>
    <xf numFmtId="2" fontId="50" fillId="5" borderId="0" xfId="0" applyNumberFormat="1" applyFont="1" applyFill="1" applyAlignment="1">
      <alignment horizontal="left" vertical="top" wrapText="1"/>
    </xf>
  </cellXfs>
  <cellStyles count="30">
    <cellStyle name="Body: normal cell" xfId="20" xr:uid="{00000000-0005-0000-0000-000000000000}"/>
    <cellStyle name="Comma" xfId="22" builtinId="3"/>
    <cellStyle name="Comma 3" xfId="1" xr:uid="{00000000-0005-0000-0000-000002000000}"/>
    <cellStyle name="Header: bottom row" xfId="18" xr:uid="{00000000-0005-0000-0000-000003000000}"/>
    <cellStyle name="Hyperlink" xfId="15" builtinId="8"/>
    <cellStyle name="Input" xfId="25" builtinId="20"/>
    <cellStyle name="Neutral" xfId="24" builtinId="28"/>
    <cellStyle name="Normal" xfId="0" builtinId="0"/>
    <cellStyle name="Normal 10" xfId="23" xr:uid="{E5BEE50C-66AA-4342-A984-DB45D9F1BB46}"/>
    <cellStyle name="Normal 10 2" xfId="27" xr:uid="{29C6D17B-E385-408C-B325-1A72C95D45EB}"/>
    <cellStyle name="Normal 2" xfId="2" xr:uid="{00000000-0005-0000-0000-000006000000}"/>
    <cellStyle name="Normal 2 2" xfId="21" xr:uid="{00000000-0005-0000-0000-000007000000}"/>
    <cellStyle name="Normal 3" xfId="3" xr:uid="{00000000-0005-0000-0000-000008000000}"/>
    <cellStyle name="Normal 4" xfId="16" xr:uid="{00000000-0005-0000-0000-000009000000}"/>
    <cellStyle name="Normal 7" xfId="4" xr:uid="{00000000-0005-0000-0000-00000A000000}"/>
    <cellStyle name="Normal_Commercial" xfId="5" xr:uid="{00000000-0005-0000-0000-00000B000000}"/>
    <cellStyle name="Normal_Conv" xfId="6" xr:uid="{00000000-0005-0000-0000-00000C000000}"/>
    <cellStyle name="Normal_conversion factors" xfId="7" xr:uid="{00000000-0005-0000-0000-00000D000000}"/>
    <cellStyle name="Normal_Conversion Tech Data Update-Rev4" xfId="8" xr:uid="{00000000-0005-0000-0000-00000E000000}"/>
    <cellStyle name="Normal_EPAUS9r_08_SRC_Coal_v0.1a" xfId="9" xr:uid="{00000000-0005-0000-0000-00000F000000}"/>
    <cellStyle name="Normal_Residential" xfId="10" xr:uid="{00000000-0005-0000-0000-000010000000}"/>
    <cellStyle name="Normal_Sheet1" xfId="11" xr:uid="{00000000-0005-0000-0000-000012000000}"/>
    <cellStyle name="Normal_USCensusB Pop projection" xfId="12" xr:uid="{00000000-0005-0000-0000-000013000000}"/>
    <cellStyle name="Normale_Scen_UC_IND-StrucConst" xfId="26" xr:uid="{6C698AF3-2422-4A6E-B56B-0B0BEBCD8A49}"/>
    <cellStyle name="Parent row" xfId="19" xr:uid="{00000000-0005-0000-0000-000014000000}"/>
    <cellStyle name="Percent" xfId="13" builtinId="5"/>
    <cellStyle name="Percent 2" xfId="14" xr:uid="{00000000-0005-0000-0000-000016000000}"/>
    <cellStyle name="Percent 2 2" xfId="28" xr:uid="{93A10762-61B7-4FDC-B0A7-91FA5A1CCD7D}"/>
    <cellStyle name="Percent 3" xfId="29" xr:uid="{E883B91A-75B0-48F0-9069-D7AD62101E9C}"/>
    <cellStyle name="Table title" xfId="17" xr:uid="{00000000-0005-0000-0000-000017000000}"/>
  </cellStyles>
  <dxfs count="72">
    <dxf>
      <font>
        <b/>
        <i val="0"/>
        <condense val="0"/>
        <extend val="0"/>
      </font>
      <fill>
        <patternFill>
          <bgColor indexed="10"/>
        </patternFill>
      </fill>
    </dxf>
    <dxf>
      <font>
        <b/>
        <i val="0"/>
        <condense val="0"/>
        <extend val="0"/>
      </font>
      <fill>
        <patternFill>
          <bgColor indexed="1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9A5A5"/>
      <color rgb="FFDFA5F9"/>
      <color rgb="FF0000FF"/>
      <color rgb="FFD5A4F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1.xml"/><Relationship Id="rId50" Type="http://schemas.openxmlformats.org/officeDocument/2006/relationships/sharedStrings" Target="sharedString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RLT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ResDemand!$D$64:$N$64</c:f>
              <c:numCache>
                <c:formatCode>0.00</c:formatCode>
                <c:ptCount val="11"/>
                <c:pt idx="0">
                  <c:v>9.0951287026255017</c:v>
                </c:pt>
                <c:pt idx="1">
                  <c:v>9.0951287026255017</c:v>
                </c:pt>
                <c:pt idx="2">
                  <c:v>9.08862831420082</c:v>
                </c:pt>
                <c:pt idx="3">
                  <c:v>9.5387471182188346</c:v>
                </c:pt>
                <c:pt idx="4">
                  <c:v>9.9265155156511469</c:v>
                </c:pt>
                <c:pt idx="5">
                  <c:v>10.301861146648731</c:v>
                </c:pt>
                <c:pt idx="6">
                  <c:v>10.598860220025712</c:v>
                </c:pt>
                <c:pt idx="7">
                  <c:v>10.899285558192561</c:v>
                </c:pt>
                <c:pt idx="8">
                  <c:v>11.401622444582454</c:v>
                </c:pt>
                <c:pt idx="9">
                  <c:v>11.783867493027365</c:v>
                </c:pt>
                <c:pt idx="10">
                  <c:v>12.175800205412108</c:v>
                </c:pt>
              </c:numCache>
            </c:numRef>
          </c:val>
          <c:smooth val="0"/>
          <c:extLst>
            <c:ext xmlns:c16="http://schemas.microsoft.com/office/drawing/2014/chart" uri="{C3380CC4-5D6E-409C-BE32-E72D297353CC}">
              <c16:uniqueId val="{00000000-012A-4079-8207-C99B82104B13}"/>
            </c:ext>
          </c:extLst>
        </c:ser>
        <c:dLbls>
          <c:showLegendKey val="0"/>
          <c:showVal val="0"/>
          <c:showCatName val="0"/>
          <c:showSerName val="0"/>
          <c:showPercent val="0"/>
          <c:showBubbleSize val="0"/>
        </c:dLbls>
        <c:smooth val="0"/>
        <c:axId val="500573240"/>
        <c:axId val="500573632"/>
      </c:lineChart>
      <c:catAx>
        <c:axId val="500573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3632"/>
        <c:crosses val="autoZero"/>
        <c:auto val="1"/>
        <c:lblAlgn val="ctr"/>
        <c:lblOffset val="100"/>
        <c:noMultiLvlLbl val="0"/>
      </c:catAx>
      <c:valAx>
        <c:axId val="50057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573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ResDemand!$D$76:$N$76</c:f>
              <c:numCache>
                <c:formatCode>0.00</c:formatCode>
                <c:ptCount val="11"/>
                <c:pt idx="0">
                  <c:v>26.573893420579584</c:v>
                </c:pt>
                <c:pt idx="1">
                  <c:v>28.57898390982329</c:v>
                </c:pt>
                <c:pt idx="2">
                  <c:v>28.549424342857819</c:v>
                </c:pt>
                <c:pt idx="3">
                  <c:v>27.792705856989244</c:v>
                </c:pt>
                <c:pt idx="4">
                  <c:v>27.262074192217316</c:v>
                </c:pt>
                <c:pt idx="5">
                  <c:v>26.201023223055486</c:v>
                </c:pt>
                <c:pt idx="6">
                  <c:v>25.719348667343795</c:v>
                </c:pt>
                <c:pt idx="7">
                  <c:v>25.246576224337041</c:v>
                </c:pt>
                <c:pt idx="8">
                  <c:v>24.781084609291796</c:v>
                </c:pt>
                <c:pt idx="9">
                  <c:v>24.32950646837655</c:v>
                </c:pt>
                <c:pt idx="10">
                  <c:v>23.886095045634661</c:v>
                </c:pt>
              </c:numCache>
            </c:numRef>
          </c:val>
          <c:smooth val="0"/>
          <c:extLst>
            <c:ext xmlns:c16="http://schemas.microsoft.com/office/drawing/2014/chart" uri="{C3380CC4-5D6E-409C-BE32-E72D297353CC}">
              <c16:uniqueId val="{00000000-A676-4046-B610-CA7FB3C95E9D}"/>
            </c:ext>
          </c:extLst>
        </c:ser>
        <c:dLbls>
          <c:showLegendKey val="0"/>
          <c:showVal val="0"/>
          <c:showCatName val="0"/>
          <c:showSerName val="0"/>
          <c:showPercent val="0"/>
          <c:showBubbleSize val="0"/>
        </c:dLbls>
        <c:smooth val="0"/>
        <c:axId val="490342064"/>
        <c:axId val="490343632"/>
      </c:lineChart>
      <c:catAx>
        <c:axId val="49034206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43632"/>
        <c:crosses val="autoZero"/>
        <c:auto val="1"/>
        <c:lblAlgn val="ctr"/>
        <c:lblOffset val="100"/>
        <c:noMultiLvlLbl val="0"/>
      </c:catAx>
      <c:valAx>
        <c:axId val="4903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42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ResCalc!$B$80</c:f>
              <c:strCache>
                <c:ptCount val="1"/>
                <c:pt idx="0">
                  <c:v>NYC CDD</c:v>
                </c:pt>
              </c:strCache>
            </c:strRef>
          </c:tx>
          <c:spPr>
            <a:ln w="28575" cap="rnd">
              <a:solidFill>
                <a:schemeClr val="accent1"/>
              </a:solidFill>
              <a:round/>
            </a:ln>
            <a:effectLst/>
          </c:spPr>
          <c:marker>
            <c:symbol val="none"/>
          </c:marker>
          <c:cat>
            <c:numRef>
              <c:f>ResCalc!$D$79:$N$79</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ResCalc!$D$80:$N$80</c:f>
              <c:numCache>
                <c:formatCode>0</c:formatCode>
                <c:ptCount val="11"/>
                <c:pt idx="0">
                  <c:v>1112</c:v>
                </c:pt>
                <c:pt idx="1">
                  <c:v>1112</c:v>
                </c:pt>
                <c:pt idx="2">
                  <c:v>1112</c:v>
                </c:pt>
                <c:pt idx="3">
                  <c:v>1112</c:v>
                </c:pt>
                <c:pt idx="4">
                  <c:v>1112</c:v>
                </c:pt>
                <c:pt idx="5">
                  <c:v>1112</c:v>
                </c:pt>
                <c:pt idx="6">
                  <c:v>1112</c:v>
                </c:pt>
                <c:pt idx="7">
                  <c:v>1112</c:v>
                </c:pt>
                <c:pt idx="8">
                  <c:v>1112</c:v>
                </c:pt>
                <c:pt idx="9">
                  <c:v>1112</c:v>
                </c:pt>
                <c:pt idx="10">
                  <c:v>1112</c:v>
                </c:pt>
              </c:numCache>
            </c:numRef>
          </c:val>
          <c:smooth val="0"/>
          <c:extLst>
            <c:ext xmlns:c16="http://schemas.microsoft.com/office/drawing/2014/chart" uri="{C3380CC4-5D6E-409C-BE32-E72D297353CC}">
              <c16:uniqueId val="{00000000-225D-4037-AFE4-C45E810A160D}"/>
            </c:ext>
          </c:extLst>
        </c:ser>
        <c:ser>
          <c:idx val="1"/>
          <c:order val="1"/>
          <c:tx>
            <c:strRef>
              <c:f>ResCalc!$B$81</c:f>
              <c:strCache>
                <c:ptCount val="1"/>
                <c:pt idx="0">
                  <c:v>NYC HDD</c:v>
                </c:pt>
              </c:strCache>
            </c:strRef>
          </c:tx>
          <c:spPr>
            <a:ln w="28575" cap="rnd">
              <a:solidFill>
                <a:schemeClr val="accent2"/>
              </a:solidFill>
              <a:round/>
            </a:ln>
            <a:effectLst/>
          </c:spPr>
          <c:marker>
            <c:symbol val="none"/>
          </c:marker>
          <c:cat>
            <c:numRef>
              <c:f>ResCalc!$D$79:$N$79</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ResCalc!$D$81:$N$81</c:f>
              <c:numCache>
                <c:formatCode>0</c:formatCode>
                <c:ptCount val="11"/>
                <c:pt idx="0">
                  <c:v>4376</c:v>
                </c:pt>
                <c:pt idx="1">
                  <c:v>4376</c:v>
                </c:pt>
                <c:pt idx="2">
                  <c:v>4376</c:v>
                </c:pt>
                <c:pt idx="3">
                  <c:v>4376</c:v>
                </c:pt>
                <c:pt idx="4">
                  <c:v>4376</c:v>
                </c:pt>
                <c:pt idx="5">
                  <c:v>4376</c:v>
                </c:pt>
                <c:pt idx="6">
                  <c:v>4376</c:v>
                </c:pt>
                <c:pt idx="7">
                  <c:v>4376</c:v>
                </c:pt>
                <c:pt idx="8">
                  <c:v>4376</c:v>
                </c:pt>
                <c:pt idx="9">
                  <c:v>4376</c:v>
                </c:pt>
                <c:pt idx="10">
                  <c:v>4376</c:v>
                </c:pt>
              </c:numCache>
            </c:numRef>
          </c:val>
          <c:smooth val="0"/>
          <c:extLst>
            <c:ext xmlns:c16="http://schemas.microsoft.com/office/drawing/2014/chart" uri="{C3380CC4-5D6E-409C-BE32-E72D297353CC}">
              <c16:uniqueId val="{00000001-225D-4037-AFE4-C45E810A160D}"/>
            </c:ext>
          </c:extLst>
        </c:ser>
        <c:dLbls>
          <c:showLegendKey val="0"/>
          <c:showVal val="0"/>
          <c:showCatName val="0"/>
          <c:showSerName val="0"/>
          <c:showPercent val="0"/>
          <c:showBubbleSize val="0"/>
        </c:dLbls>
        <c:smooth val="0"/>
        <c:axId val="501451808"/>
        <c:axId val="497759240"/>
      </c:lineChart>
      <c:catAx>
        <c:axId val="50145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59240"/>
        <c:crosses val="autoZero"/>
        <c:auto val="1"/>
        <c:lblAlgn val="ctr"/>
        <c:lblOffset val="100"/>
        <c:noMultiLvlLbl val="0"/>
      </c:catAx>
      <c:valAx>
        <c:axId val="497759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45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ResCalc!$S$32</c:f>
              <c:strCache>
                <c:ptCount val="1"/>
                <c:pt idx="0">
                  <c:v>   New England</c:v>
                </c:pt>
              </c:strCache>
            </c:strRef>
          </c:tx>
          <c:spPr>
            <a:ln w="28575" cap="rnd">
              <a:solidFill>
                <a:schemeClr val="accent1"/>
              </a:solidFill>
              <a:round/>
            </a:ln>
            <a:effectLst/>
          </c:spPr>
          <c:marker>
            <c:symbol val="none"/>
          </c:marker>
          <c:val>
            <c:numRef>
              <c:f>ResCalc!$T$32:$AD$32</c:f>
              <c:numCache>
                <c:formatCode>General</c:formatCode>
                <c:ptCount val="11"/>
                <c:pt idx="0">
                  <c:v>4376</c:v>
                </c:pt>
                <c:pt idx="1">
                  <c:v>6082</c:v>
                </c:pt>
                <c:pt idx="2">
                  <c:v>6115</c:v>
                </c:pt>
                <c:pt idx="3">
                  <c:v>6045</c:v>
                </c:pt>
                <c:pt idx="4">
                  <c:v>5975</c:v>
                </c:pt>
                <c:pt idx="5">
                  <c:v>5905</c:v>
                </c:pt>
                <c:pt idx="6">
                  <c:v>5835</c:v>
                </c:pt>
                <c:pt idx="7">
                  <c:v>5763</c:v>
                </c:pt>
                <c:pt idx="8" formatCode="0">
                  <c:v>5691.8884318766068</c:v>
                </c:pt>
                <c:pt idx="9" formatCode="0">
                  <c:v>5621.6543329742735</c:v>
                </c:pt>
                <c:pt idx="10" formatCode="0">
                  <c:v>5552.2868759092953</c:v>
                </c:pt>
              </c:numCache>
            </c:numRef>
          </c:val>
          <c:smooth val="0"/>
          <c:extLst>
            <c:ext xmlns:c16="http://schemas.microsoft.com/office/drawing/2014/chart" uri="{C3380CC4-5D6E-409C-BE32-E72D297353CC}">
              <c16:uniqueId val="{00000000-4C5D-4E64-AE05-6457C8A49302}"/>
            </c:ext>
          </c:extLst>
        </c:ser>
        <c:ser>
          <c:idx val="1"/>
          <c:order val="1"/>
          <c:tx>
            <c:strRef>
              <c:f>ResCalc!$S$33</c:f>
              <c:strCache>
                <c:ptCount val="1"/>
                <c:pt idx="0">
                  <c:v>   Middle Atlantic</c:v>
                </c:pt>
              </c:strCache>
            </c:strRef>
          </c:tx>
          <c:spPr>
            <a:ln w="28575" cap="rnd">
              <a:solidFill>
                <a:schemeClr val="accent2"/>
              </a:solidFill>
              <a:round/>
            </a:ln>
            <a:effectLst/>
          </c:spPr>
          <c:marker>
            <c:symbol val="none"/>
          </c:marker>
          <c:val>
            <c:numRef>
              <c:f>ResCalc!$T$33:$AD$33</c:f>
              <c:numCache>
                <c:formatCode>General</c:formatCode>
                <c:ptCount val="11"/>
                <c:pt idx="0">
                  <c:v>4376</c:v>
                </c:pt>
                <c:pt idx="1">
                  <c:v>5405</c:v>
                </c:pt>
                <c:pt idx="2">
                  <c:v>5384</c:v>
                </c:pt>
                <c:pt idx="3">
                  <c:v>5307</c:v>
                </c:pt>
                <c:pt idx="4">
                  <c:v>5229</c:v>
                </c:pt>
                <c:pt idx="5">
                  <c:v>5152</c:v>
                </c:pt>
                <c:pt idx="6">
                  <c:v>5076</c:v>
                </c:pt>
                <c:pt idx="7">
                  <c:v>5000</c:v>
                </c:pt>
                <c:pt idx="8" formatCode="0">
                  <c:v>4925.1379038613077</c:v>
                </c:pt>
                <c:pt idx="9" formatCode="0">
                  <c:v>4851.3966744102709</c:v>
                </c:pt>
                <c:pt idx="10" formatCode="0">
                  <c:v>4778.7595295609435</c:v>
                </c:pt>
              </c:numCache>
            </c:numRef>
          </c:val>
          <c:smooth val="0"/>
          <c:extLst>
            <c:ext xmlns:c16="http://schemas.microsoft.com/office/drawing/2014/chart" uri="{C3380CC4-5D6E-409C-BE32-E72D297353CC}">
              <c16:uniqueId val="{00000001-4C5D-4E64-AE05-6457C8A49302}"/>
            </c:ext>
          </c:extLst>
        </c:ser>
        <c:ser>
          <c:idx val="2"/>
          <c:order val="2"/>
          <c:tx>
            <c:strRef>
              <c:f>ResCalc!$S$34</c:f>
              <c:strCache>
                <c:ptCount val="1"/>
                <c:pt idx="0">
                  <c:v>   East North Central</c:v>
                </c:pt>
              </c:strCache>
            </c:strRef>
          </c:tx>
          <c:spPr>
            <a:ln w="28575" cap="rnd">
              <a:solidFill>
                <a:schemeClr val="accent3"/>
              </a:solidFill>
              <a:round/>
            </a:ln>
            <a:effectLst/>
          </c:spPr>
          <c:marker>
            <c:symbol val="none"/>
          </c:marker>
          <c:val>
            <c:numRef>
              <c:f>ResCalc!$T$34:$AD$34</c:f>
              <c:numCache>
                <c:formatCode>General</c:formatCode>
                <c:ptCount val="11"/>
                <c:pt idx="0">
                  <c:v>4376</c:v>
                </c:pt>
                <c:pt idx="1">
                  <c:v>6163</c:v>
                </c:pt>
                <c:pt idx="2">
                  <c:v>5999</c:v>
                </c:pt>
                <c:pt idx="3">
                  <c:v>5933</c:v>
                </c:pt>
                <c:pt idx="4">
                  <c:v>5867</c:v>
                </c:pt>
                <c:pt idx="5">
                  <c:v>5801</c:v>
                </c:pt>
                <c:pt idx="6">
                  <c:v>5735</c:v>
                </c:pt>
                <c:pt idx="7">
                  <c:v>5669</c:v>
                </c:pt>
                <c:pt idx="8" formatCode="0">
                  <c:v>5603.7595466434177</c:v>
                </c:pt>
                <c:pt idx="9" formatCode="0">
                  <c:v>5539.2698988529264</c:v>
                </c:pt>
                <c:pt idx="10" formatCode="0">
                  <c:v>5475.5224161459873</c:v>
                </c:pt>
              </c:numCache>
            </c:numRef>
          </c:val>
          <c:smooth val="0"/>
          <c:extLst>
            <c:ext xmlns:c16="http://schemas.microsoft.com/office/drawing/2014/chart" uri="{C3380CC4-5D6E-409C-BE32-E72D297353CC}">
              <c16:uniqueId val="{00000002-4C5D-4E64-AE05-6457C8A49302}"/>
            </c:ext>
          </c:extLst>
        </c:ser>
        <c:ser>
          <c:idx val="3"/>
          <c:order val="3"/>
          <c:tx>
            <c:strRef>
              <c:f>ResCalc!$S$35</c:f>
              <c:strCache>
                <c:ptCount val="1"/>
                <c:pt idx="0">
                  <c:v>   West North Central</c:v>
                </c:pt>
              </c:strCache>
            </c:strRef>
          </c:tx>
          <c:spPr>
            <a:ln w="28575" cap="rnd">
              <a:solidFill>
                <a:schemeClr val="accent4"/>
              </a:solidFill>
              <a:round/>
            </a:ln>
            <a:effectLst/>
          </c:spPr>
          <c:marker>
            <c:symbol val="none"/>
          </c:marker>
          <c:val>
            <c:numRef>
              <c:f>ResCalc!$T$35:$AD$35</c:f>
              <c:numCache>
                <c:formatCode>General</c:formatCode>
                <c:ptCount val="11"/>
                <c:pt idx="0" formatCode="0.0">
                  <c:v>7012.3008920038228</c:v>
                </c:pt>
                <c:pt idx="1">
                  <c:v>6635</c:v>
                </c:pt>
                <c:pt idx="2">
                  <c:v>6278</c:v>
                </c:pt>
                <c:pt idx="3">
                  <c:v>6226</c:v>
                </c:pt>
                <c:pt idx="4">
                  <c:v>6170</c:v>
                </c:pt>
                <c:pt idx="5">
                  <c:v>6112</c:v>
                </c:pt>
                <c:pt idx="6">
                  <c:v>6053</c:v>
                </c:pt>
                <c:pt idx="7">
                  <c:v>5992</c:v>
                </c:pt>
                <c:pt idx="8" formatCode="0">
                  <c:v>5931.6147364942999</c:v>
                </c:pt>
                <c:pt idx="9" formatCode="0">
                  <c:v>5871.8380143852373</c:v>
                </c:pt>
                <c:pt idx="10" formatCode="0">
                  <c:v>5812.6637010071599</c:v>
                </c:pt>
              </c:numCache>
            </c:numRef>
          </c:val>
          <c:smooth val="0"/>
          <c:extLst>
            <c:ext xmlns:c16="http://schemas.microsoft.com/office/drawing/2014/chart" uri="{C3380CC4-5D6E-409C-BE32-E72D297353CC}">
              <c16:uniqueId val="{00000003-4C5D-4E64-AE05-6457C8A49302}"/>
            </c:ext>
          </c:extLst>
        </c:ser>
        <c:ser>
          <c:idx val="4"/>
          <c:order val="4"/>
          <c:tx>
            <c:strRef>
              <c:f>ResCalc!$S$36</c:f>
              <c:strCache>
                <c:ptCount val="1"/>
                <c:pt idx="0">
                  <c:v>   South Atlantic</c:v>
                </c:pt>
              </c:strCache>
            </c:strRef>
          </c:tx>
          <c:spPr>
            <a:ln w="28575" cap="rnd">
              <a:solidFill>
                <a:schemeClr val="accent5"/>
              </a:solidFill>
              <a:round/>
            </a:ln>
            <a:effectLst/>
          </c:spPr>
          <c:marker>
            <c:symbol val="none"/>
          </c:marker>
          <c:val>
            <c:numRef>
              <c:f>ResCalc!$T$36:$AD$36</c:f>
              <c:numCache>
                <c:formatCode>General</c:formatCode>
                <c:ptCount val="11"/>
                <c:pt idx="0" formatCode="0.0">
                  <c:v>2513.1951219512193</c:v>
                </c:pt>
                <c:pt idx="1">
                  <c:v>2568</c:v>
                </c:pt>
                <c:pt idx="2">
                  <c:v>2624</c:v>
                </c:pt>
                <c:pt idx="3">
                  <c:v>2588</c:v>
                </c:pt>
                <c:pt idx="4">
                  <c:v>2551</c:v>
                </c:pt>
                <c:pt idx="5">
                  <c:v>2516</c:v>
                </c:pt>
                <c:pt idx="6">
                  <c:v>2481</c:v>
                </c:pt>
                <c:pt idx="7">
                  <c:v>2448</c:v>
                </c:pt>
                <c:pt idx="8" formatCode="0">
                  <c:v>2415.4389359129382</c:v>
                </c:pt>
                <c:pt idx="9" formatCode="0">
                  <c:v>2383.3109694134914</c:v>
                </c:pt>
                <c:pt idx="10" formatCode="0">
                  <c:v>2351.6103398324171</c:v>
                </c:pt>
              </c:numCache>
            </c:numRef>
          </c:val>
          <c:smooth val="0"/>
          <c:extLst>
            <c:ext xmlns:c16="http://schemas.microsoft.com/office/drawing/2014/chart" uri="{C3380CC4-5D6E-409C-BE32-E72D297353CC}">
              <c16:uniqueId val="{00000004-4C5D-4E64-AE05-6457C8A49302}"/>
            </c:ext>
          </c:extLst>
        </c:ser>
        <c:ser>
          <c:idx val="5"/>
          <c:order val="5"/>
          <c:tx>
            <c:strRef>
              <c:f>ResCalc!$S$37</c:f>
              <c:strCache>
                <c:ptCount val="1"/>
                <c:pt idx="0">
                  <c:v>   East South Central</c:v>
                </c:pt>
              </c:strCache>
            </c:strRef>
          </c:tx>
          <c:spPr>
            <a:ln w="28575" cap="rnd">
              <a:solidFill>
                <a:schemeClr val="accent6"/>
              </a:solidFill>
              <a:round/>
            </a:ln>
            <a:effectLst/>
          </c:spPr>
          <c:marker>
            <c:symbol val="none"/>
          </c:marker>
          <c:val>
            <c:numRef>
              <c:f>ResCalc!$T$37:$AD$37</c:f>
              <c:numCache>
                <c:formatCode>General</c:formatCode>
                <c:ptCount val="11"/>
                <c:pt idx="0">
                  <c:v>4376</c:v>
                </c:pt>
                <c:pt idx="1">
                  <c:v>3358</c:v>
                </c:pt>
                <c:pt idx="2">
                  <c:v>3298</c:v>
                </c:pt>
                <c:pt idx="3">
                  <c:v>3258</c:v>
                </c:pt>
                <c:pt idx="4">
                  <c:v>3218</c:v>
                </c:pt>
                <c:pt idx="5">
                  <c:v>3177</c:v>
                </c:pt>
                <c:pt idx="6">
                  <c:v>3135</c:v>
                </c:pt>
                <c:pt idx="7">
                  <c:v>3093</c:v>
                </c:pt>
                <c:pt idx="8" formatCode="0">
                  <c:v>3051.5626794258374</c:v>
                </c:pt>
                <c:pt idx="9" formatCode="0">
                  <c:v>3010.6804999885535</c:v>
                </c:pt>
                <c:pt idx="10" formatCode="0">
                  <c:v>2970.3460243906206</c:v>
                </c:pt>
              </c:numCache>
            </c:numRef>
          </c:val>
          <c:smooth val="0"/>
          <c:extLst>
            <c:ext xmlns:c16="http://schemas.microsoft.com/office/drawing/2014/chart" uri="{C3380CC4-5D6E-409C-BE32-E72D297353CC}">
              <c16:uniqueId val="{00000005-4C5D-4E64-AE05-6457C8A49302}"/>
            </c:ext>
          </c:extLst>
        </c:ser>
        <c:ser>
          <c:idx val="6"/>
          <c:order val="6"/>
          <c:tx>
            <c:strRef>
              <c:f>ResCalc!$S$38</c:f>
              <c:strCache>
                <c:ptCount val="1"/>
                <c:pt idx="0">
                  <c:v>   West South Central</c:v>
                </c:pt>
              </c:strCache>
            </c:strRef>
          </c:tx>
          <c:spPr>
            <a:ln w="28575" cap="rnd">
              <a:solidFill>
                <a:schemeClr val="accent1">
                  <a:lumMod val="60000"/>
                </a:schemeClr>
              </a:solidFill>
              <a:round/>
            </a:ln>
            <a:effectLst/>
          </c:spPr>
          <c:marker>
            <c:symbol val="none"/>
          </c:marker>
          <c:val>
            <c:numRef>
              <c:f>ResCalc!$T$38:$AD$38</c:f>
              <c:numCache>
                <c:formatCode>General</c:formatCode>
                <c:ptCount val="11"/>
                <c:pt idx="0">
                  <c:v>4376</c:v>
                </c:pt>
                <c:pt idx="1">
                  <c:v>2145</c:v>
                </c:pt>
                <c:pt idx="2">
                  <c:v>1979</c:v>
                </c:pt>
                <c:pt idx="3">
                  <c:v>1924</c:v>
                </c:pt>
                <c:pt idx="4">
                  <c:v>1870</c:v>
                </c:pt>
                <c:pt idx="5">
                  <c:v>1815</c:v>
                </c:pt>
                <c:pt idx="6">
                  <c:v>1761</c:v>
                </c:pt>
                <c:pt idx="7">
                  <c:v>1707</c:v>
                </c:pt>
                <c:pt idx="8" formatCode="0">
                  <c:v>1654.655877342419</c:v>
                </c:pt>
                <c:pt idx="9" formatCode="0">
                  <c:v>1603.9168555499768</c:v>
                </c:pt>
                <c:pt idx="10" formatCode="0">
                  <c:v>1554.7337151753609</c:v>
                </c:pt>
              </c:numCache>
            </c:numRef>
          </c:val>
          <c:smooth val="0"/>
          <c:extLst>
            <c:ext xmlns:c16="http://schemas.microsoft.com/office/drawing/2014/chart" uri="{C3380CC4-5D6E-409C-BE32-E72D297353CC}">
              <c16:uniqueId val="{00000006-4C5D-4E64-AE05-6457C8A49302}"/>
            </c:ext>
          </c:extLst>
        </c:ser>
        <c:ser>
          <c:idx val="7"/>
          <c:order val="7"/>
          <c:tx>
            <c:strRef>
              <c:f>ResCalc!$S$39</c:f>
              <c:strCache>
                <c:ptCount val="1"/>
                <c:pt idx="0">
                  <c:v>   Mountain</c:v>
                </c:pt>
              </c:strCache>
            </c:strRef>
          </c:tx>
          <c:spPr>
            <a:ln w="28575" cap="rnd">
              <a:solidFill>
                <a:schemeClr val="accent2">
                  <a:lumMod val="60000"/>
                </a:schemeClr>
              </a:solidFill>
              <a:round/>
            </a:ln>
            <a:effectLst/>
          </c:spPr>
          <c:marker>
            <c:symbol val="none"/>
          </c:marker>
          <c:val>
            <c:numRef>
              <c:f>ResCalc!$T$39:$AD$39</c:f>
              <c:numCache>
                <c:formatCode>General</c:formatCode>
                <c:ptCount val="11"/>
                <c:pt idx="0" formatCode="0.0">
                  <c:v>5777.155654383736</c:v>
                </c:pt>
                <c:pt idx="1">
                  <c:v>5223</c:v>
                </c:pt>
                <c:pt idx="2">
                  <c:v>4722</c:v>
                </c:pt>
                <c:pt idx="3">
                  <c:v>4660</c:v>
                </c:pt>
                <c:pt idx="4">
                  <c:v>4586</c:v>
                </c:pt>
                <c:pt idx="5">
                  <c:v>4508</c:v>
                </c:pt>
                <c:pt idx="6">
                  <c:v>4428</c:v>
                </c:pt>
                <c:pt idx="7">
                  <c:v>4347</c:v>
                </c:pt>
                <c:pt idx="8" formatCode="0">
                  <c:v>4267.4817073170734</c:v>
                </c:pt>
                <c:pt idx="9" formatCode="0">
                  <c:v>4189.4180175490783</c:v>
                </c:pt>
                <c:pt idx="10" formatCode="0">
                  <c:v>4112.7823221061071</c:v>
                </c:pt>
              </c:numCache>
            </c:numRef>
          </c:val>
          <c:smooth val="0"/>
          <c:extLst>
            <c:ext xmlns:c16="http://schemas.microsoft.com/office/drawing/2014/chart" uri="{C3380CC4-5D6E-409C-BE32-E72D297353CC}">
              <c16:uniqueId val="{00000007-4C5D-4E64-AE05-6457C8A49302}"/>
            </c:ext>
          </c:extLst>
        </c:ser>
        <c:ser>
          <c:idx val="8"/>
          <c:order val="8"/>
          <c:tx>
            <c:strRef>
              <c:f>ResCalc!$S$40</c:f>
              <c:strCache>
                <c:ptCount val="1"/>
                <c:pt idx="0">
                  <c:v>   Pacific</c:v>
                </c:pt>
              </c:strCache>
            </c:strRef>
          </c:tx>
          <c:spPr>
            <a:ln w="28575" cap="rnd">
              <a:solidFill>
                <a:schemeClr val="accent3">
                  <a:lumMod val="60000"/>
                </a:schemeClr>
              </a:solidFill>
              <a:round/>
            </a:ln>
            <a:effectLst/>
          </c:spPr>
          <c:marker>
            <c:symbol val="none"/>
          </c:marker>
          <c:val>
            <c:numRef>
              <c:f>ResCalc!$T$40:$AD$40</c:f>
              <c:numCache>
                <c:formatCode>General</c:formatCode>
                <c:ptCount val="11"/>
                <c:pt idx="0" formatCode="0.0">
                  <c:v>3876.6389061528898</c:v>
                </c:pt>
                <c:pt idx="1">
                  <c:v>3532</c:v>
                </c:pt>
                <c:pt idx="2">
                  <c:v>3218</c:v>
                </c:pt>
                <c:pt idx="3">
                  <c:v>3244</c:v>
                </c:pt>
                <c:pt idx="4">
                  <c:v>3267</c:v>
                </c:pt>
                <c:pt idx="5">
                  <c:v>3290</c:v>
                </c:pt>
                <c:pt idx="6">
                  <c:v>3314</c:v>
                </c:pt>
                <c:pt idx="7">
                  <c:v>3339</c:v>
                </c:pt>
                <c:pt idx="8" formatCode="0">
                  <c:v>3364.1885938442974</c:v>
                </c:pt>
                <c:pt idx="9" formatCode="0">
                  <c:v>3389.5672042384158</c:v>
                </c:pt>
                <c:pt idx="10" formatCode="0">
                  <c:v>3415.13726462042</c:v>
                </c:pt>
              </c:numCache>
            </c:numRef>
          </c:val>
          <c:smooth val="0"/>
          <c:extLst>
            <c:ext xmlns:c16="http://schemas.microsoft.com/office/drawing/2014/chart" uri="{C3380CC4-5D6E-409C-BE32-E72D297353CC}">
              <c16:uniqueId val="{00000008-4C5D-4E64-AE05-6457C8A49302}"/>
            </c:ext>
          </c:extLst>
        </c:ser>
        <c:dLbls>
          <c:showLegendKey val="0"/>
          <c:showVal val="0"/>
          <c:showCatName val="0"/>
          <c:showSerName val="0"/>
          <c:showPercent val="0"/>
          <c:showBubbleSize val="0"/>
        </c:dLbls>
        <c:smooth val="0"/>
        <c:axId val="497760024"/>
        <c:axId val="497760416"/>
      </c:lineChart>
      <c:catAx>
        <c:axId val="4977600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0416"/>
        <c:crosses val="autoZero"/>
        <c:auto val="1"/>
        <c:lblAlgn val="ctr"/>
        <c:lblOffset val="100"/>
        <c:noMultiLvlLbl val="0"/>
      </c:catAx>
      <c:valAx>
        <c:axId val="49776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0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ResCalc!$S$44</c:f>
              <c:strCache>
                <c:ptCount val="1"/>
                <c:pt idx="0">
                  <c:v>   New England</c:v>
                </c:pt>
              </c:strCache>
            </c:strRef>
          </c:tx>
          <c:spPr>
            <a:ln w="28575" cap="rnd">
              <a:solidFill>
                <a:schemeClr val="accent1"/>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ResCalc!$T$44:$AD$44</c:f>
              <c:numCache>
                <c:formatCode>General</c:formatCode>
                <c:ptCount val="11"/>
                <c:pt idx="0">
                  <c:v>1112</c:v>
                </c:pt>
                <c:pt idx="1">
                  <c:v>568</c:v>
                </c:pt>
                <c:pt idx="2">
                  <c:v>546</c:v>
                </c:pt>
                <c:pt idx="3">
                  <c:v>565</c:v>
                </c:pt>
                <c:pt idx="4">
                  <c:v>583</c:v>
                </c:pt>
                <c:pt idx="5">
                  <c:v>601</c:v>
                </c:pt>
                <c:pt idx="6">
                  <c:v>620</c:v>
                </c:pt>
                <c:pt idx="7">
                  <c:v>638</c:v>
                </c:pt>
                <c:pt idx="8" formatCode="0">
                  <c:v>656.52258064516127</c:v>
                </c:pt>
                <c:pt idx="9" formatCode="0">
                  <c:v>675.58291363163369</c:v>
                </c:pt>
                <c:pt idx="10" formatCode="0">
                  <c:v>695.19661112416497</c:v>
                </c:pt>
              </c:numCache>
            </c:numRef>
          </c:val>
          <c:smooth val="0"/>
          <c:extLst>
            <c:ext xmlns:c16="http://schemas.microsoft.com/office/drawing/2014/chart" uri="{C3380CC4-5D6E-409C-BE32-E72D297353CC}">
              <c16:uniqueId val="{00000000-1F73-4C86-944B-F64CB52DF60D}"/>
            </c:ext>
          </c:extLst>
        </c:ser>
        <c:ser>
          <c:idx val="1"/>
          <c:order val="1"/>
          <c:tx>
            <c:strRef>
              <c:f>ResCalc!$S$45</c:f>
              <c:strCache>
                <c:ptCount val="1"/>
                <c:pt idx="0">
                  <c:v>   Middle Atlantic</c:v>
                </c:pt>
              </c:strCache>
            </c:strRef>
          </c:tx>
          <c:spPr>
            <a:ln w="28575" cap="rnd">
              <a:solidFill>
                <a:schemeClr val="accent2"/>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ResCalc!$T$45:$AD$45</c:f>
              <c:numCache>
                <c:formatCode>General</c:formatCode>
                <c:ptCount val="11"/>
                <c:pt idx="0">
                  <c:v>1112</c:v>
                </c:pt>
                <c:pt idx="1">
                  <c:v>885</c:v>
                </c:pt>
                <c:pt idx="2">
                  <c:v>821</c:v>
                </c:pt>
                <c:pt idx="3">
                  <c:v>848</c:v>
                </c:pt>
                <c:pt idx="4">
                  <c:v>875</c:v>
                </c:pt>
                <c:pt idx="5">
                  <c:v>903</c:v>
                </c:pt>
                <c:pt idx="6">
                  <c:v>929</c:v>
                </c:pt>
                <c:pt idx="7">
                  <c:v>956</c:v>
                </c:pt>
                <c:pt idx="8" formatCode="0">
                  <c:v>983.78471474703974</c:v>
                </c:pt>
                <c:pt idx="9" formatCode="0">
                  <c:v>1012.3769508053498</c:v>
                </c:pt>
                <c:pt idx="10" formatCode="0">
                  <c:v>1041.8001775779487</c:v>
                </c:pt>
              </c:numCache>
            </c:numRef>
          </c:val>
          <c:smooth val="0"/>
          <c:extLst>
            <c:ext xmlns:c16="http://schemas.microsoft.com/office/drawing/2014/chart" uri="{C3380CC4-5D6E-409C-BE32-E72D297353CC}">
              <c16:uniqueId val="{00000001-1F73-4C86-944B-F64CB52DF60D}"/>
            </c:ext>
          </c:extLst>
        </c:ser>
        <c:ser>
          <c:idx val="2"/>
          <c:order val="2"/>
          <c:tx>
            <c:strRef>
              <c:f>ResCalc!$S$46</c:f>
              <c:strCache>
                <c:ptCount val="1"/>
                <c:pt idx="0">
                  <c:v>   East North Central</c:v>
                </c:pt>
              </c:strCache>
            </c:strRef>
          </c:tx>
          <c:spPr>
            <a:ln w="28575" cap="rnd">
              <a:solidFill>
                <a:schemeClr val="accent3"/>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ResCalc!$T$46:$AD$46</c:f>
              <c:numCache>
                <c:formatCode>General</c:formatCode>
                <c:ptCount val="11"/>
                <c:pt idx="0">
                  <c:v>1112</c:v>
                </c:pt>
                <c:pt idx="1">
                  <c:v>855</c:v>
                </c:pt>
                <c:pt idx="2">
                  <c:v>814</c:v>
                </c:pt>
                <c:pt idx="3">
                  <c:v>825</c:v>
                </c:pt>
                <c:pt idx="4">
                  <c:v>835</c:v>
                </c:pt>
                <c:pt idx="5">
                  <c:v>846</c:v>
                </c:pt>
                <c:pt idx="6">
                  <c:v>856</c:v>
                </c:pt>
                <c:pt idx="7">
                  <c:v>867</c:v>
                </c:pt>
                <c:pt idx="8" formatCode="0">
                  <c:v>878.14135514018687</c:v>
                </c:pt>
                <c:pt idx="9" formatCode="0">
                  <c:v>889.4258819001659</c:v>
                </c:pt>
                <c:pt idx="10" formatCode="0">
                  <c:v>900.85542010215397</c:v>
                </c:pt>
              </c:numCache>
            </c:numRef>
          </c:val>
          <c:smooth val="0"/>
          <c:extLst>
            <c:ext xmlns:c16="http://schemas.microsoft.com/office/drawing/2014/chart" uri="{C3380CC4-5D6E-409C-BE32-E72D297353CC}">
              <c16:uniqueId val="{00000002-1F73-4C86-944B-F64CB52DF60D}"/>
            </c:ext>
          </c:extLst>
        </c:ser>
        <c:ser>
          <c:idx val="3"/>
          <c:order val="3"/>
          <c:tx>
            <c:strRef>
              <c:f>ResCalc!$S$47</c:f>
              <c:strCache>
                <c:ptCount val="1"/>
                <c:pt idx="0">
                  <c:v>   West North Central</c:v>
                </c:pt>
              </c:strCache>
            </c:strRef>
          </c:tx>
          <c:spPr>
            <a:ln w="28575" cap="rnd">
              <a:solidFill>
                <a:schemeClr val="accent4"/>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ResCalc!$T$47:$AD$47</c:f>
              <c:numCache>
                <c:formatCode>General</c:formatCode>
                <c:ptCount val="11"/>
                <c:pt idx="0" formatCode="0.0">
                  <c:v>1114.267716535433</c:v>
                </c:pt>
                <c:pt idx="1">
                  <c:v>1064</c:v>
                </c:pt>
                <c:pt idx="2">
                  <c:v>1016</c:v>
                </c:pt>
                <c:pt idx="3">
                  <c:v>1024</c:v>
                </c:pt>
                <c:pt idx="4">
                  <c:v>1032</c:v>
                </c:pt>
                <c:pt idx="5">
                  <c:v>1041</c:v>
                </c:pt>
                <c:pt idx="6">
                  <c:v>1051</c:v>
                </c:pt>
                <c:pt idx="7">
                  <c:v>1061</c:v>
                </c:pt>
                <c:pt idx="8" formatCode="0">
                  <c:v>1071.0951474785918</c:v>
                </c:pt>
                <c:pt idx="9" formatCode="0">
                  <c:v>1081.2863477400438</c:v>
                </c:pt>
                <c:pt idx="10" formatCode="0">
                  <c:v>1091.5745147023658</c:v>
                </c:pt>
              </c:numCache>
            </c:numRef>
          </c:val>
          <c:smooth val="0"/>
          <c:extLst>
            <c:ext xmlns:c16="http://schemas.microsoft.com/office/drawing/2014/chart" uri="{C3380CC4-5D6E-409C-BE32-E72D297353CC}">
              <c16:uniqueId val="{00000003-1F73-4C86-944B-F64CB52DF60D}"/>
            </c:ext>
          </c:extLst>
        </c:ser>
        <c:ser>
          <c:idx val="4"/>
          <c:order val="4"/>
          <c:tx>
            <c:strRef>
              <c:f>ResCalc!$S$48</c:f>
              <c:strCache>
                <c:ptCount val="1"/>
                <c:pt idx="0">
                  <c:v>   South Atlantic</c:v>
                </c:pt>
              </c:strCache>
            </c:strRef>
          </c:tx>
          <c:spPr>
            <a:ln w="28575" cap="rnd">
              <a:solidFill>
                <a:schemeClr val="accent5"/>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ResCalc!$T$48:$AD$48</c:f>
              <c:numCache>
                <c:formatCode>General</c:formatCode>
                <c:ptCount val="11"/>
                <c:pt idx="0" formatCode="0.0">
                  <c:v>2366.1551565377531</c:v>
                </c:pt>
                <c:pt idx="1">
                  <c:v>2267</c:v>
                </c:pt>
                <c:pt idx="2">
                  <c:v>2172</c:v>
                </c:pt>
                <c:pt idx="3">
                  <c:v>2208</c:v>
                </c:pt>
                <c:pt idx="4">
                  <c:v>2244</c:v>
                </c:pt>
                <c:pt idx="5">
                  <c:v>2280</c:v>
                </c:pt>
                <c:pt idx="6">
                  <c:v>2316</c:v>
                </c:pt>
                <c:pt idx="7">
                  <c:v>2350</c:v>
                </c:pt>
                <c:pt idx="8" formatCode="0">
                  <c:v>2384.4991364421412</c:v>
                </c:pt>
                <c:pt idx="9" formatCode="0">
                  <c:v>2419.5047368907735</c:v>
                </c:pt>
                <c:pt idx="10" formatCode="0">
                  <c:v>2455.0242364824339</c:v>
                </c:pt>
              </c:numCache>
            </c:numRef>
          </c:val>
          <c:smooth val="0"/>
          <c:extLst>
            <c:ext xmlns:c16="http://schemas.microsoft.com/office/drawing/2014/chart" uri="{C3380CC4-5D6E-409C-BE32-E72D297353CC}">
              <c16:uniqueId val="{00000004-1F73-4C86-944B-F64CB52DF60D}"/>
            </c:ext>
          </c:extLst>
        </c:ser>
        <c:ser>
          <c:idx val="5"/>
          <c:order val="5"/>
          <c:tx>
            <c:strRef>
              <c:f>ResCalc!$S$49</c:f>
              <c:strCache>
                <c:ptCount val="1"/>
                <c:pt idx="0">
                  <c:v>   East South Central</c:v>
                </c:pt>
              </c:strCache>
            </c:strRef>
          </c:tx>
          <c:spPr>
            <a:ln w="28575" cap="rnd">
              <a:solidFill>
                <a:schemeClr val="accent6"/>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ResCalc!$T$49:$AD$49</c:f>
              <c:numCache>
                <c:formatCode>General</c:formatCode>
                <c:ptCount val="11"/>
                <c:pt idx="0">
                  <c:v>1112</c:v>
                </c:pt>
                <c:pt idx="1">
                  <c:v>1740</c:v>
                </c:pt>
                <c:pt idx="2">
                  <c:v>1761</c:v>
                </c:pt>
                <c:pt idx="3">
                  <c:v>1795</c:v>
                </c:pt>
                <c:pt idx="4">
                  <c:v>1829</c:v>
                </c:pt>
                <c:pt idx="5">
                  <c:v>1863</c:v>
                </c:pt>
                <c:pt idx="6">
                  <c:v>1897</c:v>
                </c:pt>
                <c:pt idx="7">
                  <c:v>1931</c:v>
                </c:pt>
                <c:pt idx="8" formatCode="0">
                  <c:v>1965.6093832366894</c:v>
                </c:pt>
                <c:pt idx="9" formatCode="0">
                  <c:v>2000.8390717079847</c:v>
                </c:pt>
                <c:pt idx="10" formatCode="0">
                  <c:v>2036.7001831671682</c:v>
                </c:pt>
              </c:numCache>
            </c:numRef>
          </c:val>
          <c:smooth val="0"/>
          <c:extLst>
            <c:ext xmlns:c16="http://schemas.microsoft.com/office/drawing/2014/chart" uri="{C3380CC4-5D6E-409C-BE32-E72D297353CC}">
              <c16:uniqueId val="{00000005-1F73-4C86-944B-F64CB52DF60D}"/>
            </c:ext>
          </c:extLst>
        </c:ser>
        <c:ser>
          <c:idx val="6"/>
          <c:order val="6"/>
          <c:tx>
            <c:strRef>
              <c:f>ResCalc!$S$50</c:f>
              <c:strCache>
                <c:ptCount val="1"/>
                <c:pt idx="0">
                  <c:v>   West South Central</c:v>
                </c:pt>
              </c:strCache>
            </c:strRef>
          </c:tx>
          <c:spPr>
            <a:ln w="28575" cap="rnd">
              <a:solidFill>
                <a:schemeClr val="accent1">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ResCalc!$T$50:$AD$50</c:f>
              <c:numCache>
                <c:formatCode>General</c:formatCode>
                <c:ptCount val="11"/>
                <c:pt idx="0" formatCode="0.0">
                  <c:v>3346.3141230878691</c:v>
                </c:pt>
                <c:pt idx="1">
                  <c:v>3067</c:v>
                </c:pt>
                <c:pt idx="2">
                  <c:v>2811</c:v>
                </c:pt>
                <c:pt idx="3">
                  <c:v>2880</c:v>
                </c:pt>
                <c:pt idx="4">
                  <c:v>2948</c:v>
                </c:pt>
                <c:pt idx="5">
                  <c:v>3017</c:v>
                </c:pt>
                <c:pt idx="6">
                  <c:v>3086</c:v>
                </c:pt>
                <c:pt idx="7">
                  <c:v>3155</c:v>
                </c:pt>
                <c:pt idx="8" formatCode="0">
                  <c:v>3225.5427738172393</c:v>
                </c:pt>
                <c:pt idx="9" formatCode="0">
                  <c:v>3297.6628163944883</c:v>
                </c:pt>
                <c:pt idx="10" formatCode="0">
                  <c:v>3371.3953939483508</c:v>
                </c:pt>
              </c:numCache>
            </c:numRef>
          </c:val>
          <c:smooth val="0"/>
          <c:extLst>
            <c:ext xmlns:c16="http://schemas.microsoft.com/office/drawing/2014/chart" uri="{C3380CC4-5D6E-409C-BE32-E72D297353CC}">
              <c16:uniqueId val="{00000006-1F73-4C86-944B-F64CB52DF60D}"/>
            </c:ext>
          </c:extLst>
        </c:ser>
        <c:ser>
          <c:idx val="7"/>
          <c:order val="7"/>
          <c:tx>
            <c:strRef>
              <c:f>ResCalc!$S$51</c:f>
              <c:strCache>
                <c:ptCount val="1"/>
                <c:pt idx="0">
                  <c:v>   Mountain</c:v>
                </c:pt>
              </c:strCache>
            </c:strRef>
          </c:tx>
          <c:spPr>
            <a:ln w="28575" cap="rnd">
              <a:solidFill>
                <a:schemeClr val="accent2">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ResCalc!$T$51:$AD$51</c:f>
              <c:numCache>
                <c:formatCode>General</c:formatCode>
                <c:ptCount val="11"/>
                <c:pt idx="0" formatCode="0.0">
                  <c:v>1406.9702233250621</c:v>
                </c:pt>
                <c:pt idx="1">
                  <c:v>1506</c:v>
                </c:pt>
                <c:pt idx="2">
                  <c:v>1612</c:v>
                </c:pt>
                <c:pt idx="3">
                  <c:v>1661</c:v>
                </c:pt>
                <c:pt idx="4">
                  <c:v>1719</c:v>
                </c:pt>
                <c:pt idx="5">
                  <c:v>1779</c:v>
                </c:pt>
                <c:pt idx="6">
                  <c:v>1841</c:v>
                </c:pt>
                <c:pt idx="7">
                  <c:v>1905</c:v>
                </c:pt>
                <c:pt idx="8" formatCode="0">
                  <c:v>1971.2248777838131</c:v>
                </c:pt>
                <c:pt idx="9" formatCode="0">
                  <c:v>2039.7519783694534</c:v>
                </c:pt>
                <c:pt idx="10" formatCode="0">
                  <c:v>2110.6613355751269</c:v>
                </c:pt>
              </c:numCache>
            </c:numRef>
          </c:val>
          <c:smooth val="0"/>
          <c:extLst>
            <c:ext xmlns:c16="http://schemas.microsoft.com/office/drawing/2014/chart" uri="{C3380CC4-5D6E-409C-BE32-E72D297353CC}">
              <c16:uniqueId val="{00000007-1F73-4C86-944B-F64CB52DF60D}"/>
            </c:ext>
          </c:extLst>
        </c:ser>
        <c:ser>
          <c:idx val="8"/>
          <c:order val="8"/>
          <c:tx>
            <c:strRef>
              <c:f>ResCalc!$S$52</c:f>
              <c:strCache>
                <c:ptCount val="1"/>
                <c:pt idx="0">
                  <c:v>   Pacific</c:v>
                </c:pt>
              </c:strCache>
            </c:strRef>
          </c:tx>
          <c:spPr>
            <a:ln w="28575" cap="rnd">
              <a:solidFill>
                <a:schemeClr val="accent3">
                  <a:lumMod val="60000"/>
                </a:schemeClr>
              </a:solidFill>
              <a:round/>
            </a:ln>
            <a:effectLst/>
          </c:spPr>
          <c:marker>
            <c:symbol val="none"/>
          </c:marker>
          <c:cat>
            <c:numRef>
              <c:f>ResCalc!$T$30:$AD$30</c:f>
              <c:numCache>
                <c:formatCode>General</c:formatCode>
                <c:ptCount val="11"/>
                <c:pt idx="0">
                  <c:v>2005</c:v>
                </c:pt>
                <c:pt idx="1">
                  <c:v>2010</c:v>
                </c:pt>
                <c:pt idx="2">
                  <c:v>2015</c:v>
                </c:pt>
                <c:pt idx="3">
                  <c:v>2020</c:v>
                </c:pt>
                <c:pt idx="4">
                  <c:v>2025</c:v>
                </c:pt>
                <c:pt idx="5">
                  <c:v>2030</c:v>
                </c:pt>
                <c:pt idx="6">
                  <c:v>2035</c:v>
                </c:pt>
                <c:pt idx="7">
                  <c:v>2040</c:v>
                </c:pt>
                <c:pt idx="8">
                  <c:v>2045</c:v>
                </c:pt>
                <c:pt idx="9">
                  <c:v>2050</c:v>
                </c:pt>
                <c:pt idx="10">
                  <c:v>2055</c:v>
                </c:pt>
              </c:numCache>
            </c:numRef>
          </c:cat>
          <c:val>
            <c:numRef>
              <c:f>ResCalc!$T$52:$AD$52</c:f>
              <c:numCache>
                <c:formatCode>General</c:formatCode>
                <c:ptCount val="11"/>
                <c:pt idx="0" formatCode="0.0">
                  <c:v>684.05697674418604</c:v>
                </c:pt>
                <c:pt idx="1">
                  <c:v>767</c:v>
                </c:pt>
                <c:pt idx="2">
                  <c:v>860</c:v>
                </c:pt>
                <c:pt idx="3">
                  <c:v>860</c:v>
                </c:pt>
                <c:pt idx="4">
                  <c:v>861</c:v>
                </c:pt>
                <c:pt idx="5">
                  <c:v>861</c:v>
                </c:pt>
                <c:pt idx="6">
                  <c:v>861</c:v>
                </c:pt>
                <c:pt idx="7">
                  <c:v>861</c:v>
                </c:pt>
                <c:pt idx="8" formatCode="0">
                  <c:v>861</c:v>
                </c:pt>
                <c:pt idx="9" formatCode="0">
                  <c:v>861</c:v>
                </c:pt>
                <c:pt idx="10" formatCode="0">
                  <c:v>861</c:v>
                </c:pt>
              </c:numCache>
            </c:numRef>
          </c:val>
          <c:smooth val="0"/>
          <c:extLst>
            <c:ext xmlns:c16="http://schemas.microsoft.com/office/drawing/2014/chart" uri="{C3380CC4-5D6E-409C-BE32-E72D297353CC}">
              <c16:uniqueId val="{00000008-1F73-4C86-944B-F64CB52DF60D}"/>
            </c:ext>
          </c:extLst>
        </c:ser>
        <c:dLbls>
          <c:showLegendKey val="0"/>
          <c:showVal val="0"/>
          <c:showCatName val="0"/>
          <c:showSerName val="0"/>
          <c:showPercent val="0"/>
          <c:showBubbleSize val="0"/>
        </c:dLbls>
        <c:smooth val="0"/>
        <c:axId val="497761200"/>
        <c:axId val="497761592"/>
      </c:lineChart>
      <c:catAx>
        <c:axId val="49776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1592"/>
        <c:crosses val="autoZero"/>
        <c:auto val="1"/>
        <c:lblAlgn val="ctr"/>
        <c:lblOffset val="100"/>
        <c:noMultiLvlLbl val="0"/>
      </c:catAx>
      <c:valAx>
        <c:axId val="497761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761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BK</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058B-4E31-BBA9-874259B2272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58B-4E31-BBA9-874259B22728}"/>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58B-4E31-BBA9-874259B22728}"/>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58B-4E31-BBA9-874259B22728}"/>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058B-4E31-BBA9-874259B2272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058B-4E31-BBA9-874259B22728}"/>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58B-4E31-BBA9-874259B22728}"/>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58B-4E31-BBA9-874259B22728}"/>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58B-4E31-BBA9-874259B22728}"/>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58B-4E31-BBA9-874259B22728}"/>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BldgArea!$B$33:$B$37</c:f>
              <c:numCache>
                <c:formatCode>0.00%</c:formatCode>
                <c:ptCount val="5"/>
                <c:pt idx="0">
                  <c:v>0.33675143768134252</c:v>
                </c:pt>
                <c:pt idx="1">
                  <c:v>8.999178537130581E-2</c:v>
                </c:pt>
                <c:pt idx="2">
                  <c:v>9.3532150464678415E-2</c:v>
                </c:pt>
                <c:pt idx="3">
                  <c:v>0.11533324576069863</c:v>
                </c:pt>
                <c:pt idx="4">
                  <c:v>0.36439138072197463</c:v>
                </c:pt>
              </c:numCache>
            </c:numRef>
          </c:val>
          <c:extLst>
            <c:ext xmlns:c16="http://schemas.microsoft.com/office/drawing/2014/chart" uri="{C3380CC4-5D6E-409C-BE32-E72D297353CC}">
              <c16:uniqueId val="{0000000A-058B-4E31-BBA9-874259B2272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BX</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F33-4692-ACEE-A11098185A7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F33-4692-ACEE-A11098185A7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F33-4692-ACEE-A11098185A7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F33-4692-ACEE-A11098185A7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8F33-4692-ACEE-A11098185A7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8F33-4692-ACEE-A11098185A70}"/>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33-4692-ACEE-A11098185A70}"/>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33-4692-ACEE-A11098185A70}"/>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33-4692-ACEE-A11098185A70}"/>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F33-4692-ACEE-A11098185A7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BldgArea!$C$33:$C$37</c:f>
              <c:numCache>
                <c:formatCode>0.00%</c:formatCode>
                <c:ptCount val="5"/>
                <c:pt idx="0">
                  <c:v>0.20348147713281867</c:v>
                </c:pt>
                <c:pt idx="1">
                  <c:v>7.5832040545669221E-2</c:v>
                </c:pt>
                <c:pt idx="2">
                  <c:v>6.2960767154516081E-2</c:v>
                </c:pt>
                <c:pt idx="3">
                  <c:v>0.1326176722337703</c:v>
                </c:pt>
                <c:pt idx="4">
                  <c:v>0.52510804293322577</c:v>
                </c:pt>
              </c:numCache>
            </c:numRef>
          </c:val>
          <c:extLst>
            <c:ext xmlns:c16="http://schemas.microsoft.com/office/drawing/2014/chart" uri="{C3380CC4-5D6E-409C-BE32-E72D297353CC}">
              <c16:uniqueId val="{0000000A-8F33-4692-ACEE-A11098185A7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7B4-4B99-844D-A3B48D9D17A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7B4-4B99-844D-A3B48D9D17A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7B4-4B99-844D-A3B48D9D17A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7B4-4B99-844D-A3B48D9D17A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7B4-4B99-844D-A3B48D9D17A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7B4-4B99-844D-A3B48D9D17AF}"/>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7B4-4B99-844D-A3B48D9D17AF}"/>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B4-4B99-844D-A3B48D9D17AF}"/>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7B4-4B99-844D-A3B48D9D17AF}"/>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7B4-4B99-844D-A3B48D9D17AF}"/>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BldgArea!$D$33:$D$37</c:f>
              <c:numCache>
                <c:formatCode>0.00%</c:formatCode>
                <c:ptCount val="5"/>
                <c:pt idx="0">
                  <c:v>1.7608050806540914E-2</c:v>
                </c:pt>
                <c:pt idx="1">
                  <c:v>0.43050075908570307</c:v>
                </c:pt>
                <c:pt idx="2">
                  <c:v>2.2908885173868007E-2</c:v>
                </c:pt>
                <c:pt idx="3">
                  <c:v>9.5166637623355976E-2</c:v>
                </c:pt>
                <c:pt idx="4">
                  <c:v>0.433815667310532</c:v>
                </c:pt>
              </c:numCache>
            </c:numRef>
          </c:val>
          <c:extLst>
            <c:ext xmlns:c16="http://schemas.microsoft.com/office/drawing/2014/chart" uri="{C3380CC4-5D6E-409C-BE32-E72D297353CC}">
              <c16:uniqueId val="{0000000A-77B4-4B99-844D-A3B48D9D17A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QN</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C1B-43BD-BA59-67EFBEA5562D}"/>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C1B-43BD-BA59-67EFBEA5562D}"/>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C1B-43BD-BA59-67EFBEA5562D}"/>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C1B-43BD-BA59-67EFBEA5562D}"/>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C1B-43BD-BA59-67EFBEA5562D}"/>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7C1B-43BD-BA59-67EFBEA5562D}"/>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C1B-43BD-BA59-67EFBEA5562D}"/>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C1B-43BD-BA59-67EFBEA5562D}"/>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C1B-43BD-BA59-67EFBEA5562D}"/>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C1B-43BD-BA59-67EFBEA5562D}"/>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BldgArea!$E$33:$E$37</c:f>
              <c:numCache>
                <c:formatCode>0.00%</c:formatCode>
                <c:ptCount val="5"/>
                <c:pt idx="0">
                  <c:v>0.35229494205783035</c:v>
                </c:pt>
                <c:pt idx="1">
                  <c:v>0.11940034341090776</c:v>
                </c:pt>
                <c:pt idx="2">
                  <c:v>0.11272549718427922</c:v>
                </c:pt>
                <c:pt idx="3">
                  <c:v>7.1031781925268184E-2</c:v>
                </c:pt>
                <c:pt idx="4">
                  <c:v>0.34454743542171451</c:v>
                </c:pt>
              </c:numCache>
            </c:numRef>
          </c:val>
          <c:extLst>
            <c:ext xmlns:c16="http://schemas.microsoft.com/office/drawing/2014/chart" uri="{C3380CC4-5D6E-409C-BE32-E72D297353CC}">
              <c16:uniqueId val="{0000000A-7C1B-43BD-BA59-67EFBEA5562D}"/>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SI</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832-464C-9005-557F3DB0D28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832-464C-9005-557F3DB0D28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832-464C-9005-557F3DB0D28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9832-464C-9005-557F3DB0D28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832-464C-9005-557F3DB0D28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832-464C-9005-557F3DB0D285}"/>
                </c:ext>
              </c:extLst>
            </c:dLbl>
            <c:dLbl>
              <c:idx val="1"/>
              <c:layout>
                <c:manualLayout>
                  <c:x val="-1.94444444444444E-2"/>
                  <c:y val="6.48854961832061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32-464C-9005-557F3DB0D285}"/>
                </c:ext>
              </c:extLst>
            </c:dLbl>
            <c:dLbl>
              <c:idx val="2"/>
              <c:layout>
                <c:manualLayout>
                  <c:x val="-0.108333333333333"/>
                  <c:y val="5.725190839694659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32-464C-9005-557F3DB0D285}"/>
                </c:ext>
              </c:extLst>
            </c:dLbl>
            <c:dLbl>
              <c:idx val="3"/>
              <c:layout>
                <c:manualLayout>
                  <c:x val="-0.105555555555556"/>
                  <c:y val="-6.10687022900762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832-464C-9005-557F3DB0D285}"/>
                </c:ext>
              </c:extLst>
            </c:dLbl>
            <c:dLbl>
              <c:idx val="4"/>
              <c:layout>
                <c:manualLayout>
                  <c:x val="0.22500000000000001"/>
                  <c:y val="-2.29007633587786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832-464C-9005-557F3DB0D28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BldgArea!$A$33:$A$37</c:f>
              <c:strCache>
                <c:ptCount val="5"/>
                <c:pt idx="0">
                  <c:v>1 to 4</c:v>
                </c:pt>
                <c:pt idx="1">
                  <c:v>Commercial</c:v>
                </c:pt>
                <c:pt idx="2">
                  <c:v>Industrial</c:v>
                </c:pt>
                <c:pt idx="3">
                  <c:v>Institutional</c:v>
                </c:pt>
                <c:pt idx="4">
                  <c:v>Multifamily</c:v>
                </c:pt>
              </c:strCache>
            </c:strRef>
          </c:cat>
          <c:val>
            <c:numRef>
              <c:f>BldgArea!$F$33:$F$37</c:f>
              <c:numCache>
                <c:formatCode>0.00%</c:formatCode>
                <c:ptCount val="5"/>
                <c:pt idx="0">
                  <c:v>0.70806890189041227</c:v>
                </c:pt>
                <c:pt idx="1">
                  <c:v>7.9701599038691701E-2</c:v>
                </c:pt>
                <c:pt idx="2">
                  <c:v>3.9369945141670144E-2</c:v>
                </c:pt>
                <c:pt idx="3">
                  <c:v>9.5485738382454402E-2</c:v>
                </c:pt>
                <c:pt idx="4">
                  <c:v>7.737381554677146E-2</c:v>
                </c:pt>
              </c:numCache>
            </c:numRef>
          </c:val>
          <c:extLst>
            <c:ext xmlns:c16="http://schemas.microsoft.com/office/drawing/2014/chart" uri="{C3380CC4-5D6E-409C-BE32-E72D297353CC}">
              <c16:uniqueId val="{0000000A-9832-464C-9005-557F3DB0D285}"/>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image" Target="../media/image38.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6.emf"/><Relationship Id="rId7" Type="http://schemas.openxmlformats.org/officeDocument/2006/relationships/image" Target="../media/image2.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3.emf"/><Relationship Id="rId5" Type="http://schemas.openxmlformats.org/officeDocument/2006/relationships/image" Target="../media/image4.emf"/><Relationship Id="rId4"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 Id="rId5" Type="http://schemas.openxmlformats.org/officeDocument/2006/relationships/image" Target="../media/image9.emf"/><Relationship Id="rId4" Type="http://schemas.openxmlformats.org/officeDocument/2006/relationships/image" Target="../media/image10.emf"/></Relationships>
</file>

<file path=xl/drawings/_rels/vmlDrawing9.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8.emf"/><Relationship Id="rId1" Type="http://schemas.openxmlformats.org/officeDocument/2006/relationships/image" Target="../media/image19.emf"/><Relationship Id="rId4" Type="http://schemas.openxmlformats.org/officeDocument/2006/relationships/image" Target="../media/image16.emf"/></Relationships>
</file>

<file path=xl/drawings/_rels/vmlDrawing10.vml.rels><?xml version="1.0" encoding="UTF-8" standalone="yes"?>
<Relationships xmlns="http://schemas.openxmlformats.org/package/2006/relationships"><Relationship Id="rId3" Type="http://schemas.openxmlformats.org/officeDocument/2006/relationships/image" Target="../media/image22.emf"/><Relationship Id="rId2" Type="http://schemas.openxmlformats.org/officeDocument/2006/relationships/image" Target="../media/image23.emf"/><Relationship Id="rId1" Type="http://schemas.openxmlformats.org/officeDocument/2006/relationships/image" Target="../media/image24.emf"/><Relationship Id="rId5" Type="http://schemas.openxmlformats.org/officeDocument/2006/relationships/image" Target="../media/image20.emf"/><Relationship Id="rId4" Type="http://schemas.openxmlformats.org/officeDocument/2006/relationships/image" Target="../media/image21.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29.emf"/><Relationship Id="rId7" Type="http://schemas.openxmlformats.org/officeDocument/2006/relationships/image" Target="../media/image25.emf"/><Relationship Id="rId2" Type="http://schemas.openxmlformats.org/officeDocument/2006/relationships/image" Target="../media/image30.emf"/><Relationship Id="rId1" Type="http://schemas.openxmlformats.org/officeDocument/2006/relationships/image" Target="../media/image31.emf"/><Relationship Id="rId6" Type="http://schemas.openxmlformats.org/officeDocument/2006/relationships/image" Target="../media/image26.emf"/><Relationship Id="rId5" Type="http://schemas.openxmlformats.org/officeDocument/2006/relationships/image" Target="../media/image27.emf"/><Relationship Id="rId4" Type="http://schemas.openxmlformats.org/officeDocument/2006/relationships/image" Target="../media/image28.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35.emf"/><Relationship Id="rId2" Type="http://schemas.openxmlformats.org/officeDocument/2006/relationships/image" Target="../media/image36.emf"/><Relationship Id="rId1" Type="http://schemas.openxmlformats.org/officeDocument/2006/relationships/image" Target="../media/image37.emf"/><Relationship Id="rId6" Type="http://schemas.openxmlformats.org/officeDocument/2006/relationships/image" Target="../media/image32.emf"/><Relationship Id="rId5" Type="http://schemas.openxmlformats.org/officeDocument/2006/relationships/image" Target="../media/image33.emf"/><Relationship Id="rId4" Type="http://schemas.openxmlformats.org/officeDocument/2006/relationships/image" Target="../media/image34.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4.emf"/><Relationship Id="rId1" Type="http://schemas.openxmlformats.org/officeDocument/2006/relationships/image" Target="../media/image45.emf"/><Relationship Id="rId6" Type="http://schemas.openxmlformats.org/officeDocument/2006/relationships/image" Target="../media/image40.emf"/><Relationship Id="rId5" Type="http://schemas.openxmlformats.org/officeDocument/2006/relationships/image" Target="../media/image41.emf"/><Relationship Id="rId4" Type="http://schemas.openxmlformats.org/officeDocument/2006/relationships/image" Target="../media/image42.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50.emf"/><Relationship Id="rId7" Type="http://schemas.openxmlformats.org/officeDocument/2006/relationships/image" Target="../media/image46.emf"/><Relationship Id="rId2" Type="http://schemas.openxmlformats.org/officeDocument/2006/relationships/image" Target="../media/image51.emf"/><Relationship Id="rId1" Type="http://schemas.openxmlformats.org/officeDocument/2006/relationships/image" Target="../media/image52.emf"/><Relationship Id="rId6" Type="http://schemas.openxmlformats.org/officeDocument/2006/relationships/image" Target="../media/image47.emf"/><Relationship Id="rId5" Type="http://schemas.openxmlformats.org/officeDocument/2006/relationships/image" Target="../media/image48.emf"/><Relationship Id="rId4" Type="http://schemas.openxmlformats.org/officeDocument/2006/relationships/image" Target="../media/image49.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55.emf"/><Relationship Id="rId2" Type="http://schemas.openxmlformats.org/officeDocument/2006/relationships/image" Target="../media/image56.emf"/><Relationship Id="rId1" Type="http://schemas.openxmlformats.org/officeDocument/2006/relationships/image" Target="../media/image57.emf"/><Relationship Id="rId5" Type="http://schemas.openxmlformats.org/officeDocument/2006/relationships/image" Target="../media/image53.emf"/><Relationship Id="rId4" Type="http://schemas.openxmlformats.org/officeDocument/2006/relationships/image" Target="../media/image54.emf"/></Relationships>
</file>

<file path=xl/drawings/_rels/vmlDrawing17.vml.rels><?xml version="1.0" encoding="UTF-8" standalone="yes"?>
<Relationships xmlns="http://schemas.openxmlformats.org/package/2006/relationships"><Relationship Id="rId3" Type="http://schemas.openxmlformats.org/officeDocument/2006/relationships/image" Target="../media/image59.emf"/><Relationship Id="rId2" Type="http://schemas.openxmlformats.org/officeDocument/2006/relationships/image" Target="../media/image60.emf"/><Relationship Id="rId1" Type="http://schemas.openxmlformats.org/officeDocument/2006/relationships/image" Target="../media/image61.emf"/><Relationship Id="rId4" Type="http://schemas.openxmlformats.org/officeDocument/2006/relationships/image" Target="../media/image58.emf"/></Relationships>
</file>

<file path=xl/drawings/_rels/vmlDrawing18.vml.rels><?xml version="1.0" encoding="UTF-8" standalone="yes"?>
<Relationships xmlns="http://schemas.openxmlformats.org/package/2006/relationships"><Relationship Id="rId3" Type="http://schemas.openxmlformats.org/officeDocument/2006/relationships/image" Target="../media/image64.emf"/><Relationship Id="rId2" Type="http://schemas.openxmlformats.org/officeDocument/2006/relationships/image" Target="../media/image65.emf"/><Relationship Id="rId1" Type="http://schemas.openxmlformats.org/officeDocument/2006/relationships/image" Target="../media/image66.emf"/><Relationship Id="rId5" Type="http://schemas.openxmlformats.org/officeDocument/2006/relationships/image" Target="../media/image62.emf"/><Relationship Id="rId4" Type="http://schemas.openxmlformats.org/officeDocument/2006/relationships/image" Target="../media/image63.emf"/></Relationships>
</file>

<file path=xl/drawings/_rels/vmlDrawing19.vml.rels><?xml version="1.0" encoding="UTF-8" standalone="yes"?>
<Relationships xmlns="http://schemas.openxmlformats.org/package/2006/relationships"><Relationship Id="rId3" Type="http://schemas.openxmlformats.org/officeDocument/2006/relationships/image" Target="../media/image71.emf"/><Relationship Id="rId7" Type="http://schemas.openxmlformats.org/officeDocument/2006/relationships/image" Target="../media/image67.emf"/><Relationship Id="rId2" Type="http://schemas.openxmlformats.org/officeDocument/2006/relationships/image" Target="../media/image72.emf"/><Relationship Id="rId1" Type="http://schemas.openxmlformats.org/officeDocument/2006/relationships/image" Target="../media/image73.emf"/><Relationship Id="rId6" Type="http://schemas.openxmlformats.org/officeDocument/2006/relationships/image" Target="../media/image68.emf"/><Relationship Id="rId5" Type="http://schemas.openxmlformats.org/officeDocument/2006/relationships/image" Target="../media/image69.emf"/><Relationship Id="rId4" Type="http://schemas.openxmlformats.org/officeDocument/2006/relationships/image" Target="../media/image70.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990600</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990600</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0</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0</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0</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552450</xdr:colOff>
          <xdr:row>2</xdr:row>
          <xdr:rowOff>0</xdr:rowOff>
        </xdr:from>
        <xdr:to>
          <xdr:col>4</xdr:col>
          <xdr:colOff>1524000</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9525</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5</xdr:col>
          <xdr:colOff>9525</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14</xdr:col>
      <xdr:colOff>240926</xdr:colOff>
      <xdr:row>33</xdr:row>
      <xdr:rowOff>135590</xdr:rowOff>
    </xdr:from>
    <xdr:to>
      <xdr:col>20</xdr:col>
      <xdr:colOff>240926</xdr:colOff>
      <xdr:row>51</xdr:row>
      <xdr:rowOff>54908</xdr:rowOff>
    </xdr:to>
    <xdr:graphicFrame macro="">
      <xdr:nvGraphicFramePr>
        <xdr:cNvPr id="8" name="Chart 7">
          <a:extLst>
            <a:ext uri="{FF2B5EF4-FFF2-40B4-BE49-F238E27FC236}">
              <a16:creationId xmlns:a16="http://schemas.microsoft.com/office/drawing/2014/main" id="{00000000-0008-0000-1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274544</xdr:colOff>
      <xdr:row>33</xdr:row>
      <xdr:rowOff>146797</xdr:rowOff>
    </xdr:from>
    <xdr:to>
      <xdr:col>25</xdr:col>
      <xdr:colOff>644338</xdr:colOff>
      <xdr:row>51</xdr:row>
      <xdr:rowOff>66115</xdr:rowOff>
    </xdr:to>
    <xdr:graphicFrame macro="">
      <xdr:nvGraphicFramePr>
        <xdr:cNvPr id="9" name="Chart 8">
          <a:extLst>
            <a:ext uri="{FF2B5EF4-FFF2-40B4-BE49-F238E27FC236}">
              <a16:creationId xmlns:a16="http://schemas.microsoft.com/office/drawing/2014/main" id="{00000000-0008-0000-1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500062</xdr:colOff>
      <xdr:row>76</xdr:row>
      <xdr:rowOff>23812</xdr:rowOff>
    </xdr:from>
    <xdr:to>
      <xdr:col>22</xdr:col>
      <xdr:colOff>557212</xdr:colOff>
      <xdr:row>93</xdr:row>
      <xdr:rowOff>14287</xdr:rowOff>
    </xdr:to>
    <xdr:graphicFrame macro="">
      <xdr:nvGraphicFramePr>
        <xdr:cNvPr id="12" name="Chart 11">
          <a:extLst>
            <a:ext uri="{FF2B5EF4-FFF2-40B4-BE49-F238E27FC236}">
              <a16:creationId xmlns:a16="http://schemas.microsoft.com/office/drawing/2014/main" id="{00000000-0008-0000-1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100012</xdr:colOff>
      <xdr:row>26</xdr:row>
      <xdr:rowOff>14287</xdr:rowOff>
    </xdr:from>
    <xdr:to>
      <xdr:col>38</xdr:col>
      <xdr:colOff>404812</xdr:colOff>
      <xdr:row>42</xdr:row>
      <xdr:rowOff>80962</xdr:rowOff>
    </xdr:to>
    <xdr:graphicFrame macro="">
      <xdr:nvGraphicFramePr>
        <xdr:cNvPr id="13" name="Chart 12">
          <a:extLst>
            <a:ext uri="{FF2B5EF4-FFF2-40B4-BE49-F238E27FC236}">
              <a16:creationId xmlns:a16="http://schemas.microsoft.com/office/drawing/2014/main" id="{00000000-0008-0000-17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100012</xdr:colOff>
      <xdr:row>42</xdr:row>
      <xdr:rowOff>157162</xdr:rowOff>
    </xdr:from>
    <xdr:to>
      <xdr:col>38</xdr:col>
      <xdr:colOff>404812</xdr:colOff>
      <xdr:row>58</xdr:row>
      <xdr:rowOff>185737</xdr:rowOff>
    </xdr:to>
    <xdr:graphicFrame macro="">
      <xdr:nvGraphicFramePr>
        <xdr:cNvPr id="14" name="Chart 13">
          <a:extLst>
            <a:ext uri="{FF2B5EF4-FFF2-40B4-BE49-F238E27FC236}">
              <a16:creationId xmlns:a16="http://schemas.microsoft.com/office/drawing/2014/main" id="{00000000-0008-0000-17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166686</xdr:colOff>
      <xdr:row>5</xdr:row>
      <xdr:rowOff>1</xdr:rowOff>
    </xdr:from>
    <xdr:to>
      <xdr:col>17</xdr:col>
      <xdr:colOff>552558</xdr:colOff>
      <xdr:row>19</xdr:row>
      <xdr:rowOff>283104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rotWithShape="1">
        <a:blip xmlns:r="http://schemas.openxmlformats.org/officeDocument/2006/relationships" r:embed="rId1"/>
        <a:srcRect l="71021" t="31372" r="4944" b="26945"/>
        <a:stretch/>
      </xdr:blipFill>
      <xdr:spPr>
        <a:xfrm>
          <a:off x="8207374" y="1206501"/>
          <a:ext cx="3960393" cy="2508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139700</xdr:colOff>
      <xdr:row>0</xdr:row>
      <xdr:rowOff>88900</xdr:rowOff>
    </xdr:from>
    <xdr:to>
      <xdr:col>12</xdr:col>
      <xdr:colOff>584200</xdr:colOff>
      <xdr:row>16</xdr:row>
      <xdr:rowOff>165100</xdr:rowOff>
    </xdr:to>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657225</xdr:colOff>
      <xdr:row>0</xdr:row>
      <xdr:rowOff>85725</xdr:rowOff>
    </xdr:from>
    <xdr:to>
      <xdr:col>18</xdr:col>
      <xdr:colOff>273050</xdr:colOff>
      <xdr:row>17</xdr:row>
      <xdr:rowOff>0</xdr:rowOff>
    </xdr:to>
    <xdr:graphicFrame macro="">
      <xdr:nvGraphicFramePr>
        <xdr:cNvPr id="8" name="Chart 7">
          <a:extLst>
            <a:ext uri="{FF2B5EF4-FFF2-40B4-BE49-F238E27FC236}">
              <a16:creationId xmlns:a16="http://schemas.microsoft.com/office/drawing/2014/main" id="{00000000-0008-0000-1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152400</xdr:colOff>
      <xdr:row>17</xdr:row>
      <xdr:rowOff>85725</xdr:rowOff>
    </xdr:from>
    <xdr:to>
      <xdr:col>12</xdr:col>
      <xdr:colOff>596900</xdr:colOff>
      <xdr:row>33</xdr:row>
      <xdr:rowOff>76200</xdr:rowOff>
    </xdr:to>
    <xdr:graphicFrame macro="">
      <xdr:nvGraphicFramePr>
        <xdr:cNvPr id="9" name="Chart 8">
          <a:extLst>
            <a:ext uri="{FF2B5EF4-FFF2-40B4-BE49-F238E27FC236}">
              <a16:creationId xmlns:a16="http://schemas.microsoft.com/office/drawing/2014/main" id="{00000000-0008-0000-1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676275</xdr:colOff>
      <xdr:row>17</xdr:row>
      <xdr:rowOff>76200</xdr:rowOff>
    </xdr:from>
    <xdr:to>
      <xdr:col>18</xdr:col>
      <xdr:colOff>292100</xdr:colOff>
      <xdr:row>33</xdr:row>
      <xdr:rowOff>66675</xdr:rowOff>
    </xdr:to>
    <xdr:graphicFrame macro="">
      <xdr:nvGraphicFramePr>
        <xdr:cNvPr id="10" name="Chart 9">
          <a:extLst>
            <a:ext uri="{FF2B5EF4-FFF2-40B4-BE49-F238E27FC236}">
              <a16:creationId xmlns:a16="http://schemas.microsoft.com/office/drawing/2014/main" id="{00000000-0008-0000-1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152400</xdr:colOff>
      <xdr:row>33</xdr:row>
      <xdr:rowOff>133350</xdr:rowOff>
    </xdr:from>
    <xdr:to>
      <xdr:col>12</xdr:col>
      <xdr:colOff>596900</xdr:colOff>
      <xdr:row>50</xdr:row>
      <xdr:rowOff>19050</xdr:rowOff>
    </xdr:to>
    <xdr:graphicFrame macro="">
      <xdr:nvGraphicFramePr>
        <xdr:cNvPr id="11" name="Chart 10">
          <a:extLst>
            <a:ext uri="{FF2B5EF4-FFF2-40B4-BE49-F238E27FC236}">
              <a16:creationId xmlns:a16="http://schemas.microsoft.com/office/drawing/2014/main" id="{00000000-0008-0000-1F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19</xdr:col>
      <xdr:colOff>0</xdr:colOff>
      <xdr:row>56</xdr:row>
      <xdr:rowOff>0</xdr:rowOff>
    </xdr:from>
    <xdr:ext cx="7607705" cy="2071687"/>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13477875" y="3238500"/>
          <a:ext cx="7607705" cy="2071687"/>
        </a:xfrm>
        <a:prstGeom prst="rect">
          <a:avLst/>
        </a:prstGeom>
        <a:ln w="25400">
          <a:solidFill>
            <a:schemeClr val="tx1"/>
          </a:solidFill>
        </a:ln>
      </xdr:spPr>
    </xdr:pic>
    <xdr:clientData/>
  </xdr:one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24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0</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24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571500</xdr:colOff>
          <xdr:row>5</xdr:row>
          <xdr:rowOff>38100</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24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3</xdr:col>
          <xdr:colOff>571500</xdr:colOff>
          <xdr:row>4</xdr:row>
          <xdr:rowOff>28575</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24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9525</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25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25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25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25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25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26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142875</xdr:rowOff>
        </xdr:from>
        <xdr:to>
          <xdr:col>5</xdr:col>
          <xdr:colOff>0</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26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142875</xdr:rowOff>
        </xdr:from>
        <xdr:to>
          <xdr:col>6</xdr:col>
          <xdr:colOff>9525</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26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9525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26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26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26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38100</xdr:colOff>
          <xdr:row>4</xdr:row>
          <xdr:rowOff>9525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26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27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27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9525</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27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27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9525</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27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9525</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27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18</xdr:col>
      <xdr:colOff>447675</xdr:colOff>
      <xdr:row>0</xdr:row>
      <xdr:rowOff>0</xdr:rowOff>
    </xdr:from>
    <xdr:to>
      <xdr:col>23</xdr:col>
      <xdr:colOff>607614</xdr:colOff>
      <xdr:row>19</xdr:row>
      <xdr:rowOff>76200</xdr:rowOff>
    </xdr:to>
    <xdr:pic>
      <xdr:nvPicPr>
        <xdr:cNvPr id="2" name="Picture 1">
          <a:extLst>
            <a:ext uri="{FF2B5EF4-FFF2-40B4-BE49-F238E27FC236}">
              <a16:creationId xmlns:a16="http://schemas.microsoft.com/office/drawing/2014/main" id="{00000000-0008-0000-2B00-000002000000}"/>
            </a:ext>
          </a:extLst>
        </xdr:cNvPr>
        <xdr:cNvPicPr>
          <a:picLocks noChangeAspect="1"/>
        </xdr:cNvPicPr>
      </xdr:nvPicPr>
      <xdr:blipFill rotWithShape="1">
        <a:blip xmlns:r="http://schemas.openxmlformats.org/officeDocument/2006/relationships" r:embed="rId1"/>
        <a:srcRect l="53008" t="37731" r="38070" b="31631"/>
        <a:stretch/>
      </xdr:blipFill>
      <xdr:spPr>
        <a:xfrm>
          <a:off x="16144875" y="0"/>
          <a:ext cx="3388914" cy="3505200"/>
        </a:xfrm>
        <a:prstGeom prst="rect">
          <a:avLst/>
        </a:prstGeom>
      </xdr:spPr>
    </xdr:pic>
    <xdr:clientData/>
  </xdr:twoCellAnchor>
  <xdr:twoCellAnchor editAs="oneCell">
    <xdr:from>
      <xdr:col>9</xdr:col>
      <xdr:colOff>571500</xdr:colOff>
      <xdr:row>43</xdr:row>
      <xdr:rowOff>76200</xdr:rowOff>
    </xdr:from>
    <xdr:to>
      <xdr:col>17</xdr:col>
      <xdr:colOff>0</xdr:colOff>
      <xdr:row>68</xdr:row>
      <xdr:rowOff>102268</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rotWithShape="1">
        <a:blip xmlns:r="http://schemas.openxmlformats.org/officeDocument/2006/relationships" r:embed="rId2"/>
        <a:srcRect l="45012" t="42277" r="37909" b="14451"/>
        <a:stretch/>
      </xdr:blipFill>
      <xdr:spPr>
        <a:xfrm>
          <a:off x="8934450" y="7877175"/>
          <a:ext cx="5962650" cy="455044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1009650</xdr:colOff>
          <xdr:row>4</xdr:row>
          <xdr:rowOff>19050</xdr:rowOff>
        </xdr:to>
        <xdr:sp macro="" textlink="">
          <xdr:nvSpPr>
            <xdr:cNvPr id="70657" name="cmdConstrNameAndDesc" hidden="1">
              <a:extLst>
                <a:ext uri="{63B3BB69-23CF-44E3-9099-C40C66FF867C}">
                  <a14:compatExt spid="_x0000_s70657"/>
                </a:ext>
                <a:ext uri="{FF2B5EF4-FFF2-40B4-BE49-F238E27FC236}">
                  <a16:creationId xmlns:a16="http://schemas.microsoft.com/office/drawing/2014/main" id="{00000000-0008-0000-3600-00000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70658" name="cmdTechName" hidden="1">
              <a:extLst>
                <a:ext uri="{63B3BB69-23CF-44E3-9099-C40C66FF867C}">
                  <a14:compatExt spid="_x0000_s70658"/>
                </a:ext>
                <a:ext uri="{FF2B5EF4-FFF2-40B4-BE49-F238E27FC236}">
                  <a16:creationId xmlns:a16="http://schemas.microsoft.com/office/drawing/2014/main" id="{00000000-0008-0000-36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9525</xdr:colOff>
          <xdr:row>5</xdr:row>
          <xdr:rowOff>9525</xdr:rowOff>
        </xdr:to>
        <xdr:sp macro="" textlink="">
          <xdr:nvSpPr>
            <xdr:cNvPr id="70659" name="cmdAddParameter" hidden="1">
              <a:extLst>
                <a:ext uri="{63B3BB69-23CF-44E3-9099-C40C66FF867C}">
                  <a14:compatExt spid="_x0000_s70659"/>
                </a:ext>
                <a:ext uri="{FF2B5EF4-FFF2-40B4-BE49-F238E27FC236}">
                  <a16:creationId xmlns:a16="http://schemas.microsoft.com/office/drawing/2014/main" id="{00000000-0008-0000-36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19050</xdr:rowOff>
        </xdr:to>
        <xdr:sp macro="" textlink="">
          <xdr:nvSpPr>
            <xdr:cNvPr id="70660" name="cmdCheckConstrDataSheet" hidden="1">
              <a:extLst>
                <a:ext uri="{63B3BB69-23CF-44E3-9099-C40C66FF867C}">
                  <a14:compatExt spid="_x0000_s70660"/>
                </a:ext>
                <a:ext uri="{FF2B5EF4-FFF2-40B4-BE49-F238E27FC236}">
                  <a16:creationId xmlns:a16="http://schemas.microsoft.com/office/drawing/2014/main" id="{00000000-0008-0000-36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9525</xdr:colOff>
          <xdr:row>6</xdr:row>
          <xdr:rowOff>19050</xdr:rowOff>
        </xdr:to>
        <xdr:sp macro="" textlink="">
          <xdr:nvSpPr>
            <xdr:cNvPr id="70661" name="cmdAddParamQualifier" hidden="1">
              <a:extLst>
                <a:ext uri="{63B3BB69-23CF-44E3-9099-C40C66FF867C}">
                  <a14:compatExt spid="_x0000_s70661"/>
                </a:ext>
                <a:ext uri="{FF2B5EF4-FFF2-40B4-BE49-F238E27FC236}">
                  <a16:creationId xmlns:a16="http://schemas.microsoft.com/office/drawing/2014/main" id="{00000000-0008-0000-36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9525</xdr:colOff>
          <xdr:row>4</xdr:row>
          <xdr:rowOff>19050</xdr:rowOff>
        </xdr:to>
        <xdr:sp macro="" textlink="">
          <xdr:nvSpPr>
            <xdr:cNvPr id="70662" name="cmdRefreshUnits" hidden="1">
              <a:extLst>
                <a:ext uri="{63B3BB69-23CF-44E3-9099-C40C66FF867C}">
                  <a14:compatExt spid="_x0000_s70662"/>
                </a:ext>
                <a:ext uri="{FF2B5EF4-FFF2-40B4-BE49-F238E27FC236}">
                  <a16:creationId xmlns:a16="http://schemas.microsoft.com/office/drawing/2014/main" id="{00000000-0008-0000-36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69633" name="cmdTechNameAndDesc" hidden="1">
              <a:extLst>
                <a:ext uri="{63B3BB69-23CF-44E3-9099-C40C66FF867C}">
                  <a14:compatExt spid="_x0000_s69633"/>
                </a:ext>
                <a:ext uri="{FF2B5EF4-FFF2-40B4-BE49-F238E27FC236}">
                  <a16:creationId xmlns:a16="http://schemas.microsoft.com/office/drawing/2014/main" id="{00000000-0008-0000-37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xdr:row>
          <xdr:rowOff>142875</xdr:rowOff>
        </xdr:from>
        <xdr:to>
          <xdr:col>5</xdr:col>
          <xdr:colOff>0</xdr:colOff>
          <xdr:row>4</xdr:row>
          <xdr:rowOff>0</xdr:rowOff>
        </xdr:to>
        <xdr:sp macro="" textlink="">
          <xdr:nvSpPr>
            <xdr:cNvPr id="69634" name="cmdCommIN" hidden="1">
              <a:extLst>
                <a:ext uri="{63B3BB69-23CF-44E3-9099-C40C66FF867C}">
                  <a14:compatExt spid="_x0000_s69634"/>
                </a:ext>
                <a:ext uri="{FF2B5EF4-FFF2-40B4-BE49-F238E27FC236}">
                  <a16:creationId xmlns:a16="http://schemas.microsoft.com/office/drawing/2014/main" id="{00000000-0008-0000-37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xdr:row>
          <xdr:rowOff>142875</xdr:rowOff>
        </xdr:from>
        <xdr:to>
          <xdr:col>6</xdr:col>
          <xdr:colOff>9525</xdr:colOff>
          <xdr:row>4</xdr:row>
          <xdr:rowOff>0</xdr:rowOff>
        </xdr:to>
        <xdr:sp macro="" textlink="">
          <xdr:nvSpPr>
            <xdr:cNvPr id="69635" name="cmdCommOUT" hidden="1">
              <a:extLst>
                <a:ext uri="{63B3BB69-23CF-44E3-9099-C40C66FF867C}">
                  <a14:compatExt spid="_x0000_s69635"/>
                </a:ext>
                <a:ext uri="{FF2B5EF4-FFF2-40B4-BE49-F238E27FC236}">
                  <a16:creationId xmlns:a16="http://schemas.microsoft.com/office/drawing/2014/main" id="{00000000-0008-0000-37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4</xdr:row>
          <xdr:rowOff>0</xdr:rowOff>
        </xdr:from>
        <xdr:to>
          <xdr:col>1</xdr:col>
          <xdr:colOff>19050</xdr:colOff>
          <xdr:row>5</xdr:row>
          <xdr:rowOff>9525</xdr:rowOff>
        </xdr:to>
        <xdr:sp macro="" textlink="">
          <xdr:nvSpPr>
            <xdr:cNvPr id="69636" name="cmdAddParameter" hidden="1">
              <a:extLst>
                <a:ext uri="{63B3BB69-23CF-44E3-9099-C40C66FF867C}">
                  <a14:compatExt spid="_x0000_s69636"/>
                </a:ext>
                <a:ext uri="{FF2B5EF4-FFF2-40B4-BE49-F238E27FC236}">
                  <a16:creationId xmlns:a16="http://schemas.microsoft.com/office/drawing/2014/main" id="{00000000-0008-0000-37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19050</xdr:rowOff>
        </xdr:from>
        <xdr:to>
          <xdr:col>1</xdr:col>
          <xdr:colOff>19050</xdr:colOff>
          <xdr:row>6</xdr:row>
          <xdr:rowOff>28575</xdr:rowOff>
        </xdr:to>
        <xdr:sp macro="" textlink="">
          <xdr:nvSpPr>
            <xdr:cNvPr id="69637" name="cmdAddParamQualifier" hidden="1">
              <a:extLst>
                <a:ext uri="{63B3BB69-23CF-44E3-9099-C40C66FF867C}">
                  <a14:compatExt spid="_x0000_s69637"/>
                </a:ext>
                <a:ext uri="{FF2B5EF4-FFF2-40B4-BE49-F238E27FC236}">
                  <a16:creationId xmlns:a16="http://schemas.microsoft.com/office/drawing/2014/main" id="{00000000-0008-0000-37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19050</xdr:colOff>
          <xdr:row>4</xdr:row>
          <xdr:rowOff>19050</xdr:rowOff>
        </xdr:to>
        <xdr:sp macro="" textlink="">
          <xdr:nvSpPr>
            <xdr:cNvPr id="69638" name="cmdCheckTechDataSheet" hidden="1">
              <a:extLst>
                <a:ext uri="{63B3BB69-23CF-44E3-9099-C40C66FF867C}">
                  <a14:compatExt spid="_x0000_s69638"/>
                </a:ext>
                <a:ext uri="{FF2B5EF4-FFF2-40B4-BE49-F238E27FC236}">
                  <a16:creationId xmlns:a16="http://schemas.microsoft.com/office/drawing/2014/main" id="{00000000-0008-0000-3700-000006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38100</xdr:colOff>
          <xdr:row>4</xdr:row>
          <xdr:rowOff>9525</xdr:rowOff>
        </xdr:to>
        <xdr:sp macro="" textlink="">
          <xdr:nvSpPr>
            <xdr:cNvPr id="69639" name="cmdRefreshUnits" hidden="1">
              <a:extLst>
                <a:ext uri="{63B3BB69-23CF-44E3-9099-C40C66FF867C}">
                  <a14:compatExt spid="_x0000_s69639"/>
                </a:ext>
                <a:ext uri="{FF2B5EF4-FFF2-40B4-BE49-F238E27FC236}">
                  <a16:creationId xmlns:a16="http://schemas.microsoft.com/office/drawing/2014/main" id="{00000000-0008-0000-3700-000007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4</xdr:row>
          <xdr:rowOff>19050</xdr:rowOff>
        </xdr:from>
        <xdr:to>
          <xdr:col>1</xdr:col>
          <xdr:colOff>0</xdr:colOff>
          <xdr:row>5</xdr:row>
          <xdr:rowOff>9525</xdr:rowOff>
        </xdr:to>
        <xdr:sp macro="" textlink="">
          <xdr:nvSpPr>
            <xdr:cNvPr id="68609" name="cmdAddParameter" hidden="1">
              <a:extLst>
                <a:ext uri="{63B3BB69-23CF-44E3-9099-C40C66FF867C}">
                  <a14:compatExt spid="_x0000_s68609"/>
                </a:ext>
                <a:ext uri="{FF2B5EF4-FFF2-40B4-BE49-F238E27FC236}">
                  <a16:creationId xmlns:a16="http://schemas.microsoft.com/office/drawing/2014/main" id="{00000000-0008-0000-38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8610" name="cmdCommNameAndDesc" hidden="1">
              <a:extLst>
                <a:ext uri="{63B3BB69-23CF-44E3-9099-C40C66FF867C}">
                  <a14:compatExt spid="_x0000_s68610"/>
                </a:ext>
                <a:ext uri="{FF2B5EF4-FFF2-40B4-BE49-F238E27FC236}">
                  <a16:creationId xmlns:a16="http://schemas.microsoft.com/office/drawing/2014/main" id="{00000000-0008-0000-38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5</xdr:row>
          <xdr:rowOff>0</xdr:rowOff>
        </xdr:from>
        <xdr:to>
          <xdr:col>1</xdr:col>
          <xdr:colOff>0</xdr:colOff>
          <xdr:row>5</xdr:row>
          <xdr:rowOff>238125</xdr:rowOff>
        </xdr:to>
        <xdr:sp macro="" textlink="">
          <xdr:nvSpPr>
            <xdr:cNvPr id="68611" name="cmdAddParamQualifier" hidden="1">
              <a:extLst>
                <a:ext uri="{63B3BB69-23CF-44E3-9099-C40C66FF867C}">
                  <a14:compatExt spid="_x0000_s68611"/>
                </a:ext>
                <a:ext uri="{FF2B5EF4-FFF2-40B4-BE49-F238E27FC236}">
                  <a16:creationId xmlns:a16="http://schemas.microsoft.com/office/drawing/2014/main" id="{00000000-0008-0000-38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19050</xdr:rowOff>
        </xdr:from>
        <xdr:to>
          <xdr:col>1</xdr:col>
          <xdr:colOff>0</xdr:colOff>
          <xdr:row>4</xdr:row>
          <xdr:rowOff>0</xdr:rowOff>
        </xdr:to>
        <xdr:sp macro="" textlink="">
          <xdr:nvSpPr>
            <xdr:cNvPr id="68612" name="cmdCheckCommDataSheet" hidden="1">
              <a:extLst>
                <a:ext uri="{63B3BB69-23CF-44E3-9099-C40C66FF867C}">
                  <a14:compatExt spid="_x0000_s68612"/>
                </a:ext>
                <a:ext uri="{FF2B5EF4-FFF2-40B4-BE49-F238E27FC236}">
                  <a16:creationId xmlns:a16="http://schemas.microsoft.com/office/drawing/2014/main" id="{00000000-0008-0000-38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8613" name="cmdRefreshUnits" hidden="1">
              <a:extLst>
                <a:ext uri="{63B3BB69-23CF-44E3-9099-C40C66FF867C}">
                  <a14:compatExt spid="_x0000_s68613"/>
                </a:ext>
                <a:ext uri="{FF2B5EF4-FFF2-40B4-BE49-F238E27FC236}">
                  <a16:creationId xmlns:a16="http://schemas.microsoft.com/office/drawing/2014/main" id="{00000000-0008-0000-3800-000005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67585" name="cmdConstraintSets" hidden="1">
              <a:extLst>
                <a:ext uri="{63B3BB69-23CF-44E3-9099-C40C66FF867C}">
                  <a14:compatExt spid="_x0000_s67585"/>
                </a:ext>
                <a:ext uri="{FF2B5EF4-FFF2-40B4-BE49-F238E27FC236}">
                  <a16:creationId xmlns:a16="http://schemas.microsoft.com/office/drawing/2014/main" id="{00000000-0008-0000-39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3</xdr:row>
          <xdr:rowOff>0</xdr:rowOff>
        </xdr:from>
        <xdr:to>
          <xdr:col>1</xdr:col>
          <xdr:colOff>0</xdr:colOff>
          <xdr:row>4</xdr:row>
          <xdr:rowOff>0</xdr:rowOff>
        </xdr:to>
        <xdr:sp macro="" textlink="">
          <xdr:nvSpPr>
            <xdr:cNvPr id="67586" name="cmdCheckConstraintsSheet" hidden="1">
              <a:extLst>
                <a:ext uri="{63B3BB69-23CF-44E3-9099-C40C66FF867C}">
                  <a14:compatExt spid="_x0000_s67586"/>
                </a:ext>
                <a:ext uri="{FF2B5EF4-FFF2-40B4-BE49-F238E27FC236}">
                  <a16:creationId xmlns:a16="http://schemas.microsoft.com/office/drawing/2014/main" id="{00000000-0008-0000-3900-00000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3</xdr:col>
          <xdr:colOff>571500</xdr:colOff>
          <xdr:row>5</xdr:row>
          <xdr:rowOff>38100</xdr:rowOff>
        </xdr:to>
        <xdr:sp macro="" textlink="">
          <xdr:nvSpPr>
            <xdr:cNvPr id="67587" name="cmdConstraintUnit" hidden="1">
              <a:extLst>
                <a:ext uri="{63B3BB69-23CF-44E3-9099-C40C66FF867C}">
                  <a14:compatExt spid="_x0000_s67587"/>
                </a:ext>
                <a:ext uri="{FF2B5EF4-FFF2-40B4-BE49-F238E27FC236}">
                  <a16:creationId xmlns:a16="http://schemas.microsoft.com/office/drawing/2014/main" id="{00000000-0008-0000-39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57150</xdr:rowOff>
        </xdr:from>
        <xdr:to>
          <xdr:col>3</xdr:col>
          <xdr:colOff>571500</xdr:colOff>
          <xdr:row>4</xdr:row>
          <xdr:rowOff>28575</xdr:rowOff>
        </xdr:to>
        <xdr:sp macro="" textlink="">
          <xdr:nvSpPr>
            <xdr:cNvPr id="67588" name="cmdRefreshUnits" hidden="1">
              <a:extLst>
                <a:ext uri="{63B3BB69-23CF-44E3-9099-C40C66FF867C}">
                  <a14:compatExt spid="_x0000_s67588"/>
                </a:ext>
                <a:ext uri="{FF2B5EF4-FFF2-40B4-BE49-F238E27FC236}">
                  <a16:creationId xmlns:a16="http://schemas.microsoft.com/office/drawing/2014/main" id="{00000000-0008-0000-39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66561" name="cmdTechnologySets" hidden="1">
              <a:extLst>
                <a:ext uri="{63B3BB69-23CF-44E3-9099-C40C66FF867C}">
                  <a14:compatExt spid="_x0000_s66561"/>
                </a:ext>
                <a:ext uri="{FF2B5EF4-FFF2-40B4-BE49-F238E27FC236}">
                  <a16:creationId xmlns:a16="http://schemas.microsoft.com/office/drawing/2014/main" id="{00000000-0008-0000-3A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152400</xdr:rowOff>
        </xdr:from>
        <xdr:to>
          <xdr:col>1</xdr:col>
          <xdr:colOff>0</xdr:colOff>
          <xdr:row>4</xdr:row>
          <xdr:rowOff>0</xdr:rowOff>
        </xdr:to>
        <xdr:sp macro="" textlink="">
          <xdr:nvSpPr>
            <xdr:cNvPr id="66562" name="cmdCheckTechnologiesSheet" hidden="1">
              <a:extLst>
                <a:ext uri="{63B3BB69-23CF-44E3-9099-C40C66FF867C}">
                  <a14:compatExt spid="_x0000_s66562"/>
                </a:ext>
                <a:ext uri="{FF2B5EF4-FFF2-40B4-BE49-F238E27FC236}">
                  <a16:creationId xmlns:a16="http://schemas.microsoft.com/office/drawing/2014/main" id="{00000000-0008-0000-3A00-00000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19050</xdr:rowOff>
        </xdr:from>
        <xdr:to>
          <xdr:col>4</xdr:col>
          <xdr:colOff>9525</xdr:colOff>
          <xdr:row>5</xdr:row>
          <xdr:rowOff>95250</xdr:rowOff>
        </xdr:to>
        <xdr:sp macro="" textlink="">
          <xdr:nvSpPr>
            <xdr:cNvPr id="66563" name="cmdTACTUnit" hidden="1">
              <a:extLst>
                <a:ext uri="{63B3BB69-23CF-44E3-9099-C40C66FF867C}">
                  <a14:compatExt spid="_x0000_s66563"/>
                </a:ext>
                <a:ext uri="{FF2B5EF4-FFF2-40B4-BE49-F238E27FC236}">
                  <a16:creationId xmlns:a16="http://schemas.microsoft.com/office/drawing/2014/main" id="{00000000-0008-0000-3A00-00000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5</xdr:col>
          <xdr:colOff>9525</xdr:colOff>
          <xdr:row>5</xdr:row>
          <xdr:rowOff>95250</xdr:rowOff>
        </xdr:to>
        <xdr:sp macro="" textlink="">
          <xdr:nvSpPr>
            <xdr:cNvPr id="66564" name="cmdTCAPUnit" hidden="1">
              <a:extLst>
                <a:ext uri="{63B3BB69-23CF-44E3-9099-C40C66FF867C}">
                  <a14:compatExt spid="_x0000_s66564"/>
                </a:ext>
                <a:ext uri="{FF2B5EF4-FFF2-40B4-BE49-F238E27FC236}">
                  <a16:creationId xmlns:a16="http://schemas.microsoft.com/office/drawing/2014/main" id="{00000000-0008-0000-3A00-00000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66565" name="cmdRefreshUnits" hidden="1">
              <a:extLst>
                <a:ext uri="{63B3BB69-23CF-44E3-9099-C40C66FF867C}">
                  <a14:compatExt spid="_x0000_s66565"/>
                </a:ext>
                <a:ext uri="{FF2B5EF4-FFF2-40B4-BE49-F238E27FC236}">
                  <a16:creationId xmlns:a16="http://schemas.microsoft.com/office/drawing/2014/main" id="{00000000-0008-0000-3A00-00000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3</xdr:row>
          <xdr:rowOff>95250</xdr:rowOff>
        </xdr:from>
        <xdr:to>
          <xdr:col>4</xdr:col>
          <xdr:colOff>990600</xdr:colOff>
          <xdr:row>4</xdr:row>
          <xdr:rowOff>114300</xdr:rowOff>
        </xdr:to>
        <xdr:sp macro="" textlink="">
          <xdr:nvSpPr>
            <xdr:cNvPr id="63489" name="cmdEnergySets" hidden="1">
              <a:extLst>
                <a:ext uri="{63B3BB69-23CF-44E3-9099-C40C66FF867C}">
                  <a14:compatExt spid="_x0000_s63489"/>
                </a:ext>
                <a:ext uri="{FF2B5EF4-FFF2-40B4-BE49-F238E27FC236}">
                  <a16:creationId xmlns:a16="http://schemas.microsoft.com/office/drawing/2014/main" id="{00000000-0008-0000-3B00-000001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4</xdr:row>
          <xdr:rowOff>171450</xdr:rowOff>
        </xdr:from>
        <xdr:to>
          <xdr:col>4</xdr:col>
          <xdr:colOff>990600</xdr:colOff>
          <xdr:row>5</xdr:row>
          <xdr:rowOff>190500</xdr:rowOff>
        </xdr:to>
        <xdr:sp macro="" textlink="">
          <xdr:nvSpPr>
            <xdr:cNvPr id="63490" name="cmdDemandSets" hidden="1">
              <a:extLst>
                <a:ext uri="{63B3BB69-23CF-44E3-9099-C40C66FF867C}">
                  <a14:compatExt spid="_x0000_s63490"/>
                </a:ext>
                <a:ext uri="{FF2B5EF4-FFF2-40B4-BE49-F238E27FC236}">
                  <a16:creationId xmlns:a16="http://schemas.microsoft.com/office/drawing/2014/main" id="{00000000-0008-0000-3B00-000002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4</xdr:row>
          <xdr:rowOff>171450</xdr:rowOff>
        </xdr:from>
        <xdr:to>
          <xdr:col>5</xdr:col>
          <xdr:colOff>0</xdr:colOff>
          <xdr:row>5</xdr:row>
          <xdr:rowOff>190500</xdr:rowOff>
        </xdr:to>
        <xdr:sp macro="" textlink="">
          <xdr:nvSpPr>
            <xdr:cNvPr id="63491" name="cmdEmissionSets" hidden="1">
              <a:extLst>
                <a:ext uri="{63B3BB69-23CF-44E3-9099-C40C66FF867C}">
                  <a14:compatExt spid="_x0000_s63491"/>
                </a:ext>
                <a:ext uri="{FF2B5EF4-FFF2-40B4-BE49-F238E27FC236}">
                  <a16:creationId xmlns:a16="http://schemas.microsoft.com/office/drawing/2014/main" id="{00000000-0008-0000-3B00-000003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3</xdr:row>
          <xdr:rowOff>95250</xdr:rowOff>
        </xdr:from>
        <xdr:to>
          <xdr:col>5</xdr:col>
          <xdr:colOff>0</xdr:colOff>
          <xdr:row>4</xdr:row>
          <xdr:rowOff>114300</xdr:rowOff>
        </xdr:to>
        <xdr:sp macro="" textlink="">
          <xdr:nvSpPr>
            <xdr:cNvPr id="63492" name="cmdMaterialSets" hidden="1">
              <a:extLst>
                <a:ext uri="{63B3BB69-23CF-44E3-9099-C40C66FF867C}">
                  <a14:compatExt spid="_x0000_s63492"/>
                </a:ext>
                <a:ext uri="{FF2B5EF4-FFF2-40B4-BE49-F238E27FC236}">
                  <a16:creationId xmlns:a16="http://schemas.microsoft.com/office/drawing/2014/main" id="{00000000-0008-0000-3B00-000004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xdr:colOff>
          <xdr:row>2</xdr:row>
          <xdr:rowOff>142875</xdr:rowOff>
        </xdr:from>
        <xdr:to>
          <xdr:col>0</xdr:col>
          <xdr:colOff>828675</xdr:colOff>
          <xdr:row>4</xdr:row>
          <xdr:rowOff>0</xdr:rowOff>
        </xdr:to>
        <xdr:sp macro="" textlink="">
          <xdr:nvSpPr>
            <xdr:cNvPr id="63493" name="cmdCheckCommoditiesSheet" hidden="1">
              <a:extLst>
                <a:ext uri="{63B3BB69-23CF-44E3-9099-C40C66FF867C}">
                  <a14:compatExt spid="_x0000_s63493"/>
                </a:ext>
                <a:ext uri="{FF2B5EF4-FFF2-40B4-BE49-F238E27FC236}">
                  <a16:creationId xmlns:a16="http://schemas.microsoft.com/office/drawing/2014/main" id="{00000000-0008-0000-3B00-000005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171450</xdr:rowOff>
        </xdr:from>
        <xdr:to>
          <xdr:col>4</xdr:col>
          <xdr:colOff>0</xdr:colOff>
          <xdr:row>5</xdr:row>
          <xdr:rowOff>190500</xdr:rowOff>
        </xdr:to>
        <xdr:sp macro="" textlink="">
          <xdr:nvSpPr>
            <xdr:cNvPr id="63494" name="cmdCommUnit" hidden="1">
              <a:extLst>
                <a:ext uri="{63B3BB69-23CF-44E3-9099-C40C66FF867C}">
                  <a14:compatExt spid="_x0000_s63494"/>
                </a:ext>
                <a:ext uri="{FF2B5EF4-FFF2-40B4-BE49-F238E27FC236}">
                  <a16:creationId xmlns:a16="http://schemas.microsoft.com/office/drawing/2014/main" id="{00000000-0008-0000-3B00-000006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63495" name="cmdRefreshUnits" hidden="1">
              <a:extLst>
                <a:ext uri="{63B3BB69-23CF-44E3-9099-C40C66FF867C}">
                  <a14:compatExt spid="_x0000_s63495"/>
                </a:ext>
                <a:ext uri="{FF2B5EF4-FFF2-40B4-BE49-F238E27FC236}">
                  <a16:creationId xmlns:a16="http://schemas.microsoft.com/office/drawing/2014/main" id="{00000000-0008-0000-3B00-000007F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iv/NRML_APPCD_CSHAY/2010%20EPAUS9r/83%25%20reduction/EPAUS9r_10_COM83_L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v6.1-Home"/>
      <sheetName val="ANSv6.0-Commodities"/>
      <sheetName val="ANSv6.1-Commodities"/>
      <sheetName val="Commodities"/>
      <sheetName val="ANSv6.0-Technologies"/>
      <sheetName val="ANSv6.1-Technologies"/>
      <sheetName val="ANSv6.1-Constraints"/>
      <sheetName val="Constraints"/>
      <sheetName val="Technologies"/>
      <sheetName val="ANSv6.0-CommData"/>
      <sheetName val="ANSv6.0-Constraints"/>
      <sheetName val="ANSv6.1-CommData"/>
      <sheetName val="ANSv6.1-TechData"/>
      <sheetName val="ANSv6.1-ConstrData"/>
      <sheetName val="ConstrData"/>
      <sheetName val="CommData_Demand"/>
      <sheetName val="TechData_COM"/>
      <sheetName val="TechData_SESC"/>
      <sheetName val="TechData_ZZ"/>
      <sheetName val="Sol_PV"/>
      <sheetName val="Renew"/>
      <sheetName val="Fuel Splits"/>
      <sheetName val="Mkt Shares"/>
      <sheetName val="Tech Splits"/>
      <sheetName val="Mkt Shares raw"/>
      <sheetName val="Commercial"/>
      <sheetName val="Agg CLT"/>
      <sheetName val="CLT raw data"/>
      <sheetName val="Aggregated Data"/>
      <sheetName val="AEO10 Com Tech"/>
      <sheetName val="DMD ByRegion"/>
      <sheetName val="ComDemand"/>
      <sheetName val="CMCalc"/>
      <sheetName val="Pop"/>
      <sheetName val="Conversion Factors"/>
      <sheetName val="ANSv6.0-ConstrData"/>
      <sheetName val="ANSv6.0-Tech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B2">
            <v>24</v>
          </cell>
        </row>
        <row r="3">
          <cell r="B3">
            <v>365</v>
          </cell>
        </row>
        <row r="4">
          <cell r="B4">
            <v>1055.056</v>
          </cell>
        </row>
        <row r="5">
          <cell r="B5">
            <v>3.4119999999999999</v>
          </cell>
        </row>
        <row r="6">
          <cell r="B6">
            <v>1000000000000000</v>
          </cell>
        </row>
        <row r="7">
          <cell r="B7">
            <v>1000000</v>
          </cell>
        </row>
        <row r="9">
          <cell r="B9">
            <v>1000000000</v>
          </cell>
        </row>
      </sheetData>
      <sheetData sheetId="35"/>
      <sheetData sheetId="3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nswerV6/Answer_Databases/MI/Workbooks%20with%20optimal%20solutions_MI/RES_MI/PV.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ik, Mine" refreshedDate="43186.709720601852" createdVersion="6" refreshedVersion="6" minRefreshableVersion="3" recordCount="121" xr:uid="{00000000-000A-0000-FFFF-FFFF0B000000}">
  <cacheSource type="worksheet">
    <worksheetSource ref="A2:H1048576" sheet="Raw Data BK" r:id="rId2"/>
  </cacheSource>
  <cacheFields count="8">
    <cacheField name="Borough" numFmtId="1">
      <sharedItems containsBlank="1" count="6">
        <s v="Bronx"/>
        <s v="Brooklyn"/>
        <s v="Manhattan"/>
        <s v="Queens"/>
        <s v="Staten Island"/>
        <m/>
      </sharedItems>
    </cacheField>
    <cacheField name="Customer Class" numFmtId="1">
      <sharedItems containsBlank="1" count="8">
        <s v="Residential"/>
        <s v="Transportation"/>
        <s v="Commercial"/>
        <s v="Government"/>
        <s v="Industrial"/>
        <s v="N/A"/>
        <s v="Cust. Class"/>
        <m/>
      </sharedItems>
    </cacheField>
    <cacheField name="General Classification" numFmtId="1">
      <sharedItems containsBlank="1" count="23">
        <s v="1-2 Family Dwelling"/>
        <s v="Airport"/>
        <s v="Auto Services"/>
        <s v="Church/Mission/Asylum"/>
        <s v="Education College/University"/>
        <s v="Education K12"/>
        <s v="Government"/>
        <s v="Hospital/Clinic"/>
        <s v="Industrial"/>
        <s v="Large Apartment/Hotel"/>
        <s v="Large Retail/Office"/>
        <s v="Other"/>
        <s v="Parking Area Outdoor"/>
        <s v="Parking Structure"/>
        <s v="Port or Shipping"/>
        <s v="Small Apartment or Condo"/>
        <s v="Small Retail/Office"/>
        <s v="Theater/Public Assembly"/>
        <s v="Utility Electric/Gas"/>
        <s v="Utility Other"/>
        <s v="Warehouse"/>
        <s v="Building Class"/>
        <m/>
      </sharedItems>
    </cacheField>
    <cacheField name="No Green Roof" numFmtId="1">
      <sharedItems containsBlank="1" containsMixedTypes="1" containsNumber="1" minValue="0" maxValue="2704993.8573539141"/>
    </cacheField>
    <cacheField name="PV KW (75%)" numFmtId="1">
      <sharedItems containsBlank="1" containsMixedTypes="1" containsNumber="1" minValue="0" maxValue="2028745.3930154911"/>
    </cacheField>
    <cacheField name="PV KW (50%)" numFmtId="1">
      <sharedItems containsBlank="1" containsMixedTypes="1" containsNumber="1" minValue="0" maxValue="1352496.928676957" count="99">
        <n v="270387.93902161234"/>
        <n v="0"/>
        <n v="38845.03058333334"/>
        <n v="25908.748098845608"/>
        <n v="14982.438245671001"/>
        <n v="46738.321416666666"/>
        <n v="19729.787694444425"/>
        <n v="43.907500000000006"/>
        <n v="33620.030285714267"/>
        <n v="154667.57618281405"/>
        <n v="41603.738809523798"/>
        <n v="6053.0287500000022"/>
        <n v="2269.1916666666675"/>
        <n v="1467.5449999999998"/>
        <n v="233537.2819920594"/>
        <n v="76464.657271936492"/>
        <n v="25970.610577922078"/>
        <n v="58843.460500000008"/>
        <n v="840946.59272904031"/>
        <n v="17.535"/>
        <n v="25887.032083333321"/>
        <n v="55801.255972326369"/>
        <n v="16812.652139430014"/>
        <n v="77812.717173555357"/>
        <n v="143673.41048051949"/>
        <n v="23565.3672106921"/>
        <n v="84109.013290043251"/>
        <n v="207309.04179586252"/>
        <n v="42971.098780025604"/>
        <n v="3604.8270833333345"/>
        <n v="29626.406166666693"/>
        <n v="40325.897916666669"/>
        <n v="700111.63580451906"/>
        <n v="137197.56708688487"/>
        <n v="16987.073688644668"/>
        <n v="1814.5450000000001"/>
        <n v="154228.87204761937"/>
        <n v="41856.274115706467"/>
        <n v="371.1875"/>
        <n v="12203.877634920622"/>
        <n v="27622.048309032005"/>
        <n v="20481.574640349074"/>
        <n v="32709.156332070714"/>
        <n v="29358.960374602568"/>
        <n v="21696.736755397742"/>
        <n v="6402.9995892857123"/>
        <n v="278242.49087487691"/>
        <n v="98788.878751709475"/>
        <n v="3773.1327888888877"/>
        <n v="7138.8885833333361"/>
        <n v="18739.41"/>
        <n v="253159.81284745422"/>
        <n v="65336.666101482384"/>
        <n v="26029.015313292686"/>
        <n v="114.425"/>
        <n v="390"/>
        <n v="9716.6837529761833"/>
        <s v="PV KW (50%)"/>
        <n v="965815.63810444274"/>
        <n v="490.6752395400049"/>
        <n v="24909.122009803916"/>
        <n v="52170.078720238103"/>
        <n v="11565.625138831756"/>
        <n v="105190.87041666673"/>
        <n v="15440.311959093609"/>
        <n v="30232.15911801047"/>
        <n v="97762.301552988487"/>
        <n v="291366.93661676109"/>
        <n v="55423.384345238097"/>
        <n v="1723.6733333333332"/>
        <n v="25010.351101971566"/>
        <n v="10"/>
        <n v="1352496.928676957"/>
        <n v="169788.91577976209"/>
        <n v="15405.669428571418"/>
        <n v="36.549999999999997"/>
        <n v="15.2"/>
        <n v="153231.13915417829"/>
        <n v="563932.1833678839"/>
        <n v="639.70000000000005"/>
        <n v="4644.8998550724627"/>
        <n v="2213.511611111112"/>
        <n v="265.19666666666666"/>
        <n v="5062.553083333336"/>
        <n v="1325.2537987987987"/>
        <n v="1993.948333333333"/>
        <n v="659.03250000000014"/>
        <n v="2463.6931521739129"/>
        <n v="9355.89127927144"/>
        <n v="803.80507142857164"/>
        <n v="1476.9141666666667"/>
        <n v="1167.840105263158"/>
        <n v="18151.364972914431"/>
        <n v="8189.6152651515185"/>
        <n v="2982.5666666666666"/>
        <n v="182.39000000000001"/>
        <n v="1534.6424514563107"/>
        <n v="2126.0305723443225"/>
        <m/>
      </sharedItems>
    </cacheField>
    <cacheField name="PV KW (25%)" numFmtId="1">
      <sharedItems containsBlank="1" containsMixedTypes="1" containsNumber="1" minValue="0" maxValue="676248.46433847852"/>
    </cacheField>
    <cacheField name="PV KW (10%)" numFmtId="1">
      <sharedItems containsBlank="1" containsMixedTypes="1" containsNumber="1" minValue="0" maxValue="270499.3857353993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21">
  <r>
    <x v="0"/>
    <x v="0"/>
    <x v="0"/>
    <n v="540775.87804322469"/>
    <n v="405581.90853245434"/>
    <x v="0"/>
    <n v="135193.96951080617"/>
    <n v="54077.58780432785"/>
  </r>
  <r>
    <x v="0"/>
    <x v="1"/>
    <x v="1"/>
    <n v="0"/>
    <n v="0"/>
    <x v="1"/>
    <n v="0"/>
    <n v="0"/>
  </r>
  <r>
    <x v="0"/>
    <x v="2"/>
    <x v="2"/>
    <n v="77690.061166666681"/>
    <n v="58267.545874999953"/>
    <x v="2"/>
    <n v="19422.51529166667"/>
    <n v="7769.0061166666692"/>
  </r>
  <r>
    <x v="0"/>
    <x v="2"/>
    <x v="3"/>
    <n v="51817.496197691216"/>
    <n v="38863.122148268318"/>
    <x v="3"/>
    <n v="12954.374049422804"/>
    <n v="5181.7496197691207"/>
  </r>
  <r>
    <x v="0"/>
    <x v="2"/>
    <x v="4"/>
    <n v="29964.876491342002"/>
    <n v="22473.657368506501"/>
    <x v="4"/>
    <n v="7491.2191228355005"/>
    <n v="2996.4876491341997"/>
  </r>
  <r>
    <x v="0"/>
    <x v="2"/>
    <x v="5"/>
    <n v="93476.642833333332"/>
    <n v="70107.48212500001"/>
    <x v="5"/>
    <n v="23369.160708333333"/>
    <n v="9347.6642833333353"/>
  </r>
  <r>
    <x v="0"/>
    <x v="3"/>
    <x v="6"/>
    <n v="39459.57538888885"/>
    <n v="29594.681541666672"/>
    <x v="6"/>
    <n v="9864.8938472222126"/>
    <n v="3945.9575388888884"/>
  </r>
  <r>
    <x v="0"/>
    <x v="2"/>
    <x v="7"/>
    <n v="87.815000000000012"/>
    <n v="65.861249999999998"/>
    <x v="7"/>
    <n v="21.953750000000003"/>
    <n v="8.7814999999999994"/>
  </r>
  <r>
    <x v="0"/>
    <x v="4"/>
    <x v="8"/>
    <n v="67240.060571428534"/>
    <n v="50430.045428571451"/>
    <x v="8"/>
    <n v="16810.015142857133"/>
    <n v="6724.0060571428512"/>
  </r>
  <r>
    <x v="0"/>
    <x v="0"/>
    <x v="9"/>
    <n v="309335.15236562811"/>
    <n v="232001.36427422159"/>
    <x v="9"/>
    <n v="77333.788091407027"/>
    <n v="30933.515236562846"/>
  </r>
  <r>
    <x v="0"/>
    <x v="2"/>
    <x v="10"/>
    <n v="83207.477619047597"/>
    <n v="62405.608214285727"/>
    <x v="10"/>
    <n v="20801.869404761899"/>
    <n v="8320.747761904755"/>
  </r>
  <r>
    <x v="0"/>
    <x v="5"/>
    <x v="11"/>
    <n v="12106.057500000004"/>
    <n v="9079.5431249999929"/>
    <x v="11"/>
    <n v="3026.5143750000011"/>
    <n v="1210.6057500000002"/>
  </r>
  <r>
    <x v="0"/>
    <x v="5"/>
    <x v="12"/>
    <n v="0"/>
    <n v="0"/>
    <x v="1"/>
    <n v="0"/>
    <n v="0"/>
  </r>
  <r>
    <x v="0"/>
    <x v="2"/>
    <x v="13"/>
    <n v="4538.383333333335"/>
    <n v="3403.7874999999999"/>
    <x v="12"/>
    <n v="1134.5958333333338"/>
    <n v="453.83833333333337"/>
  </r>
  <r>
    <x v="0"/>
    <x v="1"/>
    <x v="14"/>
    <n v="2935.0899999999997"/>
    <n v="2201.3174999999997"/>
    <x v="13"/>
    <n v="733.77249999999992"/>
    <n v="293.50900000000007"/>
  </r>
  <r>
    <x v="0"/>
    <x v="0"/>
    <x v="15"/>
    <n v="467074.56398411881"/>
    <n v="350305.92298808118"/>
    <x v="14"/>
    <n v="116768.6409960297"/>
    <n v="46707.456398411559"/>
  </r>
  <r>
    <x v="0"/>
    <x v="2"/>
    <x v="16"/>
    <n v="152929.31454387298"/>
    <n v="114696.98590790445"/>
    <x v="15"/>
    <n v="38232.328635968246"/>
    <n v="15292.931454387273"/>
  </r>
  <r>
    <x v="0"/>
    <x v="2"/>
    <x v="17"/>
    <n v="51941.221155844156"/>
    <n v="38955.91586688313"/>
    <x v="16"/>
    <n v="12985.305288961039"/>
    <n v="5194.1221155844141"/>
  </r>
  <r>
    <x v="0"/>
    <x v="2"/>
    <x v="18"/>
    <n v="0"/>
    <n v="0"/>
    <x v="1"/>
    <n v="0"/>
    <n v="0"/>
  </r>
  <r>
    <x v="0"/>
    <x v="2"/>
    <x v="19"/>
    <n v="0"/>
    <n v="0"/>
    <x v="1"/>
    <n v="0"/>
    <n v="0"/>
  </r>
  <r>
    <x v="0"/>
    <x v="2"/>
    <x v="20"/>
    <n v="117686.92100000002"/>
    <n v="88265.190750000023"/>
    <x v="17"/>
    <n v="29421.730250000004"/>
    <n v="11768.692100000022"/>
  </r>
  <r>
    <x v="1"/>
    <x v="0"/>
    <x v="0"/>
    <n v="1681893.1854580806"/>
    <n v="1261419.889093691"/>
    <x v="18"/>
    <n v="420473.29636452015"/>
    <n v="168189.31854582977"/>
  </r>
  <r>
    <x v="1"/>
    <x v="1"/>
    <x v="1"/>
    <n v="35.07"/>
    <n v="26.302499999999998"/>
    <x v="19"/>
    <n v="8.7675000000000001"/>
    <n v="3.5070000000000006"/>
  </r>
  <r>
    <x v="1"/>
    <x v="2"/>
    <x v="2"/>
    <n v="51774.064166666642"/>
    <n v="38830.548124999943"/>
    <x v="20"/>
    <n v="12943.51604166666"/>
    <n v="5177.4064166666649"/>
  </r>
  <r>
    <x v="1"/>
    <x v="2"/>
    <x v="3"/>
    <n v="111602.51194465274"/>
    <n v="83701.883958489547"/>
    <x v="21"/>
    <n v="27900.627986163185"/>
    <n v="11160.251194465271"/>
  </r>
  <r>
    <x v="1"/>
    <x v="2"/>
    <x v="4"/>
    <n v="33625.304278860029"/>
    <n v="25218.978209145025"/>
    <x v="22"/>
    <n v="8406.3260697150072"/>
    <n v="3362.5304278860035"/>
  </r>
  <r>
    <x v="1"/>
    <x v="2"/>
    <x v="5"/>
    <n v="155625.43434711071"/>
    <n v="116719.07576033314"/>
    <x v="23"/>
    <n v="38906.358586777678"/>
    <n v="15562.543434711077"/>
  </r>
  <r>
    <x v="1"/>
    <x v="3"/>
    <x v="6"/>
    <n v="287346.82096103899"/>
    <n v="215510.11572077926"/>
    <x v="24"/>
    <n v="71836.705240259747"/>
    <n v="28734.682096103897"/>
  </r>
  <r>
    <x v="1"/>
    <x v="2"/>
    <x v="7"/>
    <n v="47130.734421384201"/>
    <n v="35348.0508160381"/>
    <x v="25"/>
    <n v="11782.68360534605"/>
    <n v="4713.0734421384122"/>
  </r>
  <r>
    <x v="1"/>
    <x v="4"/>
    <x v="8"/>
    <n v="168218.0265800865"/>
    <n v="126163.51993506502"/>
    <x v="26"/>
    <n v="42054.506645021625"/>
    <n v="16821.802658008633"/>
  </r>
  <r>
    <x v="1"/>
    <x v="0"/>
    <x v="9"/>
    <n v="414618.08359172504"/>
    <n v="310963.56269379344"/>
    <x v="27"/>
    <n v="103654.52089793126"/>
    <n v="41461.808359172363"/>
  </r>
  <r>
    <x v="1"/>
    <x v="2"/>
    <x v="10"/>
    <n v="85942.197560051209"/>
    <n v="64456.648170038359"/>
    <x v="28"/>
    <n v="21485.549390012802"/>
    <n v="8594.2197560051263"/>
  </r>
  <r>
    <x v="1"/>
    <x v="5"/>
    <x v="11"/>
    <n v="7209.654166666669"/>
    <n v="5407.2406249999995"/>
    <x v="29"/>
    <n v="1802.4135416666672"/>
    <n v="720.9654166666669"/>
  </r>
  <r>
    <x v="1"/>
    <x v="5"/>
    <x v="12"/>
    <n v="0"/>
    <n v="0"/>
    <x v="1"/>
    <n v="0"/>
    <n v="0"/>
  </r>
  <r>
    <x v="1"/>
    <x v="2"/>
    <x v="13"/>
    <n v="59252.812333333386"/>
    <n v="44439.609249999863"/>
    <x v="30"/>
    <n v="14813.203083333347"/>
    <n v="5925.2812333333222"/>
  </r>
  <r>
    <x v="1"/>
    <x v="1"/>
    <x v="14"/>
    <n v="80651.795833333337"/>
    <n v="60488.84687500001"/>
    <x v="31"/>
    <n v="20162.948958333334"/>
    <n v="8065.1795833333317"/>
  </r>
  <r>
    <x v="1"/>
    <x v="0"/>
    <x v="15"/>
    <n v="1400223.2716090381"/>
    <n v="1050167.4537068873"/>
    <x v="32"/>
    <n v="350055.81790225953"/>
    <n v="140022.32716091725"/>
  </r>
  <r>
    <x v="1"/>
    <x v="2"/>
    <x v="16"/>
    <n v="274395.13417376974"/>
    <n v="205796.35063032576"/>
    <x v="33"/>
    <n v="68598.783543442434"/>
    <n v="27439.513417376882"/>
  </r>
  <r>
    <x v="1"/>
    <x v="2"/>
    <x v="17"/>
    <n v="33974.147377289337"/>
    <n v="25480.610532967043"/>
    <x v="34"/>
    <n v="8493.5368443223342"/>
    <n v="3397.4147377289401"/>
  </r>
  <r>
    <x v="1"/>
    <x v="2"/>
    <x v="18"/>
    <n v="0"/>
    <n v="0"/>
    <x v="1"/>
    <n v="0"/>
    <n v="0"/>
  </r>
  <r>
    <x v="1"/>
    <x v="2"/>
    <x v="19"/>
    <n v="3629.09"/>
    <n v="2721.8175000000001"/>
    <x v="35"/>
    <n v="907.27250000000004"/>
    <n v="362.90899999999999"/>
  </r>
  <r>
    <x v="1"/>
    <x v="2"/>
    <x v="20"/>
    <n v="308457.74409523874"/>
    <n v="231343.30807142862"/>
    <x v="36"/>
    <n v="77114.436023809685"/>
    <n v="30845.774409523903"/>
  </r>
  <r>
    <x v="2"/>
    <x v="0"/>
    <x v="0"/>
    <n v="83712.548231412933"/>
    <n v="62784.411173559041"/>
    <x v="37"/>
    <n v="20928.137057853233"/>
    <n v="8371.2548231411911"/>
  </r>
  <r>
    <x v="2"/>
    <x v="1"/>
    <x v="1"/>
    <n v="742.375"/>
    <n v="556.78125"/>
    <x v="38"/>
    <n v="185.59375"/>
    <n v="74.237499999999997"/>
  </r>
  <r>
    <x v="2"/>
    <x v="2"/>
    <x v="2"/>
    <n v="24407.755269841244"/>
    <n v="18305.816452380943"/>
    <x v="39"/>
    <n v="6101.9388174603109"/>
    <n v="2440.7755269841286"/>
  </r>
  <r>
    <x v="2"/>
    <x v="2"/>
    <x v="3"/>
    <n v="55244.09661806401"/>
    <n v="41433.072463548029"/>
    <x v="40"/>
    <n v="13811.024154516002"/>
    <n v="5524.4096618064059"/>
  </r>
  <r>
    <x v="2"/>
    <x v="2"/>
    <x v="4"/>
    <n v="40963.149280698148"/>
    <n v="30722.361960523558"/>
    <x v="41"/>
    <n v="10240.787320174537"/>
    <n v="4096.314928069809"/>
  </r>
  <r>
    <x v="2"/>
    <x v="2"/>
    <x v="5"/>
    <n v="65418.312664141427"/>
    <n v="49063.734498106089"/>
    <x v="42"/>
    <n v="16354.578166035357"/>
    <n v="6541.8312664141404"/>
  </r>
  <r>
    <x v="2"/>
    <x v="3"/>
    <x v="6"/>
    <n v="58717.920749205136"/>
    <n v="44038.440561903888"/>
    <x v="43"/>
    <n v="14679.480187301284"/>
    <n v="5871.7920749205141"/>
  </r>
  <r>
    <x v="2"/>
    <x v="2"/>
    <x v="7"/>
    <n v="43393.473510795484"/>
    <n v="32545.105133096604"/>
    <x v="44"/>
    <n v="10848.368377698871"/>
    <n v="4339.347351079552"/>
  </r>
  <r>
    <x v="2"/>
    <x v="4"/>
    <x v="8"/>
    <n v="12805.999178571425"/>
    <n v="9604.4993839285798"/>
    <x v="45"/>
    <n v="3201.4997946428562"/>
    <n v="1280.5999178571428"/>
  </r>
  <r>
    <x v="2"/>
    <x v="0"/>
    <x v="9"/>
    <n v="556484.98174975382"/>
    <n v="417363.73631231586"/>
    <x v="46"/>
    <n v="139121.24543743845"/>
    <n v="55648.498174975641"/>
  </r>
  <r>
    <x v="2"/>
    <x v="2"/>
    <x v="10"/>
    <n v="197577.75750341895"/>
    <n v="148183.31812756366"/>
    <x v="47"/>
    <n v="49394.439375854738"/>
    <n v="19757.775750341927"/>
  </r>
  <r>
    <x v="2"/>
    <x v="5"/>
    <x v="11"/>
    <n v="7546.2655777777754"/>
    <n v="5659.699183333335"/>
    <x v="48"/>
    <n v="1886.5663944444439"/>
    <n v="754.62655777777798"/>
  </r>
  <r>
    <x v="2"/>
    <x v="5"/>
    <x v="12"/>
    <n v="0"/>
    <n v="0"/>
    <x v="1"/>
    <n v="0"/>
    <n v="0"/>
  </r>
  <r>
    <x v="2"/>
    <x v="2"/>
    <x v="13"/>
    <n v="14277.777166666672"/>
    <n v="10708.332875"/>
    <x v="49"/>
    <n v="3569.4442916666681"/>
    <n v="1427.7777166666656"/>
  </r>
  <r>
    <x v="2"/>
    <x v="1"/>
    <x v="14"/>
    <n v="37478.82"/>
    <n v="28109.114999999998"/>
    <x v="50"/>
    <n v="9369.7049999999999"/>
    <n v="3747.8820000000001"/>
  </r>
  <r>
    <x v="2"/>
    <x v="0"/>
    <x v="15"/>
    <n v="506319.62569490843"/>
    <n v="379739.71927118872"/>
    <x v="51"/>
    <n v="126579.90642372711"/>
    <n v="50631.962569491356"/>
  </r>
  <r>
    <x v="2"/>
    <x v="2"/>
    <x v="16"/>
    <n v="130673.33220296477"/>
    <n v="98004.999152223885"/>
    <x v="52"/>
    <n v="32668.333050741192"/>
    <n v="13067.333220296436"/>
  </r>
  <r>
    <x v="2"/>
    <x v="2"/>
    <x v="17"/>
    <n v="52058.030626585372"/>
    <n v="39043.522969939033"/>
    <x v="53"/>
    <n v="13014.507656646343"/>
    <n v="5205.803062658536"/>
  </r>
  <r>
    <x v="2"/>
    <x v="2"/>
    <x v="18"/>
    <n v="228.85"/>
    <n v="171.63749999999999"/>
    <x v="54"/>
    <n v="57.212499999999999"/>
    <n v="22.885000000000002"/>
  </r>
  <r>
    <x v="2"/>
    <x v="2"/>
    <x v="19"/>
    <n v="780"/>
    <n v="585"/>
    <x v="55"/>
    <n v="195"/>
    <n v="78"/>
  </r>
  <r>
    <x v="2"/>
    <x v="2"/>
    <x v="20"/>
    <n v="19433.367505952367"/>
    <n v="14575.025629464288"/>
    <x v="56"/>
    <n v="4858.3418764880917"/>
    <n v="1943.3367505952367"/>
  </r>
  <r>
    <x v="3"/>
    <x v="6"/>
    <x v="21"/>
    <s v="PV KW (100%)"/>
    <s v="PV KW (75%)"/>
    <x v="57"/>
    <s v="PV KW (25%)"/>
    <s v="PV KW (10%)"/>
  </r>
  <r>
    <x v="3"/>
    <x v="0"/>
    <x v="0"/>
    <n v="1931631.2762088855"/>
    <n v="1448723.4571564887"/>
    <x v="58"/>
    <n v="482907.81905222137"/>
    <n v="193163.12762083518"/>
  </r>
  <r>
    <x v="3"/>
    <x v="1"/>
    <x v="1"/>
    <n v="981.35047908000979"/>
    <n v="736.01285931000734"/>
    <x v="59"/>
    <n v="245.33761977000245"/>
    <n v="98.135047908000985"/>
  </r>
  <r>
    <x v="3"/>
    <x v="2"/>
    <x v="2"/>
    <n v="49818.244019607831"/>
    <n v="37363.683014705879"/>
    <x v="60"/>
    <n v="12454.561004901958"/>
    <n v="4981.8244019607828"/>
  </r>
  <r>
    <x v="3"/>
    <x v="2"/>
    <x v="3"/>
    <n v="104340.15744047621"/>
    <n v="78255.118080357162"/>
    <x v="61"/>
    <n v="26085.039360119052"/>
    <n v="10434.015744047627"/>
  </r>
  <r>
    <x v="3"/>
    <x v="2"/>
    <x v="4"/>
    <n v="23131.250277663512"/>
    <n v="17348.437708247649"/>
    <x v="62"/>
    <n v="5782.812569415878"/>
    <n v="2313.1250277663512"/>
  </r>
  <r>
    <x v="3"/>
    <x v="2"/>
    <x v="5"/>
    <n v="210381.74083333346"/>
    <n v="157786.30562500015"/>
    <x v="63"/>
    <n v="52595.435208333365"/>
    <n v="21038.17408333331"/>
  </r>
  <r>
    <x v="3"/>
    <x v="3"/>
    <x v="6"/>
    <n v="30880.623918187219"/>
    <n v="23160.467938640406"/>
    <x v="64"/>
    <n v="7720.1559795468047"/>
    <n v="3088.0623918187216"/>
  </r>
  <r>
    <x v="3"/>
    <x v="2"/>
    <x v="7"/>
    <n v="60464.318236020939"/>
    <n v="45348.23867701571"/>
    <x v="65"/>
    <n v="15116.079559005235"/>
    <n v="6046.4318236020972"/>
  </r>
  <r>
    <x v="3"/>
    <x v="4"/>
    <x v="8"/>
    <n v="195524.60310597697"/>
    <n v="146643.45232948291"/>
    <x v="66"/>
    <n v="48881.150776494243"/>
    <n v="19552.460310597718"/>
  </r>
  <r>
    <x v="3"/>
    <x v="0"/>
    <x v="9"/>
    <n v="582733.87323352217"/>
    <n v="437050.40492514183"/>
    <x v="67"/>
    <n v="145683.46830838054"/>
    <n v="58273.387323352123"/>
  </r>
  <r>
    <x v="3"/>
    <x v="2"/>
    <x v="10"/>
    <n v="110846.76869047619"/>
    <n v="83135.076517856985"/>
    <x v="68"/>
    <n v="27711.692172619049"/>
    <n v="11084.6768690476"/>
  </r>
  <r>
    <x v="3"/>
    <x v="5"/>
    <x v="11"/>
    <n v="3447.3466666666664"/>
    <n v="2585.5099999999998"/>
    <x v="69"/>
    <n v="861.83666666666659"/>
    <n v="344.73466666666667"/>
  </r>
  <r>
    <x v="3"/>
    <x v="5"/>
    <x v="12"/>
    <n v="0"/>
    <n v="0"/>
    <x v="1"/>
    <n v="0"/>
    <n v="0"/>
  </r>
  <r>
    <x v="3"/>
    <x v="2"/>
    <x v="13"/>
    <n v="50020.702203943132"/>
    <n v="37515.526652957313"/>
    <x v="70"/>
    <n v="12505.175550985783"/>
    <n v="5002.0702203943047"/>
  </r>
  <r>
    <x v="3"/>
    <x v="1"/>
    <x v="14"/>
    <n v="20"/>
    <n v="15"/>
    <x v="71"/>
    <n v="5"/>
    <n v="2"/>
  </r>
  <r>
    <x v="3"/>
    <x v="0"/>
    <x v="15"/>
    <n v="2704993.8573539141"/>
    <n v="2028745.3930154911"/>
    <x v="72"/>
    <n v="676248.46433847852"/>
    <n v="270499.38573539938"/>
  </r>
  <r>
    <x v="3"/>
    <x v="2"/>
    <x v="16"/>
    <n v="339577.83155952417"/>
    <n v="254683.37366964272"/>
    <x v="73"/>
    <n v="84894.457889881043"/>
    <n v="33957.783155952413"/>
  </r>
  <r>
    <x v="3"/>
    <x v="2"/>
    <x v="17"/>
    <n v="30811.338857142837"/>
    <n v="23108.504142857135"/>
    <x v="74"/>
    <n v="7702.8347142857092"/>
    <n v="3081.1338857142873"/>
  </r>
  <r>
    <x v="3"/>
    <x v="2"/>
    <x v="18"/>
    <n v="73.099999999999994"/>
    <n v="54.825000000000003"/>
    <x v="75"/>
    <n v="18.274999999999999"/>
    <n v="7.31"/>
  </r>
  <r>
    <x v="3"/>
    <x v="2"/>
    <x v="19"/>
    <n v="30.4"/>
    <n v="22.8"/>
    <x v="76"/>
    <n v="7.6"/>
    <n v="3.04"/>
  </r>
  <r>
    <x v="3"/>
    <x v="2"/>
    <x v="20"/>
    <n v="306462.27830835659"/>
    <n v="229846.70873126734"/>
    <x v="77"/>
    <n v="76615.569577089147"/>
    <n v="30646.227830835705"/>
  </r>
  <r>
    <x v="4"/>
    <x v="0"/>
    <x v="0"/>
    <n v="1127864.3667357678"/>
    <n v="845898.27505175781"/>
    <x v="78"/>
    <n v="281966.09168394195"/>
    <n v="112786.43667358205"/>
  </r>
  <r>
    <x v="4"/>
    <x v="1"/>
    <x v="1"/>
    <n v="1279.4000000000001"/>
    <n v="959.55"/>
    <x v="79"/>
    <n v="319.85000000000002"/>
    <n v="127.94"/>
  </r>
  <r>
    <x v="4"/>
    <x v="2"/>
    <x v="2"/>
    <n v="9289.7997101449255"/>
    <n v="6967.3497826086959"/>
    <x v="80"/>
    <n v="2322.4499275362314"/>
    <n v="928.97997101449255"/>
  </r>
  <r>
    <x v="4"/>
    <x v="2"/>
    <x v="3"/>
    <n v="4427.0232222222239"/>
    <n v="3320.2674166666652"/>
    <x v="81"/>
    <n v="1106.755805555556"/>
    <n v="442.70232222222211"/>
  </r>
  <r>
    <x v="4"/>
    <x v="2"/>
    <x v="4"/>
    <n v="530.39333333333332"/>
    <n v="397.79500000000007"/>
    <x v="82"/>
    <n v="132.59833333333333"/>
    <n v="53.03933333333331"/>
  </r>
  <r>
    <x v="4"/>
    <x v="2"/>
    <x v="5"/>
    <n v="10125.106166666672"/>
    <n v="7593.8296250000003"/>
    <x v="83"/>
    <n v="2531.276541666668"/>
    <n v="1012.5106166666665"/>
  </r>
  <r>
    <x v="4"/>
    <x v="3"/>
    <x v="6"/>
    <n v="2650.5075975975974"/>
    <n v="1987.8806981981984"/>
    <x v="84"/>
    <n v="662.62689939939935"/>
    <n v="265.05075975975973"/>
  </r>
  <r>
    <x v="4"/>
    <x v="2"/>
    <x v="7"/>
    <n v="3987.8966666666661"/>
    <n v="2990.9225000000006"/>
    <x v="85"/>
    <n v="996.97416666666652"/>
    <n v="398.78966666666668"/>
  </r>
  <r>
    <x v="4"/>
    <x v="4"/>
    <x v="8"/>
    <n v="1318.0650000000003"/>
    <n v="988.54874999999981"/>
    <x v="86"/>
    <n v="329.51625000000007"/>
    <n v="131.8065"/>
  </r>
  <r>
    <x v="4"/>
    <x v="0"/>
    <x v="9"/>
    <n v="4927.3863043478259"/>
    <n v="3695.5397282608697"/>
    <x v="87"/>
    <n v="1231.8465760869565"/>
    <n v="492.73863043478258"/>
  </r>
  <r>
    <x v="4"/>
    <x v="2"/>
    <x v="10"/>
    <n v="18711.78255854288"/>
    <n v="14033.836918907184"/>
    <x v="88"/>
    <n v="4677.94563963572"/>
    <n v="1871.178255854288"/>
  </r>
  <r>
    <x v="4"/>
    <x v="5"/>
    <x v="11"/>
    <n v="1607.6101428571433"/>
    <n v="1205.7076071428571"/>
    <x v="89"/>
    <n v="401.90253571428582"/>
    <n v="160.76101428571428"/>
  </r>
  <r>
    <x v="4"/>
    <x v="5"/>
    <x v="12"/>
    <n v="0"/>
    <n v="0"/>
    <x v="1"/>
    <n v="0"/>
    <n v="0"/>
  </r>
  <r>
    <x v="4"/>
    <x v="2"/>
    <x v="13"/>
    <n v="2953.8283333333334"/>
    <n v="2215.3712500000006"/>
    <x v="90"/>
    <n v="738.45708333333334"/>
    <n v="295.38283333333317"/>
  </r>
  <r>
    <x v="4"/>
    <x v="1"/>
    <x v="14"/>
    <n v="2335.6802105263159"/>
    <n v="1751.7601578947369"/>
    <x v="91"/>
    <n v="583.92005263157898"/>
    <n v="233.56802105263154"/>
  </r>
  <r>
    <x v="4"/>
    <x v="0"/>
    <x v="15"/>
    <n v="36302.729945828862"/>
    <n v="27227.047459371628"/>
    <x v="92"/>
    <n v="9075.6824864572154"/>
    <n v="3630.2729945828814"/>
  </r>
  <r>
    <x v="4"/>
    <x v="2"/>
    <x v="16"/>
    <n v="16379.230530303037"/>
    <n v="12284.422897727265"/>
    <x v="93"/>
    <n v="4094.8076325757593"/>
    <n v="1637.9230530303028"/>
  </r>
  <r>
    <x v="4"/>
    <x v="2"/>
    <x v="17"/>
    <n v="5965.1333333333332"/>
    <n v="4473.8500000000004"/>
    <x v="94"/>
    <n v="1491.2833333333333"/>
    <n v="596.51333333333332"/>
  </r>
  <r>
    <x v="4"/>
    <x v="2"/>
    <x v="18"/>
    <n v="364.78000000000003"/>
    <n v="273.58499999999998"/>
    <x v="95"/>
    <n v="91.195000000000007"/>
    <n v="36.478000000000002"/>
  </r>
  <r>
    <x v="4"/>
    <x v="2"/>
    <x v="19"/>
    <n v="3069.2849029126214"/>
    <n v="2301.9636771844666"/>
    <x v="96"/>
    <n v="767.32122572815535"/>
    <n v="306.92849029126211"/>
  </r>
  <r>
    <x v="4"/>
    <x v="2"/>
    <x v="20"/>
    <n v="4252.0611446886451"/>
    <n v="3189.0458585164806"/>
    <x v="97"/>
    <n v="1063.0152861721613"/>
    <n v="425.20611446886437"/>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r>
    <x v="5"/>
    <x v="7"/>
    <x v="22"/>
    <m/>
    <m/>
    <x v="98"/>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C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9:R19" firstHeaderRow="1" firstDataRow="2" firstDataCol="1"/>
  <pivotFields count="8">
    <pivotField axis="axisCol" subtotalTop="0" showAll="0">
      <items count="7">
        <item x="0"/>
        <item x="1"/>
        <item x="2"/>
        <item x="3"/>
        <item x="4"/>
        <item x="5"/>
        <item t="default"/>
      </items>
    </pivotField>
    <pivotField axis="axisRow" subtotalTop="0" showAll="0">
      <items count="9">
        <item x="2"/>
        <item x="6"/>
        <item x="3"/>
        <item x="4"/>
        <item x="5"/>
        <item x="0"/>
        <item x="1"/>
        <item x="7"/>
        <item t="default"/>
      </items>
    </pivotField>
    <pivotField subtotalTop="0" showAll="0">
      <items count="24">
        <item x="0"/>
        <item x="1"/>
        <item x="2"/>
        <item x="21"/>
        <item x="3"/>
        <item x="4"/>
        <item x="5"/>
        <item x="6"/>
        <item x="7"/>
        <item x="8"/>
        <item x="9"/>
        <item x="10"/>
        <item x="11"/>
        <item x="12"/>
        <item x="13"/>
        <item x="14"/>
        <item x="15"/>
        <item x="16"/>
        <item x="17"/>
        <item x="18"/>
        <item x="19"/>
        <item x="20"/>
        <item x="22"/>
        <item t="default"/>
      </items>
    </pivotField>
    <pivotField subtotalTop="0" showAll="0"/>
    <pivotField subtotalTop="0" showAll="0"/>
    <pivotField dataField="1" subtotalTop="0" showAll="0">
      <items count="100">
        <item x="1"/>
        <item x="71"/>
        <item x="76"/>
        <item x="19"/>
        <item x="75"/>
        <item x="7"/>
        <item x="54"/>
        <item x="95"/>
        <item x="82"/>
        <item x="38"/>
        <item x="55"/>
        <item x="59"/>
        <item x="79"/>
        <item x="86"/>
        <item x="89"/>
        <item x="91"/>
        <item x="84"/>
        <item x="13"/>
        <item x="90"/>
        <item x="96"/>
        <item x="69"/>
        <item x="35"/>
        <item x="85"/>
        <item x="97"/>
        <item x="81"/>
        <item x="12"/>
        <item x="87"/>
        <item x="94"/>
        <item x="29"/>
        <item x="48"/>
        <item x="80"/>
        <item x="83"/>
        <item x="11"/>
        <item x="45"/>
        <item x="49"/>
        <item x="93"/>
        <item x="88"/>
        <item x="56"/>
        <item x="62"/>
        <item x="39"/>
        <item x="4"/>
        <item x="74"/>
        <item x="64"/>
        <item x="22"/>
        <item x="34"/>
        <item x="92"/>
        <item x="50"/>
        <item x="6"/>
        <item x="41"/>
        <item x="44"/>
        <item x="25"/>
        <item x="60"/>
        <item x="70"/>
        <item x="20"/>
        <item x="3"/>
        <item x="16"/>
        <item x="53"/>
        <item x="40"/>
        <item x="43"/>
        <item x="30"/>
        <item x="65"/>
        <item x="42"/>
        <item x="8"/>
        <item x="2"/>
        <item x="31"/>
        <item x="10"/>
        <item x="37"/>
        <item x="28"/>
        <item x="5"/>
        <item x="61"/>
        <item x="68"/>
        <item x="21"/>
        <item x="17"/>
        <item x="52"/>
        <item x="15"/>
        <item x="23"/>
        <item x="26"/>
        <item x="66"/>
        <item x="47"/>
        <item x="63"/>
        <item x="33"/>
        <item x="24"/>
        <item x="77"/>
        <item x="36"/>
        <item x="9"/>
        <item x="73"/>
        <item x="27"/>
        <item x="14"/>
        <item x="51"/>
        <item x="0"/>
        <item x="46"/>
        <item x="67"/>
        <item x="78"/>
        <item x="32"/>
        <item x="18"/>
        <item x="58"/>
        <item x="72"/>
        <item x="57"/>
        <item x="98"/>
        <item t="default"/>
      </items>
    </pivotField>
    <pivotField subtotalTop="0" showAll="0"/>
    <pivotField subtotalTop="0" showAll="0"/>
  </pivotFields>
  <rowFields count="1">
    <field x="1"/>
  </rowFields>
  <rowItems count="9">
    <i>
      <x/>
    </i>
    <i>
      <x v="1"/>
    </i>
    <i>
      <x v="2"/>
    </i>
    <i>
      <x v="3"/>
    </i>
    <i>
      <x v="4"/>
    </i>
    <i>
      <x v="5"/>
    </i>
    <i>
      <x v="6"/>
    </i>
    <i>
      <x v="7"/>
    </i>
    <i t="grand">
      <x/>
    </i>
  </rowItems>
  <colFields count="1">
    <field x="0"/>
  </colFields>
  <colItems count="7">
    <i>
      <x/>
    </i>
    <i>
      <x v="1"/>
    </i>
    <i>
      <x v="2"/>
    </i>
    <i>
      <x v="3"/>
    </i>
    <i>
      <x v="4"/>
    </i>
    <i>
      <x v="5"/>
    </i>
    <i t="grand">
      <x/>
    </i>
  </colItems>
  <dataFields count="1">
    <dataField name="Sum of PV KW (50%)" fld="5" baseField="1" baseItem="0" numFmtId="2"/>
  </dataFields>
  <formats count="70">
    <format dxfId="71">
      <pivotArea type="all" dataOnly="0" outline="0" fieldPosition="0"/>
    </format>
    <format dxfId="70">
      <pivotArea outline="0" collapsedLevelsAreSubtotals="1" fieldPosition="0"/>
    </format>
    <format dxfId="69">
      <pivotArea type="origin" dataOnly="0" labelOnly="1" outline="0" fieldPosition="0"/>
    </format>
    <format dxfId="68">
      <pivotArea field="0" type="button" dataOnly="0" labelOnly="1" outline="0" axis="axisCol" fieldPosition="0"/>
    </format>
    <format dxfId="67">
      <pivotArea type="topRight" dataOnly="0" labelOnly="1" outline="0"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fieldPosition="0">
        <references count="1">
          <reference field="0" count="0"/>
        </references>
      </pivotArea>
    </format>
    <format dxfId="62">
      <pivotArea dataOnly="0" labelOnly="1" grandCol="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axis="axisCol" fieldPosition="0"/>
    </format>
    <format dxfId="57">
      <pivotArea type="topRight" dataOnly="0" labelOnly="1" outline="0"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fieldPosition="0">
        <references count="1">
          <reference field="0"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fieldPosition="0">
        <references count="1">
          <reference field="0" count="0"/>
        </references>
      </pivotArea>
    </format>
    <format dxfId="42">
      <pivotArea dataOnly="0" labelOnly="1" grandCol="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fieldPosition="0">
        <references count="1">
          <reference field="0"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0" type="button" dataOnly="0" labelOnly="1" outline="0" axis="axisCol" fieldPosition="0"/>
    </format>
    <format dxfId="27">
      <pivotArea type="topRight" dataOnly="0" labelOnly="1"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fieldPosition="0">
        <references count="1">
          <reference field="0"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Col" fieldPosition="0"/>
    </format>
    <format dxfId="17">
      <pivotArea type="topRight" dataOnly="0" labelOnly="1" outline="0"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fieldPosition="0">
        <references count="1">
          <reference field="0" count="0"/>
        </references>
      </pivotArea>
    </format>
    <format dxfId="12">
      <pivotArea dataOnly="0" labelOnly="1" grandCol="1" outline="0"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axis="axisCol" fieldPosition="0"/>
    </format>
    <format dxfId="7">
      <pivotArea type="topRight" dataOnly="0" labelOnly="1" outline="0"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fieldPosition="0">
        <references count="1">
          <reference field="0" count="0"/>
        </references>
      </pivotArea>
    </format>
    <format dxfId="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11.xml"/><Relationship Id="rId13" Type="http://schemas.openxmlformats.org/officeDocument/2006/relationships/image" Target="../media/image13.emf"/><Relationship Id="rId3" Type="http://schemas.openxmlformats.org/officeDocument/2006/relationships/vmlDrawing" Target="../drawings/vmlDrawing2.vml"/><Relationship Id="rId7" Type="http://schemas.openxmlformats.org/officeDocument/2006/relationships/image" Target="../media/image10.emf"/><Relationship Id="rId12" Type="http://schemas.openxmlformats.org/officeDocument/2006/relationships/control" Target="../activeX/activeX13.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ntrol" Target="../activeX/activeX10.xml"/><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11.emf"/></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openxmlformats.org/officeDocument/2006/relationships/hyperlink" Target="https://www.eia.gov/consumption/residential/data/2015/hc/php/hc6.7.php" TargetMode="External"/><Relationship Id="rId2" Type="http://schemas.openxmlformats.org/officeDocument/2006/relationships/hyperlink" Target="https://www.eia.gov/survey/" TargetMode="External"/><Relationship Id="rId1" Type="http://schemas.openxmlformats.org/officeDocument/2006/relationships/hyperlink" Target="https://www.eia.gov/consumption/residential/terminology.php" TargetMode="External"/><Relationship Id="rId5" Type="http://schemas.openxmlformats.org/officeDocument/2006/relationships/drawing" Target="../drawings/drawing5.xml"/><Relationship Id="rId4"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8" Type="http://schemas.openxmlformats.org/officeDocument/2006/relationships/control" Target="../activeX/activeX16.xml"/><Relationship Id="rId3" Type="http://schemas.openxmlformats.org/officeDocument/2006/relationships/vmlDrawing" Target="../drawings/vmlDrawing9.vml"/><Relationship Id="rId7" Type="http://schemas.openxmlformats.org/officeDocument/2006/relationships/image" Target="../media/image17.emf"/><Relationship Id="rId2" Type="http://schemas.openxmlformats.org/officeDocument/2006/relationships/drawing" Target="../drawings/drawing8.xml"/><Relationship Id="rId1" Type="http://schemas.openxmlformats.org/officeDocument/2006/relationships/printerSettings" Target="../printerSettings/printerSettings17.bin"/><Relationship Id="rId6" Type="http://schemas.openxmlformats.org/officeDocument/2006/relationships/control" Target="../activeX/activeX15.xml"/><Relationship Id="rId11" Type="http://schemas.openxmlformats.org/officeDocument/2006/relationships/image" Target="../media/image19.emf"/><Relationship Id="rId5" Type="http://schemas.openxmlformats.org/officeDocument/2006/relationships/image" Target="../media/image16.emf"/><Relationship Id="rId10" Type="http://schemas.openxmlformats.org/officeDocument/2006/relationships/control" Target="../activeX/activeX17.xml"/><Relationship Id="rId4" Type="http://schemas.openxmlformats.org/officeDocument/2006/relationships/control" Target="../activeX/activeX14.xml"/><Relationship Id="rId9" Type="http://schemas.openxmlformats.org/officeDocument/2006/relationships/image" Target="../media/image18.emf"/></Relationships>
</file>

<file path=xl/worksheets/_rels/sheet29.xml.rels><?xml version="1.0" encoding="UTF-8" standalone="yes"?>
<Relationships xmlns="http://schemas.openxmlformats.org/package/2006/relationships"><Relationship Id="rId8" Type="http://schemas.openxmlformats.org/officeDocument/2006/relationships/control" Target="../activeX/activeX20.xml"/><Relationship Id="rId13" Type="http://schemas.openxmlformats.org/officeDocument/2006/relationships/image" Target="../media/image24.emf"/><Relationship Id="rId3" Type="http://schemas.openxmlformats.org/officeDocument/2006/relationships/vmlDrawing" Target="../drawings/vmlDrawing10.vml"/><Relationship Id="rId7" Type="http://schemas.openxmlformats.org/officeDocument/2006/relationships/image" Target="../media/image21.emf"/><Relationship Id="rId12" Type="http://schemas.openxmlformats.org/officeDocument/2006/relationships/control" Target="../activeX/activeX22.xml"/><Relationship Id="rId2" Type="http://schemas.openxmlformats.org/officeDocument/2006/relationships/drawing" Target="../drawings/drawing9.xml"/><Relationship Id="rId1" Type="http://schemas.openxmlformats.org/officeDocument/2006/relationships/printerSettings" Target="../printerSettings/printerSettings18.bin"/><Relationship Id="rId6" Type="http://schemas.openxmlformats.org/officeDocument/2006/relationships/control" Target="../activeX/activeX19.xml"/><Relationship Id="rId11" Type="http://schemas.openxmlformats.org/officeDocument/2006/relationships/image" Target="../media/image23.emf"/><Relationship Id="rId5" Type="http://schemas.openxmlformats.org/officeDocument/2006/relationships/image" Target="../media/image20.emf"/><Relationship Id="rId10" Type="http://schemas.openxmlformats.org/officeDocument/2006/relationships/control" Target="../activeX/activeX21.xml"/><Relationship Id="rId4" Type="http://schemas.openxmlformats.org/officeDocument/2006/relationships/control" Target="../activeX/activeX18.xml"/><Relationship Id="rId9" Type="http://schemas.openxmlformats.org/officeDocument/2006/relationships/image" Target="../media/image22.emf"/></Relationships>
</file>

<file path=xl/worksheets/_rels/sheet30.xml.rels><?xml version="1.0" encoding="UTF-8" standalone="yes"?>
<Relationships xmlns="http://schemas.openxmlformats.org/package/2006/relationships"><Relationship Id="rId8" Type="http://schemas.openxmlformats.org/officeDocument/2006/relationships/control" Target="../activeX/activeX25.xml"/><Relationship Id="rId13" Type="http://schemas.openxmlformats.org/officeDocument/2006/relationships/image" Target="../media/image29.emf"/><Relationship Id="rId3" Type="http://schemas.openxmlformats.org/officeDocument/2006/relationships/vmlDrawing" Target="../drawings/vmlDrawing11.vml"/><Relationship Id="rId7" Type="http://schemas.openxmlformats.org/officeDocument/2006/relationships/image" Target="../media/image26.emf"/><Relationship Id="rId12" Type="http://schemas.openxmlformats.org/officeDocument/2006/relationships/control" Target="../activeX/activeX27.xml"/><Relationship Id="rId17" Type="http://schemas.openxmlformats.org/officeDocument/2006/relationships/image" Target="../media/image31.emf"/><Relationship Id="rId2" Type="http://schemas.openxmlformats.org/officeDocument/2006/relationships/drawing" Target="../drawings/drawing10.xml"/><Relationship Id="rId16" Type="http://schemas.openxmlformats.org/officeDocument/2006/relationships/control" Target="../activeX/activeX29.xml"/><Relationship Id="rId1" Type="http://schemas.openxmlformats.org/officeDocument/2006/relationships/printerSettings" Target="../printerSettings/printerSettings19.bin"/><Relationship Id="rId6" Type="http://schemas.openxmlformats.org/officeDocument/2006/relationships/control" Target="../activeX/activeX24.xml"/><Relationship Id="rId11" Type="http://schemas.openxmlformats.org/officeDocument/2006/relationships/image" Target="../media/image28.emf"/><Relationship Id="rId5" Type="http://schemas.openxmlformats.org/officeDocument/2006/relationships/image" Target="../media/image25.emf"/><Relationship Id="rId15" Type="http://schemas.openxmlformats.org/officeDocument/2006/relationships/image" Target="../media/image30.emf"/><Relationship Id="rId10" Type="http://schemas.openxmlformats.org/officeDocument/2006/relationships/control" Target="../activeX/activeX26.xml"/><Relationship Id="rId4" Type="http://schemas.openxmlformats.org/officeDocument/2006/relationships/control" Target="../activeX/activeX23.xml"/><Relationship Id="rId9" Type="http://schemas.openxmlformats.org/officeDocument/2006/relationships/image" Target="../media/image27.emf"/><Relationship Id="rId14" Type="http://schemas.openxmlformats.org/officeDocument/2006/relationships/control" Target="../activeX/activeX28.xml"/></Relationships>
</file>

<file path=xl/worksheets/_rels/sheet31.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6.emf"/><Relationship Id="rId3" Type="http://schemas.openxmlformats.org/officeDocument/2006/relationships/vmlDrawing" Target="../drawings/vmlDrawing12.vml"/><Relationship Id="rId7" Type="http://schemas.openxmlformats.org/officeDocument/2006/relationships/image" Target="../media/image33.emf"/><Relationship Id="rId12" Type="http://schemas.openxmlformats.org/officeDocument/2006/relationships/control" Target="../activeX/activeX34.xml"/><Relationship Id="rId2" Type="http://schemas.openxmlformats.org/officeDocument/2006/relationships/drawing" Target="../drawings/drawing11.xml"/><Relationship Id="rId1" Type="http://schemas.openxmlformats.org/officeDocument/2006/relationships/printerSettings" Target="../printerSettings/printerSettings20.bin"/><Relationship Id="rId6" Type="http://schemas.openxmlformats.org/officeDocument/2006/relationships/control" Target="../activeX/activeX31.xml"/><Relationship Id="rId11" Type="http://schemas.openxmlformats.org/officeDocument/2006/relationships/image" Target="../media/image35.emf"/><Relationship Id="rId5" Type="http://schemas.openxmlformats.org/officeDocument/2006/relationships/image" Target="../media/image32.emf"/><Relationship Id="rId15" Type="http://schemas.openxmlformats.org/officeDocument/2006/relationships/image" Target="../media/image37.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4.emf"/><Relationship Id="rId14" Type="http://schemas.openxmlformats.org/officeDocument/2006/relationships/control" Target="../activeX/activeX35.xm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hyperlink" Target="https://nysolarmap.com/" TargetMode="External"/><Relationship Id="rId1" Type="http://schemas.openxmlformats.org/officeDocument/2006/relationships/pivotTable" Target="../pivotTables/pivotTable1.xml"/><Relationship Id="rId5" Type="http://schemas.openxmlformats.org/officeDocument/2006/relationships/comments" Target="../comments7.xml"/><Relationship Id="rId4" Type="http://schemas.openxmlformats.org/officeDocument/2006/relationships/vmlDrawing" Target="../drawings/vmlDrawing13.v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www.bea.gov/national/nipaweb/SelectTable.asp?Selected=Y" TargetMode="External"/></Relationships>
</file>

<file path=xl/worksheets/_rels/sheet40.xml.rels><?xml version="1.0" encoding="UTF-8" standalone="yes"?>
<Relationships xmlns="http://schemas.openxmlformats.org/package/2006/relationships"><Relationship Id="rId8" Type="http://schemas.openxmlformats.org/officeDocument/2006/relationships/control" Target="../activeX/activeX38.xml"/><Relationship Id="rId13" Type="http://schemas.openxmlformats.org/officeDocument/2006/relationships/image" Target="../media/image44.emf"/><Relationship Id="rId3" Type="http://schemas.openxmlformats.org/officeDocument/2006/relationships/vmlDrawing" Target="../drawings/vmlDrawing14.vml"/><Relationship Id="rId7" Type="http://schemas.openxmlformats.org/officeDocument/2006/relationships/image" Target="../media/image41.emf"/><Relationship Id="rId12" Type="http://schemas.openxmlformats.org/officeDocument/2006/relationships/control" Target="../activeX/activeX40.xml"/><Relationship Id="rId2" Type="http://schemas.openxmlformats.org/officeDocument/2006/relationships/drawing" Target="../drawings/drawing13.xml"/><Relationship Id="rId1" Type="http://schemas.openxmlformats.org/officeDocument/2006/relationships/printerSettings" Target="../printerSettings/printerSettings26.bin"/><Relationship Id="rId6" Type="http://schemas.openxmlformats.org/officeDocument/2006/relationships/control" Target="../activeX/activeX37.xml"/><Relationship Id="rId11" Type="http://schemas.openxmlformats.org/officeDocument/2006/relationships/image" Target="../media/image43.emf"/><Relationship Id="rId5" Type="http://schemas.openxmlformats.org/officeDocument/2006/relationships/image" Target="../media/image40.emf"/><Relationship Id="rId15" Type="http://schemas.openxmlformats.org/officeDocument/2006/relationships/image" Target="../media/image45.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2.emf"/><Relationship Id="rId14" Type="http://schemas.openxmlformats.org/officeDocument/2006/relationships/control" Target="../activeX/activeX41.xml"/></Relationships>
</file>

<file path=xl/worksheets/_rels/sheet41.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50.emf"/><Relationship Id="rId3" Type="http://schemas.openxmlformats.org/officeDocument/2006/relationships/vmlDrawing" Target="../drawings/vmlDrawing15.vml"/><Relationship Id="rId7" Type="http://schemas.openxmlformats.org/officeDocument/2006/relationships/image" Target="../media/image47.emf"/><Relationship Id="rId12" Type="http://schemas.openxmlformats.org/officeDocument/2006/relationships/control" Target="../activeX/activeX46.xml"/><Relationship Id="rId17" Type="http://schemas.openxmlformats.org/officeDocument/2006/relationships/image" Target="../media/image52.emf"/><Relationship Id="rId2" Type="http://schemas.openxmlformats.org/officeDocument/2006/relationships/drawing" Target="../drawings/drawing14.xml"/><Relationship Id="rId16" Type="http://schemas.openxmlformats.org/officeDocument/2006/relationships/control" Target="../activeX/activeX48.xml"/><Relationship Id="rId1" Type="http://schemas.openxmlformats.org/officeDocument/2006/relationships/printerSettings" Target="../printerSettings/printerSettings27.bin"/><Relationship Id="rId6" Type="http://schemas.openxmlformats.org/officeDocument/2006/relationships/control" Target="../activeX/activeX43.xml"/><Relationship Id="rId11" Type="http://schemas.openxmlformats.org/officeDocument/2006/relationships/image" Target="../media/image49.emf"/><Relationship Id="rId5" Type="http://schemas.openxmlformats.org/officeDocument/2006/relationships/image" Target="../media/image46.emf"/><Relationship Id="rId15" Type="http://schemas.openxmlformats.org/officeDocument/2006/relationships/image" Target="../media/image51.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8.emf"/><Relationship Id="rId14" Type="http://schemas.openxmlformats.org/officeDocument/2006/relationships/control" Target="../activeX/activeX47.xml"/></Relationships>
</file>

<file path=xl/worksheets/_rels/sheet42.xml.rels><?xml version="1.0" encoding="UTF-8" standalone="yes"?>
<Relationships xmlns="http://schemas.openxmlformats.org/package/2006/relationships"><Relationship Id="rId8" Type="http://schemas.openxmlformats.org/officeDocument/2006/relationships/control" Target="../activeX/activeX51.xml"/><Relationship Id="rId13" Type="http://schemas.openxmlformats.org/officeDocument/2006/relationships/image" Target="../media/image57.emf"/><Relationship Id="rId3" Type="http://schemas.openxmlformats.org/officeDocument/2006/relationships/vmlDrawing" Target="../drawings/vmlDrawing16.vml"/><Relationship Id="rId7" Type="http://schemas.openxmlformats.org/officeDocument/2006/relationships/image" Target="../media/image54.emf"/><Relationship Id="rId12" Type="http://schemas.openxmlformats.org/officeDocument/2006/relationships/control" Target="../activeX/activeX53.xml"/><Relationship Id="rId2" Type="http://schemas.openxmlformats.org/officeDocument/2006/relationships/drawing" Target="../drawings/drawing15.xml"/><Relationship Id="rId1" Type="http://schemas.openxmlformats.org/officeDocument/2006/relationships/printerSettings" Target="../printerSettings/printerSettings28.bin"/><Relationship Id="rId6" Type="http://schemas.openxmlformats.org/officeDocument/2006/relationships/control" Target="../activeX/activeX50.xml"/><Relationship Id="rId11" Type="http://schemas.openxmlformats.org/officeDocument/2006/relationships/image" Target="../media/image56.emf"/><Relationship Id="rId5" Type="http://schemas.openxmlformats.org/officeDocument/2006/relationships/image" Target="../media/image53.emf"/><Relationship Id="rId10" Type="http://schemas.openxmlformats.org/officeDocument/2006/relationships/control" Target="../activeX/activeX52.xml"/><Relationship Id="rId4" Type="http://schemas.openxmlformats.org/officeDocument/2006/relationships/control" Target="../activeX/activeX49.xml"/><Relationship Id="rId9" Type="http://schemas.openxmlformats.org/officeDocument/2006/relationships/image" Target="../media/image55.emf"/></Relationships>
</file>

<file path=xl/worksheets/_rels/sheet43.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vmlDrawing" Target="../drawings/vmlDrawing17.vml"/><Relationship Id="rId7" Type="http://schemas.openxmlformats.org/officeDocument/2006/relationships/image" Target="../media/image59.emf"/><Relationship Id="rId2" Type="http://schemas.openxmlformats.org/officeDocument/2006/relationships/drawing" Target="../drawings/drawing16.xml"/><Relationship Id="rId1" Type="http://schemas.openxmlformats.org/officeDocument/2006/relationships/printerSettings" Target="../printerSettings/printerSettings29.bin"/><Relationship Id="rId6" Type="http://schemas.openxmlformats.org/officeDocument/2006/relationships/control" Target="../activeX/activeX55.xml"/><Relationship Id="rId11" Type="http://schemas.openxmlformats.org/officeDocument/2006/relationships/image" Target="../media/image61.emf"/><Relationship Id="rId5" Type="http://schemas.openxmlformats.org/officeDocument/2006/relationships/image" Target="../media/image58.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60.emf"/></Relationships>
</file>

<file path=xl/worksheets/_rels/sheet44.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6.emf"/><Relationship Id="rId3" Type="http://schemas.openxmlformats.org/officeDocument/2006/relationships/vmlDrawing" Target="../drawings/vmlDrawing18.vml"/><Relationship Id="rId7" Type="http://schemas.openxmlformats.org/officeDocument/2006/relationships/image" Target="../media/image63.emf"/><Relationship Id="rId12" Type="http://schemas.openxmlformats.org/officeDocument/2006/relationships/control" Target="../activeX/activeX62.xml"/><Relationship Id="rId2" Type="http://schemas.openxmlformats.org/officeDocument/2006/relationships/drawing" Target="../drawings/drawing17.xml"/><Relationship Id="rId1" Type="http://schemas.openxmlformats.org/officeDocument/2006/relationships/printerSettings" Target="../printerSettings/printerSettings30.bin"/><Relationship Id="rId6" Type="http://schemas.openxmlformats.org/officeDocument/2006/relationships/control" Target="../activeX/activeX59.xml"/><Relationship Id="rId11" Type="http://schemas.openxmlformats.org/officeDocument/2006/relationships/image" Target="../media/image65.emf"/><Relationship Id="rId5" Type="http://schemas.openxmlformats.org/officeDocument/2006/relationships/image" Target="../media/image62.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4.emf"/></Relationships>
</file>

<file path=xl/worksheets/_rels/sheet45.xml.rels><?xml version="1.0" encoding="UTF-8" standalone="yes"?>
<Relationships xmlns="http://schemas.openxmlformats.org/package/2006/relationships"><Relationship Id="rId8" Type="http://schemas.openxmlformats.org/officeDocument/2006/relationships/control" Target="../activeX/activeX65.xml"/><Relationship Id="rId13" Type="http://schemas.openxmlformats.org/officeDocument/2006/relationships/image" Target="../media/image71.emf"/><Relationship Id="rId3" Type="http://schemas.openxmlformats.org/officeDocument/2006/relationships/vmlDrawing" Target="../drawings/vmlDrawing19.vml"/><Relationship Id="rId7" Type="http://schemas.openxmlformats.org/officeDocument/2006/relationships/image" Target="../media/image68.emf"/><Relationship Id="rId12" Type="http://schemas.openxmlformats.org/officeDocument/2006/relationships/control" Target="../activeX/activeX67.xml"/><Relationship Id="rId17" Type="http://schemas.openxmlformats.org/officeDocument/2006/relationships/image" Target="../media/image73.emf"/><Relationship Id="rId2" Type="http://schemas.openxmlformats.org/officeDocument/2006/relationships/drawing" Target="../drawings/drawing18.xml"/><Relationship Id="rId16" Type="http://schemas.openxmlformats.org/officeDocument/2006/relationships/control" Target="../activeX/activeX69.xml"/><Relationship Id="rId1" Type="http://schemas.openxmlformats.org/officeDocument/2006/relationships/printerSettings" Target="../printerSettings/printerSettings31.bin"/><Relationship Id="rId6" Type="http://schemas.openxmlformats.org/officeDocument/2006/relationships/control" Target="../activeX/activeX64.xml"/><Relationship Id="rId11" Type="http://schemas.openxmlformats.org/officeDocument/2006/relationships/image" Target="../media/image70.emf"/><Relationship Id="rId5" Type="http://schemas.openxmlformats.org/officeDocument/2006/relationships/image" Target="../media/image67.emf"/><Relationship Id="rId15" Type="http://schemas.openxmlformats.org/officeDocument/2006/relationships/image" Target="../media/image72.emf"/><Relationship Id="rId10" Type="http://schemas.openxmlformats.org/officeDocument/2006/relationships/control" Target="../activeX/activeX66.xml"/><Relationship Id="rId4" Type="http://schemas.openxmlformats.org/officeDocument/2006/relationships/control" Target="../activeX/activeX63.xml"/><Relationship Id="rId9" Type="http://schemas.openxmlformats.org/officeDocument/2006/relationships/image" Target="../media/image69.emf"/><Relationship Id="rId14" Type="http://schemas.openxmlformats.org/officeDocument/2006/relationships/control" Target="../activeX/activeX6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c r="A1" s="1" t="s">
        <v>337</v>
      </c>
      <c r="B1" s="2"/>
    </row>
    <row r="4" spans="1:6" ht="17.25" customHeight="1"/>
    <row r="5" spans="1:6" ht="17.25" customHeight="1">
      <c r="C5" s="3"/>
    </row>
    <row r="6" spans="1:6" ht="15.75" customHeight="1"/>
    <row r="7" spans="1:6">
      <c r="B7" s="4" t="s">
        <v>328</v>
      </c>
      <c r="C7" s="1" t="s">
        <v>329</v>
      </c>
      <c r="D7" s="1" t="s">
        <v>323</v>
      </c>
      <c r="E7" s="1" t="s">
        <v>327</v>
      </c>
      <c r="F7" s="1" t="s">
        <v>324</v>
      </c>
    </row>
    <row r="8" spans="1:6">
      <c r="B8" s="1"/>
      <c r="C8" s="1"/>
      <c r="D8" s="1"/>
      <c r="E8" s="3"/>
      <c r="F8" s="1"/>
    </row>
    <row r="9" spans="1:6">
      <c r="D9" s="3"/>
      <c r="E9" s="3"/>
    </row>
    <row r="11" spans="1:6">
      <c r="B11" s="3"/>
      <c r="C11" s="3"/>
      <c r="D11" s="12"/>
      <c r="E11" s="12"/>
    </row>
    <row r="12" spans="1:6">
      <c r="B12" s="3"/>
      <c r="C12" s="3"/>
      <c r="E12" s="3"/>
    </row>
    <row r="13" spans="1:6">
      <c r="B13" s="3"/>
      <c r="C13" s="3"/>
    </row>
    <row r="14" spans="1:6">
      <c r="B14" s="3"/>
      <c r="C14" s="3"/>
      <c r="D14" s="6"/>
    </row>
    <row r="15" spans="1:6">
      <c r="B15" s="3"/>
      <c r="C15" s="3"/>
      <c r="E15" s="3"/>
    </row>
    <row r="16" spans="1:6">
      <c r="B16" s="3"/>
      <c r="C16" s="3"/>
      <c r="E16" s="3"/>
    </row>
    <row r="17" spans="2:5">
      <c r="B17" s="3"/>
      <c r="C17" s="3"/>
      <c r="E17" s="3"/>
    </row>
    <row r="18" spans="2:5">
      <c r="B18" s="3"/>
      <c r="C18" s="3"/>
      <c r="E18" s="3"/>
    </row>
    <row r="19" spans="2:5">
      <c r="B19" s="3"/>
      <c r="C19" s="3"/>
      <c r="E19" s="3"/>
    </row>
    <row r="20" spans="2:5">
      <c r="D20" s="6"/>
    </row>
    <row r="21" spans="2:5">
      <c r="E21" s="3"/>
    </row>
    <row r="23" spans="2:5">
      <c r="B23" s="3"/>
      <c r="C23" s="3"/>
      <c r="D23" s="3"/>
      <c r="E23" s="3"/>
    </row>
    <row r="24" spans="2:5">
      <c r="B24" s="3"/>
      <c r="C24" s="3"/>
    </row>
    <row r="25" spans="2:5">
      <c r="B25" s="3"/>
      <c r="C25" s="3"/>
      <c r="D25" s="6"/>
      <c r="E25" s="3"/>
    </row>
    <row r="26" spans="2:5">
      <c r="B26" s="4"/>
      <c r="C26" s="3"/>
      <c r="E26" s="3"/>
    </row>
    <row r="27" spans="2:5">
      <c r="E27" s="3"/>
    </row>
    <row r="29" spans="2:5">
      <c r="B29" s="3"/>
      <c r="C29" s="3"/>
      <c r="D29" s="3"/>
      <c r="E29" s="3"/>
    </row>
    <row r="30" spans="2:5">
      <c r="B30" s="3"/>
      <c r="C30" s="3"/>
    </row>
    <row r="31" spans="2:5">
      <c r="B31" s="3"/>
      <c r="C31" s="3"/>
      <c r="E31" s="3"/>
    </row>
    <row r="32" spans="2:5">
      <c r="B32" s="3"/>
      <c r="C32" s="3"/>
      <c r="E32" s="3"/>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552450</xdr:colOff>
                <xdr:row>2</xdr:row>
                <xdr:rowOff>0</xdr:rowOff>
              </from>
              <to>
                <xdr:col>4</xdr:col>
                <xdr:colOff>1524000</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19050</xdr:colOff>
                <xdr:row>4</xdr:row>
                <xdr:rowOff>171450</xdr:rowOff>
              </from>
              <to>
                <xdr:col>4</xdr:col>
                <xdr:colOff>0</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19050</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1009650</xdr:colOff>
                <xdr:row>3</xdr:row>
                <xdr:rowOff>95250</xdr:rowOff>
              </from>
              <to>
                <xdr:col>5</xdr:col>
                <xdr:colOff>0</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1009650</xdr:colOff>
                <xdr:row>4</xdr:row>
                <xdr:rowOff>171450</xdr:rowOff>
              </from>
              <to>
                <xdr:col>5</xdr:col>
                <xdr:colOff>0</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19050</xdr:colOff>
                <xdr:row>4</xdr:row>
                <xdr:rowOff>171450</xdr:rowOff>
              </from>
              <to>
                <xdr:col>4</xdr:col>
                <xdr:colOff>990600</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19050</xdr:colOff>
                <xdr:row>3</xdr:row>
                <xdr:rowOff>95250</xdr:rowOff>
              </from>
              <to>
                <xdr:col>4</xdr:col>
                <xdr:colOff>990600</xdr:colOff>
                <xdr:row>4</xdr:row>
                <xdr:rowOff>114300</xdr:rowOff>
              </to>
            </anchor>
          </controlPr>
        </control>
      </mc:Choice>
      <mc:Fallback>
        <control shapeId="2049" r:id="rId18" name="cmdEner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cols>
    <col min="1" max="1" width="12.42578125" customWidth="1"/>
    <col min="2" max="2" width="11.28515625" customWidth="1"/>
    <col min="3" max="3" width="27.28515625" customWidth="1"/>
    <col min="4" max="5" width="9.7109375" customWidth="1"/>
    <col min="6" max="6" width="30.42578125" customWidth="1"/>
    <col min="7" max="7" width="10.42578125" customWidth="1"/>
  </cols>
  <sheetData>
    <row r="1" spans="1:12">
      <c r="A1" s="1" t="s">
        <v>338</v>
      </c>
      <c r="B1" s="2"/>
    </row>
    <row r="4" spans="1:12" ht="18" customHeight="1"/>
    <row r="7" spans="1:12">
      <c r="B7" s="1" t="s">
        <v>330</v>
      </c>
      <c r="C7" s="1" t="s">
        <v>331</v>
      </c>
      <c r="D7" s="1" t="s">
        <v>325</v>
      </c>
      <c r="E7" s="1" t="s">
        <v>326</v>
      </c>
      <c r="F7" s="1" t="s">
        <v>327</v>
      </c>
      <c r="G7" s="1" t="s">
        <v>324</v>
      </c>
    </row>
    <row r="8" spans="1:12">
      <c r="B8" s="1"/>
      <c r="C8" s="1"/>
      <c r="D8" s="1"/>
      <c r="E8" s="1"/>
      <c r="F8" s="1"/>
      <c r="G8" s="1"/>
    </row>
    <row r="9" spans="1:12">
      <c r="D9" s="3"/>
      <c r="E9" s="3"/>
      <c r="F9" s="3"/>
    </row>
    <row r="10" spans="1:12">
      <c r="F10" s="3"/>
    </row>
    <row r="11" spans="1:12">
      <c r="B11" s="1"/>
      <c r="C11" s="1"/>
      <c r="D11" s="12"/>
      <c r="E11" s="12"/>
    </row>
    <row r="12" spans="1:12">
      <c r="B12" s="8"/>
      <c r="C12" s="3"/>
      <c r="F12" s="12"/>
    </row>
    <row r="13" spans="1:12">
      <c r="B13" s="3"/>
      <c r="C13" s="3"/>
    </row>
    <row r="14" spans="1:12">
      <c r="B14" s="3"/>
      <c r="C14" s="3"/>
      <c r="D14" s="6"/>
      <c r="F14" s="3"/>
      <c r="L14" s="5"/>
    </row>
    <row r="15" spans="1:12">
      <c r="B15" s="3"/>
      <c r="C15" s="3"/>
      <c r="E15" s="6"/>
      <c r="F15" s="3"/>
    </row>
    <row r="16" spans="1:12">
      <c r="B16" s="3"/>
      <c r="C16" s="3"/>
      <c r="F16" s="3"/>
    </row>
    <row r="17" spans="2:6">
      <c r="D17" s="6"/>
    </row>
    <row r="18" spans="2:6">
      <c r="E18" s="6"/>
    </row>
    <row r="20" spans="2:6">
      <c r="B20" s="3"/>
      <c r="C20" s="3"/>
      <c r="F20" s="9"/>
    </row>
    <row r="21" spans="2:6">
      <c r="B21" s="3"/>
      <c r="C21" s="3"/>
    </row>
    <row r="22" spans="2:6">
      <c r="B22" s="3"/>
      <c r="C22" s="3"/>
      <c r="D22" s="3"/>
      <c r="E22" s="3"/>
      <c r="F22" s="3"/>
    </row>
    <row r="23" spans="2:6">
      <c r="B23" s="3"/>
      <c r="C23" s="3"/>
    </row>
    <row r="24" spans="2:6">
      <c r="B24" s="3"/>
      <c r="C24" s="3"/>
    </row>
    <row r="25" spans="2:6">
      <c r="D25" s="6"/>
      <c r="E25" s="6"/>
    </row>
    <row r="26" spans="2:6">
      <c r="F26" s="3"/>
    </row>
    <row r="27" spans="2:6">
      <c r="B27" s="4"/>
      <c r="C27" s="3"/>
      <c r="D27" s="6"/>
      <c r="E27" s="6"/>
    </row>
    <row r="28" spans="2:6">
      <c r="B28" s="3"/>
      <c r="C28" s="3"/>
      <c r="D28" s="9"/>
      <c r="E28" s="3"/>
      <c r="F28" s="3"/>
    </row>
    <row r="29" spans="2:6">
      <c r="B29" s="3"/>
      <c r="C29" s="3"/>
    </row>
    <row r="30" spans="2:6">
      <c r="B30" s="3"/>
      <c r="C30" s="3"/>
    </row>
    <row r="31" spans="2:6">
      <c r="B31" s="3"/>
      <c r="C31" s="3"/>
    </row>
    <row r="32" spans="2:6">
      <c r="B32" s="3"/>
      <c r="C32" s="3"/>
    </row>
    <row r="33" spans="2:6">
      <c r="B33" s="3"/>
      <c r="C33" s="3"/>
    </row>
    <row r="37" spans="2:6">
      <c r="B37" s="3"/>
      <c r="C37" s="3"/>
      <c r="F37" s="3"/>
    </row>
    <row r="38" spans="2:6">
      <c r="B38" s="4"/>
      <c r="C38" s="3"/>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19050</xdr:colOff>
                <xdr:row>4</xdr:row>
                <xdr:rowOff>19050</xdr:rowOff>
              </from>
              <to>
                <xdr:col>5</xdr:col>
                <xdr:colOff>9525</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19050</xdr:colOff>
                <xdr:row>4</xdr:row>
                <xdr:rowOff>19050</xdr:rowOff>
              </from>
              <to>
                <xdr:col>4</xdr:col>
                <xdr:colOff>9525</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AADC5-9F96-447D-99CF-DD3E16F8F4C7}">
  <sheetPr>
    <tabColor theme="8"/>
  </sheetPr>
  <dimension ref="A1:AF39"/>
  <sheetViews>
    <sheetView tabSelected="1" topLeftCell="H1" workbookViewId="0">
      <selection activeCell="F38" sqref="F38"/>
    </sheetView>
  </sheetViews>
  <sheetFormatPr defaultRowHeight="12.75"/>
  <cols>
    <col min="1" max="1" width="20.7109375" customWidth="1"/>
    <col min="2" max="2" width="10.28515625" bestFit="1" customWidth="1"/>
    <col min="15" max="15" width="43.42578125" bestFit="1" customWidth="1"/>
    <col min="16" max="16" width="43.42578125" customWidth="1"/>
  </cols>
  <sheetData>
    <row r="1" spans="1:32" s="717" customFormat="1">
      <c r="A1" s="716" t="s">
        <v>3093</v>
      </c>
      <c r="B1" s="716"/>
      <c r="P1" s="13"/>
    </row>
    <row r="2" spans="1:32" s="719" customFormat="1" ht="15">
      <c r="A2" s="718" t="s">
        <v>3094</v>
      </c>
      <c r="B2" s="718"/>
      <c r="G2" s="720"/>
    </row>
    <row r="3" spans="1:32" s="722" customFormat="1" ht="12">
      <c r="A3" s="721"/>
      <c r="B3" s="721"/>
      <c r="D3" s="721"/>
      <c r="E3" s="723" t="s">
        <v>3172</v>
      </c>
      <c r="F3" s="721"/>
      <c r="G3" s="721"/>
      <c r="H3" s="724"/>
      <c r="O3" s="721"/>
      <c r="P3" s="721"/>
      <c r="R3" s="721"/>
      <c r="S3" s="721"/>
      <c r="T3" s="721"/>
      <c r="U3" s="721"/>
      <c r="V3" s="721"/>
      <c r="W3" s="721"/>
      <c r="X3" s="721"/>
      <c r="Y3" s="721"/>
      <c r="Z3" s="721"/>
      <c r="AA3" s="721"/>
      <c r="AB3" s="721"/>
      <c r="AC3" s="721"/>
      <c r="AD3" s="721"/>
      <c r="AE3" s="721"/>
    </row>
    <row r="4" spans="1:32" s="722" customFormat="1" ht="24.75" thickBot="1">
      <c r="A4" s="725" t="s">
        <v>3095</v>
      </c>
      <c r="B4" s="725" t="s">
        <v>3096</v>
      </c>
      <c r="C4" s="725" t="s">
        <v>3097</v>
      </c>
      <c r="D4" s="725" t="s">
        <v>3098</v>
      </c>
      <c r="E4" s="726" t="s">
        <v>12</v>
      </c>
      <c r="F4" s="727" t="s">
        <v>3099</v>
      </c>
      <c r="G4" s="728" t="s">
        <v>3100</v>
      </c>
      <c r="H4" s="729" t="s">
        <v>3101</v>
      </c>
      <c r="I4" s="729" t="s">
        <v>464</v>
      </c>
      <c r="J4" s="729" t="s">
        <v>465</v>
      </c>
      <c r="K4" s="729" t="s">
        <v>466</v>
      </c>
      <c r="L4" s="729" t="s">
        <v>467</v>
      </c>
      <c r="M4" s="729" t="s">
        <v>468</v>
      </c>
      <c r="N4" s="729" t="s">
        <v>469</v>
      </c>
      <c r="O4" s="730" t="s">
        <v>3102</v>
      </c>
      <c r="P4" s="721"/>
      <c r="R4" s="721"/>
      <c r="S4" s="721"/>
      <c r="T4" s="721"/>
      <c r="U4" s="721"/>
      <c r="V4" s="721"/>
      <c r="W4" s="721"/>
      <c r="X4" s="721"/>
      <c r="Y4" s="721"/>
      <c r="Z4" s="721"/>
      <c r="AA4" s="721"/>
      <c r="AB4" s="721"/>
      <c r="AC4" s="721"/>
      <c r="AD4" s="721"/>
      <c r="AE4" s="721"/>
      <c r="AF4" s="721"/>
    </row>
    <row r="5" spans="1:32" s="722" customFormat="1" ht="15">
      <c r="A5" s="731" t="s">
        <v>3106</v>
      </c>
      <c r="B5" s="732" t="s">
        <v>3108</v>
      </c>
      <c r="C5" s="737" t="s">
        <v>1529</v>
      </c>
      <c r="D5" s="731" t="s">
        <v>349</v>
      </c>
      <c r="E5" s="674">
        <v>2010</v>
      </c>
      <c r="F5" s="674">
        <v>1</v>
      </c>
      <c r="G5" s="731">
        <v>15</v>
      </c>
      <c r="H5" s="733"/>
      <c r="I5" s="733"/>
      <c r="J5" s="733">
        <f>'Rooftop Calc'!AC$65</f>
        <v>7.1945835351661823E-3</v>
      </c>
      <c r="K5" s="733">
        <f>'Rooftop Calc'!AD$65</f>
        <v>3.7523355129885777E-3</v>
      </c>
      <c r="L5" s="733">
        <f>'Rooftop Calc'!AE$65</f>
        <v>1.1972253649811335E-3</v>
      </c>
      <c r="M5" s="733">
        <f>'Rooftop Calc'!AF$65</f>
        <v>1.7437956261474761E-3</v>
      </c>
      <c r="N5" s="733">
        <f>'Rooftop Calc'!AG$65</f>
        <v>1.2993032924751598E-2</v>
      </c>
      <c r="O5" s="731"/>
      <c r="P5" s="721"/>
      <c r="Q5" s="734">
        <f>SUM(J5:N5)</f>
        <v>2.6880972964034966E-2</v>
      </c>
      <c r="R5" s="721"/>
      <c r="S5" s="721"/>
      <c r="T5" s="721"/>
      <c r="U5" s="721"/>
      <c r="V5" s="721"/>
      <c r="W5" s="721"/>
      <c r="X5" s="721"/>
      <c r="Y5" s="721"/>
      <c r="Z5" s="721"/>
      <c r="AA5" s="721"/>
      <c r="AB5" s="721"/>
      <c r="AC5" s="721"/>
      <c r="AD5" s="721"/>
      <c r="AE5" s="721"/>
      <c r="AF5" s="721"/>
    </row>
    <row r="6" spans="1:32" s="722" customFormat="1" ht="15">
      <c r="A6" s="732"/>
      <c r="B6" s="732" t="s">
        <v>3108</v>
      </c>
      <c r="C6" s="737" t="s">
        <v>1529</v>
      </c>
      <c r="D6" s="731" t="s">
        <v>349</v>
      </c>
      <c r="E6" s="674">
        <v>2015</v>
      </c>
      <c r="F6" s="674">
        <v>1</v>
      </c>
      <c r="G6" s="735"/>
      <c r="H6" s="733"/>
      <c r="I6" s="733"/>
      <c r="J6" s="733">
        <f>'Rooftop Calc'!AC$71</f>
        <v>0.10932800134881394</v>
      </c>
      <c r="K6" s="733">
        <f>'Rooftop Calc'!AD$71</f>
        <v>7.3448493282017149E-2</v>
      </c>
      <c r="L6" s="733">
        <f>'Rooftop Calc'!AE$71</f>
        <v>9.3117528387421482E-3</v>
      </c>
      <c r="M6" s="733">
        <f>'Rooftop Calc'!AF$71</f>
        <v>0.3203455141446217</v>
      </c>
      <c r="N6" s="733">
        <f>'Rooftop Calc'!AG$71</f>
        <v>0.17523498352461039</v>
      </c>
      <c r="O6" s="731"/>
      <c r="P6" s="721"/>
      <c r="Q6" s="734">
        <f t="shared" ref="Q6:Q14" si="0">SUM(J6:N6)</f>
        <v>0.68766874513880538</v>
      </c>
      <c r="R6" s="721"/>
      <c r="S6" s="721"/>
      <c r="T6" s="721"/>
      <c r="U6" s="721"/>
      <c r="V6" s="721"/>
      <c r="W6" s="721"/>
      <c r="X6" s="721"/>
      <c r="Y6" s="721"/>
      <c r="Z6" s="721"/>
      <c r="AA6" s="721"/>
      <c r="AB6" s="721"/>
      <c r="AC6" s="721"/>
      <c r="AD6" s="721"/>
      <c r="AE6" s="721"/>
      <c r="AF6" s="721"/>
    </row>
    <row r="7" spans="1:32" s="722" customFormat="1" ht="15">
      <c r="A7" s="732"/>
      <c r="B7" s="732" t="s">
        <v>3108</v>
      </c>
      <c r="C7" s="737" t="s">
        <v>1529</v>
      </c>
      <c r="D7" s="731" t="s">
        <v>349</v>
      </c>
      <c r="E7" s="674">
        <v>2020</v>
      </c>
      <c r="F7" s="674">
        <v>1</v>
      </c>
      <c r="G7" s="735"/>
      <c r="H7" s="733"/>
      <c r="I7" s="733"/>
      <c r="J7" s="733">
        <f>'Rooftop Calc'!AC$77</f>
        <v>0.24496493227902819</v>
      </c>
      <c r="K7" s="733">
        <f>'Rooftop Calc'!AD$77</f>
        <v>0.1382006415096666</v>
      </c>
      <c r="L7" s="733">
        <f>'Rooftop Calc'!AE$77</f>
        <v>1.7877615271523831E-2</v>
      </c>
      <c r="M7" s="733">
        <f>'Rooftop Calc'!AF$77</f>
        <v>0.57042833115796643</v>
      </c>
      <c r="N7" s="733">
        <f>'Rooftop Calc'!AG$77</f>
        <v>0.47194745859662995</v>
      </c>
      <c r="O7" s="731"/>
      <c r="P7" s="721"/>
      <c r="Q7" s="734">
        <f t="shared" si="0"/>
        <v>1.4434189788148148</v>
      </c>
      <c r="R7" s="721"/>
      <c r="S7" s="721"/>
      <c r="T7" s="721"/>
      <c r="U7" s="721"/>
      <c r="V7" s="721"/>
      <c r="W7" s="721"/>
      <c r="X7" s="721"/>
      <c r="Y7" s="721"/>
      <c r="Z7" s="721"/>
      <c r="AA7" s="721"/>
      <c r="AB7" s="721"/>
      <c r="AC7" s="721"/>
      <c r="AD7" s="721"/>
      <c r="AE7" s="721"/>
      <c r="AF7" s="721"/>
    </row>
    <row r="8" spans="1:32" ht="15">
      <c r="A8" s="732"/>
      <c r="B8" s="732" t="s">
        <v>3108</v>
      </c>
      <c r="C8" s="737" t="s">
        <v>1529</v>
      </c>
      <c r="D8" s="731" t="s">
        <v>349</v>
      </c>
      <c r="E8" s="674">
        <v>2025</v>
      </c>
      <c r="F8" s="674">
        <v>1</v>
      </c>
      <c r="G8" s="735"/>
      <c r="H8" s="733"/>
      <c r="I8" s="733"/>
      <c r="J8" s="733">
        <f>'Rooftop Calc'!AC$84</f>
        <v>0.43039234297918749</v>
      </c>
      <c r="K8" s="733">
        <f>'Rooftop Calc'!AD$84</f>
        <v>0.20768833619464028</v>
      </c>
      <c r="L8" s="733">
        <f>'Rooftop Calc'!AE$84</f>
        <v>2.4528867299196795E-2</v>
      </c>
      <c r="M8" s="733">
        <f>'Rooftop Calc'!AF$84</f>
        <v>1.0833093976719299</v>
      </c>
      <c r="N8" s="733">
        <f>'Rooftop Calc'!AG$84</f>
        <v>0.89934985743714302</v>
      </c>
      <c r="O8" s="731"/>
      <c r="P8" s="721"/>
      <c r="Q8" s="734">
        <f t="shared" si="0"/>
        <v>2.6452688015820973</v>
      </c>
    </row>
    <row r="9" spans="1:32" ht="15">
      <c r="A9" s="732"/>
      <c r="B9" s="732" t="s">
        <v>3108</v>
      </c>
      <c r="C9" s="737" t="s">
        <v>1529</v>
      </c>
      <c r="D9" s="731" t="s">
        <v>349</v>
      </c>
      <c r="E9" s="674">
        <v>2030</v>
      </c>
      <c r="F9" s="674">
        <v>1</v>
      </c>
      <c r="G9" s="735"/>
      <c r="H9" s="733"/>
      <c r="I9" s="733"/>
      <c r="J9" s="733">
        <f>'Rooftop Calc'!AC$91</f>
        <v>0.61581975367934683</v>
      </c>
      <c r="K9" s="733">
        <f>'Rooftop Calc'!AD$91</f>
        <v>0.27717603087961395</v>
      </c>
      <c r="L9" s="733">
        <f>'Rooftop Calc'!AE$91</f>
        <v>3.118011932686976E-2</v>
      </c>
      <c r="M9" s="733">
        <f>'Rooftop Calc'!AF$91</f>
        <v>1.5961904641858933</v>
      </c>
      <c r="N9" s="733">
        <f>'Rooftop Calc'!AG$91</f>
        <v>1.3267522562776561</v>
      </c>
      <c r="O9" s="731"/>
      <c r="P9" s="721"/>
      <c r="Q9" s="734">
        <f t="shared" si="0"/>
        <v>3.8471186243493802</v>
      </c>
    </row>
    <row r="10" spans="1:32" ht="15">
      <c r="A10" s="732"/>
      <c r="B10" s="732" t="s">
        <v>3108</v>
      </c>
      <c r="C10" s="737" t="s">
        <v>1529</v>
      </c>
      <c r="D10" s="731" t="s">
        <v>349</v>
      </c>
      <c r="E10" s="674">
        <v>2035</v>
      </c>
      <c r="F10" s="674">
        <v>1</v>
      </c>
      <c r="G10" s="735"/>
      <c r="H10" s="733"/>
      <c r="I10" s="733"/>
      <c r="J10" s="733">
        <f>'Rooftop Calc'!AC$98</f>
        <v>0.80124716437950616</v>
      </c>
      <c r="K10" s="733">
        <f>'Rooftop Calc'!AD$98</f>
        <v>0.34666372556458763</v>
      </c>
      <c r="L10" s="733">
        <f>'Rooftop Calc'!AE$98</f>
        <v>3.7831371354542724E-2</v>
      </c>
      <c r="M10" s="733">
        <f>'Rooftop Calc'!AF$98</f>
        <v>2.1090715306998566</v>
      </c>
      <c r="N10" s="733">
        <f>'Rooftop Calc'!AG$98</f>
        <v>1.7541546551181693</v>
      </c>
      <c r="O10" s="731"/>
      <c r="P10" s="721"/>
      <c r="Q10" s="734">
        <f t="shared" si="0"/>
        <v>5.0489684471166623</v>
      </c>
    </row>
    <row r="11" spans="1:32" ht="15">
      <c r="A11" s="732"/>
      <c r="B11" s="732" t="s">
        <v>3108</v>
      </c>
      <c r="C11" s="737" t="s">
        <v>1529</v>
      </c>
      <c r="D11" s="731" t="s">
        <v>349</v>
      </c>
      <c r="E11" s="674">
        <v>2040</v>
      </c>
      <c r="F11" s="674">
        <v>1</v>
      </c>
      <c r="G11" s="735"/>
      <c r="H11" s="733"/>
      <c r="I11" s="733"/>
      <c r="J11" s="733">
        <f>'Rooftop Calc'!AC$105</f>
        <v>0.98667457507966549</v>
      </c>
      <c r="K11" s="733">
        <f>'Rooftop Calc'!AD$105</f>
        <v>0.41615142024956131</v>
      </c>
      <c r="L11" s="733">
        <f>'Rooftop Calc'!AE$105</f>
        <v>4.4482623382215689E-2</v>
      </c>
      <c r="M11" s="733">
        <f>'Rooftop Calc'!AF$105</f>
        <v>2.62195259721382</v>
      </c>
      <c r="N11" s="733">
        <f>'Rooftop Calc'!AG$105</f>
        <v>2.1815570539586822</v>
      </c>
      <c r="O11" s="731"/>
      <c r="P11" s="721"/>
      <c r="Q11" s="734">
        <f t="shared" si="0"/>
        <v>6.2508182698839452</v>
      </c>
    </row>
    <row r="12" spans="1:32" ht="15">
      <c r="A12" s="732"/>
      <c r="B12" s="732" t="s">
        <v>3108</v>
      </c>
      <c r="C12" s="737" t="s">
        <v>1529</v>
      </c>
      <c r="D12" s="731" t="s">
        <v>349</v>
      </c>
      <c r="E12" s="674">
        <v>2045</v>
      </c>
      <c r="F12" s="674">
        <v>1</v>
      </c>
      <c r="G12" s="735"/>
      <c r="H12" s="733"/>
      <c r="I12" s="733"/>
      <c r="J12" s="733">
        <f>'Rooftop Calc'!AC$112</f>
        <v>1.1649074022446586</v>
      </c>
      <c r="K12" s="733">
        <f>'Rooftop Calc'!AD$112</f>
        <v>0.4818867794215464</v>
      </c>
      <c r="L12" s="733">
        <f>'Rooftop Calc'!AE$112</f>
        <v>4.9936650044907521E-2</v>
      </c>
      <c r="M12" s="733">
        <f>'Rooftop Calc'!AF$112</f>
        <v>3.1330898681016359</v>
      </c>
      <c r="N12" s="733">
        <f>'Rooftop Calc'!AG$112</f>
        <v>2.5959664198744434</v>
      </c>
      <c r="O12" s="731"/>
      <c r="P12" s="721"/>
      <c r="Q12" s="734">
        <f t="shared" si="0"/>
        <v>7.4257871196871914</v>
      </c>
    </row>
    <row r="13" spans="1:32" ht="15">
      <c r="A13" s="732"/>
      <c r="B13" s="732" t="s">
        <v>3108</v>
      </c>
      <c r="C13" s="737" t="s">
        <v>1529</v>
      </c>
      <c r="D13" s="731" t="s">
        <v>349</v>
      </c>
      <c r="E13" s="674">
        <v>2050</v>
      </c>
      <c r="F13" s="674">
        <v>1</v>
      </c>
      <c r="G13" s="735"/>
      <c r="H13" s="733"/>
      <c r="I13" s="733"/>
      <c r="J13" s="733">
        <f>'Rooftop Calc'!AC$119</f>
        <v>1.2410068115960038</v>
      </c>
      <c r="K13" s="733">
        <f>'Rooftop Calc'!AD$119</f>
        <v>0.47792598082450294</v>
      </c>
      <c r="L13" s="733">
        <f>'Rooftop Calc'!AE$119</f>
        <v>4.7276149233838341E-2</v>
      </c>
      <c r="M13" s="733">
        <f>'Rooftop Calc'!AF$119</f>
        <v>3.3256254204709776</v>
      </c>
      <c r="N13" s="733">
        <f>'Rooftop Calc'!AG$119</f>
        <v>2.848133835190346</v>
      </c>
      <c r="O13" s="731"/>
      <c r="P13" s="721"/>
      <c r="Q13" s="734">
        <f t="shared" si="0"/>
        <v>7.9399681973156682</v>
      </c>
    </row>
    <row r="14" spans="1:32" ht="15">
      <c r="A14" s="732"/>
      <c r="B14" s="732" t="s">
        <v>3108</v>
      </c>
      <c r="C14" s="737" t="s">
        <v>1529</v>
      </c>
      <c r="D14" s="731" t="s">
        <v>349</v>
      </c>
      <c r="E14" s="674">
        <v>2055</v>
      </c>
      <c r="F14" s="674">
        <v>1</v>
      </c>
      <c r="G14" s="735"/>
      <c r="H14" s="733"/>
      <c r="I14" s="733"/>
      <c r="J14" s="733">
        <f>'Rooftop Calc'!AC$126</f>
        <v>1.307223787714507</v>
      </c>
      <c r="K14" s="733">
        <f>'Rooftop Calc'!AD$126</f>
        <v>0.46631224805362592</v>
      </c>
      <c r="L14" s="733">
        <f>'Rooftop Calc'!AE$126</f>
        <v>4.2167162387180983E-2</v>
      </c>
      <c r="M14" s="733">
        <f>'Rooftop Calc'!AF$126</f>
        <v>3.7957449103088061</v>
      </c>
      <c r="N14" s="733">
        <f>'Rooftop Calc'!AG$126</f>
        <v>3.1386940227732558</v>
      </c>
      <c r="O14" s="731"/>
      <c r="P14" s="721"/>
      <c r="Q14" s="734">
        <f t="shared" si="0"/>
        <v>8.7501421312373751</v>
      </c>
    </row>
    <row r="18" spans="1:32" s="717" customFormat="1">
      <c r="A18" s="716" t="s">
        <v>3103</v>
      </c>
      <c r="B18" s="716"/>
      <c r="P18" s="13"/>
    </row>
    <row r="19" spans="1:32" s="719" customFormat="1" ht="15">
      <c r="A19" s="718" t="s">
        <v>3094</v>
      </c>
      <c r="B19" s="718"/>
      <c r="G19" s="720"/>
    </row>
    <row r="20" spans="1:32" s="722" customFormat="1" ht="12">
      <c r="A20" s="721"/>
      <c r="B20" s="721"/>
      <c r="D20" s="721"/>
      <c r="E20" s="723" t="s">
        <v>3104</v>
      </c>
      <c r="F20" s="721"/>
      <c r="G20" s="721"/>
      <c r="H20" s="724"/>
      <c r="O20" s="721"/>
      <c r="P20" s="721"/>
      <c r="R20" s="721"/>
      <c r="S20" s="721"/>
      <c r="T20" s="721"/>
      <c r="U20" s="721"/>
      <c r="V20" s="721"/>
      <c r="W20" s="721"/>
      <c r="X20" s="721"/>
      <c r="Y20" s="721"/>
      <c r="Z20" s="721"/>
      <c r="AA20" s="721"/>
      <c r="AB20" s="721"/>
      <c r="AC20" s="721"/>
      <c r="AD20" s="721"/>
      <c r="AE20" s="721"/>
    </row>
    <row r="21" spans="1:32" s="722" customFormat="1" ht="24.75" thickBot="1">
      <c r="A21" s="725" t="s">
        <v>3095</v>
      </c>
      <c r="B21" s="725" t="s">
        <v>3096</v>
      </c>
      <c r="C21" s="725" t="s">
        <v>3097</v>
      </c>
      <c r="D21" s="725" t="s">
        <v>3098</v>
      </c>
      <c r="E21" s="726" t="s">
        <v>12</v>
      </c>
      <c r="F21" s="727" t="s">
        <v>3099</v>
      </c>
      <c r="G21" s="728" t="s">
        <v>3105</v>
      </c>
      <c r="H21" s="729" t="s">
        <v>3101</v>
      </c>
      <c r="I21" s="729" t="s">
        <v>464</v>
      </c>
      <c r="J21" s="729" t="s">
        <v>465</v>
      </c>
      <c r="K21" s="729" t="s">
        <v>466</v>
      </c>
      <c r="L21" s="729" t="s">
        <v>467</v>
      </c>
      <c r="M21" s="729" t="s">
        <v>468</v>
      </c>
      <c r="N21" s="729" t="s">
        <v>469</v>
      </c>
      <c r="O21" s="730" t="s">
        <v>3102</v>
      </c>
      <c r="P21" s="721"/>
      <c r="R21" s="721"/>
      <c r="S21" s="721"/>
      <c r="T21" s="721"/>
      <c r="U21" s="721"/>
      <c r="V21" s="721"/>
      <c r="W21" s="721"/>
      <c r="X21" s="721"/>
      <c r="Y21" s="721"/>
      <c r="Z21" s="721"/>
      <c r="AA21" s="721"/>
      <c r="AB21" s="721"/>
      <c r="AC21" s="721"/>
      <c r="AD21" s="721"/>
      <c r="AE21" s="721"/>
      <c r="AF21" s="721"/>
    </row>
    <row r="22" spans="1:32" s="722" customFormat="1" ht="15">
      <c r="A22" s="731" t="s">
        <v>3107</v>
      </c>
      <c r="B22" s="732" t="s">
        <v>3108</v>
      </c>
      <c r="C22" s="737" t="s">
        <v>1529</v>
      </c>
      <c r="D22" s="731" t="s">
        <v>349</v>
      </c>
      <c r="E22" s="674">
        <v>2010</v>
      </c>
      <c r="F22" s="674">
        <v>1</v>
      </c>
      <c r="G22" s="731">
        <v>15</v>
      </c>
      <c r="H22" s="736"/>
      <c r="I22" s="736"/>
      <c r="J22" s="733">
        <f>'Rooftop Calc'!AC$65</f>
        <v>7.1945835351661823E-3</v>
      </c>
      <c r="K22" s="733">
        <f>'Rooftop Calc'!AD$65</f>
        <v>3.7523355129885777E-3</v>
      </c>
      <c r="L22" s="733">
        <f>'Rooftop Calc'!AE$65</f>
        <v>1.1972253649811335E-3</v>
      </c>
      <c r="M22" s="733">
        <f>'Rooftop Calc'!AF$65</f>
        <v>1.7437956261474761E-3</v>
      </c>
      <c r="N22" s="733">
        <f>'Rooftop Calc'!AG$65</f>
        <v>1.2993032924751598E-2</v>
      </c>
      <c r="O22" s="731"/>
      <c r="P22" s="721"/>
      <c r="R22" s="721"/>
      <c r="S22" s="721"/>
      <c r="T22" s="721"/>
      <c r="U22" s="721"/>
      <c r="V22" s="721"/>
      <c r="W22" s="721"/>
      <c r="X22" s="721"/>
      <c r="Y22" s="721"/>
      <c r="Z22" s="721"/>
      <c r="AA22" s="721"/>
      <c r="AB22" s="721"/>
      <c r="AC22" s="721"/>
      <c r="AD22" s="721"/>
      <c r="AE22" s="721"/>
      <c r="AF22" s="721"/>
    </row>
    <row r="23" spans="1:32" s="722" customFormat="1" ht="15">
      <c r="A23" s="732"/>
      <c r="B23" s="732" t="s">
        <v>3108</v>
      </c>
      <c r="C23" s="737" t="s">
        <v>1529</v>
      </c>
      <c r="D23" s="731" t="s">
        <v>349</v>
      </c>
      <c r="E23" s="674">
        <v>2015</v>
      </c>
      <c r="F23" s="674">
        <v>1</v>
      </c>
      <c r="G23" s="735"/>
      <c r="H23" s="736"/>
      <c r="I23" s="736"/>
      <c r="J23" s="733">
        <f>'Rooftop Calc'!AC$71</f>
        <v>0.10932800134881394</v>
      </c>
      <c r="K23" s="733">
        <f>'Rooftop Calc'!AD$71</f>
        <v>7.3448493282017149E-2</v>
      </c>
      <c r="L23" s="733">
        <f>'Rooftop Calc'!AE$71</f>
        <v>9.3117528387421482E-3</v>
      </c>
      <c r="M23" s="733">
        <f>'Rooftop Calc'!AF$71</f>
        <v>0.3203455141446217</v>
      </c>
      <c r="N23" s="733">
        <f>'Rooftop Calc'!AG$71</f>
        <v>0.17523498352461039</v>
      </c>
      <c r="O23" s="731"/>
      <c r="P23" s="721"/>
      <c r="R23" s="721"/>
      <c r="S23" s="721"/>
      <c r="T23" s="721"/>
      <c r="U23" s="721"/>
      <c r="V23" s="721"/>
      <c r="W23" s="721"/>
      <c r="X23" s="721"/>
      <c r="Y23" s="721"/>
      <c r="Z23" s="721"/>
      <c r="AA23" s="721"/>
      <c r="AB23" s="721"/>
      <c r="AC23" s="721"/>
      <c r="AD23" s="721"/>
      <c r="AE23" s="721"/>
      <c r="AF23" s="721"/>
    </row>
    <row r="24" spans="1:32" s="722" customFormat="1" ht="15">
      <c r="A24" s="732"/>
      <c r="B24" s="732" t="s">
        <v>3108</v>
      </c>
      <c r="C24" s="737" t="s">
        <v>1529</v>
      </c>
      <c r="D24" s="731" t="s">
        <v>349</v>
      </c>
      <c r="E24" s="674">
        <v>2020</v>
      </c>
      <c r="F24" s="674">
        <v>1</v>
      </c>
      <c r="G24" s="735"/>
      <c r="H24" s="736"/>
      <c r="I24" s="736"/>
      <c r="J24" s="733">
        <f>'Rooftop Calc'!AK$77</f>
        <v>0.37640069035805945</v>
      </c>
      <c r="K24" s="733">
        <f>'Rooftop Calc'!AL$77</f>
        <v>0.25287266972808764</v>
      </c>
      <c r="L24" s="733">
        <f>'Rooftop Calc'!AM$77</f>
        <v>3.2059034773383684E-2</v>
      </c>
      <c r="M24" s="733">
        <f>'Rooftop Calc'!AN$77</f>
        <v>1.1029038415550547</v>
      </c>
      <c r="N24" s="733">
        <f>'Rooftop Calc'!AO$77</f>
        <v>0.60330901470615872</v>
      </c>
      <c r="O24" s="731"/>
      <c r="P24" s="721"/>
      <c r="R24" s="721"/>
      <c r="S24" s="721"/>
      <c r="T24" s="721"/>
      <c r="U24" s="721"/>
      <c r="V24" s="721"/>
      <c r="W24" s="721"/>
      <c r="X24" s="721"/>
      <c r="Y24" s="721"/>
      <c r="Z24" s="721"/>
      <c r="AA24" s="721"/>
      <c r="AB24" s="721"/>
      <c r="AC24" s="721"/>
      <c r="AD24" s="721"/>
      <c r="AE24" s="721"/>
      <c r="AF24" s="721"/>
    </row>
    <row r="25" spans="1:32" ht="15">
      <c r="A25" s="732"/>
      <c r="B25" s="732" t="s">
        <v>3108</v>
      </c>
      <c r="C25" s="737" t="s">
        <v>1529</v>
      </c>
      <c r="D25" s="731" t="s">
        <v>349</v>
      </c>
      <c r="E25" s="674">
        <v>2025</v>
      </c>
      <c r="F25" s="674">
        <v>1</v>
      </c>
      <c r="G25" s="735"/>
      <c r="H25" s="736"/>
      <c r="I25" s="736"/>
      <c r="J25" s="733">
        <f>'Rooftop Calc'!AK$84</f>
        <v>0.64269246507195632</v>
      </c>
      <c r="K25" s="733">
        <f>'Rooftop Calc'!AL$84</f>
        <v>0.43177221407928656</v>
      </c>
      <c r="L25" s="733">
        <f>'Rooftop Calc'!AM$84</f>
        <v>5.4739804187748486E-2</v>
      </c>
      <c r="M25" s="733">
        <f>'Rooftop Calc'!AN$84</f>
        <v>1.8831739867215977</v>
      </c>
      <c r="N25" s="733">
        <f>'Rooftop Calc'!AO$84</f>
        <v>1.0301313674339598</v>
      </c>
      <c r="O25" s="731"/>
      <c r="P25" s="721"/>
    </row>
    <row r="26" spans="1:32" ht="15">
      <c r="A26" s="732"/>
      <c r="B26" s="732" t="s">
        <v>3108</v>
      </c>
      <c r="C26" s="737" t="s">
        <v>1529</v>
      </c>
      <c r="D26" s="731" t="s">
        <v>349</v>
      </c>
      <c r="E26" s="674">
        <v>2030</v>
      </c>
      <c r="F26" s="674">
        <v>1</v>
      </c>
      <c r="G26" s="735"/>
      <c r="H26" s="736"/>
      <c r="I26" s="736"/>
      <c r="J26" s="733">
        <f>'Rooftop Calc'!AK$91</f>
        <v>0.90976515408120195</v>
      </c>
      <c r="K26" s="733">
        <f>'Rooftop Calc'!AL$91</f>
        <v>0.61119639052535712</v>
      </c>
      <c r="L26" s="733">
        <f>'Rooftop Calc'!AM$91</f>
        <v>7.7487086122390039E-2</v>
      </c>
      <c r="M26" s="733">
        <f>'Rooftop Calc'!AN$91</f>
        <v>2.6657323141320313</v>
      </c>
      <c r="N26" s="733">
        <f>'Rooftop Calc'!AO$91</f>
        <v>1.4582053986155081</v>
      </c>
      <c r="O26" s="731"/>
      <c r="P26" s="721"/>
    </row>
    <row r="27" spans="1:32" ht="15">
      <c r="A27" s="732"/>
      <c r="B27" s="732" t="s">
        <v>3108</v>
      </c>
      <c r="C27" s="737" t="s">
        <v>1529</v>
      </c>
      <c r="D27" s="731" t="s">
        <v>349</v>
      </c>
      <c r="E27" s="674">
        <v>2035</v>
      </c>
      <c r="F27" s="674">
        <v>1</v>
      </c>
      <c r="G27" s="735"/>
      <c r="H27" s="736"/>
      <c r="I27" s="736"/>
      <c r="J27" s="733">
        <f>'Rooftop Calc'!AK$98</f>
        <v>1.1760569287950986</v>
      </c>
      <c r="K27" s="733">
        <f>'Rooftop Calc'!AL$98</f>
        <v>0.79009593487655594</v>
      </c>
      <c r="L27" s="733">
        <f>'Rooftop Calc'!AM$98</f>
        <v>0.10016785553675484</v>
      </c>
      <c r="M27" s="733">
        <f>'Rooftop Calc'!AN$98</f>
        <v>3.4460024592985739</v>
      </c>
      <c r="N27" s="733">
        <f>'Rooftop Calc'!AO$98</f>
        <v>1.8850277513433091</v>
      </c>
      <c r="O27" s="731"/>
      <c r="P27" s="721"/>
    </row>
    <row r="28" spans="1:32" ht="15">
      <c r="A28" s="732"/>
      <c r="B28" s="732" t="s">
        <v>3108</v>
      </c>
      <c r="C28" s="737" t="s">
        <v>1529</v>
      </c>
      <c r="D28" s="731" t="s">
        <v>349</v>
      </c>
      <c r="E28" s="674">
        <v>2040</v>
      </c>
      <c r="F28" s="674">
        <v>1</v>
      </c>
      <c r="G28" s="735"/>
      <c r="H28" s="736"/>
      <c r="I28" s="736"/>
      <c r="J28" s="733">
        <f>'Rooftop Calc'!AK$105</f>
        <v>1.4431296178043442</v>
      </c>
      <c r="K28" s="733">
        <f>'Rooftop Calc'!AL$105</f>
        <v>0.9695201113226265</v>
      </c>
      <c r="L28" s="733">
        <f>'Rooftop Calc'!AM$105</f>
        <v>0.12291513747139636</v>
      </c>
      <c r="M28" s="733">
        <f>'Rooftop Calc'!AN$105</f>
        <v>4.2285607867090071</v>
      </c>
      <c r="N28" s="733">
        <f>'Rooftop Calc'!AO$105</f>
        <v>2.3131017825248574</v>
      </c>
      <c r="O28" s="731"/>
      <c r="P28" s="721"/>
    </row>
    <row r="29" spans="1:32" ht="15">
      <c r="A29" s="732"/>
      <c r="B29" s="732" t="s">
        <v>3108</v>
      </c>
      <c r="C29" s="737" t="s">
        <v>1529</v>
      </c>
      <c r="D29" s="731" t="s">
        <v>349</v>
      </c>
      <c r="E29" s="674">
        <v>2045</v>
      </c>
      <c r="F29" s="674">
        <v>1</v>
      </c>
      <c r="G29" s="735"/>
      <c r="H29" s="736"/>
      <c r="I29" s="736"/>
      <c r="J29" s="733">
        <f>'Rooftop Calc'!AK$112</f>
        <v>1.7094213925182411</v>
      </c>
      <c r="K29" s="733">
        <f>'Rooftop Calc'!AL$112</f>
        <v>1.1484196556738255</v>
      </c>
      <c r="L29" s="733">
        <f>'Rooftop Calc'!AM$112</f>
        <v>0.14559590688576118</v>
      </c>
      <c r="M29" s="733">
        <f>'Rooftop Calc'!AN$112</f>
        <v>5.0088309318755497</v>
      </c>
      <c r="N29" s="733">
        <f>'Rooftop Calc'!AO$112</f>
        <v>2.7399241352526587</v>
      </c>
      <c r="O29" s="731"/>
      <c r="P29" s="721"/>
    </row>
    <row r="30" spans="1:32" ht="15">
      <c r="A30" s="732"/>
      <c r="B30" s="732" t="s">
        <v>3108</v>
      </c>
      <c r="C30" s="737" t="s">
        <v>1529</v>
      </c>
      <c r="D30" s="731" t="s">
        <v>349</v>
      </c>
      <c r="E30" s="674">
        <v>2050</v>
      </c>
      <c r="F30" s="674">
        <v>1</v>
      </c>
      <c r="G30" s="735"/>
      <c r="H30" s="736"/>
      <c r="I30" s="736"/>
      <c r="J30" s="733">
        <f>'Rooftop Calc'!AK$119</f>
        <v>1.9764940815274865</v>
      </c>
      <c r="K30" s="733">
        <f>'Rooftop Calc'!AL$119</f>
        <v>1.3278438321198958</v>
      </c>
      <c r="L30" s="733">
        <f>'Rooftop Calc'!AM$119</f>
        <v>0.16834318882040269</v>
      </c>
      <c r="M30" s="733">
        <f>'Rooftop Calc'!AN$119</f>
        <v>5.7913892592859826</v>
      </c>
      <c r="N30" s="733">
        <f>'Rooftop Calc'!AO$119</f>
        <v>3.1679981664342067</v>
      </c>
      <c r="O30" s="731"/>
      <c r="P30" s="721"/>
    </row>
    <row r="31" spans="1:32" ht="15">
      <c r="A31" s="732"/>
      <c r="B31" s="732" t="s">
        <v>3108</v>
      </c>
      <c r="C31" s="737" t="s">
        <v>1529</v>
      </c>
      <c r="D31" s="731" t="s">
        <v>349</v>
      </c>
      <c r="E31" s="674">
        <v>2055</v>
      </c>
      <c r="F31" s="674">
        <v>1</v>
      </c>
      <c r="G31" s="735"/>
      <c r="H31" s="736"/>
      <c r="I31" s="736"/>
      <c r="J31" s="733">
        <f>'Rooftop Calc'!AK$126</f>
        <v>2.2427858562413836</v>
      </c>
      <c r="K31" s="733">
        <f>'Rooftop Calc'!AL$126</f>
        <v>1.5067433764710947</v>
      </c>
      <c r="L31" s="733">
        <f>'Rooftop Calc'!AM$126</f>
        <v>0.1910239582347675</v>
      </c>
      <c r="M31" s="733">
        <f>'Rooftop Calc'!AN$126</f>
        <v>6.5716594044525261</v>
      </c>
      <c r="N31" s="733">
        <f>'Rooftop Calc'!AO$126</f>
        <v>3.594820519162008</v>
      </c>
      <c r="O31" s="731"/>
      <c r="P31" s="721"/>
    </row>
    <row r="34" spans="1:32" s="717" customFormat="1">
      <c r="A34" s="716" t="s">
        <v>3231</v>
      </c>
      <c r="B34" s="716"/>
      <c r="P34" s="13"/>
    </row>
    <row r="35" spans="1:32" s="719" customFormat="1" ht="15">
      <c r="A35" s="718" t="s">
        <v>3094</v>
      </c>
      <c r="B35" s="718"/>
      <c r="G35" s="720"/>
    </row>
    <row r="36" spans="1:32" s="722" customFormat="1" ht="12">
      <c r="A36" s="721"/>
      <c r="B36" s="721"/>
      <c r="D36" s="721"/>
      <c r="E36" s="723" t="s">
        <v>3104</v>
      </c>
      <c r="F36" s="721"/>
      <c r="G36" s="721"/>
      <c r="H36" s="724"/>
      <c r="O36" s="721"/>
      <c r="P36" s="721"/>
      <c r="R36" s="721"/>
      <c r="S36" s="721"/>
      <c r="T36" s="721"/>
      <c r="U36" s="721"/>
      <c r="V36" s="721"/>
      <c r="W36" s="721"/>
      <c r="X36" s="721"/>
      <c r="Y36" s="721"/>
      <c r="Z36" s="721"/>
      <c r="AA36" s="721"/>
      <c r="AB36" s="721"/>
      <c r="AC36" s="721"/>
      <c r="AD36" s="721"/>
      <c r="AE36" s="721"/>
    </row>
    <row r="37" spans="1:32" s="722" customFormat="1" ht="24.75" thickBot="1">
      <c r="A37" s="725" t="s">
        <v>3095</v>
      </c>
      <c r="B37" s="725" t="s">
        <v>3096</v>
      </c>
      <c r="C37" s="725" t="s">
        <v>3097</v>
      </c>
      <c r="D37" s="725" t="s">
        <v>3098</v>
      </c>
      <c r="E37" s="726" t="s">
        <v>12</v>
      </c>
      <c r="F37" s="727" t="s">
        <v>3232</v>
      </c>
      <c r="G37" s="728" t="s">
        <v>3105</v>
      </c>
      <c r="H37" s="729" t="s">
        <v>3101</v>
      </c>
      <c r="I37" s="729" t="s">
        <v>464</v>
      </c>
      <c r="J37" s="729" t="s">
        <v>465</v>
      </c>
      <c r="K37" s="729" t="s">
        <v>466</v>
      </c>
      <c r="L37" s="729" t="s">
        <v>467</v>
      </c>
      <c r="M37" s="729" t="s">
        <v>468</v>
      </c>
      <c r="N37" s="729" t="s">
        <v>469</v>
      </c>
      <c r="O37" s="730" t="s">
        <v>3102</v>
      </c>
      <c r="P37" s="721"/>
      <c r="R37" s="721"/>
      <c r="S37" s="721"/>
      <c r="T37" s="721"/>
      <c r="U37" s="721"/>
      <c r="V37" s="721"/>
      <c r="W37" s="721"/>
      <c r="X37" s="721"/>
      <c r="Y37" s="721"/>
      <c r="Z37" s="721"/>
      <c r="AA37" s="721"/>
      <c r="AB37" s="721"/>
      <c r="AC37" s="721"/>
      <c r="AD37" s="721"/>
      <c r="AE37" s="721"/>
      <c r="AF37" s="721"/>
    </row>
    <row r="38" spans="1:32" ht="15">
      <c r="A38" s="731" t="s">
        <v>3233</v>
      </c>
      <c r="B38" s="732" t="s">
        <v>3108</v>
      </c>
      <c r="C38" s="737"/>
      <c r="D38" s="731"/>
      <c r="E38" s="674">
        <v>2025</v>
      </c>
      <c r="F38" s="674">
        <v>1</v>
      </c>
      <c r="G38" s="731">
        <v>5</v>
      </c>
      <c r="H38" s="736"/>
      <c r="I38" s="736"/>
      <c r="J38" s="733">
        <f>J39</f>
        <v>0.47406169017995853</v>
      </c>
      <c r="K38" s="733">
        <f t="shared" ref="K38:N38" si="1">K39</f>
        <v>0.31848306414523248</v>
      </c>
      <c r="L38" s="733">
        <f t="shared" si="1"/>
        <v>4.0377078468562144E-2</v>
      </c>
      <c r="M38" s="733">
        <f t="shared" si="1"/>
        <v>1.38906349703076</v>
      </c>
      <c r="N38" s="733">
        <f t="shared" si="1"/>
        <v>0.75984369460198864</v>
      </c>
      <c r="O38" s="731"/>
      <c r="P38" s="721"/>
    </row>
    <row r="39" spans="1:32" ht="15">
      <c r="A39" s="732"/>
      <c r="B39" s="732" t="s">
        <v>3108</v>
      </c>
      <c r="C39" s="737"/>
      <c r="D39" s="731"/>
      <c r="E39" s="674">
        <v>2050</v>
      </c>
      <c r="F39" s="674">
        <v>1</v>
      </c>
      <c r="G39" s="735"/>
      <c r="H39" s="736"/>
      <c r="I39" s="736"/>
      <c r="J39" s="733">
        <f>J31/31.54/0.15</f>
        <v>0.47406169017995853</v>
      </c>
      <c r="K39" s="733">
        <f t="shared" ref="K39:N39" si="2">K31/31.54/0.15</f>
        <v>0.31848306414523248</v>
      </c>
      <c r="L39" s="733">
        <f t="shared" si="2"/>
        <v>4.0377078468562144E-2</v>
      </c>
      <c r="M39" s="733">
        <f t="shared" si="2"/>
        <v>1.38906349703076</v>
      </c>
      <c r="N39" s="733">
        <f t="shared" si="2"/>
        <v>0.75984369460198864</v>
      </c>
      <c r="O39" s="731"/>
      <c r="P39" s="7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76A3-133C-4982-86E1-576314053618}">
  <sheetPr>
    <tabColor theme="8"/>
  </sheetPr>
  <dimension ref="A1:R39"/>
  <sheetViews>
    <sheetView topLeftCell="E1" workbookViewId="0">
      <selection activeCell="H28" sqref="H28"/>
    </sheetView>
  </sheetViews>
  <sheetFormatPr defaultRowHeight="12.75"/>
  <cols>
    <col min="2" max="2" width="22.85546875" bestFit="1" customWidth="1"/>
    <col min="3" max="3" width="9" bestFit="1" customWidth="1"/>
  </cols>
  <sheetData>
    <row r="1" spans="1:18" s="717" customFormat="1">
      <c r="A1" s="716" t="s">
        <v>3185</v>
      </c>
      <c r="B1" s="716"/>
    </row>
    <row r="3" spans="1:18">
      <c r="B3" s="718" t="s">
        <v>3094</v>
      </c>
    </row>
    <row r="5" spans="1:18">
      <c r="B5" s="13"/>
      <c r="C5" s="13"/>
      <c r="D5" s="13"/>
      <c r="E5" s="13"/>
      <c r="G5" s="718" t="s">
        <v>3162</v>
      </c>
      <c r="H5" s="13"/>
      <c r="I5" s="13"/>
      <c r="J5" s="13"/>
      <c r="K5" s="13"/>
      <c r="L5" s="13"/>
      <c r="M5" s="13"/>
      <c r="N5" s="13"/>
      <c r="O5" s="13"/>
      <c r="P5" s="13"/>
    </row>
    <row r="6" spans="1:18" ht="24.75" thickBot="1">
      <c r="B6" s="750" t="s">
        <v>3095</v>
      </c>
      <c r="C6" s="750" t="s">
        <v>3096</v>
      </c>
      <c r="D6" s="750" t="s">
        <v>3164</v>
      </c>
      <c r="E6" s="750" t="s">
        <v>3097</v>
      </c>
      <c r="F6" s="750" t="s">
        <v>3098</v>
      </c>
      <c r="G6" s="750" t="s">
        <v>12</v>
      </c>
      <c r="H6" s="750" t="s">
        <v>3099</v>
      </c>
      <c r="I6" s="751" t="s">
        <v>3165</v>
      </c>
      <c r="J6" s="751" t="s">
        <v>3105</v>
      </c>
      <c r="K6" s="750" t="s">
        <v>3101</v>
      </c>
      <c r="L6" s="750" t="s">
        <v>464</v>
      </c>
      <c r="M6" s="750" t="s">
        <v>465</v>
      </c>
      <c r="N6" s="750" t="s">
        <v>466</v>
      </c>
      <c r="O6" s="750" t="s">
        <v>467</v>
      </c>
      <c r="P6" s="750" t="s">
        <v>468</v>
      </c>
      <c r="Q6" s="750" t="s">
        <v>469</v>
      </c>
    </row>
    <row r="7" spans="1:18">
      <c r="B7" s="752" t="str">
        <f>"UC_"&amp;F7&amp;RIGHT(C7,6)&amp;"UP"</f>
        <v>UC_RSHRETSMTUP</v>
      </c>
      <c r="C7" s="753" t="s">
        <v>3214</v>
      </c>
      <c r="D7" s="753"/>
      <c r="E7" s="754"/>
      <c r="F7" s="754" t="s">
        <v>364</v>
      </c>
      <c r="G7" s="674">
        <v>2025</v>
      </c>
      <c r="H7" s="674">
        <v>1</v>
      </c>
      <c r="I7" s="674">
        <v>0</v>
      </c>
      <c r="J7" s="674">
        <v>5</v>
      </c>
      <c r="K7" s="755"/>
      <c r="L7" s="755"/>
      <c r="M7" s="755">
        <v>0</v>
      </c>
      <c r="N7" s="755">
        <v>0</v>
      </c>
      <c r="O7" s="755">
        <v>0</v>
      </c>
      <c r="P7" s="755">
        <v>0</v>
      </c>
      <c r="Q7" s="755">
        <v>0</v>
      </c>
    </row>
    <row r="8" spans="1:18">
      <c r="B8" s="752"/>
      <c r="C8" s="753" t="s">
        <v>3214</v>
      </c>
      <c r="D8" s="753"/>
      <c r="E8" s="754"/>
      <c r="F8" s="754" t="s">
        <v>364</v>
      </c>
      <c r="G8" s="674">
        <v>2050</v>
      </c>
      <c r="H8" s="674"/>
      <c r="I8" s="674"/>
      <c r="J8" s="674"/>
      <c r="K8" s="755"/>
      <c r="L8" s="755"/>
      <c r="M8" s="755">
        <f>-Retrofit!$U$16</f>
        <v>-6.1303428328565127E-2</v>
      </c>
      <c r="N8" s="755">
        <f>-Retrofit!$U$16</f>
        <v>-6.1303428328565127E-2</v>
      </c>
      <c r="O8" s="755">
        <f>-Retrofit!$U$16</f>
        <v>-6.1303428328565127E-2</v>
      </c>
      <c r="P8" s="755">
        <f>-Retrofit!$U$16</f>
        <v>-6.1303428328565127E-2</v>
      </c>
      <c r="Q8" s="755">
        <f>-Retrofit!$U$16</f>
        <v>-6.1303428328565127E-2</v>
      </c>
    </row>
    <row r="9" spans="1:18">
      <c r="B9" s="673"/>
      <c r="C9" s="753" t="s">
        <v>3214</v>
      </c>
      <c r="D9" s="753"/>
      <c r="E9" s="754"/>
      <c r="F9" s="754" t="s">
        <v>364</v>
      </c>
      <c r="G9" s="674">
        <v>2055</v>
      </c>
      <c r="H9" s="674"/>
      <c r="I9" s="674"/>
      <c r="J9" s="674"/>
      <c r="K9" s="755"/>
      <c r="L9" s="755"/>
      <c r="M9" s="755">
        <f>M8</f>
        <v>-6.1303428328565127E-2</v>
      </c>
      <c r="N9" s="755">
        <f t="shared" ref="N9:Q9" si="0">N8</f>
        <v>-6.1303428328565127E-2</v>
      </c>
      <c r="O9" s="755">
        <f t="shared" si="0"/>
        <v>-6.1303428328565127E-2</v>
      </c>
      <c r="P9" s="755">
        <f t="shared" si="0"/>
        <v>-6.1303428328565127E-2</v>
      </c>
      <c r="Q9" s="755">
        <f t="shared" si="0"/>
        <v>-6.1303428328565127E-2</v>
      </c>
    </row>
    <row r="10" spans="1:18">
      <c r="B10" s="752" t="str">
        <f>"UC_"&amp;F10&amp;RIGHT(C10,6)&amp;"UP"</f>
        <v>UC_RSHRETVEOUP</v>
      </c>
      <c r="C10" s="753" t="s">
        <v>3215</v>
      </c>
      <c r="D10" s="753"/>
      <c r="E10" s="754"/>
      <c r="F10" s="754" t="s">
        <v>364</v>
      </c>
      <c r="G10" s="674">
        <v>2025</v>
      </c>
      <c r="H10" s="674">
        <v>1</v>
      </c>
      <c r="I10" s="674">
        <v>0</v>
      </c>
      <c r="J10" s="674">
        <v>5</v>
      </c>
      <c r="K10" s="755"/>
      <c r="L10" s="755"/>
      <c r="M10" s="755">
        <v>0</v>
      </c>
      <c r="N10" s="755">
        <v>0</v>
      </c>
      <c r="O10" s="755">
        <v>0</v>
      </c>
      <c r="P10" s="755">
        <v>0</v>
      </c>
      <c r="Q10" s="755">
        <v>0</v>
      </c>
    </row>
    <row r="11" spans="1:18">
      <c r="B11" s="752"/>
      <c r="C11" s="753" t="s">
        <v>3215</v>
      </c>
      <c r="D11" s="753"/>
      <c r="E11" s="754"/>
      <c r="F11" s="754" t="s">
        <v>364</v>
      </c>
      <c r="G11" s="674">
        <v>2050</v>
      </c>
      <c r="H11" s="674"/>
      <c r="I11" s="674"/>
      <c r="J11" s="674"/>
      <c r="K11" s="755"/>
      <c r="L11" s="755"/>
      <c r="M11" s="755">
        <f>-Retrofit!$U$17</f>
        <v>-1.1688391002519141E-2</v>
      </c>
      <c r="N11" s="755">
        <f>-Retrofit!$U$17</f>
        <v>-1.1688391002519141E-2</v>
      </c>
      <c r="O11" s="755">
        <f>-Retrofit!$U$17</f>
        <v>-1.1688391002519141E-2</v>
      </c>
      <c r="P11" s="755">
        <f>-Retrofit!$U$17</f>
        <v>-1.1688391002519141E-2</v>
      </c>
      <c r="Q11" s="755">
        <f>-Retrofit!$U$17</f>
        <v>-1.1688391002519141E-2</v>
      </c>
    </row>
    <row r="12" spans="1:18">
      <c r="B12" s="752"/>
      <c r="C12" s="753" t="s">
        <v>3215</v>
      </c>
      <c r="D12" s="753"/>
      <c r="E12" s="754"/>
      <c r="F12" s="754" t="s">
        <v>364</v>
      </c>
      <c r="G12" s="674">
        <v>2055</v>
      </c>
      <c r="H12" s="674"/>
      <c r="I12" s="674"/>
      <c r="J12" s="674"/>
      <c r="K12" s="755"/>
      <c r="L12" s="755"/>
      <c r="M12" s="755">
        <f>M11</f>
        <v>-1.1688391002519141E-2</v>
      </c>
      <c r="N12" s="755">
        <f t="shared" ref="N12" si="1">N11</f>
        <v>-1.1688391002519141E-2</v>
      </c>
      <c r="O12" s="755">
        <f t="shared" ref="O12" si="2">O11</f>
        <v>-1.1688391002519141E-2</v>
      </c>
      <c r="P12" s="755">
        <f t="shared" ref="P12" si="3">P11</f>
        <v>-1.1688391002519141E-2</v>
      </c>
      <c r="Q12" s="755">
        <f t="shared" ref="Q12" si="4">Q11</f>
        <v>-1.1688391002519141E-2</v>
      </c>
    </row>
    <row r="13" spans="1:18">
      <c r="B13" s="752" t="str">
        <f>"UC_"&amp;F13&amp;RIGHT(C13,6)&amp;"UP"</f>
        <v>UC_RSHRETINRUP</v>
      </c>
      <c r="C13" s="753" t="s">
        <v>3216</v>
      </c>
      <c r="D13" s="753"/>
      <c r="E13" s="754"/>
      <c r="F13" s="754" t="s">
        <v>364</v>
      </c>
      <c r="G13" s="674">
        <v>2025</v>
      </c>
      <c r="H13" s="674">
        <v>1</v>
      </c>
      <c r="I13" s="674">
        <v>0</v>
      </c>
      <c r="J13" s="674">
        <v>5</v>
      </c>
      <c r="K13" s="755"/>
      <c r="L13" s="755"/>
      <c r="M13" s="755">
        <v>0</v>
      </c>
      <c r="N13" s="755">
        <v>0</v>
      </c>
      <c r="O13" s="755">
        <v>0</v>
      </c>
      <c r="P13" s="755">
        <v>0</v>
      </c>
      <c r="Q13" s="755">
        <v>0</v>
      </c>
    </row>
    <row r="14" spans="1:18">
      <c r="B14" s="752"/>
      <c r="C14" s="753" t="s">
        <v>3216</v>
      </c>
      <c r="D14" s="753"/>
      <c r="E14" s="754"/>
      <c r="F14" s="754" t="s">
        <v>364</v>
      </c>
      <c r="G14" s="674">
        <v>2050</v>
      </c>
      <c r="H14" s="674"/>
      <c r="I14" s="674"/>
      <c r="J14" s="674"/>
      <c r="K14" s="755"/>
      <c r="L14" s="755"/>
      <c r="M14" s="755">
        <f>-Retrofit!$U$18</f>
        <v>-2.1582298739091361E-2</v>
      </c>
      <c r="N14" s="755">
        <f>-Retrofit!$U$18</f>
        <v>-2.1582298739091361E-2</v>
      </c>
      <c r="O14" s="755">
        <f>-Retrofit!$U$18</f>
        <v>-2.1582298739091361E-2</v>
      </c>
      <c r="P14" s="755">
        <f>-Retrofit!$U$18</f>
        <v>-2.1582298739091361E-2</v>
      </c>
      <c r="Q14" s="755">
        <f>-Retrofit!$U$18</f>
        <v>-2.1582298739091361E-2</v>
      </c>
    </row>
    <row r="15" spans="1:18">
      <c r="B15" s="752"/>
      <c r="C15" s="753" t="s">
        <v>3216</v>
      </c>
      <c r="D15" s="753"/>
      <c r="E15" s="754"/>
      <c r="F15" s="754" t="s">
        <v>364</v>
      </c>
      <c r="G15" s="674">
        <v>2055</v>
      </c>
      <c r="H15" s="674"/>
      <c r="I15" s="674"/>
      <c r="J15" s="674"/>
      <c r="K15" s="755"/>
      <c r="L15" s="755"/>
      <c r="M15" s="755">
        <f>M14</f>
        <v>-2.1582298739091361E-2</v>
      </c>
      <c r="N15" s="755">
        <f t="shared" ref="N15" si="5">N14</f>
        <v>-2.1582298739091361E-2</v>
      </c>
      <c r="O15" s="755">
        <f t="shared" ref="O15" si="6">O14</f>
        <v>-2.1582298739091361E-2</v>
      </c>
      <c r="P15" s="755">
        <f t="shared" ref="P15" si="7">P14</f>
        <v>-2.1582298739091361E-2</v>
      </c>
      <c r="Q15" s="755">
        <f t="shared" ref="Q15" si="8">Q14</f>
        <v>-2.1582298739091361E-2</v>
      </c>
    </row>
    <row r="16" spans="1:18">
      <c r="B16" s="752" t="str">
        <f>"UC_"&amp;F16&amp;RIGHT(C16,6)&amp;"UP"</f>
        <v>UC_RSHRETWIRUP</v>
      </c>
      <c r="C16" s="753" t="s">
        <v>3217</v>
      </c>
      <c r="D16" s="753"/>
      <c r="E16" s="754"/>
      <c r="F16" s="754" t="s">
        <v>364</v>
      </c>
      <c r="G16" s="674">
        <v>2025</v>
      </c>
      <c r="H16" s="674">
        <v>1</v>
      </c>
      <c r="I16" s="674">
        <v>0</v>
      </c>
      <c r="J16" s="674">
        <v>5</v>
      </c>
      <c r="K16" s="755"/>
      <c r="L16" s="755"/>
      <c r="M16" s="755">
        <v>0</v>
      </c>
      <c r="N16" s="755">
        <v>0</v>
      </c>
      <c r="O16" s="755">
        <v>0</v>
      </c>
      <c r="P16" s="755">
        <v>0</v>
      </c>
      <c r="Q16" s="755">
        <v>0</v>
      </c>
      <c r="R16" s="765"/>
    </row>
    <row r="17" spans="2:18">
      <c r="B17" s="752"/>
      <c r="C17" s="753" t="s">
        <v>3217</v>
      </c>
      <c r="D17" s="753"/>
      <c r="E17" s="754"/>
      <c r="F17" s="754" t="s">
        <v>364</v>
      </c>
      <c r="G17" s="674">
        <v>2050</v>
      </c>
      <c r="H17" s="674"/>
      <c r="I17" s="674"/>
      <c r="J17" s="674"/>
      <c r="K17" s="755"/>
      <c r="L17" s="755"/>
      <c r="M17" s="755">
        <f>-Retrofit!$U$19</f>
        <v>-5.8005459083041055E-2</v>
      </c>
      <c r="N17" s="755">
        <f>-Retrofit!$U$19</f>
        <v>-5.8005459083041055E-2</v>
      </c>
      <c r="O17" s="755">
        <f>-Retrofit!$U$19</f>
        <v>-5.8005459083041055E-2</v>
      </c>
      <c r="P17" s="755">
        <f>-Retrofit!$U$19</f>
        <v>-5.8005459083041055E-2</v>
      </c>
      <c r="Q17" s="755">
        <f>-Retrofit!$U$19</f>
        <v>-5.8005459083041055E-2</v>
      </c>
      <c r="R17" s="765"/>
    </row>
    <row r="18" spans="2:18">
      <c r="B18" s="752"/>
      <c r="C18" s="753" t="s">
        <v>3217</v>
      </c>
      <c r="D18" s="753"/>
      <c r="E18" s="754"/>
      <c r="F18" s="754" t="s">
        <v>364</v>
      </c>
      <c r="G18" s="674">
        <v>2055</v>
      </c>
      <c r="H18" s="674"/>
      <c r="I18" s="674"/>
      <c r="J18" s="674"/>
      <c r="K18" s="755"/>
      <c r="L18" s="755"/>
      <c r="M18" s="755">
        <f>M17</f>
        <v>-5.8005459083041055E-2</v>
      </c>
      <c r="N18" s="755">
        <f t="shared" ref="N18" si="9">N17</f>
        <v>-5.8005459083041055E-2</v>
      </c>
      <c r="O18" s="755">
        <f t="shared" ref="O18" si="10">O17</f>
        <v>-5.8005459083041055E-2</v>
      </c>
      <c r="P18" s="755">
        <f t="shared" ref="P18" si="11">P17</f>
        <v>-5.8005459083041055E-2</v>
      </c>
      <c r="Q18" s="755">
        <f t="shared" ref="Q18" si="12">Q17</f>
        <v>-5.8005459083041055E-2</v>
      </c>
      <c r="R18" s="765"/>
    </row>
    <row r="19" spans="2:18">
      <c r="B19" s="752" t="str">
        <f>"UC_"&amp;F19&amp;RIGHT(C19,6)&amp;"UP"</f>
        <v>UC_RSHRETINWUP</v>
      </c>
      <c r="C19" s="753" t="s">
        <v>3218</v>
      </c>
      <c r="D19" s="753"/>
      <c r="E19" s="762"/>
      <c r="F19" s="754" t="s">
        <v>364</v>
      </c>
      <c r="G19" s="674">
        <v>2025</v>
      </c>
      <c r="H19" s="674">
        <v>1</v>
      </c>
      <c r="I19" s="674">
        <v>0</v>
      </c>
      <c r="J19" s="674">
        <v>5</v>
      </c>
      <c r="K19" s="755"/>
      <c r="L19" s="755"/>
      <c r="M19" s="755">
        <v>0</v>
      </c>
      <c r="N19" s="755">
        <v>0</v>
      </c>
      <c r="O19" s="755">
        <v>0</v>
      </c>
      <c r="P19" s="755">
        <v>0</v>
      </c>
      <c r="Q19" s="755">
        <v>0</v>
      </c>
    </row>
    <row r="20" spans="2:18">
      <c r="B20" s="752"/>
      <c r="C20" s="753" t="s">
        <v>3218</v>
      </c>
      <c r="D20" s="753"/>
      <c r="E20" s="762"/>
      <c r="F20" s="754" t="s">
        <v>364</v>
      </c>
      <c r="G20" s="674">
        <v>2050</v>
      </c>
      <c r="H20" s="674"/>
      <c r="I20" s="674"/>
      <c r="J20" s="674"/>
      <c r="K20" s="755"/>
      <c r="L20" s="755"/>
      <c r="M20" s="755">
        <f>-Retrofit!$U$20</f>
        <v>-3.625341192690066E-2</v>
      </c>
      <c r="N20" s="755">
        <f>-Retrofit!$U$20</f>
        <v>-3.625341192690066E-2</v>
      </c>
      <c r="O20" s="755">
        <f>-Retrofit!$U$20</f>
        <v>-3.625341192690066E-2</v>
      </c>
      <c r="P20" s="755">
        <f>-Retrofit!$U$20</f>
        <v>-3.625341192690066E-2</v>
      </c>
      <c r="Q20" s="755">
        <f>-Retrofit!$U$20</f>
        <v>-3.625341192690066E-2</v>
      </c>
    </row>
    <row r="21" spans="2:18">
      <c r="B21" s="752"/>
      <c r="C21" s="753" t="s">
        <v>3218</v>
      </c>
      <c r="D21" s="753"/>
      <c r="E21" s="762"/>
      <c r="F21" s="754" t="s">
        <v>364</v>
      </c>
      <c r="G21" s="674">
        <v>2055</v>
      </c>
      <c r="H21" s="674"/>
      <c r="I21" s="674"/>
      <c r="J21" s="674"/>
      <c r="K21" s="755"/>
      <c r="L21" s="755"/>
      <c r="M21" s="755">
        <f>M20</f>
        <v>-3.625341192690066E-2</v>
      </c>
      <c r="N21" s="755">
        <f t="shared" ref="N21" si="13">N20</f>
        <v>-3.625341192690066E-2</v>
      </c>
      <c r="O21" s="755">
        <f t="shared" ref="O21" si="14">O20</f>
        <v>-3.625341192690066E-2</v>
      </c>
      <c r="P21" s="755">
        <f t="shared" ref="P21" si="15">P20</f>
        <v>-3.625341192690066E-2</v>
      </c>
      <c r="Q21" s="755">
        <f t="shared" ref="Q21" si="16">Q20</f>
        <v>-3.625341192690066E-2</v>
      </c>
    </row>
    <row r="26" spans="2:18">
      <c r="F26" s="13"/>
    </row>
    <row r="27" spans="2:18">
      <c r="F27" s="13"/>
    </row>
    <row r="28" spans="2:18">
      <c r="F28" s="13"/>
    </row>
    <row r="29" spans="2:18">
      <c r="F29" s="13"/>
    </row>
    <row r="30" spans="2:18">
      <c r="F30" s="13"/>
    </row>
    <row r="34" customFormat="1"/>
    <row r="35" customFormat="1"/>
    <row r="36" customFormat="1"/>
    <row r="37" customFormat="1"/>
    <row r="38" customFormat="1"/>
    <row r="39" customForma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F321-EAB6-4826-87BA-6CC9831EA536}">
  <sheetPr>
    <tabColor theme="8"/>
  </sheetPr>
  <dimension ref="A3:T31"/>
  <sheetViews>
    <sheetView workbookViewId="0">
      <selection activeCell="B10" sqref="B10"/>
    </sheetView>
  </sheetViews>
  <sheetFormatPr defaultRowHeight="12.75"/>
  <cols>
    <col min="1" max="1" width="36.42578125" bestFit="1" customWidth="1"/>
    <col min="2" max="2" width="22.5703125" bestFit="1" customWidth="1"/>
    <col min="3" max="3" width="7.28515625" bestFit="1" customWidth="1"/>
    <col min="4" max="4" width="8.28515625" bestFit="1" customWidth="1"/>
    <col min="5" max="5" width="14.42578125" bestFit="1" customWidth="1"/>
    <col min="6" max="6" width="4.7109375" bestFit="1" customWidth="1"/>
    <col min="7" max="7" width="7.7109375" bestFit="1" customWidth="1"/>
    <col min="8" max="8" width="12.7109375" bestFit="1" customWidth="1"/>
    <col min="9" max="15" width="12.7109375" customWidth="1"/>
    <col min="16" max="16" width="12.7109375" bestFit="1" customWidth="1"/>
    <col min="17" max="17" width="12.28515625" bestFit="1" customWidth="1"/>
    <col min="18" max="18" width="11" bestFit="1" customWidth="1"/>
    <col min="19" max="19" width="13.28515625" bestFit="1" customWidth="1"/>
    <col min="20" max="20" width="8.42578125" bestFit="1" customWidth="1"/>
  </cols>
  <sheetData>
    <row r="3" spans="1:20" s="739" customFormat="1">
      <c r="A3" s="738" t="s">
        <v>3109</v>
      </c>
    </row>
    <row r="4" spans="1:20">
      <c r="A4" s="740" t="s">
        <v>3110</v>
      </c>
    </row>
    <row r="5" spans="1:20">
      <c r="A5" s="740" t="s">
        <v>3111</v>
      </c>
    </row>
    <row r="6" spans="1:20">
      <c r="G6" s="740" t="s">
        <v>3112</v>
      </c>
    </row>
    <row r="7" spans="1:20" ht="13.5" thickBot="1">
      <c r="A7" s="741" t="s">
        <v>3095</v>
      </c>
      <c r="B7" s="742" t="s">
        <v>3096</v>
      </c>
      <c r="C7" s="742" t="s">
        <v>3097</v>
      </c>
      <c r="D7" s="742" t="s">
        <v>3113</v>
      </c>
      <c r="E7" s="741" t="s">
        <v>3114</v>
      </c>
      <c r="F7" s="741" t="s">
        <v>12</v>
      </c>
      <c r="G7" s="741" t="s">
        <v>2986</v>
      </c>
      <c r="H7" s="741" t="s">
        <v>3115</v>
      </c>
      <c r="I7" s="741" t="s">
        <v>3121</v>
      </c>
      <c r="J7" s="741" t="s">
        <v>3122</v>
      </c>
      <c r="K7" s="741" t="s">
        <v>3123</v>
      </c>
      <c r="L7" s="741" t="s">
        <v>3124</v>
      </c>
      <c r="M7" s="741" t="s">
        <v>3125</v>
      </c>
      <c r="N7" s="741" t="s">
        <v>3126</v>
      </c>
      <c r="O7" s="741" t="s">
        <v>3127</v>
      </c>
      <c r="P7" s="741" t="s">
        <v>3116</v>
      </c>
      <c r="Q7" s="741" t="s">
        <v>3117</v>
      </c>
      <c r="R7" s="741" t="s">
        <v>3118</v>
      </c>
      <c r="S7" s="743" t="s">
        <v>3119</v>
      </c>
      <c r="T7" s="741" t="s">
        <v>3102</v>
      </c>
    </row>
    <row r="8" spans="1:20">
      <c r="A8" s="686" t="s">
        <v>3128</v>
      </c>
      <c r="B8" s="744" t="s">
        <v>3146</v>
      </c>
      <c r="C8" s="744"/>
      <c r="D8" s="744"/>
      <c r="E8" s="686" t="s">
        <v>3120</v>
      </c>
      <c r="F8" s="686"/>
      <c r="G8" s="686" t="s">
        <v>866</v>
      </c>
      <c r="H8" s="745"/>
      <c r="I8" s="745">
        <v>1.1000000000000001</v>
      </c>
      <c r="J8" s="745">
        <f>I8</f>
        <v>1.1000000000000001</v>
      </c>
      <c r="K8" s="745">
        <f t="shared" ref="K8:P8" si="0">J8</f>
        <v>1.1000000000000001</v>
      </c>
      <c r="L8" s="745">
        <f t="shared" si="0"/>
        <v>1.1000000000000001</v>
      </c>
      <c r="M8" s="745">
        <f t="shared" si="0"/>
        <v>1.1000000000000001</v>
      </c>
      <c r="N8" s="745">
        <f t="shared" si="0"/>
        <v>1.1000000000000001</v>
      </c>
      <c r="O8" s="745">
        <f t="shared" si="0"/>
        <v>1.1000000000000001</v>
      </c>
      <c r="P8" s="745">
        <f t="shared" si="0"/>
        <v>1.1000000000000001</v>
      </c>
      <c r="Q8" s="686">
        <v>1</v>
      </c>
      <c r="R8" s="686"/>
      <c r="S8" s="746">
        <v>5</v>
      </c>
      <c r="T8" s="747"/>
    </row>
    <row r="9" spans="1:20">
      <c r="A9" s="686" t="s">
        <v>3129</v>
      </c>
      <c r="B9" s="744" t="s">
        <v>3147</v>
      </c>
      <c r="C9" s="744"/>
      <c r="D9" s="744"/>
      <c r="E9" s="686" t="s">
        <v>3120</v>
      </c>
      <c r="F9" s="686"/>
      <c r="G9" s="686" t="s">
        <v>866</v>
      </c>
      <c r="H9" s="745">
        <v>1.1000000000000001</v>
      </c>
      <c r="I9" s="745">
        <f>H9</f>
        <v>1.1000000000000001</v>
      </c>
      <c r="J9" s="745">
        <f t="shared" ref="J9:P9" si="1">I9</f>
        <v>1.1000000000000001</v>
      </c>
      <c r="K9" s="745">
        <f t="shared" si="1"/>
        <v>1.1000000000000001</v>
      </c>
      <c r="L9" s="745">
        <f t="shared" si="1"/>
        <v>1.1000000000000001</v>
      </c>
      <c r="M9" s="745">
        <f t="shared" si="1"/>
        <v>1.1000000000000001</v>
      </c>
      <c r="N9" s="745">
        <f t="shared" si="1"/>
        <v>1.1000000000000001</v>
      </c>
      <c r="O9" s="745">
        <f t="shared" si="1"/>
        <v>1.1000000000000001</v>
      </c>
      <c r="P9" s="745">
        <f t="shared" si="1"/>
        <v>1.1000000000000001</v>
      </c>
      <c r="Q9" s="686">
        <v>1</v>
      </c>
      <c r="R9" s="686"/>
      <c r="S9" s="746">
        <v>5</v>
      </c>
      <c r="T9" s="747"/>
    </row>
    <row r="10" spans="1:20">
      <c r="A10" s="686" t="s">
        <v>3130</v>
      </c>
      <c r="B10" s="744" t="s">
        <v>3148</v>
      </c>
      <c r="C10" s="744"/>
      <c r="D10" s="744"/>
      <c r="E10" s="686" t="s">
        <v>3120</v>
      </c>
      <c r="F10" s="686"/>
      <c r="G10" s="686" t="s">
        <v>866</v>
      </c>
      <c r="H10" s="745">
        <v>1.1000000000000001</v>
      </c>
      <c r="I10" s="745">
        <f t="shared" ref="I10:P12" si="2">H10</f>
        <v>1.1000000000000001</v>
      </c>
      <c r="J10" s="745">
        <f t="shared" si="2"/>
        <v>1.1000000000000001</v>
      </c>
      <c r="K10" s="745">
        <f t="shared" si="2"/>
        <v>1.1000000000000001</v>
      </c>
      <c r="L10" s="745">
        <f t="shared" si="2"/>
        <v>1.1000000000000001</v>
      </c>
      <c r="M10" s="745">
        <f t="shared" si="2"/>
        <v>1.1000000000000001</v>
      </c>
      <c r="N10" s="745">
        <f t="shared" si="2"/>
        <v>1.1000000000000001</v>
      </c>
      <c r="O10" s="745">
        <f t="shared" si="2"/>
        <v>1.1000000000000001</v>
      </c>
      <c r="P10" s="745">
        <f t="shared" si="2"/>
        <v>1.1000000000000001</v>
      </c>
      <c r="Q10" s="686">
        <v>1</v>
      </c>
      <c r="R10" s="686"/>
      <c r="S10" s="746">
        <v>5</v>
      </c>
      <c r="T10" s="747"/>
    </row>
    <row r="11" spans="1:20">
      <c r="A11" s="686" t="s">
        <v>3131</v>
      </c>
      <c r="B11" s="744" t="s">
        <v>3149</v>
      </c>
      <c r="C11" s="744"/>
      <c r="D11" s="744"/>
      <c r="E11" s="686" t="s">
        <v>3120</v>
      </c>
      <c r="F11" s="686"/>
      <c r="G11" s="686" t="s">
        <v>866</v>
      </c>
      <c r="H11" s="745">
        <v>1.1000000000000001</v>
      </c>
      <c r="I11" s="745">
        <f t="shared" si="2"/>
        <v>1.1000000000000001</v>
      </c>
      <c r="J11" s="745">
        <f t="shared" si="2"/>
        <v>1.1000000000000001</v>
      </c>
      <c r="K11" s="745">
        <f t="shared" si="2"/>
        <v>1.1000000000000001</v>
      </c>
      <c r="L11" s="745">
        <f t="shared" si="2"/>
        <v>1.1000000000000001</v>
      </c>
      <c r="M11" s="745">
        <f t="shared" si="2"/>
        <v>1.1000000000000001</v>
      </c>
      <c r="N11" s="745">
        <f t="shared" si="2"/>
        <v>1.1000000000000001</v>
      </c>
      <c r="O11" s="745">
        <f t="shared" si="2"/>
        <v>1.1000000000000001</v>
      </c>
      <c r="P11" s="745">
        <f t="shared" si="2"/>
        <v>1.1000000000000001</v>
      </c>
      <c r="Q11" s="686">
        <v>1</v>
      </c>
      <c r="R11" s="686"/>
      <c r="S11" s="746">
        <v>5</v>
      </c>
      <c r="T11" s="747"/>
    </row>
    <row r="12" spans="1:20">
      <c r="A12" s="686" t="s">
        <v>3132</v>
      </c>
      <c r="B12" s="744" t="s">
        <v>3150</v>
      </c>
      <c r="C12" s="744"/>
      <c r="D12" s="744"/>
      <c r="E12" s="686" t="s">
        <v>3120</v>
      </c>
      <c r="F12" s="686"/>
      <c r="G12" s="686" t="s">
        <v>866</v>
      </c>
      <c r="H12" s="745">
        <v>1.1000000000000001</v>
      </c>
      <c r="I12" s="745">
        <f t="shared" si="2"/>
        <v>1.1000000000000001</v>
      </c>
      <c r="J12" s="745">
        <f t="shared" si="2"/>
        <v>1.1000000000000001</v>
      </c>
      <c r="K12" s="745">
        <f t="shared" si="2"/>
        <v>1.1000000000000001</v>
      </c>
      <c r="L12" s="745">
        <f t="shared" si="2"/>
        <v>1.1000000000000001</v>
      </c>
      <c r="M12" s="745">
        <f t="shared" si="2"/>
        <v>1.1000000000000001</v>
      </c>
      <c r="N12" s="745">
        <f t="shared" si="2"/>
        <v>1.1000000000000001</v>
      </c>
      <c r="O12" s="745">
        <f t="shared" si="2"/>
        <v>1.1000000000000001</v>
      </c>
      <c r="P12" s="745">
        <f t="shared" si="2"/>
        <v>1.1000000000000001</v>
      </c>
      <c r="Q12" s="686">
        <v>1</v>
      </c>
      <c r="R12" s="686"/>
      <c r="S12" s="746">
        <v>5</v>
      </c>
      <c r="T12" s="747"/>
    </row>
    <row r="13" spans="1:20">
      <c r="A13" s="686" t="s">
        <v>3133</v>
      </c>
      <c r="B13" s="744" t="s">
        <v>3151</v>
      </c>
      <c r="C13" s="744"/>
      <c r="D13" s="744"/>
      <c r="E13" s="686" t="s">
        <v>3120</v>
      </c>
      <c r="F13" s="686"/>
      <c r="G13" s="686" t="s">
        <v>866</v>
      </c>
      <c r="H13" s="745"/>
      <c r="I13" s="745">
        <v>1.1499999999999999</v>
      </c>
      <c r="J13" s="745">
        <f t="shared" ref="J13:P13" si="3">I13</f>
        <v>1.1499999999999999</v>
      </c>
      <c r="K13" s="745">
        <f t="shared" si="3"/>
        <v>1.1499999999999999</v>
      </c>
      <c r="L13" s="745">
        <f t="shared" si="3"/>
        <v>1.1499999999999999</v>
      </c>
      <c r="M13" s="745">
        <f t="shared" si="3"/>
        <v>1.1499999999999999</v>
      </c>
      <c r="N13" s="745">
        <f t="shared" si="3"/>
        <v>1.1499999999999999</v>
      </c>
      <c r="O13" s="745">
        <f t="shared" si="3"/>
        <v>1.1499999999999999</v>
      </c>
      <c r="P13" s="745">
        <f t="shared" si="3"/>
        <v>1.1499999999999999</v>
      </c>
      <c r="Q13" s="686">
        <v>1</v>
      </c>
      <c r="R13" s="686"/>
      <c r="S13" s="746">
        <v>5</v>
      </c>
      <c r="T13" s="747"/>
    </row>
    <row r="14" spans="1:20">
      <c r="A14" s="686" t="s">
        <v>3134</v>
      </c>
      <c r="B14" s="744" t="s">
        <v>3152</v>
      </c>
      <c r="C14" s="744"/>
      <c r="D14" s="744"/>
      <c r="E14" s="686" t="s">
        <v>3120</v>
      </c>
      <c r="F14" s="686"/>
      <c r="G14" s="686" t="s">
        <v>866</v>
      </c>
      <c r="H14" s="745"/>
      <c r="I14" s="745">
        <v>1.1499999999999999</v>
      </c>
      <c r="J14" s="745">
        <f t="shared" ref="J14:P14" si="4">I14</f>
        <v>1.1499999999999999</v>
      </c>
      <c r="K14" s="745">
        <f t="shared" si="4"/>
        <v>1.1499999999999999</v>
      </c>
      <c r="L14" s="745">
        <f t="shared" si="4"/>
        <v>1.1499999999999999</v>
      </c>
      <c r="M14" s="745">
        <f t="shared" si="4"/>
        <v>1.1499999999999999</v>
      </c>
      <c r="N14" s="745">
        <f t="shared" si="4"/>
        <v>1.1499999999999999</v>
      </c>
      <c r="O14" s="745">
        <f t="shared" si="4"/>
        <v>1.1499999999999999</v>
      </c>
      <c r="P14" s="745">
        <f t="shared" si="4"/>
        <v>1.1499999999999999</v>
      </c>
      <c r="Q14" s="686">
        <v>1</v>
      </c>
      <c r="R14" s="686"/>
      <c r="S14" s="746">
        <v>5</v>
      </c>
      <c r="T14" s="747"/>
    </row>
    <row r="15" spans="1:20">
      <c r="A15" s="686" t="s">
        <v>3135</v>
      </c>
      <c r="B15" s="744" t="s">
        <v>1365</v>
      </c>
      <c r="C15" s="744"/>
      <c r="D15" s="744"/>
      <c r="E15" s="686" t="s">
        <v>3120</v>
      </c>
      <c r="F15" s="686"/>
      <c r="G15" s="686" t="s">
        <v>866</v>
      </c>
      <c r="H15" s="745"/>
      <c r="I15" s="745">
        <v>1.1499999999999999</v>
      </c>
      <c r="J15" s="745">
        <f t="shared" ref="J15:P15" si="5">I15</f>
        <v>1.1499999999999999</v>
      </c>
      <c r="K15" s="745">
        <f t="shared" si="5"/>
        <v>1.1499999999999999</v>
      </c>
      <c r="L15" s="745">
        <f t="shared" si="5"/>
        <v>1.1499999999999999</v>
      </c>
      <c r="M15" s="745">
        <f t="shared" si="5"/>
        <v>1.1499999999999999</v>
      </c>
      <c r="N15" s="745">
        <f t="shared" si="5"/>
        <v>1.1499999999999999</v>
      </c>
      <c r="O15" s="745">
        <f t="shared" si="5"/>
        <v>1.1499999999999999</v>
      </c>
      <c r="P15" s="745">
        <f t="shared" si="5"/>
        <v>1.1499999999999999</v>
      </c>
      <c r="Q15" s="686">
        <v>1</v>
      </c>
      <c r="R15" s="686"/>
      <c r="S15" s="746">
        <v>5</v>
      </c>
      <c r="T15" s="747"/>
    </row>
    <row r="16" spans="1:20">
      <c r="A16" s="686" t="s">
        <v>3136</v>
      </c>
      <c r="B16" s="744" t="s">
        <v>1366</v>
      </c>
      <c r="C16" s="744"/>
      <c r="D16" s="744"/>
      <c r="E16" s="686" t="s">
        <v>3120</v>
      </c>
      <c r="F16" s="686"/>
      <c r="G16" s="686" t="s">
        <v>866</v>
      </c>
      <c r="H16" s="745"/>
      <c r="I16" s="745">
        <v>1.1499999999999999</v>
      </c>
      <c r="J16" s="745">
        <f t="shared" ref="J16:P16" si="6">I16</f>
        <v>1.1499999999999999</v>
      </c>
      <c r="K16" s="745">
        <f t="shared" si="6"/>
        <v>1.1499999999999999</v>
      </c>
      <c r="L16" s="745">
        <f t="shared" si="6"/>
        <v>1.1499999999999999</v>
      </c>
      <c r="M16" s="745">
        <f t="shared" si="6"/>
        <v>1.1499999999999999</v>
      </c>
      <c r="N16" s="745">
        <f t="shared" si="6"/>
        <v>1.1499999999999999</v>
      </c>
      <c r="O16" s="745">
        <f t="shared" si="6"/>
        <v>1.1499999999999999</v>
      </c>
      <c r="P16" s="745">
        <f t="shared" si="6"/>
        <v>1.1499999999999999</v>
      </c>
      <c r="Q16" s="686">
        <v>1</v>
      </c>
      <c r="R16" s="686"/>
      <c r="S16" s="746">
        <v>5</v>
      </c>
      <c r="T16" s="747"/>
    </row>
    <row r="17" spans="1:20">
      <c r="A17" s="686" t="s">
        <v>3137</v>
      </c>
      <c r="B17" s="744" t="s">
        <v>1375</v>
      </c>
      <c r="C17" s="744"/>
      <c r="D17" s="744"/>
      <c r="E17" s="686" t="s">
        <v>3120</v>
      </c>
      <c r="F17" s="686"/>
      <c r="G17" s="686" t="s">
        <v>866</v>
      </c>
      <c r="H17" s="745"/>
      <c r="I17" s="745">
        <v>1.1499999999999999</v>
      </c>
      <c r="J17" s="745">
        <f t="shared" ref="J17:P17" si="7">I17</f>
        <v>1.1499999999999999</v>
      </c>
      <c r="K17" s="745">
        <f t="shared" si="7"/>
        <v>1.1499999999999999</v>
      </c>
      <c r="L17" s="745">
        <f t="shared" si="7"/>
        <v>1.1499999999999999</v>
      </c>
      <c r="M17" s="745">
        <f t="shared" si="7"/>
        <v>1.1499999999999999</v>
      </c>
      <c r="N17" s="745">
        <f t="shared" si="7"/>
        <v>1.1499999999999999</v>
      </c>
      <c r="O17" s="745">
        <f t="shared" si="7"/>
        <v>1.1499999999999999</v>
      </c>
      <c r="P17" s="745">
        <f t="shared" si="7"/>
        <v>1.1499999999999999</v>
      </c>
      <c r="Q17" s="686">
        <v>1</v>
      </c>
      <c r="R17" s="686"/>
      <c r="S17" s="746">
        <v>5</v>
      </c>
      <c r="T17" s="747"/>
    </row>
    <row r="18" spans="1:20">
      <c r="A18" s="686" t="s">
        <v>3138</v>
      </c>
      <c r="B18" s="744" t="s">
        <v>1367</v>
      </c>
      <c r="C18" s="744"/>
      <c r="D18" s="744"/>
      <c r="E18" s="686" t="s">
        <v>3120</v>
      </c>
      <c r="F18" s="686"/>
      <c r="G18" s="686" t="s">
        <v>866</v>
      </c>
      <c r="H18" s="745"/>
      <c r="I18" s="745">
        <v>1.1499999999999999</v>
      </c>
      <c r="J18" s="745">
        <f t="shared" ref="J18:P18" si="8">I18</f>
        <v>1.1499999999999999</v>
      </c>
      <c r="K18" s="745">
        <f t="shared" si="8"/>
        <v>1.1499999999999999</v>
      </c>
      <c r="L18" s="745">
        <f t="shared" si="8"/>
        <v>1.1499999999999999</v>
      </c>
      <c r="M18" s="745">
        <f t="shared" si="8"/>
        <v>1.1499999999999999</v>
      </c>
      <c r="N18" s="745">
        <f t="shared" si="8"/>
        <v>1.1499999999999999</v>
      </c>
      <c r="O18" s="745">
        <f t="shared" si="8"/>
        <v>1.1499999999999999</v>
      </c>
      <c r="P18" s="745">
        <f t="shared" si="8"/>
        <v>1.1499999999999999</v>
      </c>
      <c r="Q18" s="686">
        <v>1</v>
      </c>
      <c r="R18" s="686"/>
      <c r="S18" s="746">
        <v>5</v>
      </c>
      <c r="T18" s="747"/>
    </row>
    <row r="19" spans="1:20">
      <c r="A19" s="686" t="s">
        <v>3139</v>
      </c>
      <c r="B19" s="744" t="s">
        <v>3153</v>
      </c>
      <c r="C19" s="744"/>
      <c r="D19" s="744"/>
      <c r="E19" s="686" t="s">
        <v>3120</v>
      </c>
      <c r="F19" s="686"/>
      <c r="G19" s="686" t="s">
        <v>866</v>
      </c>
      <c r="H19" s="745"/>
      <c r="I19" s="745">
        <v>1.1499999999999999</v>
      </c>
      <c r="J19" s="745">
        <f t="shared" ref="J19:P19" si="9">I19</f>
        <v>1.1499999999999999</v>
      </c>
      <c r="K19" s="745">
        <f t="shared" si="9"/>
        <v>1.1499999999999999</v>
      </c>
      <c r="L19" s="745">
        <f t="shared" si="9"/>
        <v>1.1499999999999999</v>
      </c>
      <c r="M19" s="745">
        <f t="shared" si="9"/>
        <v>1.1499999999999999</v>
      </c>
      <c r="N19" s="745">
        <f t="shared" si="9"/>
        <v>1.1499999999999999</v>
      </c>
      <c r="O19" s="745">
        <f t="shared" si="9"/>
        <v>1.1499999999999999</v>
      </c>
      <c r="P19" s="745">
        <f t="shared" si="9"/>
        <v>1.1499999999999999</v>
      </c>
      <c r="Q19" s="686">
        <v>1</v>
      </c>
      <c r="R19" s="686"/>
      <c r="S19" s="746">
        <v>5</v>
      </c>
      <c r="T19" s="747"/>
    </row>
    <row r="20" spans="1:20">
      <c r="A20" s="686" t="s">
        <v>3140</v>
      </c>
      <c r="B20" s="744" t="s">
        <v>1377</v>
      </c>
      <c r="C20" s="744"/>
      <c r="D20" s="744"/>
      <c r="E20" s="686" t="s">
        <v>3120</v>
      </c>
      <c r="F20" s="686"/>
      <c r="G20" s="686" t="s">
        <v>866</v>
      </c>
      <c r="H20" s="745"/>
      <c r="I20" s="745">
        <v>1.1499999999999999</v>
      </c>
      <c r="J20" s="745">
        <f t="shared" ref="J20:P20" si="10">I20</f>
        <v>1.1499999999999999</v>
      </c>
      <c r="K20" s="745">
        <f t="shared" si="10"/>
        <v>1.1499999999999999</v>
      </c>
      <c r="L20" s="745">
        <f t="shared" si="10"/>
        <v>1.1499999999999999</v>
      </c>
      <c r="M20" s="745">
        <f t="shared" si="10"/>
        <v>1.1499999999999999</v>
      </c>
      <c r="N20" s="745">
        <f t="shared" si="10"/>
        <v>1.1499999999999999</v>
      </c>
      <c r="O20" s="745">
        <f t="shared" si="10"/>
        <v>1.1499999999999999</v>
      </c>
      <c r="P20" s="745">
        <f t="shared" si="10"/>
        <v>1.1499999999999999</v>
      </c>
      <c r="Q20" s="686">
        <v>1</v>
      </c>
      <c r="R20" s="686"/>
      <c r="S20" s="746">
        <v>5</v>
      </c>
      <c r="T20" s="747"/>
    </row>
    <row r="21" spans="1:20">
      <c r="A21" s="686" t="s">
        <v>3141</v>
      </c>
      <c r="B21" s="744" t="s">
        <v>1378</v>
      </c>
      <c r="C21" s="744"/>
      <c r="D21" s="744"/>
      <c r="E21" s="686" t="s">
        <v>3120</v>
      </c>
      <c r="F21" s="686"/>
      <c r="G21" s="686" t="s">
        <v>866</v>
      </c>
      <c r="H21" s="745"/>
      <c r="I21" s="745">
        <v>1.1499999999999999</v>
      </c>
      <c r="J21" s="745">
        <f t="shared" ref="J21:P21" si="11">I21</f>
        <v>1.1499999999999999</v>
      </c>
      <c r="K21" s="745">
        <f t="shared" si="11"/>
        <v>1.1499999999999999</v>
      </c>
      <c r="L21" s="745">
        <f t="shared" si="11"/>
        <v>1.1499999999999999</v>
      </c>
      <c r="M21" s="745">
        <f t="shared" si="11"/>
        <v>1.1499999999999999</v>
      </c>
      <c r="N21" s="745">
        <f t="shared" si="11"/>
        <v>1.1499999999999999</v>
      </c>
      <c r="O21" s="745">
        <f t="shared" si="11"/>
        <v>1.1499999999999999</v>
      </c>
      <c r="P21" s="745">
        <f t="shared" si="11"/>
        <v>1.1499999999999999</v>
      </c>
      <c r="Q21" s="686">
        <v>1</v>
      </c>
      <c r="R21" s="686"/>
      <c r="S21" s="746">
        <v>5</v>
      </c>
      <c r="T21" s="747"/>
    </row>
    <row r="22" spans="1:20">
      <c r="A22" s="686" t="s">
        <v>3142</v>
      </c>
      <c r="B22" s="744" t="s">
        <v>1379</v>
      </c>
      <c r="C22" s="744"/>
      <c r="D22" s="744"/>
      <c r="E22" s="686" t="s">
        <v>3120</v>
      </c>
      <c r="F22" s="686"/>
      <c r="G22" s="686" t="s">
        <v>866</v>
      </c>
      <c r="H22" s="745"/>
      <c r="I22" s="745">
        <v>1.1499999999999999</v>
      </c>
      <c r="J22" s="745">
        <f t="shared" ref="J22:P22" si="12">I22</f>
        <v>1.1499999999999999</v>
      </c>
      <c r="K22" s="745">
        <f t="shared" si="12"/>
        <v>1.1499999999999999</v>
      </c>
      <c r="L22" s="745">
        <f t="shared" si="12"/>
        <v>1.1499999999999999</v>
      </c>
      <c r="M22" s="745">
        <f t="shared" si="12"/>
        <v>1.1499999999999999</v>
      </c>
      <c r="N22" s="745">
        <f t="shared" si="12"/>
        <v>1.1499999999999999</v>
      </c>
      <c r="O22" s="745">
        <f t="shared" si="12"/>
        <v>1.1499999999999999</v>
      </c>
      <c r="P22" s="745">
        <f t="shared" si="12"/>
        <v>1.1499999999999999</v>
      </c>
      <c r="Q22" s="686">
        <v>1</v>
      </c>
      <c r="R22" s="686"/>
      <c r="S22" s="746">
        <v>5</v>
      </c>
      <c r="T22" s="747"/>
    </row>
    <row r="23" spans="1:20">
      <c r="A23" s="686" t="s">
        <v>3143</v>
      </c>
      <c r="B23" s="744" t="s">
        <v>1380</v>
      </c>
      <c r="C23" s="744"/>
      <c r="D23" s="744"/>
      <c r="E23" s="686" t="s">
        <v>3120</v>
      </c>
      <c r="F23" s="686"/>
      <c r="G23" s="686" t="s">
        <v>866</v>
      </c>
      <c r="H23" s="745"/>
      <c r="I23" s="745">
        <v>1.1499999999999999</v>
      </c>
      <c r="J23" s="745">
        <f t="shared" ref="J23:P23" si="13">I23</f>
        <v>1.1499999999999999</v>
      </c>
      <c r="K23" s="745">
        <f t="shared" si="13"/>
        <v>1.1499999999999999</v>
      </c>
      <c r="L23" s="745">
        <f t="shared" si="13"/>
        <v>1.1499999999999999</v>
      </c>
      <c r="M23" s="745">
        <f t="shared" si="13"/>
        <v>1.1499999999999999</v>
      </c>
      <c r="N23" s="745">
        <f t="shared" si="13"/>
        <v>1.1499999999999999</v>
      </c>
      <c r="O23" s="745">
        <f t="shared" si="13"/>
        <v>1.1499999999999999</v>
      </c>
      <c r="P23" s="745">
        <f t="shared" si="13"/>
        <v>1.1499999999999999</v>
      </c>
      <c r="Q23" s="686">
        <v>1</v>
      </c>
      <c r="R23" s="686"/>
      <c r="S23" s="746">
        <v>5</v>
      </c>
      <c r="T23" s="747"/>
    </row>
    <row r="24" spans="1:20">
      <c r="A24" s="686" t="s">
        <v>3144</v>
      </c>
      <c r="B24" s="744" t="s">
        <v>1381</v>
      </c>
      <c r="C24" s="744"/>
      <c r="D24" s="744"/>
      <c r="E24" s="686" t="s">
        <v>3120</v>
      </c>
      <c r="F24" s="686"/>
      <c r="G24" s="686" t="s">
        <v>866</v>
      </c>
      <c r="H24" s="745"/>
      <c r="I24" s="745">
        <v>1.1499999999999999</v>
      </c>
      <c r="J24" s="745">
        <f t="shared" ref="J24:P24" si="14">I24</f>
        <v>1.1499999999999999</v>
      </c>
      <c r="K24" s="745">
        <f t="shared" si="14"/>
        <v>1.1499999999999999</v>
      </c>
      <c r="L24" s="745">
        <f t="shared" si="14"/>
        <v>1.1499999999999999</v>
      </c>
      <c r="M24" s="745">
        <f t="shared" si="14"/>
        <v>1.1499999999999999</v>
      </c>
      <c r="N24" s="745">
        <f t="shared" si="14"/>
        <v>1.1499999999999999</v>
      </c>
      <c r="O24" s="745">
        <f t="shared" si="14"/>
        <v>1.1499999999999999</v>
      </c>
      <c r="P24" s="745">
        <f t="shared" si="14"/>
        <v>1.1499999999999999</v>
      </c>
      <c r="Q24" s="686">
        <v>1</v>
      </c>
      <c r="R24" s="686"/>
      <c r="S24" s="746">
        <v>5</v>
      </c>
      <c r="T24" s="747"/>
    </row>
    <row r="25" spans="1:20">
      <c r="A25" s="686" t="s">
        <v>3145</v>
      </c>
      <c r="B25" s="744" t="s">
        <v>3154</v>
      </c>
      <c r="C25" s="744"/>
      <c r="D25" s="744"/>
      <c r="E25" s="686" t="s">
        <v>3120</v>
      </c>
      <c r="F25" s="686"/>
      <c r="G25" s="686" t="s">
        <v>866</v>
      </c>
      <c r="H25" s="745"/>
      <c r="I25" s="745">
        <v>1.1499999999999999</v>
      </c>
      <c r="J25" s="745">
        <f t="shared" ref="J25:P25" si="15">I25</f>
        <v>1.1499999999999999</v>
      </c>
      <c r="K25" s="745">
        <f t="shared" si="15"/>
        <v>1.1499999999999999</v>
      </c>
      <c r="L25" s="745">
        <f t="shared" si="15"/>
        <v>1.1499999999999999</v>
      </c>
      <c r="M25" s="745">
        <f t="shared" si="15"/>
        <v>1.1499999999999999</v>
      </c>
      <c r="N25" s="745">
        <f t="shared" si="15"/>
        <v>1.1499999999999999</v>
      </c>
      <c r="O25" s="745">
        <f t="shared" si="15"/>
        <v>1.1499999999999999</v>
      </c>
      <c r="P25" s="745">
        <f t="shared" si="15"/>
        <v>1.1499999999999999</v>
      </c>
      <c r="Q25" s="686">
        <v>1</v>
      </c>
      <c r="R25" s="686"/>
      <c r="S25" s="746">
        <v>5</v>
      </c>
      <c r="T25" s="747"/>
    </row>
    <row r="26" spans="1:20">
      <c r="A26" s="686" t="s">
        <v>3156</v>
      </c>
      <c r="B26" s="744" t="s">
        <v>1404</v>
      </c>
      <c r="C26" s="744"/>
      <c r="D26" s="744"/>
      <c r="E26" s="686" t="s">
        <v>3120</v>
      </c>
      <c r="F26" s="686"/>
      <c r="G26" s="686" t="s">
        <v>866</v>
      </c>
      <c r="H26" s="745"/>
      <c r="I26" s="745">
        <v>1.1499999999999999</v>
      </c>
      <c r="J26" s="745">
        <f t="shared" ref="J26:P26" si="16">I26</f>
        <v>1.1499999999999999</v>
      </c>
      <c r="K26" s="745">
        <f t="shared" si="16"/>
        <v>1.1499999999999999</v>
      </c>
      <c r="L26" s="745">
        <f t="shared" si="16"/>
        <v>1.1499999999999999</v>
      </c>
      <c r="M26" s="745">
        <f t="shared" si="16"/>
        <v>1.1499999999999999</v>
      </c>
      <c r="N26" s="745">
        <f t="shared" si="16"/>
        <v>1.1499999999999999</v>
      </c>
      <c r="O26" s="745">
        <f t="shared" si="16"/>
        <v>1.1499999999999999</v>
      </c>
      <c r="P26" s="745">
        <f t="shared" si="16"/>
        <v>1.1499999999999999</v>
      </c>
      <c r="Q26" s="686">
        <v>1</v>
      </c>
      <c r="R26" s="686"/>
      <c r="S26" s="746">
        <v>5</v>
      </c>
      <c r="T26" s="747"/>
    </row>
    <row r="27" spans="1:20">
      <c r="A27" s="686" t="s">
        <v>3157</v>
      </c>
      <c r="B27" s="744" t="s">
        <v>1406</v>
      </c>
      <c r="C27" s="744"/>
      <c r="D27" s="744"/>
      <c r="E27" s="686" t="s">
        <v>3120</v>
      </c>
      <c r="F27" s="686"/>
      <c r="G27" s="686" t="s">
        <v>866</v>
      </c>
      <c r="H27" s="745"/>
      <c r="I27" s="745">
        <v>1.1499999999999999</v>
      </c>
      <c r="J27" s="745">
        <f t="shared" ref="J27:P27" si="17">I27</f>
        <v>1.1499999999999999</v>
      </c>
      <c r="K27" s="745">
        <f t="shared" si="17"/>
        <v>1.1499999999999999</v>
      </c>
      <c r="L27" s="745">
        <f t="shared" si="17"/>
        <v>1.1499999999999999</v>
      </c>
      <c r="M27" s="745">
        <f t="shared" si="17"/>
        <v>1.1499999999999999</v>
      </c>
      <c r="N27" s="745">
        <f t="shared" si="17"/>
        <v>1.1499999999999999</v>
      </c>
      <c r="O27" s="745">
        <f t="shared" si="17"/>
        <v>1.1499999999999999</v>
      </c>
      <c r="P27" s="745">
        <f t="shared" si="17"/>
        <v>1.1499999999999999</v>
      </c>
      <c r="Q27" s="686">
        <v>1</v>
      </c>
      <c r="R27" s="686"/>
      <c r="S27" s="746">
        <v>5</v>
      </c>
      <c r="T27" s="747"/>
    </row>
    <row r="28" spans="1:20">
      <c r="A28" s="686" t="s">
        <v>3158</v>
      </c>
      <c r="B28" s="744" t="s">
        <v>3155</v>
      </c>
      <c r="C28" s="744"/>
      <c r="D28" s="744"/>
      <c r="E28" s="686" t="s">
        <v>3120</v>
      </c>
      <c r="F28" s="686"/>
      <c r="G28" s="686" t="s">
        <v>866</v>
      </c>
      <c r="H28" s="745"/>
      <c r="I28" s="745">
        <v>1.1499999999999999</v>
      </c>
      <c r="J28" s="745">
        <f t="shared" ref="J28:P28" si="18">I28</f>
        <v>1.1499999999999999</v>
      </c>
      <c r="K28" s="745">
        <f t="shared" si="18"/>
        <v>1.1499999999999999</v>
      </c>
      <c r="L28" s="745">
        <f t="shared" si="18"/>
        <v>1.1499999999999999</v>
      </c>
      <c r="M28" s="745">
        <f t="shared" si="18"/>
        <v>1.1499999999999999</v>
      </c>
      <c r="N28" s="745">
        <f t="shared" si="18"/>
        <v>1.1499999999999999</v>
      </c>
      <c r="O28" s="745">
        <f t="shared" si="18"/>
        <v>1.1499999999999999</v>
      </c>
      <c r="P28" s="745">
        <f t="shared" si="18"/>
        <v>1.1499999999999999</v>
      </c>
      <c r="Q28" s="686">
        <v>1</v>
      </c>
      <c r="R28" s="686"/>
      <c r="S28" s="746">
        <v>5</v>
      </c>
      <c r="T28" s="747"/>
    </row>
    <row r="29" spans="1:20">
      <c r="A29" s="686" t="s">
        <v>3159</v>
      </c>
      <c r="B29" s="744" t="s">
        <v>1454</v>
      </c>
      <c r="C29" s="744"/>
      <c r="D29" s="744"/>
      <c r="E29" s="686" t="s">
        <v>3120</v>
      </c>
      <c r="F29" s="686"/>
      <c r="G29" s="686" t="s">
        <v>866</v>
      </c>
      <c r="H29" s="745"/>
      <c r="I29" s="745">
        <v>1.1499999999999999</v>
      </c>
      <c r="J29" s="745">
        <f t="shared" ref="J29:P29" si="19">I29</f>
        <v>1.1499999999999999</v>
      </c>
      <c r="K29" s="745">
        <f t="shared" si="19"/>
        <v>1.1499999999999999</v>
      </c>
      <c r="L29" s="745">
        <f t="shared" si="19"/>
        <v>1.1499999999999999</v>
      </c>
      <c r="M29" s="745">
        <f t="shared" si="19"/>
        <v>1.1499999999999999</v>
      </c>
      <c r="N29" s="745">
        <f t="shared" si="19"/>
        <v>1.1499999999999999</v>
      </c>
      <c r="O29" s="745">
        <f t="shared" si="19"/>
        <v>1.1499999999999999</v>
      </c>
      <c r="P29" s="745">
        <f t="shared" si="19"/>
        <v>1.1499999999999999</v>
      </c>
      <c r="Q29" s="686">
        <v>1</v>
      </c>
      <c r="R29" s="686"/>
      <c r="S29" s="746">
        <v>5</v>
      </c>
      <c r="T29" s="747"/>
    </row>
    <row r="30" spans="1:20">
      <c r="A30" s="686" t="s">
        <v>3160</v>
      </c>
      <c r="B30" s="744" t="s">
        <v>1456</v>
      </c>
      <c r="C30" s="744"/>
      <c r="D30" s="744"/>
      <c r="E30" s="686" t="s">
        <v>3120</v>
      </c>
      <c r="F30" s="686"/>
      <c r="G30" s="686" t="s">
        <v>866</v>
      </c>
      <c r="H30" s="745"/>
      <c r="I30" s="745">
        <v>1.1499999999999999</v>
      </c>
      <c r="J30" s="745">
        <f t="shared" ref="J30:P30" si="20">I30</f>
        <v>1.1499999999999999</v>
      </c>
      <c r="K30" s="745">
        <f t="shared" si="20"/>
        <v>1.1499999999999999</v>
      </c>
      <c r="L30" s="745">
        <f t="shared" si="20"/>
        <v>1.1499999999999999</v>
      </c>
      <c r="M30" s="745">
        <f t="shared" si="20"/>
        <v>1.1499999999999999</v>
      </c>
      <c r="N30" s="745">
        <f t="shared" si="20"/>
        <v>1.1499999999999999</v>
      </c>
      <c r="O30" s="745">
        <f t="shared" si="20"/>
        <v>1.1499999999999999</v>
      </c>
      <c r="P30" s="745">
        <f t="shared" si="20"/>
        <v>1.1499999999999999</v>
      </c>
      <c r="Q30" s="686">
        <v>1</v>
      </c>
      <c r="R30" s="686"/>
      <c r="S30" s="746">
        <v>5</v>
      </c>
      <c r="T30" s="747"/>
    </row>
    <row r="31" spans="1:20">
      <c r="A31" s="686" t="s">
        <v>3161</v>
      </c>
      <c r="B31" s="744" t="s">
        <v>1458</v>
      </c>
      <c r="C31" s="744"/>
      <c r="D31" s="744"/>
      <c r="E31" s="686" t="s">
        <v>3120</v>
      </c>
      <c r="F31" s="686"/>
      <c r="G31" s="686" t="s">
        <v>866</v>
      </c>
      <c r="H31" s="745"/>
      <c r="I31" s="745">
        <v>1.1499999999999999</v>
      </c>
      <c r="J31" s="745">
        <f t="shared" ref="J31:P31" si="21">I31</f>
        <v>1.1499999999999999</v>
      </c>
      <c r="K31" s="745">
        <f t="shared" si="21"/>
        <v>1.1499999999999999</v>
      </c>
      <c r="L31" s="745">
        <f t="shared" si="21"/>
        <v>1.1499999999999999</v>
      </c>
      <c r="M31" s="745">
        <f t="shared" si="21"/>
        <v>1.1499999999999999</v>
      </c>
      <c r="N31" s="745">
        <f t="shared" si="21"/>
        <v>1.1499999999999999</v>
      </c>
      <c r="O31" s="745">
        <f t="shared" si="21"/>
        <v>1.1499999999999999</v>
      </c>
      <c r="P31" s="745">
        <f t="shared" si="21"/>
        <v>1.1499999999999999</v>
      </c>
      <c r="Q31" s="686">
        <v>1</v>
      </c>
      <c r="R31" s="686"/>
      <c r="S31" s="746">
        <v>5</v>
      </c>
      <c r="T31" s="747"/>
    </row>
  </sheetData>
  <phoneticPr fontId="10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862C-CE76-4E58-8F7F-C1329F444E89}">
  <sheetPr>
    <tabColor theme="8"/>
  </sheetPr>
  <dimension ref="A2:R180"/>
  <sheetViews>
    <sheetView topLeftCell="I1" zoomScale="115" zoomScaleNormal="115" workbookViewId="0">
      <selection activeCell="C18" sqref="A18:XFD26"/>
    </sheetView>
  </sheetViews>
  <sheetFormatPr defaultColWidth="23.42578125" defaultRowHeight="12.75"/>
  <cols>
    <col min="1" max="1" width="25.5703125" bestFit="1" customWidth="1"/>
    <col min="2" max="2" width="22.7109375" bestFit="1" customWidth="1"/>
    <col min="3" max="3" width="10.28515625" bestFit="1" customWidth="1"/>
    <col min="4" max="4" width="15.28515625" bestFit="1" customWidth="1"/>
    <col min="5" max="5" width="11.42578125" bestFit="1" customWidth="1"/>
    <col min="6" max="6" width="8.42578125" bestFit="1" customWidth="1"/>
    <col min="7" max="7" width="18" bestFit="1" customWidth="1"/>
    <col min="8" max="8" width="8.28515625" bestFit="1" customWidth="1"/>
    <col min="9" max="9" width="14.42578125" bestFit="1" customWidth="1"/>
    <col min="10" max="10" width="16.42578125" bestFit="1" customWidth="1"/>
    <col min="11" max="11" width="9.85546875" bestFit="1" customWidth="1"/>
    <col min="12" max="12" width="3.28515625" bestFit="1" customWidth="1"/>
    <col min="13" max="17" width="12" bestFit="1" customWidth="1"/>
  </cols>
  <sheetData>
    <row r="2" spans="2:18">
      <c r="B2" s="718" t="s">
        <v>3094</v>
      </c>
      <c r="C2" s="13"/>
      <c r="D2" s="13"/>
      <c r="E2" s="13"/>
      <c r="F2" s="13"/>
      <c r="G2" s="13"/>
      <c r="H2" s="13"/>
      <c r="I2" s="13"/>
      <c r="J2" s="13"/>
      <c r="K2" s="13"/>
      <c r="M2" s="748">
        <v>0.73</v>
      </c>
      <c r="N2" s="748">
        <v>0.73</v>
      </c>
      <c r="O2" s="748">
        <v>0.73</v>
      </c>
      <c r="P2" s="748">
        <v>0.73</v>
      </c>
      <c r="Q2" s="748">
        <v>0.73</v>
      </c>
    </row>
    <row r="3" spans="2:18">
      <c r="B3" s="749"/>
      <c r="C3" s="13"/>
      <c r="D3" s="13"/>
      <c r="E3" s="13"/>
      <c r="F3" s="13"/>
      <c r="G3" s="13"/>
      <c r="H3" s="13"/>
      <c r="I3" s="13"/>
      <c r="J3" s="13"/>
      <c r="K3" s="13"/>
      <c r="L3" s="13"/>
      <c r="M3" s="13"/>
      <c r="N3" s="13"/>
      <c r="O3" s="13"/>
      <c r="P3" s="13"/>
    </row>
    <row r="4" spans="2:18">
      <c r="B4" s="13"/>
      <c r="C4" s="13"/>
      <c r="E4" s="13"/>
      <c r="F4" s="13"/>
      <c r="G4" s="718" t="s">
        <v>3162</v>
      </c>
      <c r="H4" s="13"/>
      <c r="I4" s="13"/>
      <c r="J4" s="13"/>
      <c r="K4" s="13"/>
      <c r="L4" s="13"/>
      <c r="M4" s="13"/>
      <c r="N4" s="13"/>
      <c r="O4" s="13"/>
      <c r="P4" s="13"/>
      <c r="Q4" s="13"/>
    </row>
    <row r="5" spans="2:18" ht="13.5" thickBot="1">
      <c r="B5" s="750" t="s">
        <v>3095</v>
      </c>
      <c r="C5" s="750" t="s">
        <v>3096</v>
      </c>
      <c r="D5" s="750" t="s">
        <v>3164</v>
      </c>
      <c r="E5" s="750" t="s">
        <v>3097</v>
      </c>
      <c r="F5" s="750" t="s">
        <v>3098</v>
      </c>
      <c r="G5" s="750" t="s">
        <v>12</v>
      </c>
      <c r="H5" s="750" t="s">
        <v>3099</v>
      </c>
      <c r="I5" s="751" t="s">
        <v>3163</v>
      </c>
      <c r="J5" s="751" t="s">
        <v>3100</v>
      </c>
      <c r="K5" s="750" t="s">
        <v>3101</v>
      </c>
      <c r="L5" s="750" t="s">
        <v>464</v>
      </c>
      <c r="M5" s="750" t="s">
        <v>465</v>
      </c>
      <c r="N5" s="750" t="s">
        <v>466</v>
      </c>
      <c r="O5" s="750" t="s">
        <v>467</v>
      </c>
      <c r="P5" s="750" t="s">
        <v>468</v>
      </c>
      <c r="Q5" s="750" t="s">
        <v>469</v>
      </c>
    </row>
    <row r="6" spans="2:18">
      <c r="B6" s="752" t="str">
        <f>"UC_"&amp;F6&amp;RIGHT(E6,5)&amp;"LO"</f>
        <v>UC_RSHDSLEALO</v>
      </c>
      <c r="C6" s="753" t="s">
        <v>3166</v>
      </c>
      <c r="D6" s="753"/>
      <c r="E6" s="754" t="s">
        <v>354</v>
      </c>
      <c r="F6" s="754" t="s">
        <v>364</v>
      </c>
      <c r="G6" s="674">
        <v>2015</v>
      </c>
      <c r="H6" s="674">
        <v>1</v>
      </c>
      <c r="I6" s="674">
        <v>0</v>
      </c>
      <c r="J6" s="674">
        <v>5</v>
      </c>
      <c r="K6" s="755"/>
      <c r="L6" s="755"/>
      <c r="M6" s="755">
        <f>-SUM(Original!$M$3:$M$12)/SUM(Original!$AS$3:$AS$12)*0.95</f>
        <v>-0.17414270651400959</v>
      </c>
      <c r="N6" s="755">
        <f>M6</f>
        <v>-0.17414270651400959</v>
      </c>
      <c r="O6" s="755">
        <f t="shared" ref="O6:Q13" si="0">N6</f>
        <v>-0.17414270651400959</v>
      </c>
      <c r="P6" s="755">
        <f t="shared" si="0"/>
        <v>-0.17414270651400959</v>
      </c>
      <c r="Q6" s="755">
        <f t="shared" si="0"/>
        <v>-0.17414270651400959</v>
      </c>
    </row>
    <row r="7" spans="2:18" ht="15" customHeight="1">
      <c r="B7" s="752"/>
      <c r="C7" s="753" t="s">
        <v>3166</v>
      </c>
      <c r="D7" s="753"/>
      <c r="E7" s="754" t="s">
        <v>354</v>
      </c>
      <c r="F7" s="754" t="s">
        <v>364</v>
      </c>
      <c r="G7" s="674">
        <v>2020</v>
      </c>
      <c r="H7" s="674">
        <v>1</v>
      </c>
      <c r="I7" s="674"/>
      <c r="J7" s="674"/>
      <c r="K7" s="755"/>
      <c r="L7" s="755"/>
      <c r="M7" s="755">
        <f>M49</f>
        <v>-0.12333940746224763</v>
      </c>
      <c r="N7" s="755">
        <f t="shared" ref="N7:Q7" si="1">N49</f>
        <v>-0.12333940746224763</v>
      </c>
      <c r="O7" s="755">
        <f t="shared" si="1"/>
        <v>-0.12333940746224763</v>
      </c>
      <c r="P7" s="755">
        <f t="shared" si="1"/>
        <v>-0.12333940746224763</v>
      </c>
      <c r="Q7" s="755">
        <f t="shared" si="1"/>
        <v>-0.12333940746224763</v>
      </c>
    </row>
    <row r="8" spans="2:18">
      <c r="B8" s="752"/>
      <c r="C8" s="753" t="str">
        <f>C7</f>
        <v>RSH*</v>
      </c>
      <c r="D8" s="753"/>
      <c r="E8" s="754" t="str">
        <f>E7</f>
        <v>RESDSLEA</v>
      </c>
      <c r="F8" s="754" t="str">
        <f>F7</f>
        <v>RSH</v>
      </c>
      <c r="G8" s="674">
        <v>2025</v>
      </c>
      <c r="H8" s="674">
        <v>1</v>
      </c>
      <c r="I8" s="674"/>
      <c r="J8" s="674"/>
      <c r="K8" s="755"/>
      <c r="L8" s="755"/>
      <c r="M8" s="755">
        <f>M7*0.95</f>
        <v>-0.11717243708913525</v>
      </c>
      <c r="N8" s="755">
        <f t="shared" ref="N8:Q8" si="2">N7*0.95</f>
        <v>-0.11717243708913525</v>
      </c>
      <c r="O8" s="755">
        <f t="shared" si="2"/>
        <v>-0.11717243708913525</v>
      </c>
      <c r="P8" s="755">
        <f t="shared" si="2"/>
        <v>-0.11717243708913525</v>
      </c>
      <c r="Q8" s="755">
        <f t="shared" si="2"/>
        <v>-0.11717243708913525</v>
      </c>
    </row>
    <row r="9" spans="2:18">
      <c r="B9" s="673"/>
      <c r="C9" s="761" t="s">
        <v>3166</v>
      </c>
      <c r="D9" s="761"/>
      <c r="E9" s="762" t="s">
        <v>354</v>
      </c>
      <c r="F9" s="762" t="s">
        <v>364</v>
      </c>
      <c r="G9" s="763">
        <v>2055</v>
      </c>
      <c r="H9" s="763">
        <v>1</v>
      </c>
      <c r="I9" s="763"/>
      <c r="J9" s="763"/>
      <c r="K9" s="764"/>
      <c r="L9" s="764"/>
      <c r="M9" s="764">
        <v>0</v>
      </c>
      <c r="N9" s="764">
        <v>0</v>
      </c>
      <c r="O9" s="764">
        <v>0</v>
      </c>
      <c r="P9" s="764">
        <v>0</v>
      </c>
      <c r="Q9" s="764">
        <v>0</v>
      </c>
      <c r="R9" s="765"/>
    </row>
    <row r="10" spans="2:18" ht="15" customHeight="1">
      <c r="B10" s="752" t="str">
        <f>"UC_"&amp;F10&amp;RIGHT(E10,5)&amp;"LO"</f>
        <v>UC_RSHESELCLO</v>
      </c>
      <c r="C10" s="753" t="s">
        <v>3166</v>
      </c>
      <c r="D10" s="753"/>
      <c r="E10" s="754" t="s">
        <v>349</v>
      </c>
      <c r="F10" s="754" t="s">
        <v>364</v>
      </c>
      <c r="G10" s="674">
        <v>2015</v>
      </c>
      <c r="H10" s="674">
        <v>1</v>
      </c>
      <c r="I10" s="674">
        <v>0</v>
      </c>
      <c r="J10" s="674">
        <v>5</v>
      </c>
      <c r="K10" s="755"/>
      <c r="L10" s="755"/>
      <c r="M10" s="755">
        <f>-SUM(Original!$U$3:$U$12)/SUM(Original!$AS$3:$AS$12)*0.5</f>
        <v>-9.0098107176290569E-3</v>
      </c>
      <c r="N10" s="755">
        <f>M10</f>
        <v>-9.0098107176290569E-3</v>
      </c>
      <c r="O10" s="755">
        <f t="shared" si="0"/>
        <v>-9.0098107176290569E-3</v>
      </c>
      <c r="P10" s="755">
        <f t="shared" si="0"/>
        <v>-9.0098107176290569E-3</v>
      </c>
      <c r="Q10" s="755">
        <f t="shared" si="0"/>
        <v>-9.0098107176290569E-3</v>
      </c>
    </row>
    <row r="11" spans="2:18">
      <c r="B11" s="752"/>
      <c r="C11" s="753" t="s">
        <v>3166</v>
      </c>
      <c r="D11" s="753"/>
      <c r="E11" s="754" t="s">
        <v>349</v>
      </c>
      <c r="F11" s="754" t="s">
        <v>364</v>
      </c>
      <c r="G11" s="674">
        <v>2020</v>
      </c>
      <c r="H11" s="674">
        <v>1</v>
      </c>
      <c r="I11" s="674"/>
      <c r="J11" s="674"/>
      <c r="K11" s="755"/>
      <c r="L11" s="755"/>
      <c r="M11" s="755">
        <f>M10</f>
        <v>-9.0098107176290569E-3</v>
      </c>
      <c r="N11" s="755">
        <f t="shared" ref="N11:Q11" si="3">N10</f>
        <v>-9.0098107176290569E-3</v>
      </c>
      <c r="O11" s="755">
        <f t="shared" si="3"/>
        <v>-9.0098107176290569E-3</v>
      </c>
      <c r="P11" s="755">
        <f t="shared" si="3"/>
        <v>-9.0098107176290569E-3</v>
      </c>
      <c r="Q11" s="755">
        <f t="shared" si="3"/>
        <v>-9.0098107176290569E-3</v>
      </c>
    </row>
    <row r="12" spans="2:18">
      <c r="B12" s="752"/>
      <c r="C12" s="753" t="str">
        <f>C11</f>
        <v>RSH*</v>
      </c>
      <c r="D12" s="753"/>
      <c r="E12" s="754" t="str">
        <f>E11</f>
        <v>RESELC</v>
      </c>
      <c r="F12" s="754" t="str">
        <f>F11</f>
        <v>RSH</v>
      </c>
      <c r="G12" s="674">
        <v>2025</v>
      </c>
      <c r="H12" s="674">
        <v>1</v>
      </c>
      <c r="I12" s="674"/>
      <c r="J12" s="674"/>
      <c r="K12" s="755"/>
      <c r="L12" s="755"/>
      <c r="M12" s="755">
        <f>M11*0.95</f>
        <v>-8.5593201817476035E-3</v>
      </c>
      <c r="N12" s="755">
        <f t="shared" ref="N12" si="4">N11*0.95</f>
        <v>-8.5593201817476035E-3</v>
      </c>
      <c r="O12" s="755">
        <f t="shared" ref="O12" si="5">O11*0.95</f>
        <v>-8.5593201817476035E-3</v>
      </c>
      <c r="P12" s="755">
        <f t="shared" ref="P12" si="6">P11*0.95</f>
        <v>-8.5593201817476035E-3</v>
      </c>
      <c r="Q12" s="755">
        <f t="shared" ref="Q12" si="7">Q11*0.95</f>
        <v>-8.5593201817476035E-3</v>
      </c>
    </row>
    <row r="13" spans="2:18">
      <c r="B13" s="673"/>
      <c r="C13" s="753" t="s">
        <v>3166</v>
      </c>
      <c r="D13" s="753"/>
      <c r="E13" s="754" t="s">
        <v>349</v>
      </c>
      <c r="F13" s="754" t="s">
        <v>364</v>
      </c>
      <c r="G13" s="674">
        <v>2055</v>
      </c>
      <c r="H13" s="674">
        <v>1</v>
      </c>
      <c r="I13" s="674"/>
      <c r="J13" s="674"/>
      <c r="K13" s="755"/>
      <c r="L13" s="755"/>
      <c r="M13" s="755">
        <v>-3.0000000000000001E-3</v>
      </c>
      <c r="N13" s="755">
        <f>M13</f>
        <v>-3.0000000000000001E-3</v>
      </c>
      <c r="O13" s="755">
        <f t="shared" si="0"/>
        <v>-3.0000000000000001E-3</v>
      </c>
      <c r="P13" s="755">
        <f t="shared" si="0"/>
        <v>-3.0000000000000001E-3</v>
      </c>
      <c r="Q13" s="755">
        <f t="shared" si="0"/>
        <v>-3.0000000000000001E-3</v>
      </c>
    </row>
    <row r="14" spans="2:18">
      <c r="B14" s="752" t="str">
        <f>"UC_"&amp;F14&amp;RIGHT(E14,5)&amp;"LO"</f>
        <v>UC_RSHNGAEALO</v>
      </c>
      <c r="C14" s="753" t="s">
        <v>3166</v>
      </c>
      <c r="D14" s="754"/>
      <c r="E14" s="754" t="s">
        <v>352</v>
      </c>
      <c r="F14" s="754" t="s">
        <v>364</v>
      </c>
      <c r="G14" s="674">
        <v>2015</v>
      </c>
      <c r="H14" s="674">
        <v>1</v>
      </c>
      <c r="I14" s="674">
        <v>0</v>
      </c>
      <c r="J14" s="674">
        <v>5</v>
      </c>
      <c r="K14" s="755"/>
      <c r="L14" s="755"/>
      <c r="M14" s="755">
        <f>-SUM(Original!$AC$3:$AC$12)/SUM(Original!$AS$3:$AS$12)*0.95</f>
        <v>-0.73385434691956042</v>
      </c>
      <c r="N14" s="755">
        <f>M14</f>
        <v>-0.73385434691956042</v>
      </c>
      <c r="O14" s="755">
        <f t="shared" ref="O14:Q14" si="8">N14</f>
        <v>-0.73385434691956042</v>
      </c>
      <c r="P14" s="755">
        <f t="shared" si="8"/>
        <v>-0.73385434691956042</v>
      </c>
      <c r="Q14" s="755">
        <f t="shared" si="8"/>
        <v>-0.73385434691956042</v>
      </c>
    </row>
    <row r="15" spans="2:18">
      <c r="B15" s="752"/>
      <c r="C15" s="753" t="s">
        <v>3166</v>
      </c>
      <c r="D15" s="754"/>
      <c r="E15" s="754" t="s">
        <v>352</v>
      </c>
      <c r="F15" s="754" t="s">
        <v>364</v>
      </c>
      <c r="G15" s="674">
        <v>2020</v>
      </c>
      <c r="H15" s="674">
        <v>1</v>
      </c>
      <c r="I15" s="674"/>
      <c r="J15" s="674"/>
      <c r="K15" s="755"/>
      <c r="L15" s="755"/>
      <c r="M15" s="755">
        <f>M14</f>
        <v>-0.73385434691956042</v>
      </c>
      <c r="N15" s="755">
        <f t="shared" ref="N15:Q15" si="9">N14</f>
        <v>-0.73385434691956042</v>
      </c>
      <c r="O15" s="755">
        <f t="shared" si="9"/>
        <v>-0.73385434691956042</v>
      </c>
      <c r="P15" s="755">
        <f t="shared" si="9"/>
        <v>-0.73385434691956042</v>
      </c>
      <c r="Q15" s="755">
        <f t="shared" si="9"/>
        <v>-0.73385434691956042</v>
      </c>
    </row>
    <row r="16" spans="2:18">
      <c r="B16" s="752"/>
      <c r="C16" s="753" t="str">
        <f>C15</f>
        <v>RSH*</v>
      </c>
      <c r="D16" s="753"/>
      <c r="E16" s="754" t="str">
        <f>E15</f>
        <v>RESNGAEA</v>
      </c>
      <c r="F16" s="754" t="str">
        <f>F15</f>
        <v>RSH</v>
      </c>
      <c r="G16" s="674">
        <v>2025</v>
      </c>
      <c r="H16" s="674">
        <v>1</v>
      </c>
      <c r="I16" s="674"/>
      <c r="J16" s="674"/>
      <c r="K16" s="755"/>
      <c r="L16" s="755"/>
      <c r="M16" s="755">
        <f>M15*0.95</f>
        <v>-0.69716162957358241</v>
      </c>
      <c r="N16" s="755">
        <f t="shared" ref="N16" si="10">N15*0.95</f>
        <v>-0.69716162957358241</v>
      </c>
      <c r="O16" s="755">
        <f t="shared" ref="O16" si="11">O15*0.95</f>
        <v>-0.69716162957358241</v>
      </c>
      <c r="P16" s="755">
        <f t="shared" ref="P16" si="12">P15*0.95</f>
        <v>-0.69716162957358241</v>
      </c>
      <c r="Q16" s="755">
        <f t="shared" ref="Q16" si="13">Q15*0.95</f>
        <v>-0.69716162957358241</v>
      </c>
    </row>
    <row r="17" spans="2:17">
      <c r="B17" s="673"/>
      <c r="C17" s="753" t="s">
        <v>3166</v>
      </c>
      <c r="D17" s="753"/>
      <c r="E17" s="754" t="s">
        <v>352</v>
      </c>
      <c r="F17" s="754" t="s">
        <v>364</v>
      </c>
      <c r="G17" s="674">
        <v>2055</v>
      </c>
      <c r="H17" s="674">
        <v>1</v>
      </c>
      <c r="I17" s="674"/>
      <c r="J17" s="674"/>
      <c r="K17" s="755"/>
      <c r="L17" s="755"/>
      <c r="M17" s="755">
        <v>0</v>
      </c>
      <c r="N17" s="755">
        <v>0</v>
      </c>
      <c r="O17" s="755">
        <v>0</v>
      </c>
      <c r="P17" s="755">
        <v>0</v>
      </c>
      <c r="Q17" s="755">
        <v>0</v>
      </c>
    </row>
    <row r="18" spans="2:17">
      <c r="B18" s="752" t="str">
        <f>"UC_"&amp;F18&amp;RIGHT(E18,5)&amp;"Furnace"&amp;"LO"</f>
        <v>UC_RSHFurnaceLO</v>
      </c>
      <c r="C18" s="753" t="s">
        <v>3166</v>
      </c>
      <c r="D18" s="753" t="s">
        <v>3167</v>
      </c>
      <c r="E18" s="754"/>
      <c r="F18" s="754" t="s">
        <v>364</v>
      </c>
      <c r="G18" s="674">
        <v>2015</v>
      </c>
      <c r="H18" s="674">
        <v>1</v>
      </c>
      <c r="I18" s="674">
        <v>0</v>
      </c>
      <c r="J18" s="674">
        <v>5</v>
      </c>
      <c r="K18" s="755"/>
      <c r="L18" s="755"/>
      <c r="M18" s="755">
        <f>-'RECS RESID'!$AL$16*0.9</f>
        <v>-0.46637560900906982</v>
      </c>
      <c r="N18" s="755">
        <f>M18</f>
        <v>-0.46637560900906982</v>
      </c>
      <c r="O18" s="755">
        <f t="shared" ref="O18:Q18" si="14">N18</f>
        <v>-0.46637560900906982</v>
      </c>
      <c r="P18" s="755">
        <f t="shared" si="14"/>
        <v>-0.46637560900906982</v>
      </c>
      <c r="Q18" s="755">
        <f t="shared" si="14"/>
        <v>-0.46637560900906982</v>
      </c>
    </row>
    <row r="19" spans="2:17">
      <c r="B19" s="752"/>
      <c r="C19" s="753" t="s">
        <v>3166</v>
      </c>
      <c r="D19" s="753" t="s">
        <v>3167</v>
      </c>
      <c r="E19" s="754"/>
      <c r="F19" s="754" t="s">
        <v>364</v>
      </c>
      <c r="G19" s="674">
        <v>2025</v>
      </c>
      <c r="H19" s="674">
        <v>1</v>
      </c>
      <c r="I19" s="674"/>
      <c r="J19" s="674"/>
      <c r="K19" s="755"/>
      <c r="L19" s="755"/>
      <c r="M19" s="755">
        <f>M18*0.9</f>
        <v>-0.41973804810816284</v>
      </c>
      <c r="N19" s="755">
        <f t="shared" ref="N19:Q19" si="15">N18*0.9</f>
        <v>-0.41973804810816284</v>
      </c>
      <c r="O19" s="755">
        <f t="shared" si="15"/>
        <v>-0.41973804810816284</v>
      </c>
      <c r="P19" s="755">
        <f t="shared" si="15"/>
        <v>-0.41973804810816284</v>
      </c>
      <c r="Q19" s="755">
        <f t="shared" si="15"/>
        <v>-0.41973804810816284</v>
      </c>
    </row>
    <row r="20" spans="2:17">
      <c r="B20" s="673"/>
      <c r="C20" s="753" t="s">
        <v>3166</v>
      </c>
      <c r="D20" s="753" t="s">
        <v>3167</v>
      </c>
      <c r="E20" s="754"/>
      <c r="F20" s="754" t="s">
        <v>364</v>
      </c>
      <c r="G20" s="674">
        <v>2055</v>
      </c>
      <c r="H20" s="674">
        <v>1</v>
      </c>
      <c r="I20" s="674"/>
      <c r="J20" s="674"/>
      <c r="K20" s="755"/>
      <c r="L20" s="755"/>
      <c r="M20" s="755">
        <f>M18*M$2</f>
        <v>-0.34045419457662096</v>
      </c>
      <c r="N20" s="755">
        <f>N18*N$2</f>
        <v>-0.34045419457662096</v>
      </c>
      <c r="O20" s="755">
        <f>O18*O$2</f>
        <v>-0.34045419457662096</v>
      </c>
      <c r="P20" s="755">
        <f>P18*P$2</f>
        <v>-0.34045419457662096</v>
      </c>
      <c r="Q20" s="755">
        <f>Q18*Q$2</f>
        <v>-0.34045419457662096</v>
      </c>
    </row>
    <row r="21" spans="2:17">
      <c r="B21" s="752" t="str">
        <f>"UC_"&amp;F21&amp;RIGHT(D21,5)&amp;"LO"</f>
        <v>UC_RSHPump*LO</v>
      </c>
      <c r="C21" s="753" t="s">
        <v>3166</v>
      </c>
      <c r="D21" s="753" t="s">
        <v>3168</v>
      </c>
      <c r="E21" s="754"/>
      <c r="F21" s="754" t="s">
        <v>364</v>
      </c>
      <c r="G21" s="674">
        <v>2015</v>
      </c>
      <c r="H21" s="674">
        <v>1</v>
      </c>
      <c r="I21" s="674">
        <v>0</v>
      </c>
      <c r="J21" s="674">
        <v>5</v>
      </c>
      <c r="K21" s="755"/>
      <c r="L21" s="755"/>
      <c r="M21" s="755">
        <v>-6.4480430459827997E-3</v>
      </c>
      <c r="N21" s="755">
        <f>M21</f>
        <v>-6.4480430459827997E-3</v>
      </c>
      <c r="O21" s="755">
        <f t="shared" ref="O21:Q21" si="16">N21</f>
        <v>-6.4480430459827997E-3</v>
      </c>
      <c r="P21" s="755">
        <f t="shared" si="16"/>
        <v>-6.4480430459827997E-3</v>
      </c>
      <c r="Q21" s="755">
        <f t="shared" si="16"/>
        <v>-6.4480430459827997E-3</v>
      </c>
    </row>
    <row r="22" spans="2:17">
      <c r="B22" s="752"/>
      <c r="C22" s="753" t="s">
        <v>3166</v>
      </c>
      <c r="D22" s="753" t="s">
        <v>3168</v>
      </c>
      <c r="E22" s="754"/>
      <c r="F22" s="754" t="s">
        <v>364</v>
      </c>
      <c r="G22" s="674">
        <v>2025</v>
      </c>
      <c r="H22" s="674">
        <v>1</v>
      </c>
      <c r="I22" s="674"/>
      <c r="J22" s="674"/>
      <c r="K22" s="755"/>
      <c r="L22" s="755"/>
      <c r="M22" s="755">
        <f>M21*0.9</f>
        <v>-5.8032387413845202E-3</v>
      </c>
      <c r="N22" s="755">
        <f t="shared" ref="N22:Q22" si="17">N21*0.9</f>
        <v>-5.8032387413845202E-3</v>
      </c>
      <c r="O22" s="755">
        <f t="shared" si="17"/>
        <v>-5.8032387413845202E-3</v>
      </c>
      <c r="P22" s="755">
        <f t="shared" si="17"/>
        <v>-5.8032387413845202E-3</v>
      </c>
      <c r="Q22" s="755">
        <f t="shared" si="17"/>
        <v>-5.8032387413845202E-3</v>
      </c>
    </row>
    <row r="23" spans="2:17">
      <c r="B23" s="673"/>
      <c r="C23" s="753" t="s">
        <v>3166</v>
      </c>
      <c r="D23" s="753" t="s">
        <v>3168</v>
      </c>
      <c r="E23" s="754"/>
      <c r="F23" s="754" t="s">
        <v>364</v>
      </c>
      <c r="G23" s="674">
        <v>2055</v>
      </c>
      <c r="H23" s="674">
        <v>1</v>
      </c>
      <c r="I23" s="674"/>
      <c r="J23" s="674"/>
      <c r="K23" s="755"/>
      <c r="L23" s="755"/>
      <c r="M23" s="755">
        <f>M21*M$2</f>
        <v>-4.7070714235674434E-3</v>
      </c>
      <c r="N23" s="755">
        <f>N21*N$2</f>
        <v>-4.7070714235674434E-3</v>
      </c>
      <c r="O23" s="755">
        <f>O21*O$2</f>
        <v>-4.7070714235674434E-3</v>
      </c>
      <c r="P23" s="755">
        <f>P21*P$2</f>
        <v>-4.7070714235674434E-3</v>
      </c>
      <c r="Q23" s="755">
        <f>Q21*Q$2</f>
        <v>-4.7070714235674434E-3</v>
      </c>
    </row>
    <row r="24" spans="2:17">
      <c r="B24" s="752" t="str">
        <f>"UC_"&amp;F24&amp;RIGHT(E24,5)&amp;"LO"</f>
        <v>UC_RSHLO</v>
      </c>
      <c r="C24" s="753" t="s">
        <v>3166</v>
      </c>
      <c r="D24" s="753" t="s">
        <v>3169</v>
      </c>
      <c r="E24" s="754"/>
      <c r="F24" s="754" t="s">
        <v>364</v>
      </c>
      <c r="G24" s="674">
        <v>2015</v>
      </c>
      <c r="H24" s="674">
        <v>1</v>
      </c>
      <c r="I24" s="674">
        <v>0</v>
      </c>
      <c r="J24" s="674">
        <v>5</v>
      </c>
      <c r="K24" s="755"/>
      <c r="L24" s="755"/>
      <c r="M24" s="756">
        <f>-'RECS RESID'!$AL$18*0.9</f>
        <v>-0.42703251461662139</v>
      </c>
      <c r="N24" s="755">
        <f>M24</f>
        <v>-0.42703251461662139</v>
      </c>
      <c r="O24" s="755">
        <f t="shared" ref="O24:Q24" si="18">N24</f>
        <v>-0.42703251461662139</v>
      </c>
      <c r="P24" s="755">
        <f t="shared" si="18"/>
        <v>-0.42703251461662139</v>
      </c>
      <c r="Q24" s="755">
        <f t="shared" si="18"/>
        <v>-0.42703251461662139</v>
      </c>
    </row>
    <row r="25" spans="2:17">
      <c r="B25" s="752"/>
      <c r="C25" s="753" t="s">
        <v>3166</v>
      </c>
      <c r="D25" s="753" t="s">
        <v>3169</v>
      </c>
      <c r="E25" s="754"/>
      <c r="F25" s="754" t="s">
        <v>364</v>
      </c>
      <c r="G25" s="674">
        <v>2025</v>
      </c>
      <c r="H25" s="674">
        <v>1</v>
      </c>
      <c r="I25" s="674"/>
      <c r="J25" s="674"/>
      <c r="K25" s="755"/>
      <c r="L25" s="755"/>
      <c r="M25" s="756">
        <f>M24*0.9</f>
        <v>-0.38432926315495924</v>
      </c>
      <c r="N25" s="756">
        <f t="shared" ref="N25:Q25" si="19">N24*0.9</f>
        <v>-0.38432926315495924</v>
      </c>
      <c r="O25" s="756">
        <f t="shared" si="19"/>
        <v>-0.38432926315495924</v>
      </c>
      <c r="P25" s="756">
        <f t="shared" si="19"/>
        <v>-0.38432926315495924</v>
      </c>
      <c r="Q25" s="756">
        <f t="shared" si="19"/>
        <v>-0.38432926315495924</v>
      </c>
    </row>
    <row r="26" spans="2:17">
      <c r="B26" s="673"/>
      <c r="C26" s="753" t="s">
        <v>3166</v>
      </c>
      <c r="D26" s="753" t="s">
        <v>3169</v>
      </c>
      <c r="E26" s="754"/>
      <c r="F26" s="754" t="s">
        <v>364</v>
      </c>
      <c r="G26" s="674">
        <v>2055</v>
      </c>
      <c r="H26" s="674">
        <v>1</v>
      </c>
      <c r="I26" s="674"/>
      <c r="J26" s="674"/>
      <c r="K26" s="755"/>
      <c r="L26" s="755"/>
      <c r="M26" s="755">
        <f>M24*M$2</f>
        <v>-0.31173373567013363</v>
      </c>
      <c r="N26" s="755">
        <f>N24*N$2</f>
        <v>-0.31173373567013363</v>
      </c>
      <c r="O26" s="755">
        <f>O24*O$2</f>
        <v>-0.31173373567013363</v>
      </c>
      <c r="P26" s="755">
        <f>P24*P$2</f>
        <v>-0.31173373567013363</v>
      </c>
      <c r="Q26" s="755">
        <f>Q24*Q$2</f>
        <v>-0.31173373567013363</v>
      </c>
    </row>
    <row r="27" spans="2:17">
      <c r="B27" s="752" t="str">
        <f>"UC_"&amp;F27&amp;"UTI"&amp;"LO"</f>
        <v>UC_RSHUTILO</v>
      </c>
      <c r="C27" s="753" t="s">
        <v>3183</v>
      </c>
      <c r="D27" s="753"/>
      <c r="E27" s="762"/>
      <c r="F27" s="754" t="s">
        <v>364</v>
      </c>
      <c r="G27" s="674">
        <v>2015</v>
      </c>
      <c r="H27" s="674">
        <v>1</v>
      </c>
      <c r="I27" s="674">
        <v>0</v>
      </c>
      <c r="J27" s="674">
        <v>5</v>
      </c>
      <c r="K27" s="755"/>
      <c r="L27" s="755"/>
      <c r="M27" s="756">
        <v>0</v>
      </c>
      <c r="N27" s="755">
        <v>0</v>
      </c>
      <c r="O27" s="755">
        <f>-25.03*0.16/58</f>
        <v>-6.9048275862068978E-2</v>
      </c>
      <c r="P27" s="755">
        <v>0</v>
      </c>
      <c r="Q27" s="755">
        <v>0</v>
      </c>
    </row>
    <row r="28" spans="2:17">
      <c r="B28" s="752"/>
      <c r="C28" s="753" t="s">
        <v>3183</v>
      </c>
      <c r="D28" s="753"/>
      <c r="E28" s="762"/>
      <c r="F28" s="754" t="s">
        <v>364</v>
      </c>
      <c r="G28" s="674">
        <v>2025</v>
      </c>
      <c r="H28" s="674">
        <v>1</v>
      </c>
      <c r="I28" s="674"/>
      <c r="J28" s="674"/>
      <c r="K28" s="755"/>
      <c r="L28" s="755"/>
      <c r="M28" s="756">
        <v>0</v>
      </c>
      <c r="N28" s="755">
        <v>0</v>
      </c>
      <c r="O28" s="755">
        <f>O52*0.95</f>
        <v>-6.5595862068965533E-2</v>
      </c>
      <c r="P28" s="755">
        <v>0</v>
      </c>
      <c r="Q28" s="755">
        <v>0</v>
      </c>
    </row>
    <row r="29" spans="2:17">
      <c r="B29" s="673"/>
      <c r="C29" s="753" t="s">
        <v>3183</v>
      </c>
      <c r="D29" s="753"/>
      <c r="E29" s="762"/>
      <c r="F29" s="754" t="s">
        <v>364</v>
      </c>
      <c r="G29" s="674">
        <v>2055</v>
      </c>
      <c r="H29" s="674">
        <v>1</v>
      </c>
      <c r="I29" s="674"/>
      <c r="J29" s="674"/>
      <c r="K29" s="755"/>
      <c r="L29" s="755"/>
      <c r="M29" s="756">
        <v>0</v>
      </c>
      <c r="N29" s="755">
        <v>0</v>
      </c>
      <c r="O29" s="755">
        <f>O53*O2</f>
        <v>-7.560786206896554E-2</v>
      </c>
      <c r="P29" s="755">
        <v>0</v>
      </c>
      <c r="Q29" s="755">
        <v>0</v>
      </c>
    </row>
    <row r="30" spans="2:17">
      <c r="B30" s="1"/>
      <c r="C30" s="758"/>
      <c r="D30" s="758"/>
      <c r="E30" s="759"/>
      <c r="F30" s="759"/>
      <c r="G30" s="13"/>
      <c r="H30" s="13"/>
      <c r="I30" s="13"/>
      <c r="J30" s="13"/>
      <c r="K30" s="760"/>
      <c r="L30" s="760"/>
      <c r="M30" s="760"/>
      <c r="N30" s="760"/>
      <c r="O30" s="760"/>
      <c r="P30" s="760"/>
      <c r="Q30" s="760"/>
    </row>
    <row r="31" spans="2:17">
      <c r="B31" s="1"/>
      <c r="C31" s="758"/>
      <c r="D31" s="758"/>
      <c r="E31" s="759"/>
      <c r="F31" s="759"/>
      <c r="G31" s="13"/>
      <c r="H31" s="13"/>
      <c r="I31" s="13"/>
      <c r="J31" s="13"/>
      <c r="K31" s="760"/>
      <c r="L31" s="760"/>
      <c r="M31" s="757">
        <f>'2010 GHG Emissions'!$M$2</f>
        <v>0.61168451717608885</v>
      </c>
      <c r="N31" s="757">
        <f>M31</f>
        <v>0.61168451717608885</v>
      </c>
      <c r="O31" s="757">
        <f t="shared" ref="O31:Q31" si="20">N31</f>
        <v>0.61168451717608885</v>
      </c>
      <c r="P31" s="757">
        <f t="shared" si="20"/>
        <v>0.61168451717608885</v>
      </c>
      <c r="Q31" s="757">
        <f t="shared" si="20"/>
        <v>0.61168451717608885</v>
      </c>
    </row>
    <row r="32" spans="2:17">
      <c r="B32" s="1"/>
      <c r="C32" s="758"/>
      <c r="D32" s="758"/>
      <c r="E32" s="759"/>
      <c r="F32" s="759"/>
      <c r="G32" s="13"/>
      <c r="H32" s="13"/>
      <c r="I32" s="13"/>
      <c r="J32" s="13"/>
      <c r="K32" s="760"/>
      <c r="L32" s="760"/>
      <c r="M32" s="748">
        <v>1.2</v>
      </c>
      <c r="N32" s="748">
        <v>1.2</v>
      </c>
      <c r="O32" s="748">
        <v>1.2</v>
      </c>
      <c r="P32" s="748">
        <v>1.2</v>
      </c>
      <c r="Q32" s="748">
        <v>1.2</v>
      </c>
    </row>
    <row r="33" spans="2:18">
      <c r="B33" s="1"/>
      <c r="C33" s="758"/>
      <c r="D33" s="758"/>
      <c r="E33" s="759"/>
      <c r="F33" s="759"/>
      <c r="G33" s="13"/>
      <c r="H33" s="13"/>
      <c r="I33" s="13"/>
      <c r="J33" s="13"/>
      <c r="K33" s="760"/>
      <c r="L33" s="760"/>
      <c r="M33" s="757">
        <v>1.5</v>
      </c>
      <c r="N33" s="757">
        <v>1.5</v>
      </c>
      <c r="O33" s="757">
        <v>1.5</v>
      </c>
      <c r="P33" s="757">
        <v>1.5</v>
      </c>
      <c r="Q33" s="757">
        <v>1.5</v>
      </c>
    </row>
    <row r="35" spans="2:18">
      <c r="B35" s="718" t="s">
        <v>3094</v>
      </c>
    </row>
    <row r="37" spans="2:18">
      <c r="B37" s="13"/>
      <c r="C37" s="13"/>
      <c r="D37" s="13"/>
      <c r="E37" s="13"/>
      <c r="G37" s="718" t="s">
        <v>3162</v>
      </c>
      <c r="H37" s="13"/>
      <c r="I37" s="13"/>
      <c r="J37" s="13"/>
      <c r="K37" s="13"/>
      <c r="L37" s="13"/>
      <c r="M37" s="13"/>
      <c r="N37" s="13"/>
      <c r="O37" s="13"/>
      <c r="P37" s="13"/>
    </row>
    <row r="38" spans="2:18" ht="13.5" thickBot="1">
      <c r="B38" s="750" t="s">
        <v>3095</v>
      </c>
      <c r="C38" s="750" t="s">
        <v>3096</v>
      </c>
      <c r="D38" s="750" t="s">
        <v>3164</v>
      </c>
      <c r="E38" s="750" t="s">
        <v>3097</v>
      </c>
      <c r="F38" s="750" t="s">
        <v>3098</v>
      </c>
      <c r="G38" s="750" t="s">
        <v>12</v>
      </c>
      <c r="H38" s="750" t="s">
        <v>3099</v>
      </c>
      <c r="I38" s="751" t="s">
        <v>3165</v>
      </c>
      <c r="J38" s="751" t="s">
        <v>3105</v>
      </c>
      <c r="K38" s="750" t="s">
        <v>3101</v>
      </c>
      <c r="L38" s="750" t="s">
        <v>464</v>
      </c>
      <c r="M38" s="750" t="s">
        <v>465</v>
      </c>
      <c r="N38" s="750" t="s">
        <v>466</v>
      </c>
      <c r="O38" s="750" t="s">
        <v>467</v>
      </c>
      <c r="P38" s="750" t="s">
        <v>468</v>
      </c>
      <c r="Q38" s="750" t="s">
        <v>469</v>
      </c>
    </row>
    <row r="39" spans="2:18">
      <c r="B39" s="752" t="str">
        <f>"UC_"&amp;F39&amp;RIGHT(E39,5)&amp;"Furnace"&amp;"UP"</f>
        <v>UC_RSHDSLEAFurnaceUP</v>
      </c>
      <c r="C39" s="753" t="s">
        <v>3166</v>
      </c>
      <c r="D39" s="753" t="s">
        <v>3167</v>
      </c>
      <c r="E39" s="754" t="s">
        <v>354</v>
      </c>
      <c r="F39" s="754" t="s">
        <v>364</v>
      </c>
      <c r="G39" s="674">
        <v>2015</v>
      </c>
      <c r="H39" s="674">
        <v>1</v>
      </c>
      <c r="I39" s="674">
        <v>0</v>
      </c>
      <c r="J39" s="674">
        <v>5</v>
      </c>
      <c r="K39" s="755"/>
      <c r="L39" s="755"/>
      <c r="M39" s="755">
        <f>-0.15</f>
        <v>-0.15</v>
      </c>
      <c r="N39" s="755">
        <f>M39</f>
        <v>-0.15</v>
      </c>
      <c r="O39" s="755">
        <f t="shared" ref="O39" si="21">N39</f>
        <v>-0.15</v>
      </c>
      <c r="P39" s="755">
        <f t="shared" ref="P39" si="22">O39</f>
        <v>-0.15</v>
      </c>
      <c r="Q39" s="755">
        <f t="shared" ref="Q39" si="23">P39</f>
        <v>-0.15</v>
      </c>
    </row>
    <row r="40" spans="2:18">
      <c r="B40" s="752"/>
      <c r="C40" s="753" t="s">
        <v>3166</v>
      </c>
      <c r="D40" s="753" t="s">
        <v>3167</v>
      </c>
      <c r="E40" s="754" t="s">
        <v>354</v>
      </c>
      <c r="F40" s="754" t="s">
        <v>364</v>
      </c>
      <c r="G40" s="674">
        <v>2025</v>
      </c>
      <c r="H40" s="674">
        <v>1</v>
      </c>
      <c r="I40" s="674"/>
      <c r="J40" s="674"/>
      <c r="K40" s="755"/>
      <c r="L40" s="755"/>
      <c r="M40" s="755">
        <f>M39*M$31</f>
        <v>-9.1752677576413325E-2</v>
      </c>
      <c r="N40" s="755">
        <f>N39*N$31</f>
        <v>-9.1752677576413325E-2</v>
      </c>
      <c r="O40" s="755">
        <f>O39*O$31</f>
        <v>-9.1752677576413325E-2</v>
      </c>
      <c r="P40" s="755">
        <f>P39*P$31</f>
        <v>-9.1752677576413325E-2</v>
      </c>
      <c r="Q40" s="755">
        <f>Q39*Q$31</f>
        <v>-9.1752677576413325E-2</v>
      </c>
    </row>
    <row r="41" spans="2:18">
      <c r="B41" s="673"/>
      <c r="C41" s="753" t="s">
        <v>3166</v>
      </c>
      <c r="D41" s="753" t="s">
        <v>3167</v>
      </c>
      <c r="E41" s="754" t="s">
        <v>354</v>
      </c>
      <c r="F41" s="754" t="s">
        <v>364</v>
      </c>
      <c r="G41" s="674">
        <v>2055</v>
      </c>
      <c r="H41" s="674">
        <v>1</v>
      </c>
      <c r="I41" s="674"/>
      <c r="J41" s="674"/>
      <c r="K41" s="755"/>
      <c r="L41" s="755"/>
      <c r="M41" s="755">
        <f>M40</f>
        <v>-9.1752677576413325E-2</v>
      </c>
      <c r="N41" s="755">
        <f t="shared" ref="N41:Q41" si="24">N40</f>
        <v>-9.1752677576413325E-2</v>
      </c>
      <c r="O41" s="755">
        <f t="shared" si="24"/>
        <v>-9.1752677576413325E-2</v>
      </c>
      <c r="P41" s="755">
        <f t="shared" si="24"/>
        <v>-9.1752677576413325E-2</v>
      </c>
      <c r="Q41" s="755">
        <f t="shared" si="24"/>
        <v>-9.1752677576413325E-2</v>
      </c>
    </row>
    <row r="42" spans="2:18">
      <c r="B42" s="752" t="str">
        <f>"UC_"&amp;F42&amp;RIGHT(E42,5)&amp;"Furnace"&amp;"UP"</f>
        <v>UC_RSHESELCFurnaceUP</v>
      </c>
      <c r="C42" s="753" t="s">
        <v>3166</v>
      </c>
      <c r="D42" s="753" t="s">
        <v>3167</v>
      </c>
      <c r="E42" s="754" t="s">
        <v>349</v>
      </c>
      <c r="F42" s="754" t="s">
        <v>364</v>
      </c>
      <c r="G42" s="674">
        <v>2020</v>
      </c>
      <c r="H42" s="674">
        <v>1</v>
      </c>
      <c r="I42" s="674">
        <v>0</v>
      </c>
      <c r="J42" s="674">
        <v>5</v>
      </c>
      <c r="K42" s="755"/>
      <c r="L42" s="755"/>
      <c r="M42" s="755">
        <f>-1.1*Assumptions_MI!$K$34</f>
        <v>-4.4000000000000004E-2</v>
      </c>
      <c r="N42" s="755">
        <f>M42</f>
        <v>-4.4000000000000004E-2</v>
      </c>
      <c r="O42" s="755">
        <f t="shared" ref="O42" si="25">N42</f>
        <v>-4.4000000000000004E-2</v>
      </c>
      <c r="P42" s="755">
        <f t="shared" ref="P42" si="26">O42</f>
        <v>-4.4000000000000004E-2</v>
      </c>
      <c r="Q42" s="755">
        <f t="shared" ref="Q42" si="27">P42</f>
        <v>-4.4000000000000004E-2</v>
      </c>
    </row>
    <row r="43" spans="2:18">
      <c r="B43" s="752"/>
      <c r="C43" s="753" t="s">
        <v>3166</v>
      </c>
      <c r="D43" s="753" t="s">
        <v>3167</v>
      </c>
      <c r="E43" s="754" t="s">
        <v>349</v>
      </c>
      <c r="F43" s="754" t="s">
        <v>364</v>
      </c>
      <c r="G43" s="674">
        <v>2030</v>
      </c>
      <c r="H43" s="674">
        <v>1</v>
      </c>
      <c r="I43" s="674"/>
      <c r="J43" s="674"/>
      <c r="K43" s="755"/>
      <c r="L43" s="755"/>
      <c r="M43" s="755">
        <f>M42</f>
        <v>-4.4000000000000004E-2</v>
      </c>
      <c r="N43" s="755">
        <f t="shared" ref="N43" si="28">N42</f>
        <v>-4.4000000000000004E-2</v>
      </c>
      <c r="O43" s="755">
        <f t="shared" ref="O43" si="29">O42</f>
        <v>-4.4000000000000004E-2</v>
      </c>
      <c r="P43" s="755">
        <f t="shared" ref="P43" si="30">P42</f>
        <v>-4.4000000000000004E-2</v>
      </c>
      <c r="Q43" s="755">
        <f t="shared" ref="Q43" si="31">Q42</f>
        <v>-4.4000000000000004E-2</v>
      </c>
    </row>
    <row r="44" spans="2:18">
      <c r="B44" s="673"/>
      <c r="C44" s="753" t="s">
        <v>3166</v>
      </c>
      <c r="D44" s="753" t="s">
        <v>3167</v>
      </c>
      <c r="E44" s="754" t="s">
        <v>349</v>
      </c>
      <c r="F44" s="754" t="s">
        <v>364</v>
      </c>
      <c r="G44" s="674">
        <v>2055</v>
      </c>
      <c r="H44" s="674">
        <v>1</v>
      </c>
      <c r="I44" s="674"/>
      <c r="J44" s="674"/>
      <c r="K44" s="755"/>
      <c r="L44" s="755"/>
      <c r="M44" s="755">
        <f>M43*M$33</f>
        <v>-6.6000000000000003E-2</v>
      </c>
      <c r="N44" s="755">
        <f>N43*N$33</f>
        <v>-6.6000000000000003E-2</v>
      </c>
      <c r="O44" s="755">
        <f>O43*O$33</f>
        <v>-6.6000000000000003E-2</v>
      </c>
      <c r="P44" s="755">
        <f>P43*P$33</f>
        <v>-6.6000000000000003E-2</v>
      </c>
      <c r="Q44" s="755">
        <f>Q43*Q$33</f>
        <v>-6.6000000000000003E-2</v>
      </c>
    </row>
    <row r="45" spans="2:18">
      <c r="B45" s="752" t="str">
        <f>"UC_"&amp;F45&amp;RIGHT(E45,5)&amp;"UP"</f>
        <v>UC_RSHESELCUP</v>
      </c>
      <c r="C45" s="753" t="s">
        <v>3166</v>
      </c>
      <c r="D45" s="753"/>
      <c r="E45" s="754" t="s">
        <v>349</v>
      </c>
      <c r="F45" s="754" t="s">
        <v>364</v>
      </c>
      <c r="G45" s="674">
        <v>2015</v>
      </c>
      <c r="H45" s="674">
        <v>1</v>
      </c>
      <c r="I45" s="674">
        <v>0</v>
      </c>
      <c r="J45" s="674">
        <v>5</v>
      </c>
      <c r="K45" s="755"/>
      <c r="L45" s="755"/>
      <c r="M45" s="755">
        <f>-SUM(Original!$U$3:$U$12)/SUM(Original!$AS$3:$AS$12)</f>
        <v>-1.8019621435258114E-2</v>
      </c>
      <c r="N45" s="755">
        <f>M45</f>
        <v>-1.8019621435258114E-2</v>
      </c>
      <c r="O45" s="755">
        <f t="shared" ref="O45:Q45" si="32">N45</f>
        <v>-1.8019621435258114E-2</v>
      </c>
      <c r="P45" s="755">
        <f t="shared" si="32"/>
        <v>-1.8019621435258114E-2</v>
      </c>
      <c r="Q45" s="755">
        <f t="shared" si="32"/>
        <v>-1.8019621435258114E-2</v>
      </c>
    </row>
    <row r="46" spans="2:18">
      <c r="B46" s="673"/>
      <c r="C46" s="753" t="s">
        <v>3166</v>
      </c>
      <c r="D46" s="753"/>
      <c r="E46" s="754" t="s">
        <v>349</v>
      </c>
      <c r="F46" s="754" t="s">
        <v>364</v>
      </c>
      <c r="G46" s="674">
        <v>2025</v>
      </c>
      <c r="H46" s="674">
        <v>1</v>
      </c>
      <c r="I46" s="674"/>
      <c r="J46" s="674"/>
      <c r="K46" s="755"/>
      <c r="L46" s="755"/>
      <c r="M46" s="755">
        <f>M45*M$32</f>
        <v>-2.1623545722309737E-2</v>
      </c>
      <c r="N46" s="755">
        <f>N45*N$32</f>
        <v>-2.1623545722309737E-2</v>
      </c>
      <c r="O46" s="755">
        <f>O45*O$32</f>
        <v>-2.1623545722309737E-2</v>
      </c>
      <c r="P46" s="755">
        <f>P45*P$32</f>
        <v>-2.1623545722309737E-2</v>
      </c>
      <c r="Q46" s="755">
        <f>Q45*Q$32</f>
        <v>-2.1623545722309737E-2</v>
      </c>
    </row>
    <row r="47" spans="2:18">
      <c r="B47" s="673"/>
      <c r="C47" s="753" t="s">
        <v>3166</v>
      </c>
      <c r="D47" s="753"/>
      <c r="E47" s="754" t="s">
        <v>349</v>
      </c>
      <c r="F47" s="754" t="s">
        <v>364</v>
      </c>
      <c r="G47" s="674">
        <v>2055</v>
      </c>
      <c r="H47" s="674">
        <v>1</v>
      </c>
      <c r="I47" s="674"/>
      <c r="J47" s="674"/>
      <c r="K47" s="755"/>
      <c r="L47" s="755"/>
      <c r="M47" s="764">
        <v>-1</v>
      </c>
      <c r="N47" s="764">
        <v>-1</v>
      </c>
      <c r="O47" s="764">
        <v>-1</v>
      </c>
      <c r="P47" s="764">
        <v>-1</v>
      </c>
      <c r="Q47" s="764">
        <v>-1</v>
      </c>
    </row>
    <row r="48" spans="2:18">
      <c r="B48" s="752" t="str">
        <f>"UC_"&amp;F48&amp;RIGHT(E48,5)&amp;"UP"</f>
        <v>UC_RSHDSLEAUP</v>
      </c>
      <c r="C48" s="753" t="s">
        <v>3166</v>
      </c>
      <c r="D48" s="753"/>
      <c r="E48" s="754" t="s">
        <v>354</v>
      </c>
      <c r="F48" s="754" t="s">
        <v>364</v>
      </c>
      <c r="G48" s="674">
        <v>2015</v>
      </c>
      <c r="H48" s="674">
        <v>1</v>
      </c>
      <c r="I48" s="674">
        <v>0</v>
      </c>
      <c r="J48" s="674">
        <v>5</v>
      </c>
      <c r="K48" s="755"/>
      <c r="L48" s="755"/>
      <c r="M48" s="755">
        <f>-SUM(Original!$M$3:$M$12)/SUM(Original!$AS$3:$AS$12)*1.1</f>
        <v>-0.20163892333201114</v>
      </c>
      <c r="N48" s="755">
        <f>M48</f>
        <v>-0.20163892333201114</v>
      </c>
      <c r="O48" s="755">
        <f t="shared" ref="O48:Q48" si="33">N48</f>
        <v>-0.20163892333201114</v>
      </c>
      <c r="P48" s="755">
        <f t="shared" si="33"/>
        <v>-0.20163892333201114</v>
      </c>
      <c r="Q48" s="755">
        <f t="shared" si="33"/>
        <v>-0.20163892333201114</v>
      </c>
      <c r="R48" s="765"/>
    </row>
    <row r="49" spans="2:17">
      <c r="B49" s="752"/>
      <c r="C49" s="753" t="s">
        <v>3166</v>
      </c>
      <c r="D49" s="753"/>
      <c r="E49" s="754" t="s">
        <v>354</v>
      </c>
      <c r="F49" s="754" t="s">
        <v>364</v>
      </c>
      <c r="G49" s="674">
        <v>2020</v>
      </c>
      <c r="H49" s="674">
        <v>1</v>
      </c>
      <c r="I49" s="674"/>
      <c r="J49" s="674"/>
      <c r="K49" s="755"/>
      <c r="L49" s="755"/>
      <c r="M49" s="755">
        <f>M48*M$31</f>
        <v>-0.12333940746224763</v>
      </c>
      <c r="N49" s="755">
        <f>N48*N$31</f>
        <v>-0.12333940746224763</v>
      </c>
      <c r="O49" s="755">
        <f>O48*O$31</f>
        <v>-0.12333940746224763</v>
      </c>
      <c r="P49" s="755">
        <f>P48*P$31</f>
        <v>-0.12333940746224763</v>
      </c>
      <c r="Q49" s="755">
        <f>Q48*Q$31</f>
        <v>-0.12333940746224763</v>
      </c>
    </row>
    <row r="50" spans="2:17">
      <c r="B50" s="673"/>
      <c r="C50" s="753" t="s">
        <v>3166</v>
      </c>
      <c r="D50" s="753"/>
      <c r="E50" s="754" t="s">
        <v>354</v>
      </c>
      <c r="F50" s="754" t="s">
        <v>364</v>
      </c>
      <c r="G50" s="674">
        <v>2055</v>
      </c>
      <c r="H50" s="674">
        <v>1</v>
      </c>
      <c r="I50" s="674"/>
      <c r="J50" s="674"/>
      <c r="K50" s="755"/>
      <c r="L50" s="755"/>
      <c r="M50" s="755">
        <f>M49</f>
        <v>-0.12333940746224763</v>
      </c>
      <c r="N50" s="755">
        <f t="shared" ref="N50:Q50" si="34">N49</f>
        <v>-0.12333940746224763</v>
      </c>
      <c r="O50" s="755">
        <f t="shared" si="34"/>
        <v>-0.12333940746224763</v>
      </c>
      <c r="P50" s="755">
        <f t="shared" si="34"/>
        <v>-0.12333940746224763</v>
      </c>
      <c r="Q50" s="755">
        <f t="shared" si="34"/>
        <v>-0.12333940746224763</v>
      </c>
    </row>
    <row r="51" spans="2:17">
      <c r="B51" s="752" t="str">
        <f>"UC_"&amp;F51&amp;"UTI"&amp;"UP"</f>
        <v>UC_RSHUTIUP</v>
      </c>
      <c r="C51" s="753" t="s">
        <v>3183</v>
      </c>
      <c r="D51" s="753"/>
      <c r="E51" s="762"/>
      <c r="F51" s="754" t="s">
        <v>364</v>
      </c>
      <c r="G51" s="674">
        <v>2015</v>
      </c>
      <c r="H51" s="674">
        <v>1</v>
      </c>
      <c r="I51" s="674">
        <v>0</v>
      </c>
      <c r="J51" s="674">
        <v>5</v>
      </c>
      <c r="K51" s="755"/>
      <c r="L51" s="755"/>
      <c r="M51" s="756">
        <v>0</v>
      </c>
      <c r="N51" s="755">
        <v>0</v>
      </c>
      <c r="O51" s="755">
        <f>-25.03*0.16/58</f>
        <v>-6.9048275862068978E-2</v>
      </c>
      <c r="P51" s="755">
        <v>0</v>
      </c>
      <c r="Q51" s="755">
        <v>0</v>
      </c>
    </row>
    <row r="52" spans="2:17">
      <c r="B52" s="752"/>
      <c r="C52" s="753" t="s">
        <v>3183</v>
      </c>
      <c r="D52" s="753"/>
      <c r="E52" s="762"/>
      <c r="F52" s="754" t="s">
        <v>364</v>
      </c>
      <c r="G52" s="674">
        <v>2025</v>
      </c>
      <c r="H52" s="674">
        <v>1</v>
      </c>
      <c r="I52" s="674"/>
      <c r="J52" s="674"/>
      <c r="K52" s="755"/>
      <c r="L52" s="755"/>
      <c r="M52" s="756">
        <v>0</v>
      </c>
      <c r="N52" s="755">
        <v>0</v>
      </c>
      <c r="O52" s="755">
        <f>O51</f>
        <v>-6.9048275862068978E-2</v>
      </c>
      <c r="P52" s="755">
        <v>0</v>
      </c>
      <c r="Q52" s="755">
        <v>0</v>
      </c>
    </row>
    <row r="53" spans="2:17">
      <c r="B53" s="673"/>
      <c r="C53" s="753" t="s">
        <v>3183</v>
      </c>
      <c r="D53" s="753"/>
      <c r="E53" s="762"/>
      <c r="F53" s="754" t="s">
        <v>364</v>
      </c>
      <c r="G53" s="674">
        <v>2055</v>
      </c>
      <c r="H53" s="674">
        <v>1</v>
      </c>
      <c r="I53" s="674"/>
      <c r="J53" s="674"/>
      <c r="K53" s="755"/>
      <c r="L53" s="755"/>
      <c r="M53" s="755">
        <f>M51*M$2</f>
        <v>0</v>
      </c>
      <c r="N53" s="755">
        <f>N51*N$2</f>
        <v>0</v>
      </c>
      <c r="O53" s="755">
        <f>O51*O33</f>
        <v>-0.10357241379310347</v>
      </c>
      <c r="P53" s="755">
        <f>P51*P$2</f>
        <v>0</v>
      </c>
      <c r="Q53" s="755">
        <f>Q51*Q$2</f>
        <v>0</v>
      </c>
    </row>
    <row r="56" spans="2:17">
      <c r="M56" s="748">
        <f>'2010 GHG Emissions'!$M$2*0.5</f>
        <v>0.30584225858804442</v>
      </c>
      <c r="N56" s="748">
        <f>'2010 GHG Emissions'!$M$2*0.5</f>
        <v>0.30584225858804442</v>
      </c>
      <c r="O56" s="748">
        <f>'2010 GHG Emissions'!$M$2*0.5</f>
        <v>0.30584225858804442</v>
      </c>
      <c r="P56" s="748">
        <f>'2010 GHG Emissions'!$M$2*0.5</f>
        <v>0.30584225858804442</v>
      </c>
      <c r="Q56" s="748">
        <f>'2010 GHG Emissions'!$M$2*0.5</f>
        <v>0.30584225858804442</v>
      </c>
    </row>
    <row r="57" spans="2:17">
      <c r="C57" s="13"/>
      <c r="D57" s="13"/>
      <c r="E57" s="13"/>
      <c r="F57" s="13"/>
      <c r="G57" s="13"/>
      <c r="H57" s="13"/>
      <c r="I57" s="13"/>
      <c r="K57" s="13"/>
      <c r="M57" s="748">
        <v>0.73</v>
      </c>
      <c r="N57" s="748">
        <v>0.73</v>
      </c>
      <c r="O57" s="748">
        <v>0.73</v>
      </c>
      <c r="P57" s="748">
        <v>0.73</v>
      </c>
      <c r="Q57" s="748">
        <v>0.73</v>
      </c>
    </row>
    <row r="58" spans="2:17">
      <c r="C58" s="13"/>
      <c r="D58" s="13"/>
      <c r="E58" s="13"/>
      <c r="F58" s="13"/>
      <c r="G58" s="13"/>
      <c r="H58" s="13"/>
      <c r="I58" s="13"/>
      <c r="K58" s="13"/>
      <c r="M58" s="748"/>
      <c r="N58" s="748"/>
      <c r="O58" s="748"/>
      <c r="P58" s="748"/>
      <c r="Q58" s="748"/>
    </row>
    <row r="59" spans="2:17">
      <c r="B59" s="718" t="s">
        <v>3094</v>
      </c>
      <c r="C59" s="13"/>
      <c r="D59" s="13"/>
      <c r="E59" s="13"/>
      <c r="F59" s="13"/>
      <c r="G59" s="13"/>
      <c r="H59" s="13"/>
      <c r="I59" s="13"/>
      <c r="K59" s="13"/>
    </row>
    <row r="60" spans="2:17" ht="12" customHeight="1">
      <c r="B60" s="749"/>
      <c r="C60" s="13"/>
      <c r="D60" s="13"/>
      <c r="E60" s="13"/>
      <c r="F60" s="13"/>
      <c r="G60" s="13"/>
      <c r="H60" s="13"/>
      <c r="I60" s="13"/>
      <c r="J60" s="13"/>
      <c r="K60" s="13"/>
      <c r="L60" s="13"/>
      <c r="M60" s="13"/>
      <c r="N60" s="13"/>
      <c r="O60" s="13"/>
      <c r="P60" s="13"/>
    </row>
    <row r="61" spans="2:17">
      <c r="B61" s="13"/>
      <c r="C61" s="13"/>
      <c r="E61" s="13"/>
      <c r="F61" s="13"/>
      <c r="G61" s="718" t="s">
        <v>3162</v>
      </c>
      <c r="H61" s="13"/>
      <c r="I61" s="13"/>
      <c r="J61" s="13"/>
      <c r="K61" s="13"/>
      <c r="L61" s="13"/>
      <c r="M61" s="13"/>
      <c r="N61" s="13"/>
      <c r="O61" s="13"/>
      <c r="P61" s="13"/>
      <c r="Q61" s="13"/>
    </row>
    <row r="62" spans="2:17" ht="13.5" thickBot="1">
      <c r="B62" s="750" t="s">
        <v>3095</v>
      </c>
      <c r="C62" s="750" t="s">
        <v>3096</v>
      </c>
      <c r="D62" s="750" t="s">
        <v>3164</v>
      </c>
      <c r="E62" s="750" t="s">
        <v>3097</v>
      </c>
      <c r="F62" s="750" t="s">
        <v>3098</v>
      </c>
      <c r="G62" s="750" t="s">
        <v>12</v>
      </c>
      <c r="H62" s="750" t="s">
        <v>3099</v>
      </c>
      <c r="I62" s="751" t="s">
        <v>3163</v>
      </c>
      <c r="J62" s="751" t="s">
        <v>3100</v>
      </c>
      <c r="K62" s="750" t="s">
        <v>3101</v>
      </c>
      <c r="L62" s="750" t="s">
        <v>464</v>
      </c>
      <c r="M62" s="750" t="s">
        <v>465</v>
      </c>
      <c r="N62" s="750" t="s">
        <v>466</v>
      </c>
      <c r="O62" s="750" t="s">
        <v>467</v>
      </c>
      <c r="P62" s="750" t="s">
        <v>468</v>
      </c>
      <c r="Q62" s="750" t="s">
        <v>469</v>
      </c>
    </row>
    <row r="63" spans="2:17">
      <c r="B63" s="752" t="str">
        <f>"UC_"&amp;F63&amp;RIGHT(E63,5)&amp;"LO"</f>
        <v>UC_RWHESELCLO</v>
      </c>
      <c r="C63" s="753" t="s">
        <v>3182</v>
      </c>
      <c r="D63" s="753"/>
      <c r="E63" s="754" t="s">
        <v>349</v>
      </c>
      <c r="F63" s="754" t="s">
        <v>368</v>
      </c>
      <c r="G63" s="674">
        <v>2015</v>
      </c>
      <c r="H63" s="674">
        <v>1</v>
      </c>
      <c r="I63" s="674">
        <v>0</v>
      </c>
      <c r="J63" s="674">
        <v>5</v>
      </c>
      <c r="K63" s="755"/>
      <c r="L63" s="755"/>
      <c r="M63" s="755">
        <f>-Resid!$T$103/(Resid!$T$95+Resid!$T$103+Resid!$T$112)*0.95</f>
        <v>-2.7755474948860524E-2</v>
      </c>
      <c r="N63" s="755">
        <f>M63</f>
        <v>-2.7755474948860524E-2</v>
      </c>
      <c r="O63" s="755">
        <f t="shared" ref="O63" si="35">N63</f>
        <v>-2.7755474948860524E-2</v>
      </c>
      <c r="P63" s="755">
        <f t="shared" ref="P63" si="36">O63</f>
        <v>-2.7755474948860524E-2</v>
      </c>
      <c r="Q63" s="755">
        <f t="shared" ref="Q63" si="37">P63</f>
        <v>-2.7755474948860524E-2</v>
      </c>
    </row>
    <row r="64" spans="2:17">
      <c r="B64" s="752"/>
      <c r="C64" s="753" t="s">
        <v>3182</v>
      </c>
      <c r="D64" s="753"/>
      <c r="E64" s="754" t="s">
        <v>349</v>
      </c>
      <c r="F64" s="754" t="s">
        <v>368</v>
      </c>
      <c r="G64" s="674">
        <v>2025</v>
      </c>
      <c r="H64" s="674">
        <v>1</v>
      </c>
      <c r="I64" s="674"/>
      <c r="J64" s="674"/>
      <c r="K64" s="755"/>
      <c r="L64" s="755"/>
      <c r="M64" s="755">
        <f>M63</f>
        <v>-2.7755474948860524E-2</v>
      </c>
      <c r="N64" s="755">
        <f t="shared" ref="N64:Q64" si="38">N63</f>
        <v>-2.7755474948860524E-2</v>
      </c>
      <c r="O64" s="755">
        <f t="shared" si="38"/>
        <v>-2.7755474948860524E-2</v>
      </c>
      <c r="P64" s="755">
        <f t="shared" si="38"/>
        <v>-2.7755474948860524E-2</v>
      </c>
      <c r="Q64" s="755">
        <f t="shared" si="38"/>
        <v>-2.7755474948860524E-2</v>
      </c>
    </row>
    <row r="65" spans="2:17">
      <c r="B65" s="673"/>
      <c r="C65" s="753" t="s">
        <v>3182</v>
      </c>
      <c r="D65" s="753"/>
      <c r="E65" s="754" t="s">
        <v>349</v>
      </c>
      <c r="F65" s="754" t="s">
        <v>368</v>
      </c>
      <c r="G65" s="674">
        <v>2055</v>
      </c>
      <c r="H65" s="674">
        <v>1</v>
      </c>
      <c r="I65" s="674"/>
      <c r="J65" s="674"/>
      <c r="K65" s="755"/>
      <c r="L65" s="755"/>
      <c r="M65" s="755">
        <f>M63*M$57</f>
        <v>-2.0261496712668182E-2</v>
      </c>
      <c r="N65" s="755">
        <f>N63*N$57</f>
        <v>-2.0261496712668182E-2</v>
      </c>
      <c r="O65" s="755">
        <f>O63*O$57</f>
        <v>-2.0261496712668182E-2</v>
      </c>
      <c r="P65" s="755">
        <f>P63*P$57</f>
        <v>-2.0261496712668182E-2</v>
      </c>
      <c r="Q65" s="755">
        <f>Q63*Q$57</f>
        <v>-2.0261496712668182E-2</v>
      </c>
    </row>
    <row r="66" spans="2:17">
      <c r="B66" s="752" t="str">
        <f>"UC_"&amp;F67&amp;RIGHT(E67,5)&amp;"LO"</f>
        <v>UC_RWHNGAEALO</v>
      </c>
      <c r="C66" s="753" t="s">
        <v>3170</v>
      </c>
      <c r="D66" s="753"/>
      <c r="E66" s="754" t="s">
        <v>352</v>
      </c>
      <c r="F66" s="754" t="s">
        <v>368</v>
      </c>
      <c r="G66" s="674">
        <v>2015</v>
      </c>
      <c r="H66" s="674">
        <v>1</v>
      </c>
      <c r="I66" s="674">
        <v>0</v>
      </c>
      <c r="J66" s="674">
        <v>5</v>
      </c>
      <c r="K66" s="755"/>
      <c r="L66" s="755"/>
      <c r="M66" s="755">
        <f>-SUM(Original!$AD$3:$AD$12)/SUM(Original!$AT$3:$AT$12)</f>
        <v>-0.815905308019785</v>
      </c>
      <c r="N66" s="755">
        <f>-SUM(Original!$AD$3:$AD$12)/SUM(Original!$AT$3:$AT$12)</f>
        <v>-0.815905308019785</v>
      </c>
      <c r="O66" s="755">
        <f>-SUM(Original!$AD$3:$AD$12)/SUM(Original!$AT$3:$AT$12)+9.1*0.1/13.5</f>
        <v>-0.74849790061237753</v>
      </c>
      <c r="P66" s="755">
        <f>-SUM(Original!$AD$3:$AD$12)/SUM(Original!$AT$3:$AT$12)</f>
        <v>-0.815905308019785</v>
      </c>
      <c r="Q66" s="755">
        <f>-SUM(Original!$AD$3:$AD$12)/SUM(Original!$AT$3:$AT$12)</f>
        <v>-0.815905308019785</v>
      </c>
    </row>
    <row r="67" spans="2:17">
      <c r="B67" s="673"/>
      <c r="C67" s="753" t="s">
        <v>3170</v>
      </c>
      <c r="D67" s="753"/>
      <c r="E67" s="754" t="s">
        <v>352</v>
      </c>
      <c r="F67" s="754" t="s">
        <v>368</v>
      </c>
      <c r="G67" s="674">
        <v>2025</v>
      </c>
      <c r="H67" s="674">
        <v>1</v>
      </c>
      <c r="I67" s="674"/>
      <c r="J67" s="674"/>
      <c r="K67" s="755"/>
      <c r="L67" s="755"/>
      <c r="M67" s="755">
        <f>-SUM(Original!$AD$3:$AD$12)*M57/SUM(Original!$AT$3:$AT$12)</f>
        <v>-0.59561087485444308</v>
      </c>
      <c r="N67" s="755">
        <f>M67</f>
        <v>-0.59561087485444308</v>
      </c>
      <c r="O67" s="755">
        <f t="shared" ref="O67" si="39">N67</f>
        <v>-0.59561087485444308</v>
      </c>
      <c r="P67" s="755">
        <f t="shared" ref="P67" si="40">O67</f>
        <v>-0.59561087485444308</v>
      </c>
      <c r="Q67" s="755">
        <f t="shared" ref="Q67" si="41">P67</f>
        <v>-0.59561087485444308</v>
      </c>
    </row>
    <row r="68" spans="2:17">
      <c r="B68" s="752"/>
      <c r="C68" s="753" t="s">
        <v>3170</v>
      </c>
      <c r="D68" s="753"/>
      <c r="E68" s="754" t="s">
        <v>352</v>
      </c>
      <c r="F68" s="754" t="s">
        <v>368</v>
      </c>
      <c r="G68" s="674">
        <v>2050</v>
      </c>
      <c r="H68" s="674">
        <v>1</v>
      </c>
      <c r="I68" s="674"/>
      <c r="J68" s="674"/>
      <c r="K68" s="755"/>
      <c r="L68" s="755"/>
      <c r="M68" s="755">
        <v>0</v>
      </c>
      <c r="N68" s="755">
        <v>0</v>
      </c>
      <c r="O68" s="755">
        <v>0</v>
      </c>
      <c r="P68" s="755">
        <v>0</v>
      </c>
      <c r="Q68" s="755">
        <v>0</v>
      </c>
    </row>
    <row r="69" spans="2:17">
      <c r="B69" s="752" t="str">
        <f>"UC_"&amp;F69&amp;RIGHT(E69,5)&amp;"LO"</f>
        <v>UC_RWHSOLLO</v>
      </c>
      <c r="C69" s="753" t="s">
        <v>3170</v>
      </c>
      <c r="D69" s="753"/>
      <c r="E69" s="754" t="s">
        <v>863</v>
      </c>
      <c r="F69" s="754" t="s">
        <v>368</v>
      </c>
      <c r="G69" s="674">
        <v>2015</v>
      </c>
      <c r="H69" s="674">
        <v>1</v>
      </c>
      <c r="I69" s="674">
        <v>0</v>
      </c>
      <c r="J69" s="674">
        <v>5</v>
      </c>
      <c r="K69" s="755"/>
      <c r="L69" s="755"/>
      <c r="M69" s="755">
        <v>0</v>
      </c>
      <c r="N69" s="755">
        <f>M69</f>
        <v>0</v>
      </c>
      <c r="O69" s="755">
        <f t="shared" ref="O69" si="42">N69</f>
        <v>0</v>
      </c>
      <c r="P69" s="755">
        <f t="shared" ref="P69" si="43">O69</f>
        <v>0</v>
      </c>
      <c r="Q69" s="755">
        <f t="shared" ref="Q69" si="44">P69</f>
        <v>0</v>
      </c>
    </row>
    <row r="70" spans="2:17">
      <c r="B70" s="752"/>
      <c r="C70" s="753" t="s">
        <v>3170</v>
      </c>
      <c r="D70" s="753"/>
      <c r="E70" s="754" t="s">
        <v>863</v>
      </c>
      <c r="F70" s="754" t="s">
        <v>368</v>
      </c>
      <c r="G70" s="674">
        <v>2025</v>
      </c>
      <c r="H70" s="674">
        <v>1</v>
      </c>
      <c r="I70" s="674"/>
      <c r="J70" s="674"/>
      <c r="K70" s="755"/>
      <c r="L70" s="755"/>
      <c r="M70" s="755">
        <f>M69</f>
        <v>0</v>
      </c>
      <c r="N70" s="755">
        <f t="shared" ref="N70:Q70" si="45">N69</f>
        <v>0</v>
      </c>
      <c r="O70" s="755">
        <f t="shared" si="45"/>
        <v>0</v>
      </c>
      <c r="P70" s="755">
        <f t="shared" si="45"/>
        <v>0</v>
      </c>
      <c r="Q70" s="755">
        <f t="shared" si="45"/>
        <v>0</v>
      </c>
    </row>
    <row r="71" spans="2:17">
      <c r="B71" s="673"/>
      <c r="C71" s="753" t="s">
        <v>3170</v>
      </c>
      <c r="D71" s="753"/>
      <c r="E71" s="754" t="s">
        <v>863</v>
      </c>
      <c r="F71" s="754" t="s">
        <v>368</v>
      </c>
      <c r="G71" s="674">
        <v>2055</v>
      </c>
      <c r="H71" s="674">
        <v>1</v>
      </c>
      <c r="I71" s="674"/>
      <c r="J71" s="674"/>
      <c r="K71" s="755"/>
      <c r="L71" s="755"/>
      <c r="M71" s="755">
        <f>M69</f>
        <v>0</v>
      </c>
      <c r="N71" s="755">
        <f t="shared" ref="N71:Q71" si="46">N69</f>
        <v>0</v>
      </c>
      <c r="O71" s="755">
        <f t="shared" si="46"/>
        <v>0</v>
      </c>
      <c r="P71" s="755">
        <f t="shared" si="46"/>
        <v>0</v>
      </c>
      <c r="Q71" s="755">
        <f t="shared" si="46"/>
        <v>0</v>
      </c>
    </row>
    <row r="72" spans="2:17">
      <c r="B72" s="752" t="str">
        <f>"UC_"&amp;F72&amp;RIGHT(E72,5)&amp;"LO"</f>
        <v>UC_RWHDSLEALO</v>
      </c>
      <c r="C72" s="753" t="s">
        <v>3170</v>
      </c>
      <c r="D72" s="753"/>
      <c r="E72" s="754" t="s">
        <v>354</v>
      </c>
      <c r="F72" s="754" t="s">
        <v>368</v>
      </c>
      <c r="G72" s="674">
        <v>2015</v>
      </c>
      <c r="H72" s="674">
        <v>1</v>
      </c>
      <c r="I72" s="674">
        <v>0</v>
      </c>
      <c r="J72" s="674">
        <v>5</v>
      </c>
      <c r="K72" s="755"/>
      <c r="L72" s="755"/>
      <c r="M72" s="755">
        <f>-Resid!$T$112/(Resid!$T$95+Resid!$T$103+Resid!$T$112)*0.45</f>
        <v>-0.1343775253508343</v>
      </c>
      <c r="N72" s="755">
        <f>M72</f>
        <v>-0.1343775253508343</v>
      </c>
      <c r="O72" s="755">
        <f>N72</f>
        <v>-0.1343775253508343</v>
      </c>
      <c r="P72" s="755">
        <f>N72</f>
        <v>-0.1343775253508343</v>
      </c>
      <c r="Q72" s="755">
        <f t="shared" ref="Q72" si="47">P72</f>
        <v>-0.1343775253508343</v>
      </c>
    </row>
    <row r="73" spans="2:17">
      <c r="B73" s="673"/>
      <c r="C73" s="753" t="s">
        <v>3170</v>
      </c>
      <c r="D73" s="753"/>
      <c r="E73" s="754" t="s">
        <v>354</v>
      </c>
      <c r="F73" s="754" t="s">
        <v>368</v>
      </c>
      <c r="G73" s="674">
        <v>2020</v>
      </c>
      <c r="H73" s="674">
        <v>1</v>
      </c>
      <c r="I73" s="674"/>
      <c r="J73" s="674"/>
      <c r="K73" s="755"/>
      <c r="L73" s="755"/>
      <c r="M73" s="755">
        <f>M72*M$56</f>
        <v>-4.109832585677136E-2</v>
      </c>
      <c r="N73" s="755">
        <f>N72*N$56</f>
        <v>-4.109832585677136E-2</v>
      </c>
      <c r="O73" s="755">
        <f>O72*O$56</f>
        <v>-4.109832585677136E-2</v>
      </c>
      <c r="P73" s="755">
        <f>P72*P$56</f>
        <v>-4.109832585677136E-2</v>
      </c>
      <c r="Q73" s="755">
        <f>Q72*Q$56</f>
        <v>-4.109832585677136E-2</v>
      </c>
    </row>
    <row r="74" spans="2:17">
      <c r="B74" s="673"/>
      <c r="C74" s="753" t="s">
        <v>3170</v>
      </c>
      <c r="D74" s="753"/>
      <c r="E74" s="754" t="s">
        <v>354</v>
      </c>
      <c r="F74" s="754" t="s">
        <v>368</v>
      </c>
      <c r="G74" s="674">
        <v>2030</v>
      </c>
      <c r="H74" s="674">
        <v>1</v>
      </c>
      <c r="I74" s="674"/>
      <c r="J74" s="674"/>
      <c r="K74" s="755"/>
      <c r="L74" s="755"/>
      <c r="M74" s="755">
        <v>0</v>
      </c>
      <c r="N74" s="755">
        <v>0</v>
      </c>
      <c r="O74" s="755">
        <v>0</v>
      </c>
      <c r="P74" s="755">
        <v>0</v>
      </c>
      <c r="Q74" s="755">
        <v>0</v>
      </c>
    </row>
    <row r="75" spans="2:17">
      <c r="B75" s="673"/>
      <c r="C75" s="761" t="s">
        <v>3170</v>
      </c>
      <c r="D75" s="761"/>
      <c r="E75" s="762" t="s">
        <v>354</v>
      </c>
      <c r="F75" s="762" t="s">
        <v>368</v>
      </c>
      <c r="G75" s="763">
        <v>2055</v>
      </c>
      <c r="H75" s="763">
        <v>1</v>
      </c>
      <c r="I75" s="763"/>
      <c r="J75" s="763"/>
      <c r="K75" s="764"/>
      <c r="L75" s="764"/>
      <c r="M75" s="764">
        <v>0</v>
      </c>
      <c r="N75" s="764">
        <v>0</v>
      </c>
      <c r="O75" s="764">
        <v>0</v>
      </c>
      <c r="P75" s="764">
        <v>0</v>
      </c>
      <c r="Q75" s="764">
        <v>0</v>
      </c>
    </row>
    <row r="76" spans="2:17">
      <c r="B76" s="752" t="str">
        <f>"UC_"&amp;F76&amp;"UTI"&amp;"LO"</f>
        <v>UC_RWHUTILO</v>
      </c>
      <c r="C76" s="753" t="s">
        <v>3184</v>
      </c>
      <c r="D76" s="753"/>
      <c r="E76" s="762"/>
      <c r="F76" s="762" t="s">
        <v>368</v>
      </c>
      <c r="G76" s="674">
        <v>2015</v>
      </c>
      <c r="H76" s="674">
        <v>1</v>
      </c>
      <c r="I76" s="674">
        <v>0</v>
      </c>
      <c r="J76" s="674">
        <v>5</v>
      </c>
      <c r="K76" s="755"/>
      <c r="L76" s="755"/>
      <c r="M76" s="756">
        <v>0</v>
      </c>
      <c r="N76" s="755">
        <v>0</v>
      </c>
      <c r="O76" s="755">
        <f>-9.1*0.1/13.5</f>
        <v>-6.7407407407407416E-2</v>
      </c>
      <c r="P76" s="755">
        <v>0</v>
      </c>
      <c r="Q76" s="755">
        <v>0</v>
      </c>
    </row>
    <row r="77" spans="2:17">
      <c r="B77" s="673"/>
      <c r="C77" s="753" t="s">
        <v>3184</v>
      </c>
      <c r="D77" s="753"/>
      <c r="E77" s="762"/>
      <c r="F77" s="762" t="s">
        <v>368</v>
      </c>
      <c r="G77" s="674">
        <v>2025</v>
      </c>
      <c r="H77" s="674">
        <v>1</v>
      </c>
      <c r="I77" s="674"/>
      <c r="J77" s="674"/>
      <c r="K77" s="755"/>
      <c r="L77" s="755"/>
      <c r="M77" s="755">
        <f>M75*M$2</f>
        <v>0</v>
      </c>
      <c r="N77" s="755">
        <f>N75*N$2</f>
        <v>0</v>
      </c>
      <c r="O77" s="755">
        <f>O76</f>
        <v>-6.7407407407407416E-2</v>
      </c>
      <c r="P77" s="755">
        <f>P75*P$2</f>
        <v>0</v>
      </c>
      <c r="Q77" s="755">
        <f>Q75*Q$2</f>
        <v>0</v>
      </c>
    </row>
    <row r="78" spans="2:17">
      <c r="B78" s="673"/>
      <c r="C78" s="753" t="s">
        <v>3184</v>
      </c>
      <c r="D78" s="753"/>
      <c r="E78" s="762"/>
      <c r="F78" s="762" t="s">
        <v>368</v>
      </c>
      <c r="G78" s="674">
        <v>2055</v>
      </c>
      <c r="H78" s="674">
        <v>1</v>
      </c>
      <c r="I78" s="674"/>
      <c r="J78" s="674"/>
      <c r="K78" s="755"/>
      <c r="L78" s="755"/>
      <c r="M78" s="755">
        <f>M76*M$2</f>
        <v>0</v>
      </c>
      <c r="N78" s="755">
        <f>N76*N$2</f>
        <v>0</v>
      </c>
      <c r="O78" s="755">
        <f>O76*O57</f>
        <v>-4.9207407407407415E-2</v>
      </c>
      <c r="P78" s="755">
        <f>P76*P$2</f>
        <v>0</v>
      </c>
      <c r="Q78" s="755">
        <f>Q76*Q$2</f>
        <v>0</v>
      </c>
    </row>
    <row r="80" spans="2:17">
      <c r="B80" s="752" t="str">
        <f>"UC_"&amp;F80&amp;RIGHT(E80,5)&amp;"LO"</f>
        <v>UC_RWHLO</v>
      </c>
      <c r="C80" s="753" t="s">
        <v>3170</v>
      </c>
      <c r="D80" s="753" t="s">
        <v>3171</v>
      </c>
      <c r="E80" s="754"/>
      <c r="F80" s="754" t="s">
        <v>368</v>
      </c>
      <c r="G80" s="674">
        <v>2015</v>
      </c>
      <c r="H80" s="674">
        <v>1</v>
      </c>
      <c r="I80" s="674">
        <v>0</v>
      </c>
      <c r="J80" s="674">
        <v>5</v>
      </c>
      <c r="K80" s="755"/>
      <c r="L80" s="755"/>
      <c r="M80" s="755">
        <v>-0.02</v>
      </c>
      <c r="N80" s="755">
        <f>M80</f>
        <v>-0.02</v>
      </c>
      <c r="O80" s="755">
        <f t="shared" ref="O80:Q80" si="48">N80</f>
        <v>-0.02</v>
      </c>
      <c r="P80" s="755">
        <f t="shared" si="48"/>
        <v>-0.02</v>
      </c>
      <c r="Q80" s="755">
        <f t="shared" si="48"/>
        <v>-0.02</v>
      </c>
    </row>
    <row r="81" spans="2:17">
      <c r="B81" s="673"/>
      <c r="C81" s="753" t="s">
        <v>3170</v>
      </c>
      <c r="D81" s="753" t="s">
        <v>3171</v>
      </c>
      <c r="E81" s="754"/>
      <c r="F81" s="754" t="s">
        <v>368</v>
      </c>
      <c r="G81" s="674">
        <v>2055</v>
      </c>
      <c r="H81" s="674">
        <v>1</v>
      </c>
      <c r="I81" s="674"/>
      <c r="J81" s="674"/>
      <c r="K81" s="755"/>
      <c r="L81" s="755"/>
      <c r="M81" s="755">
        <f>M80</f>
        <v>-0.02</v>
      </c>
      <c r="N81" s="755">
        <f t="shared" ref="N81:Q81" si="49">N80</f>
        <v>-0.02</v>
      </c>
      <c r="O81" s="755">
        <f t="shared" si="49"/>
        <v>-0.02</v>
      </c>
      <c r="P81" s="755">
        <f t="shared" si="49"/>
        <v>-0.02</v>
      </c>
      <c r="Q81" s="755">
        <f t="shared" si="49"/>
        <v>-0.02</v>
      </c>
    </row>
    <row r="84" spans="2:17">
      <c r="M84" s="757">
        <f>'2010 GHG Emissions'!$M$2</f>
        <v>0.61168451717608885</v>
      </c>
      <c r="N84" s="757">
        <f>'2010 GHG Emissions'!$M$2</f>
        <v>0.61168451717608885</v>
      </c>
      <c r="O84" s="757">
        <f>'2010 GHG Emissions'!$M$2</f>
        <v>0.61168451717608885</v>
      </c>
      <c r="P84" s="757">
        <f>'2010 GHG Emissions'!$M$2</f>
        <v>0.61168451717608885</v>
      </c>
      <c r="Q84" s="757">
        <f>'2010 GHG Emissions'!$M$2</f>
        <v>0.61168451717608885</v>
      </c>
    </row>
    <row r="86" spans="2:17">
      <c r="B86" s="718" t="s">
        <v>3094</v>
      </c>
    </row>
    <row r="88" spans="2:17">
      <c r="B88" s="13"/>
      <c r="C88" s="13"/>
      <c r="D88" s="13"/>
      <c r="E88" s="13"/>
      <c r="G88" s="718" t="s">
        <v>3162</v>
      </c>
      <c r="H88" s="13"/>
      <c r="I88" s="13"/>
      <c r="J88" s="13"/>
      <c r="K88" s="13"/>
      <c r="L88" s="13"/>
      <c r="M88" s="13"/>
      <c r="N88" s="13"/>
      <c r="O88" s="13"/>
      <c r="P88" s="13"/>
    </row>
    <row r="89" spans="2:17" ht="13.5" thickBot="1">
      <c r="B89" s="750" t="s">
        <v>3095</v>
      </c>
      <c r="C89" s="750" t="s">
        <v>3096</v>
      </c>
      <c r="D89" s="750" t="s">
        <v>3164</v>
      </c>
      <c r="E89" s="750" t="s">
        <v>3097</v>
      </c>
      <c r="F89" s="750" t="s">
        <v>3098</v>
      </c>
      <c r="G89" s="750" t="s">
        <v>12</v>
      </c>
      <c r="H89" s="750" t="s">
        <v>3099</v>
      </c>
      <c r="I89" s="751" t="s">
        <v>3165</v>
      </c>
      <c r="J89" s="751" t="s">
        <v>3105</v>
      </c>
      <c r="K89" s="750" t="s">
        <v>3101</v>
      </c>
      <c r="L89" s="750" t="s">
        <v>464</v>
      </c>
      <c r="M89" s="750" t="s">
        <v>465</v>
      </c>
      <c r="N89" s="750" t="s">
        <v>466</v>
      </c>
      <c r="O89" s="750" t="s">
        <v>467</v>
      </c>
      <c r="P89" s="750" t="s">
        <v>468</v>
      </c>
      <c r="Q89" s="750" t="s">
        <v>469</v>
      </c>
    </row>
    <row r="90" spans="2:17">
      <c r="B90" s="752" t="str">
        <f>"UC_"&amp;F90&amp;RIGHT(E90,5)&amp;"UP"</f>
        <v>UC_RWHESELCUP</v>
      </c>
      <c r="C90" s="753" t="s">
        <v>3182</v>
      </c>
      <c r="D90" s="753"/>
      <c r="E90" s="754" t="s">
        <v>349</v>
      </c>
      <c r="F90" s="754" t="s">
        <v>368</v>
      </c>
      <c r="G90" s="674">
        <v>2015</v>
      </c>
      <c r="H90" s="674">
        <v>1</v>
      </c>
      <c r="I90" s="674">
        <v>0</v>
      </c>
      <c r="J90" s="674">
        <v>5</v>
      </c>
      <c r="K90" s="755"/>
      <c r="L90" s="755"/>
      <c r="M90" s="755">
        <f>-Resid!$T$103/(Resid!$T$95+Resid!$T$103+Resid!$T$112)*1.2</f>
        <v>-3.5059547303823817E-2</v>
      </c>
      <c r="N90" s="755">
        <f>M90</f>
        <v>-3.5059547303823817E-2</v>
      </c>
      <c r="O90" s="755">
        <f>N90</f>
        <v>-3.5059547303823817E-2</v>
      </c>
      <c r="P90" s="755">
        <f t="shared" ref="P90" si="50">O90</f>
        <v>-3.5059547303823817E-2</v>
      </c>
      <c r="Q90" s="755">
        <f t="shared" ref="Q90" si="51">P90</f>
        <v>-3.5059547303823817E-2</v>
      </c>
    </row>
    <row r="91" spans="2:17">
      <c r="B91" s="752"/>
      <c r="C91" s="753" t="s">
        <v>3182</v>
      </c>
      <c r="D91" s="753"/>
      <c r="E91" s="754" t="s">
        <v>349</v>
      </c>
      <c r="F91" s="754" t="s">
        <v>368</v>
      </c>
      <c r="G91" s="674">
        <v>2020</v>
      </c>
      <c r="H91" s="674">
        <v>1</v>
      </c>
      <c r="I91" s="674"/>
      <c r="J91" s="674"/>
      <c r="K91" s="755"/>
      <c r="L91" s="755"/>
      <c r="M91" s="755">
        <v>-0.5</v>
      </c>
      <c r="N91" s="755">
        <v>-0.5</v>
      </c>
      <c r="O91" s="755">
        <v>-0.5</v>
      </c>
      <c r="P91" s="755">
        <v>-0.5</v>
      </c>
      <c r="Q91" s="755">
        <v>-0.5</v>
      </c>
    </row>
    <row r="92" spans="2:17">
      <c r="B92" s="752"/>
      <c r="C92" s="753" t="s">
        <v>3182</v>
      </c>
      <c r="D92" s="753"/>
      <c r="E92" s="754" t="s">
        <v>349</v>
      </c>
      <c r="F92" s="754" t="s">
        <v>368</v>
      </c>
      <c r="G92" s="674">
        <v>2055</v>
      </c>
      <c r="H92" s="674">
        <v>1</v>
      </c>
      <c r="I92" s="674"/>
      <c r="J92" s="674"/>
      <c r="K92" s="755"/>
      <c r="L92" s="755"/>
      <c r="M92" s="755">
        <v>-1</v>
      </c>
      <c r="N92" s="755">
        <v>-1</v>
      </c>
      <c r="O92" s="755">
        <v>-1</v>
      </c>
      <c r="P92" s="755">
        <v>-1</v>
      </c>
      <c r="Q92" s="755">
        <v>-1</v>
      </c>
    </row>
    <row r="93" spans="2:17" ht="17.25" customHeight="1">
      <c r="B93" s="752" t="str">
        <f>"UC_"&amp;F93&amp;RIGHT(E93,5)&amp;"UP"</f>
        <v>UC_RWHDSLEAUP</v>
      </c>
      <c r="C93" s="753" t="s">
        <v>3170</v>
      </c>
      <c r="D93" s="753"/>
      <c r="E93" s="754" t="s">
        <v>354</v>
      </c>
      <c r="F93" s="754" t="s">
        <v>368</v>
      </c>
      <c r="G93" s="674">
        <v>2015</v>
      </c>
      <c r="H93" s="674">
        <v>1</v>
      </c>
      <c r="I93" s="674">
        <v>0</v>
      </c>
      <c r="J93" s="674">
        <v>5</v>
      </c>
      <c r="K93" s="755"/>
      <c r="L93" s="755"/>
      <c r="M93" s="755">
        <f>-Resid!$T$112/(Resid!$T$95+Resid!$T$103+Resid!$T$112)</f>
        <v>-0.29861672300185399</v>
      </c>
      <c r="N93" s="755">
        <f>M93</f>
        <v>-0.29861672300185399</v>
      </c>
      <c r="O93" s="755">
        <f t="shared" ref="O93" si="52">N93</f>
        <v>-0.29861672300185399</v>
      </c>
      <c r="P93" s="755">
        <f t="shared" ref="P93" si="53">O93</f>
        <v>-0.29861672300185399</v>
      </c>
      <c r="Q93" s="755">
        <f t="shared" ref="Q93" si="54">P93</f>
        <v>-0.29861672300185399</v>
      </c>
    </row>
    <row r="94" spans="2:17">
      <c r="B94" s="752"/>
      <c r="C94" s="753" t="s">
        <v>3170</v>
      </c>
      <c r="D94" s="753"/>
      <c r="E94" s="754" t="s">
        <v>354</v>
      </c>
      <c r="F94" s="754" t="s">
        <v>368</v>
      </c>
      <c r="G94" s="674">
        <v>2020</v>
      </c>
      <c r="H94" s="674">
        <v>1</v>
      </c>
      <c r="I94" s="674"/>
      <c r="J94" s="674"/>
      <c r="K94" s="755"/>
      <c r="L94" s="755"/>
      <c r="M94" s="755">
        <f>M93*M$84</f>
        <v>-0.18265922603009493</v>
      </c>
      <c r="N94" s="755">
        <f>N93*N$84</f>
        <v>-0.18265922603009493</v>
      </c>
      <c r="O94" s="755">
        <f>O93*O$84</f>
        <v>-0.18265922603009493</v>
      </c>
      <c r="P94" s="755">
        <f>P93*P$84</f>
        <v>-0.18265922603009493</v>
      </c>
      <c r="Q94" s="755">
        <f>Q93*Q$84</f>
        <v>-0.18265922603009493</v>
      </c>
    </row>
    <row r="95" spans="2:17">
      <c r="B95" s="752"/>
      <c r="C95" s="753" t="s">
        <v>3170</v>
      </c>
      <c r="D95" s="753"/>
      <c r="E95" s="754" t="s">
        <v>354</v>
      </c>
      <c r="F95" s="754" t="s">
        <v>368</v>
      </c>
      <c r="G95" s="674">
        <v>2055</v>
      </c>
      <c r="H95" s="674">
        <v>1</v>
      </c>
      <c r="I95" s="674"/>
      <c r="J95" s="674"/>
      <c r="K95" s="755"/>
      <c r="L95" s="755"/>
      <c r="M95" s="755">
        <v>0</v>
      </c>
      <c r="N95" s="755">
        <v>0</v>
      </c>
      <c r="O95" s="755">
        <v>0</v>
      </c>
      <c r="P95" s="755">
        <v>0</v>
      </c>
      <c r="Q95" s="755">
        <v>0</v>
      </c>
    </row>
    <row r="96" spans="2:17">
      <c r="B96" s="752" t="str">
        <f>"UC_"&amp;F96&amp;RIGHT(E96,5)&amp;"UP"</f>
        <v>UC_RWHSOLUP</v>
      </c>
      <c r="C96" s="753" t="s">
        <v>3170</v>
      </c>
      <c r="D96" s="753"/>
      <c r="E96" s="754" t="s">
        <v>863</v>
      </c>
      <c r="F96" s="754" t="s">
        <v>368</v>
      </c>
      <c r="G96" s="674">
        <v>2010</v>
      </c>
      <c r="H96" s="674">
        <v>1</v>
      </c>
      <c r="I96" s="674">
        <v>0</v>
      </c>
      <c r="J96" s="674">
        <v>5</v>
      </c>
      <c r="K96" s="755"/>
      <c r="L96" s="755"/>
      <c r="M96" s="755">
        <v>0</v>
      </c>
      <c r="N96" s="755">
        <f>M96</f>
        <v>0</v>
      </c>
      <c r="O96" s="755">
        <f t="shared" ref="O96" si="55">N96</f>
        <v>0</v>
      </c>
      <c r="P96" s="755">
        <f t="shared" ref="P96" si="56">O96</f>
        <v>0</v>
      </c>
      <c r="Q96" s="755">
        <f t="shared" ref="Q96" si="57">P96</f>
        <v>0</v>
      </c>
    </row>
    <row r="97" spans="2:17">
      <c r="B97" s="673"/>
      <c r="C97" s="753" t="s">
        <v>3170</v>
      </c>
      <c r="D97" s="753"/>
      <c r="E97" s="754" t="s">
        <v>863</v>
      </c>
      <c r="F97" s="754" t="s">
        <v>368</v>
      </c>
      <c r="G97" s="674">
        <v>2020</v>
      </c>
      <c r="H97" s="674">
        <v>1</v>
      </c>
      <c r="I97" s="674"/>
      <c r="J97" s="674"/>
      <c r="K97" s="755"/>
      <c r="L97" s="755"/>
      <c r="M97" s="755">
        <f>M96</f>
        <v>0</v>
      </c>
      <c r="N97" s="755">
        <f t="shared" ref="N97:Q97" si="58">N96</f>
        <v>0</v>
      </c>
      <c r="O97" s="755">
        <f t="shared" si="58"/>
        <v>0</v>
      </c>
      <c r="P97" s="755">
        <f t="shared" si="58"/>
        <v>0</v>
      </c>
      <c r="Q97" s="755">
        <f t="shared" si="58"/>
        <v>0</v>
      </c>
    </row>
    <row r="98" spans="2:17" ht="14.25" customHeight="1">
      <c r="B98" s="673"/>
      <c r="C98" s="753" t="s">
        <v>3170</v>
      </c>
      <c r="D98" s="753"/>
      <c r="E98" s="754" t="s">
        <v>863</v>
      </c>
      <c r="F98" s="754" t="s">
        <v>368</v>
      </c>
      <c r="G98" s="674">
        <v>2050</v>
      </c>
      <c r="H98" s="674">
        <v>1</v>
      </c>
      <c r="I98" s="674"/>
      <c r="J98" s="674"/>
      <c r="K98" s="755"/>
      <c r="L98" s="755"/>
      <c r="M98" s="755">
        <v>-0.1</v>
      </c>
      <c r="N98" s="755">
        <v>-0.1</v>
      </c>
      <c r="O98" s="755">
        <v>-0.1</v>
      </c>
      <c r="P98" s="755">
        <v>-0.1</v>
      </c>
      <c r="Q98" s="755">
        <v>-0.1</v>
      </c>
    </row>
    <row r="99" spans="2:17">
      <c r="B99" s="752" t="str">
        <f>"UC_"&amp;F99&amp;"UTI"&amp;"UP"</f>
        <v>UC_RWHUTIUP</v>
      </c>
      <c r="C99" s="753" t="s">
        <v>3184</v>
      </c>
      <c r="D99" s="753"/>
      <c r="E99" s="762"/>
      <c r="F99" s="762" t="s">
        <v>368</v>
      </c>
      <c r="G99" s="674">
        <v>2015</v>
      </c>
      <c r="H99" s="674">
        <v>1</v>
      </c>
      <c r="I99" s="674">
        <v>0</v>
      </c>
      <c r="J99" s="674">
        <v>5</v>
      </c>
      <c r="K99" s="755"/>
      <c r="L99" s="755"/>
      <c r="M99" s="756">
        <v>0</v>
      </c>
      <c r="N99" s="755">
        <v>0</v>
      </c>
      <c r="O99" s="755">
        <f>O76</f>
        <v>-6.7407407407407416E-2</v>
      </c>
      <c r="P99" s="755">
        <v>0</v>
      </c>
      <c r="Q99" s="755">
        <v>0</v>
      </c>
    </row>
    <row r="100" spans="2:17">
      <c r="B100" s="673"/>
      <c r="C100" s="753" t="s">
        <v>3184</v>
      </c>
      <c r="D100" s="753"/>
      <c r="E100" s="762"/>
      <c r="F100" s="762" t="s">
        <v>368</v>
      </c>
      <c r="G100" s="674">
        <v>2055</v>
      </c>
      <c r="H100" s="674">
        <v>1</v>
      </c>
      <c r="I100" s="674"/>
      <c r="J100" s="674"/>
      <c r="K100" s="755"/>
      <c r="L100" s="755"/>
      <c r="M100" s="755">
        <f>M99*M$2</f>
        <v>0</v>
      </c>
      <c r="N100" s="755">
        <f>N99*N$2</f>
        <v>0</v>
      </c>
      <c r="O100" s="755">
        <f>O99/O84</f>
        <v>-0.11019962989843421</v>
      </c>
      <c r="P100" s="755">
        <f>P99*P$2</f>
        <v>0</v>
      </c>
      <c r="Q100" s="755">
        <f>Q99*Q$2</f>
        <v>0</v>
      </c>
    </row>
    <row r="102" spans="2:17">
      <c r="M102" s="748">
        <v>0.73</v>
      </c>
      <c r="N102" s="748">
        <v>0.73</v>
      </c>
      <c r="O102" s="748">
        <v>0.73</v>
      </c>
      <c r="P102" s="748">
        <v>0.73</v>
      </c>
      <c r="Q102" s="748">
        <v>0.73</v>
      </c>
    </row>
    <row r="103" spans="2:17">
      <c r="C103" s="13"/>
      <c r="D103" s="13"/>
      <c r="E103" s="13"/>
      <c r="F103" s="13"/>
      <c r="G103" s="13"/>
      <c r="H103" s="13"/>
      <c r="I103" s="13"/>
      <c r="K103" s="13"/>
      <c r="M103" s="748"/>
      <c r="N103" s="748"/>
      <c r="O103" s="748"/>
      <c r="P103" s="748"/>
      <c r="Q103" s="748"/>
    </row>
    <row r="104" spans="2:17">
      <c r="B104" s="718" t="s">
        <v>3094</v>
      </c>
      <c r="C104" s="13"/>
      <c r="D104" s="13"/>
      <c r="E104" s="13"/>
      <c r="F104" s="13"/>
      <c r="G104" s="13"/>
      <c r="H104" s="13"/>
      <c r="I104" s="13"/>
      <c r="K104" s="13"/>
    </row>
    <row r="105" spans="2:17" ht="12" customHeight="1">
      <c r="B105" s="749"/>
      <c r="C105" s="13"/>
      <c r="D105" s="13"/>
      <c r="E105" s="13"/>
      <c r="F105" s="13"/>
      <c r="G105" s="13"/>
      <c r="H105" s="13"/>
      <c r="I105" s="13"/>
      <c r="J105" s="13"/>
      <c r="K105" s="13"/>
      <c r="L105" s="13"/>
      <c r="M105" s="13"/>
      <c r="N105" s="13"/>
      <c r="O105" s="13"/>
      <c r="P105" s="13"/>
    </row>
    <row r="106" spans="2:17">
      <c r="B106" s="13"/>
      <c r="C106" s="13"/>
      <c r="E106" s="13"/>
      <c r="F106" s="13"/>
      <c r="G106" s="718" t="s">
        <v>3162</v>
      </c>
      <c r="H106" s="13"/>
      <c r="I106" s="13"/>
      <c r="J106" s="13"/>
      <c r="K106" s="13"/>
      <c r="L106" s="13"/>
      <c r="M106" s="13"/>
      <c r="N106" s="13"/>
      <c r="O106" s="13"/>
      <c r="P106" s="13"/>
      <c r="Q106" s="13"/>
    </row>
    <row r="107" spans="2:17" ht="13.5" thickBot="1">
      <c r="B107" s="750" t="s">
        <v>3095</v>
      </c>
      <c r="C107" s="750" t="s">
        <v>3096</v>
      </c>
      <c r="D107" s="750" t="s">
        <v>3164</v>
      </c>
      <c r="E107" s="750" t="s">
        <v>3097</v>
      </c>
      <c r="F107" s="750" t="s">
        <v>3098</v>
      </c>
      <c r="G107" s="750" t="s">
        <v>12</v>
      </c>
      <c r="H107" s="750" t="s">
        <v>3099</v>
      </c>
      <c r="I107" s="751" t="s">
        <v>3163</v>
      </c>
      <c r="J107" s="751" t="s">
        <v>3100</v>
      </c>
      <c r="K107" s="750" t="s">
        <v>3101</v>
      </c>
      <c r="L107" s="750" t="s">
        <v>464</v>
      </c>
      <c r="M107" s="750" t="s">
        <v>465</v>
      </c>
      <c r="N107" s="750" t="s">
        <v>466</v>
      </c>
      <c r="O107" s="750" t="s">
        <v>467</v>
      </c>
      <c r="P107" s="750" t="s">
        <v>468</v>
      </c>
      <c r="Q107" s="750" t="s">
        <v>469</v>
      </c>
    </row>
    <row r="108" spans="2:17">
      <c r="B108" s="752" t="str">
        <f>"UC_"&amp;F108&amp;RIGHT(E108,5)&amp;"HeatPump"&amp;"LO"</f>
        <v>UC_RSCHeatPumpLO</v>
      </c>
      <c r="C108" s="753" t="s">
        <v>3181</v>
      </c>
      <c r="D108" s="753" t="s">
        <v>3168</v>
      </c>
      <c r="E108" s="754"/>
      <c r="F108" s="754" t="s">
        <v>366</v>
      </c>
      <c r="G108" s="674">
        <v>2015</v>
      </c>
      <c r="H108" s="674">
        <v>1</v>
      </c>
      <c r="I108" s="674">
        <v>0</v>
      </c>
      <c r="J108" s="674">
        <v>5</v>
      </c>
      <c r="K108" s="755"/>
      <c r="L108" s="755"/>
      <c r="M108" s="755">
        <f>-('RECS RESID'!$W$27/'RECS RESID'!$W$30)*0.9</f>
        <v>-2.2934384484618126E-2</v>
      </c>
      <c r="N108" s="755">
        <f>M108</f>
        <v>-2.2934384484618126E-2</v>
      </c>
      <c r="O108" s="755">
        <f t="shared" ref="O108" si="59">N108</f>
        <v>-2.2934384484618126E-2</v>
      </c>
      <c r="P108" s="755">
        <f t="shared" ref="P108" si="60">O108</f>
        <v>-2.2934384484618126E-2</v>
      </c>
      <c r="Q108" s="755">
        <f t="shared" ref="Q108" si="61">P108</f>
        <v>-2.2934384484618126E-2</v>
      </c>
    </row>
    <row r="109" spans="2:17">
      <c r="B109" s="752"/>
      <c r="C109" s="753" t="s">
        <v>3181</v>
      </c>
      <c r="D109" s="753" t="s">
        <v>3168</v>
      </c>
      <c r="E109" s="754"/>
      <c r="F109" s="754" t="s">
        <v>366</v>
      </c>
      <c r="G109" s="674">
        <v>2025</v>
      </c>
      <c r="H109" s="674">
        <v>1</v>
      </c>
      <c r="I109" s="674"/>
      <c r="J109" s="674"/>
      <c r="K109" s="755"/>
      <c r="L109" s="755"/>
      <c r="M109" s="755">
        <f>M108</f>
        <v>-2.2934384484618126E-2</v>
      </c>
      <c r="N109" s="755">
        <f t="shared" ref="N109:Q109" si="62">N108</f>
        <v>-2.2934384484618126E-2</v>
      </c>
      <c r="O109" s="755">
        <f t="shared" si="62"/>
        <v>-2.2934384484618126E-2</v>
      </c>
      <c r="P109" s="755">
        <f t="shared" si="62"/>
        <v>-2.2934384484618126E-2</v>
      </c>
      <c r="Q109" s="755">
        <f t="shared" si="62"/>
        <v>-2.2934384484618126E-2</v>
      </c>
    </row>
    <row r="110" spans="2:17">
      <c r="B110" s="673"/>
      <c r="C110" s="753" t="s">
        <v>3181</v>
      </c>
      <c r="D110" s="753" t="s">
        <v>3168</v>
      </c>
      <c r="E110" s="754"/>
      <c r="F110" s="754" t="s">
        <v>366</v>
      </c>
      <c r="G110" s="674">
        <v>2055</v>
      </c>
      <c r="H110" s="674">
        <v>1</v>
      </c>
      <c r="I110" s="674"/>
      <c r="J110" s="674"/>
      <c r="K110" s="755"/>
      <c r="L110" s="755"/>
      <c r="M110" s="755">
        <f>M108*M$102</f>
        <v>-1.6742100673771233E-2</v>
      </c>
      <c r="N110" s="755">
        <f>N108*N$102</f>
        <v>-1.6742100673771233E-2</v>
      </c>
      <c r="O110" s="755">
        <f>O108*O$102</f>
        <v>-1.6742100673771233E-2</v>
      </c>
      <c r="P110" s="755">
        <f>P108*P$102</f>
        <v>-1.6742100673771233E-2</v>
      </c>
      <c r="Q110" s="755">
        <f>Q108*Q$102</f>
        <v>-1.6742100673771233E-2</v>
      </c>
    </row>
    <row r="111" spans="2:17">
      <c r="B111" s="752" t="str">
        <f>"UC_"&amp;F111&amp;RIGHT(E111,5)&amp;"Central"&amp;"LO"</f>
        <v>UC_RSCCentralLO</v>
      </c>
      <c r="C111" s="753" t="s">
        <v>3180</v>
      </c>
      <c r="D111" s="753"/>
      <c r="E111" s="754"/>
      <c r="F111" s="754" t="s">
        <v>366</v>
      </c>
      <c r="G111" s="674">
        <v>2015</v>
      </c>
      <c r="H111" s="674">
        <v>1</v>
      </c>
      <c r="I111" s="674">
        <v>0</v>
      </c>
      <c r="J111" s="674">
        <v>5</v>
      </c>
      <c r="K111" s="755"/>
      <c r="L111" s="755"/>
      <c r="M111" s="755">
        <f>-'RECS RESID'!$W$26/'RECS RESID'!$W$30</f>
        <v>-0.38076735057264655</v>
      </c>
      <c r="N111" s="755">
        <f>M111</f>
        <v>-0.38076735057264655</v>
      </c>
      <c r="O111" s="755">
        <f t="shared" ref="O111" si="63">N111</f>
        <v>-0.38076735057264655</v>
      </c>
      <c r="P111" s="755">
        <f t="shared" ref="P111" si="64">O111</f>
        <v>-0.38076735057264655</v>
      </c>
      <c r="Q111" s="755">
        <f t="shared" ref="Q111" si="65">P111</f>
        <v>-0.38076735057264655</v>
      </c>
    </row>
    <row r="112" spans="2:17">
      <c r="B112" s="752"/>
      <c r="C112" s="753" t="s">
        <v>3180</v>
      </c>
      <c r="D112" s="753"/>
      <c r="E112" s="754"/>
      <c r="F112" s="754" t="s">
        <v>366</v>
      </c>
      <c r="G112" s="674">
        <v>2025</v>
      </c>
      <c r="H112" s="674">
        <v>1</v>
      </c>
      <c r="I112" s="674"/>
      <c r="J112" s="674"/>
      <c r="K112" s="755"/>
      <c r="L112" s="755"/>
      <c r="M112" s="755">
        <f>M111</f>
        <v>-0.38076735057264655</v>
      </c>
      <c r="N112" s="755">
        <f t="shared" ref="N112:Q112" si="66">N111</f>
        <v>-0.38076735057264655</v>
      </c>
      <c r="O112" s="755">
        <f t="shared" si="66"/>
        <v>-0.38076735057264655</v>
      </c>
      <c r="P112" s="755">
        <f t="shared" si="66"/>
        <v>-0.38076735057264655</v>
      </c>
      <c r="Q112" s="755">
        <f t="shared" si="66"/>
        <v>-0.38076735057264655</v>
      </c>
    </row>
    <row r="113" spans="2:17">
      <c r="B113" s="752"/>
      <c r="C113" s="753" t="s">
        <v>3180</v>
      </c>
      <c r="D113" s="753"/>
      <c r="E113" s="754"/>
      <c r="F113" s="754" t="s">
        <v>366</v>
      </c>
      <c r="G113" s="674">
        <v>2055</v>
      </c>
      <c r="H113" s="674">
        <v>1</v>
      </c>
      <c r="I113" s="674"/>
      <c r="J113" s="674"/>
      <c r="K113" s="755"/>
      <c r="L113" s="755"/>
      <c r="M113" s="755">
        <f>M111*M$102</f>
        <v>-0.27796016591803197</v>
      </c>
      <c r="N113" s="755">
        <f>N111*N$102</f>
        <v>-0.27796016591803197</v>
      </c>
      <c r="O113" s="755">
        <f>O111*O$102</f>
        <v>-0.27796016591803197</v>
      </c>
      <c r="P113" s="755">
        <f>P111*P$102</f>
        <v>-0.27796016591803197</v>
      </c>
      <c r="Q113" s="755">
        <f>Q111*Q$102</f>
        <v>-0.27796016591803197</v>
      </c>
    </row>
    <row r="114" spans="2:17">
      <c r="B114" s="752" t="str">
        <f>"UC_"&amp;F114&amp;RIGHT(E114,5)&amp;"Room"&amp;"LO"</f>
        <v>UC_RSCRoomLO</v>
      </c>
      <c r="C114" s="753" t="s">
        <v>3179</v>
      </c>
      <c r="D114" s="753"/>
      <c r="E114" s="754"/>
      <c r="F114" s="754" t="s">
        <v>366</v>
      </c>
      <c r="G114" s="674">
        <v>2015</v>
      </c>
      <c r="H114" s="674">
        <v>1</v>
      </c>
      <c r="I114" s="674">
        <v>0</v>
      </c>
      <c r="J114" s="674">
        <v>5</v>
      </c>
      <c r="K114" s="755"/>
      <c r="L114" s="755"/>
      <c r="M114" s="755">
        <f>-'RECS RESID'!$W$25/'RECS RESID'!$W$30</f>
        <v>-0.59374999999999978</v>
      </c>
      <c r="N114" s="755">
        <f>M114</f>
        <v>-0.59374999999999978</v>
      </c>
      <c r="O114" s="755">
        <f t="shared" ref="O114" si="67">N114</f>
        <v>-0.59374999999999978</v>
      </c>
      <c r="P114" s="755">
        <f t="shared" ref="P114" si="68">O114</f>
        <v>-0.59374999999999978</v>
      </c>
      <c r="Q114" s="755">
        <f t="shared" ref="Q114" si="69">P114</f>
        <v>-0.59374999999999978</v>
      </c>
    </row>
    <row r="115" spans="2:17">
      <c r="B115" s="752"/>
      <c r="C115" s="753" t="s">
        <v>3179</v>
      </c>
      <c r="D115" s="753"/>
      <c r="E115" s="754"/>
      <c r="F115" s="754" t="s">
        <v>366</v>
      </c>
      <c r="G115" s="674">
        <v>2025</v>
      </c>
      <c r="H115" s="674">
        <v>1</v>
      </c>
      <c r="I115" s="674"/>
      <c r="J115" s="674"/>
      <c r="K115" s="755"/>
      <c r="L115" s="755"/>
      <c r="M115" s="755">
        <f>M114</f>
        <v>-0.59374999999999978</v>
      </c>
      <c r="N115" s="755">
        <f t="shared" ref="N115:Q115" si="70">N114</f>
        <v>-0.59374999999999978</v>
      </c>
      <c r="O115" s="755">
        <f t="shared" si="70"/>
        <v>-0.59374999999999978</v>
      </c>
      <c r="P115" s="755">
        <f t="shared" si="70"/>
        <v>-0.59374999999999978</v>
      </c>
      <c r="Q115" s="755">
        <f t="shared" si="70"/>
        <v>-0.59374999999999978</v>
      </c>
    </row>
    <row r="116" spans="2:17">
      <c r="B116" s="673"/>
      <c r="C116" s="753" t="s">
        <v>3179</v>
      </c>
      <c r="D116" s="753"/>
      <c r="E116" s="754"/>
      <c r="F116" s="754" t="s">
        <v>366</v>
      </c>
      <c r="G116" s="674">
        <v>2055</v>
      </c>
      <c r="H116" s="674">
        <v>1</v>
      </c>
      <c r="I116" s="674"/>
      <c r="J116" s="674"/>
      <c r="K116" s="755"/>
      <c r="L116" s="755"/>
      <c r="M116" s="755">
        <f>M114*M$102</f>
        <v>-0.43343749999999981</v>
      </c>
      <c r="N116" s="755">
        <f>N114*N$102</f>
        <v>-0.43343749999999981</v>
      </c>
      <c r="O116" s="755">
        <f>O114*O$102</f>
        <v>-0.43343749999999981</v>
      </c>
      <c r="P116" s="755">
        <f>P114*P$102</f>
        <v>-0.43343749999999981</v>
      </c>
      <c r="Q116" s="755">
        <f>Q114*Q$102</f>
        <v>-0.43343749999999981</v>
      </c>
    </row>
    <row r="119" spans="2:17">
      <c r="M119" s="748">
        <v>0.73</v>
      </c>
      <c r="N119" s="748">
        <v>0.73</v>
      </c>
      <c r="O119" s="748">
        <v>0.73</v>
      </c>
      <c r="P119" s="748">
        <v>0.73</v>
      </c>
      <c r="Q119" s="748">
        <v>0.73</v>
      </c>
    </row>
    <row r="120" spans="2:17">
      <c r="M120" s="748"/>
      <c r="N120" s="748"/>
      <c r="O120" s="748"/>
      <c r="P120" s="748"/>
      <c r="Q120" s="748"/>
    </row>
    <row r="121" spans="2:17">
      <c r="C121" s="13"/>
      <c r="D121" s="13"/>
      <c r="E121" s="13"/>
      <c r="F121" s="13"/>
      <c r="G121" s="13"/>
      <c r="H121" s="13"/>
      <c r="I121" s="13"/>
      <c r="K121" s="13"/>
    </row>
    <row r="122" spans="2:17">
      <c r="B122" s="718" t="s">
        <v>3094</v>
      </c>
      <c r="C122" s="13"/>
      <c r="D122" s="13"/>
      <c r="E122" s="13"/>
      <c r="F122" s="13"/>
      <c r="G122" s="13"/>
      <c r="H122" s="13"/>
      <c r="I122" s="13"/>
      <c r="K122" s="13"/>
    </row>
    <row r="123" spans="2:17" ht="12" customHeight="1">
      <c r="B123" s="749"/>
      <c r="C123" s="13"/>
      <c r="D123" s="13"/>
      <c r="E123" s="13"/>
      <c r="F123" s="13"/>
      <c r="G123" s="13"/>
      <c r="H123" s="13"/>
      <c r="I123" s="13"/>
      <c r="J123" s="13"/>
      <c r="K123" s="13"/>
      <c r="L123" s="13"/>
      <c r="M123" s="13"/>
      <c r="N123" s="13"/>
      <c r="O123" s="13"/>
      <c r="P123" s="13"/>
    </row>
    <row r="124" spans="2:17">
      <c r="B124" s="13"/>
      <c r="C124" s="13"/>
      <c r="E124" s="13"/>
      <c r="F124" s="13"/>
      <c r="G124" s="718" t="s">
        <v>3162</v>
      </c>
      <c r="H124" s="13"/>
      <c r="I124" s="13"/>
      <c r="J124" s="13"/>
      <c r="K124" s="13"/>
      <c r="L124" s="13"/>
      <c r="M124" s="13"/>
      <c r="N124" s="13"/>
      <c r="O124" s="13"/>
      <c r="P124" s="13"/>
      <c r="Q124" s="13"/>
    </row>
    <row r="125" spans="2:17" ht="13.5" thickBot="1">
      <c r="B125" s="750" t="s">
        <v>3095</v>
      </c>
      <c r="C125" s="750" t="s">
        <v>3096</v>
      </c>
      <c r="D125" s="750" t="s">
        <v>3164</v>
      </c>
      <c r="E125" s="750" t="s">
        <v>3097</v>
      </c>
      <c r="F125" s="750" t="s">
        <v>3098</v>
      </c>
      <c r="G125" s="750" t="s">
        <v>12</v>
      </c>
      <c r="H125" s="750" t="s">
        <v>3099</v>
      </c>
      <c r="I125" s="751" t="s">
        <v>3163</v>
      </c>
      <c r="J125" s="751" t="s">
        <v>3100</v>
      </c>
      <c r="K125" s="750" t="s">
        <v>3101</v>
      </c>
      <c r="L125" s="750" t="s">
        <v>464</v>
      </c>
      <c r="M125" s="750" t="s">
        <v>465</v>
      </c>
      <c r="N125" s="750" t="s">
        <v>466</v>
      </c>
      <c r="O125" s="750" t="s">
        <v>467</v>
      </c>
      <c r="P125" s="750" t="s">
        <v>468</v>
      </c>
      <c r="Q125" s="750" t="s">
        <v>469</v>
      </c>
    </row>
    <row r="126" spans="2:17">
      <c r="B126" s="752" t="str">
        <f>"UC_"&amp;F126&amp;RIGHT(E126,5)&amp;"Inc"&amp;"LO"</f>
        <v>UC_RLTIncLO</v>
      </c>
      <c r="C126" s="753" t="s">
        <v>3173</v>
      </c>
      <c r="D126" s="753"/>
      <c r="E126" s="754"/>
      <c r="F126" s="754" t="s">
        <v>374</v>
      </c>
      <c r="G126" s="674">
        <v>2015</v>
      </c>
      <c r="H126" s="674">
        <v>1</v>
      </c>
      <c r="I126" s="674">
        <v>0</v>
      </c>
      <c r="J126" s="674">
        <v>-1</v>
      </c>
      <c r="K126" s="755"/>
      <c r="L126" s="755"/>
      <c r="M126" s="755">
        <f>-0.46</f>
        <v>-0.46</v>
      </c>
      <c r="N126" s="755">
        <f>M126</f>
        <v>-0.46</v>
      </c>
      <c r="O126" s="755">
        <f t="shared" ref="O126" si="71">N126</f>
        <v>-0.46</v>
      </c>
      <c r="P126" s="755">
        <f t="shared" ref="P126" si="72">O126</f>
        <v>-0.46</v>
      </c>
      <c r="Q126" s="755">
        <f t="shared" ref="Q126" si="73">P126</f>
        <v>-0.46</v>
      </c>
    </row>
    <row r="127" spans="2:17">
      <c r="B127" s="752"/>
      <c r="C127" s="753" t="s">
        <v>3173</v>
      </c>
      <c r="D127" s="753"/>
      <c r="E127" s="754"/>
      <c r="F127" s="754" t="s">
        <v>374</v>
      </c>
      <c r="G127" s="674">
        <v>2025</v>
      </c>
      <c r="H127" s="674">
        <v>1</v>
      </c>
      <c r="I127" s="674"/>
      <c r="J127" s="674"/>
      <c r="K127" s="755"/>
      <c r="L127" s="755"/>
      <c r="M127" s="755">
        <f>M126*M119</f>
        <v>-0.33579999999999999</v>
      </c>
      <c r="N127" s="755">
        <f t="shared" ref="N127:Q127" si="74">N126*N119</f>
        <v>-0.33579999999999999</v>
      </c>
      <c r="O127" s="755">
        <f t="shared" si="74"/>
        <v>-0.33579999999999999</v>
      </c>
      <c r="P127" s="755">
        <f t="shared" si="74"/>
        <v>-0.33579999999999999</v>
      </c>
      <c r="Q127" s="755">
        <f t="shared" si="74"/>
        <v>-0.33579999999999999</v>
      </c>
    </row>
    <row r="128" spans="2:17">
      <c r="B128" s="673"/>
      <c r="C128" s="753" t="s">
        <v>3173</v>
      </c>
      <c r="D128" s="753"/>
      <c r="E128" s="754"/>
      <c r="F128" s="754" t="s">
        <v>374</v>
      </c>
      <c r="G128" s="674">
        <v>2055</v>
      </c>
      <c r="H128" s="674">
        <v>1</v>
      </c>
      <c r="I128" s="674"/>
      <c r="J128" s="674"/>
      <c r="K128" s="755"/>
      <c r="L128" s="755"/>
      <c r="M128" s="755"/>
      <c r="N128" s="755"/>
      <c r="O128" s="755"/>
      <c r="P128" s="755"/>
      <c r="Q128" s="755"/>
    </row>
    <row r="129" spans="2:17">
      <c r="B129" s="752" t="str">
        <f>"UC_"&amp;F129&amp;RIGHT(E129,5)&amp;"CFL"&amp;"LO"</f>
        <v>UC_RLTCFLLO</v>
      </c>
      <c r="C129" s="753" t="s">
        <v>3174</v>
      </c>
      <c r="D129" s="753"/>
      <c r="E129" s="754"/>
      <c r="F129" s="754" t="s">
        <v>374</v>
      </c>
      <c r="G129" s="674">
        <v>2015</v>
      </c>
      <c r="H129" s="674">
        <v>1</v>
      </c>
      <c r="I129" s="674">
        <v>0</v>
      </c>
      <c r="J129" s="674">
        <v>5</v>
      </c>
      <c r="K129" s="755"/>
      <c r="L129" s="755"/>
      <c r="M129" s="755">
        <f>-USDemand!$C$68*0.97</f>
        <v>-0.11349000000000001</v>
      </c>
      <c r="N129" s="755">
        <f>M129</f>
        <v>-0.11349000000000001</v>
      </c>
      <c r="O129" s="755">
        <f t="shared" ref="O129:O130" si="75">N129</f>
        <v>-0.11349000000000001</v>
      </c>
      <c r="P129" s="755">
        <f t="shared" ref="P129:P130" si="76">O129</f>
        <v>-0.11349000000000001</v>
      </c>
      <c r="Q129" s="755">
        <f t="shared" ref="Q129:Q130" si="77">P129</f>
        <v>-0.11349000000000001</v>
      </c>
    </row>
    <row r="130" spans="2:17">
      <c r="B130" s="752"/>
      <c r="C130" s="753" t="s">
        <v>3174</v>
      </c>
      <c r="D130" s="753"/>
      <c r="E130" s="754"/>
      <c r="F130" s="754" t="s">
        <v>374</v>
      </c>
      <c r="G130" s="674">
        <v>2020</v>
      </c>
      <c r="H130" s="674">
        <v>1</v>
      </c>
      <c r="I130" s="674"/>
      <c r="J130" s="674"/>
      <c r="K130" s="755"/>
      <c r="L130" s="755"/>
      <c r="M130" s="755">
        <f>-0.07*0.95</f>
        <v>-6.6500000000000004E-2</v>
      </c>
      <c r="N130" s="755">
        <f>M130</f>
        <v>-6.6500000000000004E-2</v>
      </c>
      <c r="O130" s="755">
        <f t="shared" si="75"/>
        <v>-6.6500000000000004E-2</v>
      </c>
      <c r="P130" s="755">
        <f t="shared" si="76"/>
        <v>-6.6500000000000004E-2</v>
      </c>
      <c r="Q130" s="755">
        <f t="shared" si="77"/>
        <v>-6.6500000000000004E-2</v>
      </c>
    </row>
    <row r="131" spans="2:17">
      <c r="B131" s="752"/>
      <c r="C131" s="753" t="s">
        <v>3174</v>
      </c>
      <c r="D131" s="753"/>
      <c r="E131" s="754"/>
      <c r="F131" s="754" t="s">
        <v>374</v>
      </c>
      <c r="G131" s="674">
        <v>2030</v>
      </c>
      <c r="H131" s="674">
        <v>1</v>
      </c>
      <c r="I131" s="674"/>
      <c r="J131" s="674"/>
      <c r="K131" s="755"/>
      <c r="L131" s="755"/>
      <c r="M131" s="755">
        <f>M130</f>
        <v>-6.6500000000000004E-2</v>
      </c>
      <c r="N131" s="755">
        <f t="shared" ref="N131:Q132" si="78">N130</f>
        <v>-6.6500000000000004E-2</v>
      </c>
      <c r="O131" s="755">
        <f t="shared" si="78"/>
        <v>-6.6500000000000004E-2</v>
      </c>
      <c r="P131" s="755">
        <f t="shared" si="78"/>
        <v>-6.6500000000000004E-2</v>
      </c>
      <c r="Q131" s="755">
        <f t="shared" si="78"/>
        <v>-6.6500000000000004E-2</v>
      </c>
    </row>
    <row r="132" spans="2:17">
      <c r="B132" s="752"/>
      <c r="C132" s="753" t="s">
        <v>3174</v>
      </c>
      <c r="D132" s="753"/>
      <c r="E132" s="754"/>
      <c r="F132" s="754" t="s">
        <v>374</v>
      </c>
      <c r="G132" s="674">
        <v>2055</v>
      </c>
      <c r="H132" s="674">
        <v>1</v>
      </c>
      <c r="I132" s="674"/>
      <c r="J132" s="674"/>
      <c r="K132" s="755"/>
      <c r="L132" s="755"/>
      <c r="M132" s="755">
        <f>M131</f>
        <v>-6.6500000000000004E-2</v>
      </c>
      <c r="N132" s="755">
        <f t="shared" si="78"/>
        <v>-6.6500000000000004E-2</v>
      </c>
      <c r="O132" s="755">
        <f t="shared" si="78"/>
        <v>-6.6500000000000004E-2</v>
      </c>
      <c r="P132" s="755">
        <f t="shared" si="78"/>
        <v>-6.6500000000000004E-2</v>
      </c>
      <c r="Q132" s="755">
        <f t="shared" si="78"/>
        <v>-6.6500000000000004E-2</v>
      </c>
    </row>
    <row r="133" spans="2:17">
      <c r="B133" s="752" t="str">
        <f>"UC_"&amp;F133&amp;RIGHT(E133,5)&amp;"LFL"&amp;"LO"</f>
        <v>UC_RLTLFLLO</v>
      </c>
      <c r="C133" s="753" t="s">
        <v>3175</v>
      </c>
      <c r="D133" s="753"/>
      <c r="E133" s="754"/>
      <c r="F133" s="754" t="s">
        <v>374</v>
      </c>
      <c r="G133" s="674">
        <v>2015</v>
      </c>
      <c r="H133" s="674">
        <v>1</v>
      </c>
      <c r="I133" s="674">
        <v>0</v>
      </c>
      <c r="J133" s="674">
        <v>-1</v>
      </c>
      <c r="K133" s="755"/>
      <c r="L133" s="755"/>
      <c r="M133" s="755">
        <f>-USDemand!$C$69*0.97</f>
        <v>-0.17459999999999998</v>
      </c>
      <c r="N133" s="755">
        <f>M133</f>
        <v>-0.17459999999999998</v>
      </c>
      <c r="O133" s="755">
        <f t="shared" ref="O133" si="79">N133</f>
        <v>-0.17459999999999998</v>
      </c>
      <c r="P133" s="755">
        <f t="shared" ref="P133" si="80">O133</f>
        <v>-0.17459999999999998</v>
      </c>
      <c r="Q133" s="755">
        <f t="shared" ref="Q133" si="81">P133</f>
        <v>-0.17459999999999998</v>
      </c>
    </row>
    <row r="134" spans="2:17">
      <c r="B134" s="752"/>
      <c r="C134" s="753" t="s">
        <v>3175</v>
      </c>
      <c r="D134" s="753"/>
      <c r="E134" s="754"/>
      <c r="F134" s="754" t="s">
        <v>374</v>
      </c>
      <c r="G134" s="674">
        <v>2025</v>
      </c>
      <c r="H134" s="674">
        <v>1</v>
      </c>
      <c r="I134" s="674"/>
      <c r="J134" s="674"/>
      <c r="K134" s="755"/>
      <c r="L134" s="755"/>
      <c r="M134" s="755">
        <f>M133*M119</f>
        <v>-0.12745799999999999</v>
      </c>
      <c r="N134" s="755">
        <f t="shared" ref="N134:Q134" si="82">N133*N119</f>
        <v>-0.12745799999999999</v>
      </c>
      <c r="O134" s="755">
        <f t="shared" si="82"/>
        <v>-0.12745799999999999</v>
      </c>
      <c r="P134" s="755">
        <f t="shared" si="82"/>
        <v>-0.12745799999999999</v>
      </c>
      <c r="Q134" s="755">
        <f t="shared" si="82"/>
        <v>-0.12745799999999999</v>
      </c>
    </row>
    <row r="135" spans="2:17">
      <c r="B135" s="673"/>
      <c r="C135" s="753" t="s">
        <v>3175</v>
      </c>
      <c r="D135" s="753"/>
      <c r="E135" s="754"/>
      <c r="F135" s="754" t="s">
        <v>374</v>
      </c>
      <c r="G135" s="674">
        <v>2055</v>
      </c>
      <c r="H135" s="674">
        <v>1</v>
      </c>
      <c r="I135" s="674"/>
      <c r="J135" s="674"/>
      <c r="K135" s="755"/>
      <c r="L135" s="755"/>
      <c r="M135" s="755"/>
      <c r="N135" s="755"/>
      <c r="O135" s="755"/>
      <c r="P135" s="755"/>
      <c r="Q135" s="755"/>
    </row>
    <row r="136" spans="2:17">
      <c r="B136" s="752" t="str">
        <f>"UC_"&amp;F136&amp;RIGHT(E136,5)&amp;"REF"&amp;"LO"</f>
        <v>UC_RLTREFLO</v>
      </c>
      <c r="C136" s="753" t="s">
        <v>3176</v>
      </c>
      <c r="D136" s="753"/>
      <c r="E136" s="754"/>
      <c r="F136" s="754" t="s">
        <v>374</v>
      </c>
      <c r="G136" s="674">
        <v>2015</v>
      </c>
      <c r="H136" s="674">
        <v>1</v>
      </c>
      <c r="I136" s="674">
        <v>0</v>
      </c>
      <c r="J136" s="674">
        <v>-1</v>
      </c>
      <c r="K136" s="755"/>
      <c r="L136" s="755"/>
      <c r="M136" s="755">
        <f>-USDemand!$C$70*0.97</f>
        <v>-4.8500000000000001E-2</v>
      </c>
      <c r="N136" s="755">
        <f>M136</f>
        <v>-4.8500000000000001E-2</v>
      </c>
      <c r="O136" s="755">
        <f t="shared" ref="O136" si="83">N136</f>
        <v>-4.8500000000000001E-2</v>
      </c>
      <c r="P136" s="755">
        <f t="shared" ref="P136" si="84">O136</f>
        <v>-4.8500000000000001E-2</v>
      </c>
      <c r="Q136" s="755">
        <f t="shared" ref="Q136" si="85">P136</f>
        <v>-4.8500000000000001E-2</v>
      </c>
    </row>
    <row r="137" spans="2:17">
      <c r="B137" s="752"/>
      <c r="C137" s="753" t="s">
        <v>3176</v>
      </c>
      <c r="D137" s="753"/>
      <c r="E137" s="754"/>
      <c r="F137" s="754" t="s">
        <v>374</v>
      </c>
      <c r="G137" s="674">
        <v>2025</v>
      </c>
      <c r="H137" s="674">
        <v>1</v>
      </c>
      <c r="I137" s="674"/>
      <c r="J137" s="674"/>
      <c r="K137" s="755"/>
      <c r="L137" s="755"/>
      <c r="M137" s="755">
        <f>M136*M119</f>
        <v>-3.5404999999999999E-2</v>
      </c>
      <c r="N137" s="755">
        <f t="shared" ref="N137:Q137" si="86">N136*N119</f>
        <v>-3.5404999999999999E-2</v>
      </c>
      <c r="O137" s="755">
        <f t="shared" si="86"/>
        <v>-3.5404999999999999E-2</v>
      </c>
      <c r="P137" s="755">
        <f t="shared" si="86"/>
        <v>-3.5404999999999999E-2</v>
      </c>
      <c r="Q137" s="755">
        <f t="shared" si="86"/>
        <v>-3.5404999999999999E-2</v>
      </c>
    </row>
    <row r="138" spans="2:17">
      <c r="B138" s="673"/>
      <c r="C138" s="753" t="s">
        <v>3176</v>
      </c>
      <c r="D138" s="753"/>
      <c r="E138" s="754"/>
      <c r="F138" s="754" t="s">
        <v>374</v>
      </c>
      <c r="G138" s="674">
        <v>2055</v>
      </c>
      <c r="H138" s="674">
        <v>1</v>
      </c>
      <c r="I138" s="674"/>
      <c r="J138" s="674"/>
      <c r="K138" s="755"/>
      <c r="L138" s="755"/>
      <c r="M138" s="755"/>
      <c r="N138" s="755"/>
      <c r="O138" s="755"/>
      <c r="P138" s="755"/>
      <c r="Q138" s="755"/>
    </row>
    <row r="139" spans="2:17">
      <c r="B139" s="752" t="str">
        <f>"UC_"&amp;F139&amp;RIGHT(E139,5)&amp;"EXT"&amp;"LO"</f>
        <v>UC_RLTEXTLO</v>
      </c>
      <c r="C139" s="753" t="s">
        <v>3177</v>
      </c>
      <c r="D139" s="753"/>
      <c r="E139" s="754"/>
      <c r="F139" s="754" t="s">
        <v>374</v>
      </c>
      <c r="G139" s="674">
        <v>2015</v>
      </c>
      <c r="H139" s="674">
        <v>1</v>
      </c>
      <c r="I139" s="674">
        <v>0</v>
      </c>
      <c r="J139" s="674">
        <v>-1</v>
      </c>
      <c r="K139" s="755"/>
      <c r="L139" s="755"/>
      <c r="M139" s="755">
        <f>-USDemand!$C$71*0.97</f>
        <v>-4.84418E-2</v>
      </c>
      <c r="N139" s="755">
        <f>M139</f>
        <v>-4.84418E-2</v>
      </c>
      <c r="O139" s="755">
        <f t="shared" ref="O139" si="87">N139</f>
        <v>-4.84418E-2</v>
      </c>
      <c r="P139" s="755">
        <f t="shared" ref="P139" si="88">O139</f>
        <v>-4.84418E-2</v>
      </c>
      <c r="Q139" s="755">
        <f t="shared" ref="Q139" si="89">P139</f>
        <v>-4.84418E-2</v>
      </c>
    </row>
    <row r="140" spans="2:17">
      <c r="B140" s="752"/>
      <c r="C140" s="753" t="s">
        <v>3176</v>
      </c>
      <c r="D140" s="753"/>
      <c r="E140" s="754"/>
      <c r="F140" s="754" t="s">
        <v>374</v>
      </c>
      <c r="G140" s="674">
        <v>2025</v>
      </c>
      <c r="H140" s="674">
        <v>1</v>
      </c>
      <c r="I140" s="674"/>
      <c r="J140" s="674"/>
      <c r="K140" s="755"/>
      <c r="L140" s="755"/>
      <c r="M140" s="755">
        <f>M139*M119</f>
        <v>-3.5362513999999998E-2</v>
      </c>
      <c r="N140" s="755">
        <f t="shared" ref="N140:Q140" si="90">N139*N119</f>
        <v>-3.5362513999999998E-2</v>
      </c>
      <c r="O140" s="755">
        <f t="shared" si="90"/>
        <v>-3.5362513999999998E-2</v>
      </c>
      <c r="P140" s="755">
        <f t="shared" si="90"/>
        <v>-3.5362513999999998E-2</v>
      </c>
      <c r="Q140" s="755">
        <f t="shared" si="90"/>
        <v>-3.5362513999999998E-2</v>
      </c>
    </row>
    <row r="141" spans="2:17">
      <c r="B141" s="673"/>
      <c r="C141" s="753" t="s">
        <v>3177</v>
      </c>
      <c r="D141" s="753"/>
      <c r="E141" s="754"/>
      <c r="F141" s="754" t="s">
        <v>374</v>
      </c>
      <c r="G141" s="674">
        <v>2055</v>
      </c>
      <c r="H141" s="674">
        <v>1</v>
      </c>
      <c r="I141" s="674"/>
      <c r="J141" s="674"/>
      <c r="K141" s="755"/>
      <c r="L141" s="755"/>
      <c r="M141" s="755"/>
      <c r="N141" s="755"/>
      <c r="O141" s="755"/>
      <c r="P141" s="755"/>
      <c r="Q141" s="755"/>
    </row>
    <row r="142" spans="2:17">
      <c r="B142" s="752" t="str">
        <f>"UC_"&amp;F142&amp;RIGHT(E142,5)&amp;"LED"&amp;"LO"</f>
        <v>UC_RLTLEDLO</v>
      </c>
      <c r="C142" s="753" t="s">
        <v>3178</v>
      </c>
      <c r="D142" s="753"/>
      <c r="E142" s="754"/>
      <c r="F142" s="754" t="s">
        <v>374</v>
      </c>
      <c r="G142" s="674">
        <v>2020</v>
      </c>
      <c r="H142" s="674">
        <v>1</v>
      </c>
      <c r="I142" s="674">
        <v>0</v>
      </c>
      <c r="J142" s="674">
        <v>5</v>
      </c>
      <c r="K142" s="755"/>
      <c r="L142" s="755"/>
      <c r="M142" s="755">
        <v>0</v>
      </c>
      <c r="N142" s="755">
        <f>M142</f>
        <v>0</v>
      </c>
      <c r="O142" s="755">
        <f t="shared" ref="O142" si="91">N142</f>
        <v>0</v>
      </c>
      <c r="P142" s="755">
        <f t="shared" ref="P142" si="92">O142</f>
        <v>0</v>
      </c>
      <c r="Q142" s="755">
        <f t="shared" ref="Q142" si="93">P142</f>
        <v>0</v>
      </c>
    </row>
    <row r="143" spans="2:17">
      <c r="B143" s="752"/>
      <c r="C143" s="753" t="s">
        <v>3178</v>
      </c>
      <c r="D143" s="753"/>
      <c r="E143" s="754"/>
      <c r="F143" s="754" t="s">
        <v>374</v>
      </c>
      <c r="G143" s="674">
        <v>2025</v>
      </c>
      <c r="H143" s="674">
        <v>1</v>
      </c>
      <c r="I143" s="674"/>
      <c r="J143" s="674"/>
      <c r="K143" s="755"/>
      <c r="L143" s="755"/>
      <c r="M143" s="755">
        <v>0</v>
      </c>
      <c r="N143" s="755">
        <v>0</v>
      </c>
      <c r="O143" s="755">
        <v>0</v>
      </c>
      <c r="P143" s="755">
        <v>0</v>
      </c>
      <c r="Q143" s="755">
        <v>0</v>
      </c>
    </row>
    <row r="144" spans="2:17">
      <c r="B144" s="673"/>
      <c r="C144" s="753" t="s">
        <v>3178</v>
      </c>
      <c r="D144" s="753"/>
      <c r="E144" s="754"/>
      <c r="F144" s="754" t="s">
        <v>374</v>
      </c>
      <c r="G144" s="674">
        <v>2055</v>
      </c>
      <c r="H144" s="674">
        <v>1</v>
      </c>
      <c r="I144" s="674"/>
      <c r="J144" s="674"/>
      <c r="K144" s="755"/>
      <c r="L144" s="755"/>
      <c r="M144" s="755">
        <f>-0.65*0.9</f>
        <v>-0.58500000000000008</v>
      </c>
      <c r="N144" s="755">
        <f t="shared" ref="N144:Q144" si="94">-0.65*0.9</f>
        <v>-0.58500000000000008</v>
      </c>
      <c r="O144" s="755">
        <f t="shared" si="94"/>
        <v>-0.58500000000000008</v>
      </c>
      <c r="P144" s="755">
        <f t="shared" si="94"/>
        <v>-0.58500000000000008</v>
      </c>
      <c r="Q144" s="755">
        <f t="shared" si="94"/>
        <v>-0.58500000000000008</v>
      </c>
    </row>
    <row r="146" spans="2:17">
      <c r="M146" s="748">
        <v>0.73</v>
      </c>
      <c r="N146" s="748">
        <v>0.73</v>
      </c>
      <c r="O146" s="748">
        <v>0.73</v>
      </c>
      <c r="P146" s="748">
        <v>0.73</v>
      </c>
      <c r="Q146" s="748">
        <v>0.73</v>
      </c>
    </row>
    <row r="147" spans="2:17">
      <c r="M147" s="748"/>
      <c r="N147" s="748"/>
      <c r="O147" s="748"/>
      <c r="P147" s="748"/>
      <c r="Q147" s="748"/>
    </row>
    <row r="148" spans="2:17">
      <c r="C148" s="13"/>
      <c r="D148" s="13"/>
      <c r="E148" s="13"/>
      <c r="F148" s="13"/>
      <c r="G148" s="13"/>
      <c r="H148" s="13"/>
      <c r="I148" s="13"/>
      <c r="K148" s="13"/>
      <c r="M148" s="13"/>
      <c r="N148" s="13"/>
      <c r="O148" s="13"/>
      <c r="P148" s="13"/>
    </row>
    <row r="149" spans="2:17">
      <c r="B149" s="718" t="s">
        <v>3094</v>
      </c>
      <c r="C149" s="13"/>
      <c r="D149" s="13"/>
      <c r="E149" s="13"/>
      <c r="F149" s="13"/>
      <c r="G149" s="13"/>
      <c r="H149" s="13"/>
      <c r="I149" s="13"/>
      <c r="K149" s="13"/>
    </row>
    <row r="150" spans="2:17" ht="12" customHeight="1">
      <c r="B150" s="749"/>
      <c r="C150" s="13"/>
      <c r="D150" s="13"/>
      <c r="E150" s="13"/>
      <c r="F150" s="13"/>
      <c r="G150" s="13"/>
      <c r="H150" s="13"/>
      <c r="I150" s="13"/>
      <c r="J150" s="13"/>
      <c r="K150" s="13"/>
      <c r="L150" s="13"/>
    </row>
    <row r="151" spans="2:17">
      <c r="B151" s="13"/>
      <c r="C151" s="13"/>
      <c r="E151" s="13"/>
      <c r="F151" s="13"/>
      <c r="G151" s="718" t="s">
        <v>3162</v>
      </c>
      <c r="H151" s="13"/>
      <c r="I151" s="13"/>
      <c r="J151" s="13"/>
      <c r="K151" s="13"/>
      <c r="L151" s="13"/>
      <c r="M151" s="13"/>
      <c r="N151" s="13"/>
      <c r="O151" s="13"/>
      <c r="P151" s="13"/>
      <c r="Q151" s="13"/>
    </row>
    <row r="152" spans="2:17" ht="13.5" thickBot="1">
      <c r="B152" s="750" t="s">
        <v>3095</v>
      </c>
      <c r="C152" s="750" t="s">
        <v>3096</v>
      </c>
      <c r="D152" s="750" t="s">
        <v>3164</v>
      </c>
      <c r="E152" s="750" t="s">
        <v>3097</v>
      </c>
      <c r="F152" s="750" t="s">
        <v>3098</v>
      </c>
      <c r="G152" s="750" t="s">
        <v>12</v>
      </c>
      <c r="H152" s="750" t="s">
        <v>3099</v>
      </c>
      <c r="I152" s="751" t="s">
        <v>3165</v>
      </c>
      <c r="J152" s="751" t="s">
        <v>3105</v>
      </c>
      <c r="K152" s="750" t="s">
        <v>3101</v>
      </c>
      <c r="L152" s="750" t="s">
        <v>464</v>
      </c>
      <c r="M152" s="750" t="s">
        <v>465</v>
      </c>
      <c r="N152" s="750" t="s">
        <v>466</v>
      </c>
      <c r="O152" s="750" t="s">
        <v>467</v>
      </c>
      <c r="P152" s="750" t="s">
        <v>468</v>
      </c>
      <c r="Q152" s="750" t="s">
        <v>469</v>
      </c>
    </row>
    <row r="153" spans="2:17">
      <c r="B153" s="752" t="str">
        <f>"UC_"&amp;F153&amp;RIGHT(E153,5)&amp;"Inc"&amp;"UP"</f>
        <v>UC_RLTIncUP</v>
      </c>
      <c r="C153" s="753" t="s">
        <v>3173</v>
      </c>
      <c r="D153" s="753"/>
      <c r="E153" s="754"/>
      <c r="F153" s="754" t="s">
        <v>374</v>
      </c>
      <c r="G153" s="674">
        <v>2015</v>
      </c>
      <c r="H153" s="674">
        <v>1</v>
      </c>
      <c r="I153" s="674">
        <v>0</v>
      </c>
      <c r="J153" s="674">
        <v>5</v>
      </c>
      <c r="K153" s="755"/>
      <c r="L153" s="755"/>
      <c r="M153" s="755">
        <f>-0.46*1.08</f>
        <v>-0.49680000000000007</v>
      </c>
      <c r="N153" s="755">
        <f>M153</f>
        <v>-0.49680000000000007</v>
      </c>
      <c r="O153" s="755">
        <f t="shared" ref="O153" si="95">N153</f>
        <v>-0.49680000000000007</v>
      </c>
      <c r="P153" s="755">
        <f t="shared" ref="P153" si="96">O153</f>
        <v>-0.49680000000000007</v>
      </c>
      <c r="Q153" s="755">
        <f t="shared" ref="Q153" si="97">P153</f>
        <v>-0.49680000000000007</v>
      </c>
    </row>
    <row r="154" spans="2:17">
      <c r="B154" s="673"/>
      <c r="C154" s="753" t="s">
        <v>3173</v>
      </c>
      <c r="D154" s="753"/>
      <c r="E154" s="754"/>
      <c r="F154" s="754" t="s">
        <v>374</v>
      </c>
      <c r="G154" s="674">
        <v>2055</v>
      </c>
      <c r="H154" s="674">
        <v>1</v>
      </c>
      <c r="I154" s="674"/>
      <c r="J154" s="674"/>
      <c r="K154" s="755"/>
      <c r="L154" s="755"/>
      <c r="M154" s="755">
        <f>M153*M$146</f>
        <v>-0.36266400000000004</v>
      </c>
      <c r="N154" s="755">
        <f>N153*N$146</f>
        <v>-0.36266400000000004</v>
      </c>
      <c r="O154" s="755">
        <f>O153*O$146</f>
        <v>-0.36266400000000004</v>
      </c>
      <c r="P154" s="755">
        <f>P153*P$146</f>
        <v>-0.36266400000000004</v>
      </c>
      <c r="Q154" s="755">
        <f>Q153*Q$146</f>
        <v>-0.36266400000000004</v>
      </c>
    </row>
    <row r="155" spans="2:17">
      <c r="B155" s="752" t="str">
        <f>"UC_"&amp;F155&amp;RIGHT(E155,5)&amp;"LED"&amp;"up"</f>
        <v>UC_RLTLEDup</v>
      </c>
      <c r="C155" s="753" t="s">
        <v>3219</v>
      </c>
      <c r="D155" s="753"/>
      <c r="E155" s="754"/>
      <c r="F155" s="754" t="s">
        <v>374</v>
      </c>
      <c r="G155" s="674">
        <v>2020</v>
      </c>
      <c r="H155" s="674">
        <v>1</v>
      </c>
      <c r="I155" s="674">
        <v>0</v>
      </c>
      <c r="J155" s="674">
        <v>5</v>
      </c>
      <c r="K155" s="755"/>
      <c r="L155" s="755"/>
      <c r="M155" s="755">
        <v>-0.05</v>
      </c>
      <c r="N155" s="755">
        <f>M155</f>
        <v>-0.05</v>
      </c>
      <c r="O155" s="755">
        <f t="shared" ref="O155" si="98">N155</f>
        <v>-0.05</v>
      </c>
      <c r="P155" s="755">
        <f t="shared" ref="P155" si="99">O155</f>
        <v>-0.05</v>
      </c>
      <c r="Q155" s="755">
        <f t="shared" ref="Q155" si="100">P155</f>
        <v>-0.05</v>
      </c>
    </row>
    <row r="156" spans="2:17">
      <c r="B156" s="673"/>
      <c r="C156" s="753" t="s">
        <v>3219</v>
      </c>
      <c r="D156" s="753"/>
      <c r="E156" s="754"/>
      <c r="F156" s="754" t="s">
        <v>374</v>
      </c>
      <c r="G156" s="674">
        <v>2025</v>
      </c>
      <c r="H156" s="674">
        <v>1</v>
      </c>
      <c r="I156" s="674"/>
      <c r="J156" s="674"/>
      <c r="K156" s="755"/>
      <c r="L156" s="755"/>
      <c r="M156" s="755">
        <v>-0.05</v>
      </c>
      <c r="N156" s="755">
        <v>-0.05</v>
      </c>
      <c r="O156" s="755">
        <v>-0.05</v>
      </c>
      <c r="P156" s="755">
        <v>-0.05</v>
      </c>
      <c r="Q156" s="755">
        <v>-0.05</v>
      </c>
    </row>
    <row r="157" spans="2:17">
      <c r="B157" s="673"/>
      <c r="C157" s="753" t="s">
        <v>3219</v>
      </c>
      <c r="D157" s="753"/>
      <c r="E157" s="754"/>
      <c r="F157" s="754" t="s">
        <v>374</v>
      </c>
      <c r="G157" s="674">
        <v>2050</v>
      </c>
      <c r="H157" s="674">
        <v>1</v>
      </c>
      <c r="I157" s="674"/>
      <c r="J157" s="674"/>
      <c r="K157" s="755"/>
      <c r="L157" s="755"/>
      <c r="M157" s="755">
        <v>-1</v>
      </c>
      <c r="N157" s="755">
        <v>-1</v>
      </c>
      <c r="O157" s="755">
        <v>-1</v>
      </c>
      <c r="P157" s="755">
        <v>-1</v>
      </c>
      <c r="Q157" s="755">
        <v>-1</v>
      </c>
    </row>
    <row r="162" spans="1:15">
      <c r="A162" s="789" t="s">
        <v>3229</v>
      </c>
      <c r="B162" s="788"/>
      <c r="C162" s="788"/>
      <c r="D162" s="788"/>
      <c r="E162" s="788"/>
      <c r="F162" s="788"/>
      <c r="G162" s="788"/>
      <c r="H162" s="788"/>
      <c r="I162" s="788"/>
      <c r="J162" s="788"/>
      <c r="M162" s="788"/>
      <c r="N162" s="790"/>
      <c r="O162" s="790"/>
    </row>
    <row r="163" spans="1:15">
      <c r="A163" s="788"/>
      <c r="B163" s="788"/>
      <c r="C163" s="788"/>
      <c r="D163" s="788"/>
      <c r="E163" s="13"/>
      <c r="F163" s="789" t="s">
        <v>3222</v>
      </c>
      <c r="G163" s="788"/>
      <c r="H163" s="788"/>
      <c r="I163" s="788"/>
      <c r="J163" s="788"/>
    </row>
    <row r="164" spans="1:15" ht="13.5" thickBot="1">
      <c r="A164" s="787" t="s">
        <v>3095</v>
      </c>
      <c r="B164" s="787" t="s">
        <v>3096</v>
      </c>
      <c r="C164" s="787" t="s">
        <v>3164</v>
      </c>
      <c r="D164" s="786" t="s">
        <v>3113</v>
      </c>
      <c r="E164" s="786" t="s">
        <v>3097</v>
      </c>
      <c r="F164" s="786" t="s">
        <v>3098</v>
      </c>
      <c r="G164" s="787" t="s">
        <v>12</v>
      </c>
      <c r="H164" s="786" t="s">
        <v>2986</v>
      </c>
      <c r="I164" s="785" t="s">
        <v>3221</v>
      </c>
      <c r="J164" s="785" t="s">
        <v>3220</v>
      </c>
      <c r="K164" s="784" t="s">
        <v>3230</v>
      </c>
    </row>
    <row r="165" spans="1:15">
      <c r="A165" s="781" t="str">
        <f>"UC_"&amp;"NCAP"&amp;B165</f>
        <v>UC_NCAPRLT*EXT*</v>
      </c>
      <c r="B165" s="781" t="s">
        <v>3223</v>
      </c>
      <c r="C165" s="781"/>
      <c r="D165" s="674" t="s">
        <v>374</v>
      </c>
      <c r="E165" s="674"/>
      <c r="F165" s="674"/>
      <c r="G165" s="674">
        <v>2015</v>
      </c>
      <c r="H165" s="780" t="s">
        <v>473</v>
      </c>
      <c r="I165" s="674">
        <v>0</v>
      </c>
      <c r="J165" s="674">
        <v>5</v>
      </c>
      <c r="K165" s="779">
        <f>1+K166</f>
        <v>0.94505494505494503</v>
      </c>
    </row>
    <row r="166" spans="1:15">
      <c r="A166" s="673"/>
      <c r="B166" s="781" t="s">
        <v>3224</v>
      </c>
      <c r="C166" s="783"/>
      <c r="D166" s="674" t="s">
        <v>374</v>
      </c>
      <c r="E166" s="674"/>
      <c r="F166" s="674"/>
      <c r="G166" s="674">
        <v>2015</v>
      </c>
      <c r="H166" s="780"/>
      <c r="I166" s="674"/>
      <c r="J166" s="674"/>
      <c r="K166" s="782">
        <f>-(K170+K174+K178)-1</f>
        <v>-5.4945054945054972E-2</v>
      </c>
    </row>
    <row r="167" spans="1:15">
      <c r="A167" s="673"/>
      <c r="B167" s="781" t="s">
        <v>3223</v>
      </c>
      <c r="C167" s="781"/>
      <c r="D167" s="674" t="s">
        <v>374</v>
      </c>
      <c r="E167" s="674"/>
      <c r="F167" s="674"/>
      <c r="G167" s="674">
        <v>2050</v>
      </c>
      <c r="H167" s="780"/>
      <c r="I167" s="674"/>
      <c r="J167" s="674"/>
      <c r="K167" s="779">
        <f>1+K168</f>
        <v>0.94505494505494503</v>
      </c>
    </row>
    <row r="168" spans="1:15" ht="11.25" customHeight="1">
      <c r="A168" s="673"/>
      <c r="B168" s="781" t="s">
        <v>3224</v>
      </c>
      <c r="C168" s="674"/>
      <c r="D168" s="674" t="s">
        <v>374</v>
      </c>
      <c r="E168" s="674"/>
      <c r="F168" s="674"/>
      <c r="G168" s="674">
        <v>2050</v>
      </c>
      <c r="H168" s="780"/>
      <c r="I168" s="674"/>
      <c r="J168" s="674"/>
      <c r="K168" s="782">
        <f>-(K172+K176+K180)-1</f>
        <v>-5.4945054945054972E-2</v>
      </c>
    </row>
    <row r="169" spans="1:15">
      <c r="A169" s="781" t="str">
        <f>"UC_"&amp;"NCAP"&amp;B169</f>
        <v>UC_NCAPRLTL*</v>
      </c>
      <c r="B169" s="781" t="s">
        <v>3175</v>
      </c>
      <c r="C169" s="781"/>
      <c r="D169" s="674" t="s">
        <v>374</v>
      </c>
      <c r="E169" s="674"/>
      <c r="F169" s="674"/>
      <c r="G169" s="674">
        <v>2015</v>
      </c>
      <c r="H169" s="780" t="s">
        <v>473</v>
      </c>
      <c r="I169" s="674">
        <v>0</v>
      </c>
      <c r="J169" s="674">
        <v>5</v>
      </c>
      <c r="K169" s="779">
        <f>1+K170</f>
        <v>0.80219780219780223</v>
      </c>
    </row>
    <row r="170" spans="1:15">
      <c r="A170" s="673"/>
      <c r="B170" s="781" t="s">
        <v>3225</v>
      </c>
      <c r="C170" s="783"/>
      <c r="D170" s="674" t="s">
        <v>374</v>
      </c>
      <c r="E170" s="674"/>
      <c r="F170" s="674"/>
      <c r="G170" s="674">
        <v>2015</v>
      </c>
      <c r="H170" s="780"/>
      <c r="I170" s="674"/>
      <c r="J170" s="674"/>
      <c r="K170" s="782">
        <f>-1.8/9.1</f>
        <v>-0.19780219780219782</v>
      </c>
    </row>
    <row r="171" spans="1:15">
      <c r="A171" s="673"/>
      <c r="B171" s="781" t="s">
        <v>3175</v>
      </c>
      <c r="C171" s="781"/>
      <c r="D171" s="674" t="s">
        <v>374</v>
      </c>
      <c r="E171" s="674"/>
      <c r="F171" s="674"/>
      <c r="G171" s="674">
        <v>2050</v>
      </c>
      <c r="H171" s="780"/>
      <c r="I171" s="674"/>
      <c r="J171" s="674"/>
      <c r="K171" s="779">
        <f>1+K172</f>
        <v>0.80219780219780223</v>
      </c>
    </row>
    <row r="172" spans="1:15">
      <c r="A172" s="673"/>
      <c r="B172" s="781" t="s">
        <v>3225</v>
      </c>
      <c r="C172" s="674"/>
      <c r="D172" s="674" t="s">
        <v>374</v>
      </c>
      <c r="E172" s="674"/>
      <c r="F172" s="674"/>
      <c r="G172" s="674">
        <v>2050</v>
      </c>
      <c r="H172" s="780"/>
      <c r="I172" s="674"/>
      <c r="J172" s="674"/>
      <c r="K172" s="782">
        <f>K170</f>
        <v>-0.19780219780219782</v>
      </c>
    </row>
    <row r="173" spans="1:15">
      <c r="A173" s="781" t="str">
        <f>"UC_"&amp;"NCAP"&amp;B173</f>
        <v>UC_NCAPRLTG*</v>
      </c>
      <c r="B173" s="781" t="s">
        <v>3226</v>
      </c>
      <c r="C173" s="781"/>
      <c r="D173" s="674" t="s">
        <v>374</v>
      </c>
      <c r="E173" s="674"/>
      <c r="F173" s="674"/>
      <c r="G173" s="674">
        <v>2015</v>
      </c>
      <c r="H173" s="780" t="s">
        <v>473</v>
      </c>
      <c r="I173" s="674">
        <v>0</v>
      </c>
      <c r="J173" s="674">
        <v>5</v>
      </c>
      <c r="K173" s="779">
        <f>1+K174</f>
        <v>0.30769230769230771</v>
      </c>
    </row>
    <row r="174" spans="1:15">
      <c r="A174" s="673"/>
      <c r="B174" s="781" t="s">
        <v>3227</v>
      </c>
      <c r="C174" s="783"/>
      <c r="D174" s="674" t="s">
        <v>374</v>
      </c>
      <c r="E174" s="674"/>
      <c r="F174" s="674"/>
      <c r="G174" s="674">
        <v>2015</v>
      </c>
      <c r="H174" s="780"/>
      <c r="I174" s="674"/>
      <c r="J174" s="674"/>
      <c r="K174" s="782">
        <f>-(5.13+1.17)/9.1</f>
        <v>-0.69230769230769229</v>
      </c>
    </row>
    <row r="175" spans="1:15">
      <c r="A175" s="673"/>
      <c r="B175" s="781" t="s">
        <v>3226</v>
      </c>
      <c r="C175" s="781"/>
      <c r="D175" s="674" t="s">
        <v>374</v>
      </c>
      <c r="E175" s="674"/>
      <c r="F175" s="674"/>
      <c r="G175" s="674">
        <v>2050</v>
      </c>
      <c r="H175" s="780"/>
      <c r="I175" s="674"/>
      <c r="J175" s="674"/>
      <c r="K175" s="779">
        <f>1+K176</f>
        <v>0.30769230769230771</v>
      </c>
    </row>
    <row r="176" spans="1:15">
      <c r="A176" s="673"/>
      <c r="B176" s="781" t="s">
        <v>3227</v>
      </c>
      <c r="C176" s="674"/>
      <c r="D176" s="674" t="s">
        <v>374</v>
      </c>
      <c r="E176" s="674"/>
      <c r="F176" s="674"/>
      <c r="G176" s="674">
        <v>2050</v>
      </c>
      <c r="H176" s="780"/>
      <c r="I176" s="674"/>
      <c r="J176" s="674"/>
      <c r="K176" s="782">
        <f>K174</f>
        <v>-0.69230769230769229</v>
      </c>
    </row>
    <row r="177" spans="1:11">
      <c r="A177" s="781" t="str">
        <f>"UC_"&amp;"NCAP"&amp;B177</f>
        <v>UC_NCAPRLTR*</v>
      </c>
      <c r="B177" s="781" t="s">
        <v>3176</v>
      </c>
      <c r="C177" s="781"/>
      <c r="D177" s="674" t="s">
        <v>374</v>
      </c>
      <c r="E177" s="674"/>
      <c r="F177" s="674"/>
      <c r="G177" s="674">
        <v>2015</v>
      </c>
      <c r="H177" s="780" t="s">
        <v>473</v>
      </c>
      <c r="I177" s="674">
        <v>0</v>
      </c>
      <c r="J177" s="674">
        <v>5</v>
      </c>
      <c r="K177" s="779">
        <f>1+K178</f>
        <v>0.94505494505494503</v>
      </c>
    </row>
    <row r="178" spans="1:11">
      <c r="A178" s="673"/>
      <c r="B178" s="781" t="s">
        <v>3228</v>
      </c>
      <c r="C178" s="783"/>
      <c r="D178" s="674" t="s">
        <v>374</v>
      </c>
      <c r="E178" s="674"/>
      <c r="F178" s="674"/>
      <c r="G178" s="674">
        <v>2015</v>
      </c>
      <c r="H178" s="780"/>
      <c r="I178" s="674"/>
      <c r="J178" s="674"/>
      <c r="K178" s="782">
        <f>-0.5/9.1</f>
        <v>-5.4945054945054944E-2</v>
      </c>
    </row>
    <row r="179" spans="1:11">
      <c r="A179" s="673"/>
      <c r="B179" s="781" t="s">
        <v>3176</v>
      </c>
      <c r="C179" s="781"/>
      <c r="D179" s="674" t="s">
        <v>374</v>
      </c>
      <c r="E179" s="674"/>
      <c r="F179" s="674"/>
      <c r="G179" s="674">
        <v>2050</v>
      </c>
      <c r="H179" s="780"/>
      <c r="I179" s="674"/>
      <c r="J179" s="674"/>
      <c r="K179" s="779">
        <f>1+K180</f>
        <v>0.94505494505494503</v>
      </c>
    </row>
    <row r="180" spans="1:11">
      <c r="A180" s="673"/>
      <c r="B180" s="781" t="s">
        <v>3228</v>
      </c>
      <c r="C180" s="674"/>
      <c r="D180" s="674" t="s">
        <v>374</v>
      </c>
      <c r="E180" s="674"/>
      <c r="F180" s="674"/>
      <c r="G180" s="674">
        <v>2050</v>
      </c>
      <c r="H180" s="780"/>
      <c r="I180" s="674"/>
      <c r="J180" s="674"/>
      <c r="K180" s="782">
        <f>K178</f>
        <v>-5.4945054945054944E-2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rgb="FFFFC000"/>
  </sheetPr>
  <dimension ref="A1:BF14"/>
  <sheetViews>
    <sheetView zoomScale="85" workbookViewId="0">
      <selection activeCell="BE18" sqref="A18:BE27"/>
    </sheetView>
  </sheetViews>
  <sheetFormatPr defaultColWidth="26.7109375" defaultRowHeight="12.75"/>
  <cols>
    <col min="1" max="1" width="21.28515625" style="13" customWidth="1"/>
    <col min="2" max="2" width="29.7109375" style="13" bestFit="1" customWidth="1"/>
    <col min="3" max="3" width="37.7109375" style="13" bestFit="1" customWidth="1"/>
    <col min="4" max="4" width="6.28515625" style="13" hidden="1" customWidth="1"/>
    <col min="5" max="5" width="8.28515625" style="13" hidden="1" customWidth="1"/>
    <col min="6" max="6" width="10.42578125" style="13" hidden="1" customWidth="1"/>
    <col min="7" max="7" width="13.28515625" style="693" hidden="1" customWidth="1"/>
    <col min="8" max="8" width="12.28515625" style="13" hidden="1" customWidth="1"/>
    <col min="9" max="9" width="13.42578125" style="13" hidden="1" customWidth="1"/>
    <col min="10" max="10" width="11.28515625" style="13" hidden="1" customWidth="1"/>
    <col min="11" max="11" width="5.28515625" style="13" hidden="1" customWidth="1"/>
    <col min="12" max="12" width="16.7109375" style="13" hidden="1" customWidth="1"/>
    <col min="13" max="22" width="17.5703125" style="13" hidden="1" customWidth="1"/>
    <col min="23" max="23" width="11.28515625" style="13" hidden="1" customWidth="1"/>
    <col min="24" max="25" width="15.28515625" style="13" hidden="1" customWidth="1"/>
    <col min="26" max="26" width="12.42578125" style="13" hidden="1" customWidth="1"/>
    <col min="27" max="27" width="12.28515625" style="13" hidden="1" customWidth="1"/>
    <col min="28" max="29" width="15.7109375" style="13" hidden="1" customWidth="1"/>
    <col min="30" max="31" width="13.28515625" style="13" hidden="1" customWidth="1"/>
    <col min="32" max="33" width="16.5703125" style="13" hidden="1" customWidth="1"/>
    <col min="34" max="35" width="13.7109375" style="13" hidden="1" customWidth="1"/>
    <col min="36" max="36" width="13.42578125" style="13" hidden="1" customWidth="1"/>
    <col min="37" max="37" width="0" style="13" hidden="1" customWidth="1"/>
    <col min="38" max="38" width="5.28515625" style="13" hidden="1" customWidth="1"/>
    <col min="39" max="40" width="6.7109375" style="13" hidden="1" customWidth="1"/>
    <col min="41" max="42" width="18.42578125" style="13" bestFit="1" customWidth="1"/>
    <col min="43" max="58" width="18.7109375" style="13" bestFit="1" customWidth="1"/>
    <col min="59" max="16384" width="26.7109375" style="13"/>
  </cols>
  <sheetData>
    <row r="1" spans="1:58">
      <c r="A1" s="1" t="s">
        <v>474</v>
      </c>
      <c r="B1" s="13" t="s">
        <v>2339</v>
      </c>
      <c r="G1" s="688"/>
      <c r="H1" s="689"/>
      <c r="I1" s="689"/>
      <c r="J1" s="689"/>
      <c r="K1" s="689"/>
      <c r="M1" s="689"/>
      <c r="N1" s="689"/>
      <c r="O1" s="689"/>
      <c r="P1" s="689"/>
      <c r="Q1" s="689"/>
      <c r="R1" s="689"/>
      <c r="S1" s="689"/>
      <c r="T1" s="689"/>
      <c r="U1" s="689"/>
      <c r="V1" s="689"/>
      <c r="W1" s="689"/>
      <c r="X1" s="689"/>
      <c r="Y1" s="689"/>
      <c r="Z1" s="689"/>
      <c r="AA1" s="689"/>
      <c r="AB1" s="689"/>
      <c r="AC1" s="689"/>
      <c r="AL1" s="689"/>
      <c r="AM1" s="689"/>
      <c r="AN1" s="689"/>
      <c r="AO1" s="689"/>
      <c r="AP1" s="689"/>
      <c r="AQ1" s="689"/>
      <c r="AR1" s="689"/>
      <c r="AS1" s="689"/>
      <c r="AT1" s="689"/>
      <c r="AU1" s="689"/>
      <c r="AV1" s="689"/>
      <c r="AW1" s="689"/>
      <c r="AX1" s="689"/>
      <c r="AY1" s="689"/>
      <c r="AZ1" s="689"/>
      <c r="BA1" s="689"/>
      <c r="BB1" s="689"/>
      <c r="BC1" s="689"/>
      <c r="BD1" s="689"/>
      <c r="BE1" s="689"/>
      <c r="BF1" s="689"/>
    </row>
    <row r="2" spans="1:58">
      <c r="G2" s="688"/>
      <c r="H2" s="689"/>
      <c r="I2" s="689"/>
      <c r="J2" s="689"/>
      <c r="K2" s="689"/>
      <c r="M2" s="689"/>
      <c r="N2" s="689"/>
      <c r="O2" s="689"/>
      <c r="P2" s="689"/>
      <c r="Q2" s="689"/>
      <c r="R2" s="689"/>
      <c r="S2" s="689"/>
      <c r="T2" s="689"/>
      <c r="U2" s="689"/>
      <c r="V2" s="689"/>
      <c r="W2" s="689"/>
      <c r="X2" s="689"/>
      <c r="Y2" s="689"/>
      <c r="Z2" s="689"/>
      <c r="AA2" s="689"/>
      <c r="AB2" s="689"/>
      <c r="AL2" s="689"/>
      <c r="AM2" s="689"/>
      <c r="AN2" s="689"/>
      <c r="AO2" s="689"/>
      <c r="AP2" s="689"/>
      <c r="AQ2" s="689"/>
      <c r="AR2" s="689"/>
      <c r="AS2" s="689"/>
      <c r="AT2" s="689"/>
      <c r="AU2" s="689"/>
      <c r="AV2" s="689"/>
      <c r="AW2" s="689"/>
      <c r="AX2" s="689"/>
      <c r="AY2" s="689"/>
      <c r="AZ2" s="689"/>
      <c r="BA2" s="689"/>
      <c r="BB2" s="689"/>
      <c r="BC2" s="689"/>
      <c r="BD2" s="689"/>
      <c r="BE2" s="689"/>
      <c r="BF2" s="689"/>
    </row>
    <row r="3" spans="1:58">
      <c r="G3" s="688"/>
      <c r="H3" s="689"/>
      <c r="I3" s="689"/>
      <c r="J3" s="689"/>
      <c r="K3" s="689"/>
      <c r="M3" s="689"/>
      <c r="N3" s="689"/>
      <c r="O3" s="689"/>
      <c r="P3" s="689"/>
      <c r="Q3" s="689"/>
      <c r="R3" s="689"/>
      <c r="S3" s="689"/>
      <c r="T3" s="689"/>
      <c r="U3" s="689"/>
      <c r="V3" s="689"/>
      <c r="W3" s="689"/>
      <c r="X3" s="689"/>
      <c r="Y3" s="689"/>
      <c r="Z3" s="689"/>
      <c r="AA3" s="689"/>
      <c r="AB3" s="689"/>
      <c r="AL3" s="689"/>
      <c r="AM3" s="689"/>
      <c r="AN3" s="689"/>
      <c r="AO3" s="689"/>
      <c r="AP3" s="689"/>
      <c r="AQ3" s="689"/>
      <c r="AR3" s="689"/>
      <c r="AS3" s="689"/>
      <c r="AT3" s="689"/>
      <c r="AU3" s="689"/>
      <c r="AV3" s="689"/>
      <c r="AW3" s="689"/>
      <c r="AX3" s="689"/>
      <c r="AY3" s="689"/>
      <c r="AZ3" s="689"/>
      <c r="BA3" s="689"/>
      <c r="BB3" s="689"/>
      <c r="BC3" s="689"/>
      <c r="BD3" s="689"/>
      <c r="BE3" s="689"/>
      <c r="BF3" s="689"/>
    </row>
    <row r="4" spans="1:58" ht="17.25" customHeight="1">
      <c r="F4" s="687" t="s">
        <v>3000</v>
      </c>
      <c r="G4" s="688"/>
      <c r="H4" s="689"/>
      <c r="I4" s="689"/>
      <c r="J4" s="689"/>
      <c r="K4" s="689"/>
      <c r="M4" s="689"/>
      <c r="N4" s="689"/>
      <c r="O4" s="689"/>
      <c r="P4" s="689"/>
      <c r="Q4" s="689"/>
      <c r="R4" s="689"/>
      <c r="S4" s="689"/>
      <c r="T4" s="689"/>
      <c r="U4" s="689"/>
      <c r="V4" s="689"/>
      <c r="W4" s="689"/>
      <c r="X4" s="689"/>
      <c r="Y4" s="689"/>
      <c r="Z4" s="689"/>
      <c r="AA4" s="689"/>
      <c r="AB4" s="689"/>
      <c r="AL4" s="689"/>
      <c r="AM4" s="689"/>
      <c r="AN4" s="689"/>
      <c r="AO4" s="689"/>
      <c r="AP4" s="689"/>
      <c r="AQ4" s="689"/>
      <c r="AR4" s="689"/>
      <c r="AS4" s="689"/>
      <c r="AT4" s="689"/>
      <c r="AU4" s="689"/>
      <c r="AV4" s="689"/>
      <c r="AW4" s="689"/>
      <c r="AX4" s="689"/>
      <c r="AY4" s="689"/>
      <c r="AZ4" s="689"/>
      <c r="BA4" s="689"/>
      <c r="BB4" s="689"/>
      <c r="BC4" s="689"/>
      <c r="BD4" s="689"/>
      <c r="BE4" s="689"/>
      <c r="BF4" s="689"/>
    </row>
    <row r="5" spans="1:58" ht="15.75" customHeight="1">
      <c r="A5" s="671" t="s">
        <v>664</v>
      </c>
      <c r="B5" s="671" t="s">
        <v>330</v>
      </c>
      <c r="C5" s="671" t="s">
        <v>3002</v>
      </c>
      <c r="D5" s="671" t="s">
        <v>3001</v>
      </c>
      <c r="E5" s="671" t="s">
        <v>333</v>
      </c>
      <c r="F5" s="671" t="s">
        <v>334</v>
      </c>
      <c r="G5" s="671" t="s">
        <v>3003</v>
      </c>
      <c r="H5" s="671" t="s">
        <v>3004</v>
      </c>
      <c r="I5" s="671" t="s">
        <v>3048</v>
      </c>
      <c r="J5" s="671" t="s">
        <v>479</v>
      </c>
      <c r="K5" s="671" t="s">
        <v>3049</v>
      </c>
      <c r="L5" s="711" t="s">
        <v>3092</v>
      </c>
      <c r="M5" s="671" t="s">
        <v>3070</v>
      </c>
      <c r="N5" s="671" t="s">
        <v>3071</v>
      </c>
      <c r="O5" s="671" t="s">
        <v>3072</v>
      </c>
      <c r="P5" s="671" t="s">
        <v>3073</v>
      </c>
      <c r="Q5" s="671" t="s">
        <v>3074</v>
      </c>
      <c r="R5" s="671" t="s">
        <v>3075</v>
      </c>
      <c r="S5" s="671" t="s">
        <v>3076</v>
      </c>
      <c r="T5" s="671" t="s">
        <v>3077</v>
      </c>
      <c r="U5" s="671" t="s">
        <v>3078</v>
      </c>
      <c r="V5" s="671" t="s">
        <v>3079</v>
      </c>
      <c r="W5" s="671" t="s">
        <v>3011</v>
      </c>
      <c r="X5" s="671" t="s">
        <v>3080</v>
      </c>
      <c r="Y5" s="671" t="s">
        <v>3081</v>
      </c>
      <c r="Z5" s="671" t="s">
        <v>3082</v>
      </c>
      <c r="AA5" s="671" t="s">
        <v>3083</v>
      </c>
      <c r="AB5" s="671" t="s">
        <v>3084</v>
      </c>
      <c r="AC5" s="671" t="s">
        <v>3085</v>
      </c>
      <c r="AD5" s="671" t="s">
        <v>3086</v>
      </c>
      <c r="AE5" s="671" t="s">
        <v>3087</v>
      </c>
      <c r="AF5" s="671" t="s">
        <v>3088</v>
      </c>
      <c r="AG5" s="671" t="s">
        <v>3089</v>
      </c>
      <c r="AH5" s="671" t="s">
        <v>3090</v>
      </c>
      <c r="AI5" s="671" t="s">
        <v>3091</v>
      </c>
      <c r="AJ5" s="671" t="s">
        <v>3012</v>
      </c>
      <c r="AL5" s="689" t="s">
        <v>3051</v>
      </c>
      <c r="AM5" s="692" t="s">
        <v>3050</v>
      </c>
      <c r="AN5" s="692"/>
      <c r="AO5" s="671" t="s">
        <v>3052</v>
      </c>
      <c r="AP5" s="671" t="s">
        <v>3053</v>
      </c>
      <c r="AQ5" s="671" t="s">
        <v>3054</v>
      </c>
      <c r="AR5" s="671" t="s">
        <v>3055</v>
      </c>
      <c r="AS5" s="671" t="s">
        <v>3056</v>
      </c>
      <c r="AT5" s="671" t="s">
        <v>3057</v>
      </c>
      <c r="AU5" s="671" t="s">
        <v>3058</v>
      </c>
      <c r="AV5" s="671" t="s">
        <v>3059</v>
      </c>
      <c r="AW5" s="671" t="s">
        <v>3060</v>
      </c>
      <c r="AX5" s="671" t="s">
        <v>3061</v>
      </c>
      <c r="AY5" s="671" t="s">
        <v>3062</v>
      </c>
      <c r="AZ5" s="671" t="s">
        <v>3063</v>
      </c>
      <c r="BA5" s="671" t="s">
        <v>3064</v>
      </c>
      <c r="BB5" s="671" t="s">
        <v>3065</v>
      </c>
      <c r="BC5" s="671" t="s">
        <v>3066</v>
      </c>
      <c r="BD5" s="671" t="s">
        <v>3067</v>
      </c>
      <c r="BE5" s="671" t="s">
        <v>3068</v>
      </c>
      <c r="BF5" s="671" t="s">
        <v>3069</v>
      </c>
    </row>
    <row r="6" spans="1:58">
      <c r="A6" s="682" t="s">
        <v>860</v>
      </c>
      <c r="B6" s="682"/>
      <c r="C6" s="682"/>
      <c r="D6" s="682"/>
      <c r="E6" s="682"/>
      <c r="F6" s="682"/>
      <c r="G6" s="710"/>
      <c r="H6" s="682"/>
      <c r="I6" s="682"/>
      <c r="J6" s="682"/>
      <c r="K6" s="682"/>
      <c r="L6" s="712"/>
      <c r="M6" s="682"/>
      <c r="N6" s="682"/>
      <c r="O6" s="682"/>
      <c r="P6" s="682"/>
      <c r="Q6" s="682"/>
      <c r="R6" s="682"/>
      <c r="S6" s="682"/>
      <c r="T6" s="682"/>
      <c r="U6" s="682"/>
      <c r="V6" s="682"/>
      <c r="W6" s="682"/>
      <c r="X6" s="682"/>
      <c r="Y6" s="682"/>
      <c r="Z6" s="682"/>
      <c r="AA6" s="682"/>
      <c r="AB6" s="682"/>
      <c r="AC6" s="682"/>
      <c r="AD6" s="682"/>
      <c r="AE6" s="682"/>
      <c r="AF6" s="682"/>
      <c r="AG6" s="682"/>
      <c r="AH6" s="682"/>
      <c r="AI6" s="682"/>
      <c r="AJ6" s="682"/>
      <c r="AO6" s="682"/>
      <c r="AP6" s="682"/>
      <c r="AQ6" s="682"/>
      <c r="AR6" s="682"/>
      <c r="AS6" s="682"/>
      <c r="AT6" s="682"/>
      <c r="AU6" s="682"/>
      <c r="AV6" s="682"/>
      <c r="AW6" s="682"/>
      <c r="AX6" s="682"/>
      <c r="AY6" s="682"/>
      <c r="AZ6" s="682"/>
      <c r="BA6" s="682"/>
      <c r="BB6" s="682"/>
      <c r="BC6" s="682"/>
      <c r="BD6" s="682"/>
      <c r="BE6" s="682"/>
      <c r="BF6" s="682"/>
    </row>
    <row r="7" spans="1:58">
      <c r="A7" s="674" t="s">
        <v>1770</v>
      </c>
      <c r="B7" s="674" t="s">
        <v>861</v>
      </c>
      <c r="C7" s="674" t="s">
        <v>862</v>
      </c>
      <c r="D7" s="674"/>
      <c r="E7" s="674" t="s">
        <v>1529</v>
      </c>
      <c r="F7" s="674" t="s">
        <v>346</v>
      </c>
      <c r="G7" s="697">
        <v>2010</v>
      </c>
      <c r="H7" s="674">
        <v>30</v>
      </c>
      <c r="I7" s="674">
        <v>31.536000000000001</v>
      </c>
      <c r="J7" s="674">
        <f t="shared" ref="J7:J12" si="0">AM7/AL7</f>
        <v>0.34965034965034969</v>
      </c>
      <c r="K7" s="674">
        <v>0.3</v>
      </c>
      <c r="L7" s="715">
        <f>AO7/I7</f>
        <v>0</v>
      </c>
      <c r="M7" s="709">
        <v>6546.9994999999999</v>
      </c>
      <c r="N7" s="709">
        <v>3903.1781000000001</v>
      </c>
      <c r="O7" s="709">
        <v>3453.8020999999999</v>
      </c>
      <c r="P7" s="709">
        <v>3004.4261000000001</v>
      </c>
      <c r="Q7" s="709">
        <v>2839.3022000000001</v>
      </c>
      <c r="R7" s="709">
        <v>2674.1783999999998</v>
      </c>
      <c r="S7" s="709">
        <v>2596.4180000000001</v>
      </c>
      <c r="T7" s="709">
        <v>2558.6682999999998</v>
      </c>
      <c r="U7" s="709">
        <v>2540.0679</v>
      </c>
      <c r="V7" s="709">
        <v>2530.8353000000002</v>
      </c>
      <c r="W7" s="674">
        <v>10</v>
      </c>
      <c r="X7" s="674">
        <v>0</v>
      </c>
      <c r="Y7" s="674">
        <v>0.31357247061412835</v>
      </c>
      <c r="Z7" s="674">
        <v>0.31357247061412835</v>
      </c>
      <c r="AA7" s="674">
        <v>0</v>
      </c>
      <c r="AB7" s="674">
        <v>0.30607339523151467</v>
      </c>
      <c r="AC7" s="674">
        <v>0.30607339523151467</v>
      </c>
      <c r="AD7" s="674">
        <v>0.30607339523151467</v>
      </c>
      <c r="AE7" s="674">
        <v>0</v>
      </c>
      <c r="AF7" s="674">
        <v>0.30200089769518484</v>
      </c>
      <c r="AG7" s="674">
        <v>0.30200089769518484</v>
      </c>
      <c r="AH7" s="674">
        <v>0.30200089769518484</v>
      </c>
      <c r="AI7" s="674">
        <v>0</v>
      </c>
      <c r="AJ7" s="674">
        <v>0.15</v>
      </c>
      <c r="AL7" s="13">
        <v>2.86</v>
      </c>
      <c r="AM7" s="13">
        <v>1</v>
      </c>
      <c r="AO7" s="698"/>
      <c r="AP7" s="698"/>
      <c r="AQ7" s="698"/>
      <c r="AR7" s="698"/>
      <c r="AS7" s="698"/>
      <c r="AT7" s="698"/>
      <c r="AU7" s="698"/>
      <c r="AV7" s="698"/>
      <c r="AW7" s="698"/>
      <c r="AX7" s="698"/>
      <c r="AY7" s="698"/>
      <c r="AZ7" s="698"/>
      <c r="BA7" s="698"/>
      <c r="BB7" s="698"/>
      <c r="BC7" s="698"/>
      <c r="BD7" s="698"/>
      <c r="BE7" s="698"/>
      <c r="BF7" s="698"/>
    </row>
    <row r="8" spans="1:58">
      <c r="A8" s="674" t="s">
        <v>465</v>
      </c>
      <c r="B8" s="674" t="s">
        <v>861</v>
      </c>
      <c r="C8" s="674" t="s">
        <v>862</v>
      </c>
      <c r="D8" s="674"/>
      <c r="E8" s="674" t="s">
        <v>1529</v>
      </c>
      <c r="F8" s="674" t="s">
        <v>346</v>
      </c>
      <c r="G8" s="697">
        <v>2010</v>
      </c>
      <c r="H8" s="674">
        <v>30</v>
      </c>
      <c r="I8" s="674">
        <v>31.536000000000001</v>
      </c>
      <c r="J8" s="674">
        <f t="shared" si="0"/>
        <v>0.34965034965034969</v>
      </c>
      <c r="K8" s="674">
        <v>0.3</v>
      </c>
      <c r="L8" s="715">
        <f t="shared" ref="L8:L12" si="1">AO8/I8</f>
        <v>2.2813874730993728E-4</v>
      </c>
      <c r="M8" s="709">
        <v>6546.9994999999999</v>
      </c>
      <c r="N8" s="709">
        <v>3903.1781000000001</v>
      </c>
      <c r="O8" s="709">
        <v>3453.8020999999999</v>
      </c>
      <c r="P8" s="709">
        <v>3004.4261000000001</v>
      </c>
      <c r="Q8" s="709">
        <v>2839.3022000000001</v>
      </c>
      <c r="R8" s="709">
        <v>2674.1783999999998</v>
      </c>
      <c r="S8" s="709">
        <v>2596.4180000000001</v>
      </c>
      <c r="T8" s="709">
        <v>2558.6682999999998</v>
      </c>
      <c r="U8" s="709">
        <v>2540.0679</v>
      </c>
      <c r="V8" s="709">
        <v>2530.8353000000002</v>
      </c>
      <c r="W8" s="674">
        <v>10</v>
      </c>
      <c r="X8" s="674">
        <v>0</v>
      </c>
      <c r="Y8" s="674">
        <v>0.31735100022049006</v>
      </c>
      <c r="Z8" s="674">
        <v>0.31735100022049006</v>
      </c>
      <c r="AA8" s="674">
        <v>0</v>
      </c>
      <c r="AB8" s="674">
        <v>0.30541736829054811</v>
      </c>
      <c r="AC8" s="674">
        <v>0.30541736829054811</v>
      </c>
      <c r="AD8" s="674">
        <v>0.30541736829054811</v>
      </c>
      <c r="AE8" s="674">
        <v>0</v>
      </c>
      <c r="AF8" s="674">
        <v>0.29271621122891978</v>
      </c>
      <c r="AG8" s="674">
        <v>0.29271621122891978</v>
      </c>
      <c r="AH8" s="674">
        <v>0.29271621122891978</v>
      </c>
      <c r="AI8" s="674">
        <v>0</v>
      </c>
      <c r="AJ8" s="674">
        <v>0.15</v>
      </c>
      <c r="AL8" s="13">
        <v>2.86</v>
      </c>
      <c r="AM8" s="13">
        <v>1</v>
      </c>
      <c r="AO8" s="698">
        <f>'Rooftop Calc'!AC65</f>
        <v>7.1945835351661823E-3</v>
      </c>
      <c r="AP8" s="698">
        <f>'Rooftop Calc'!AC71</f>
        <v>0.10932800134881394</v>
      </c>
      <c r="AQ8" s="698">
        <f>'Rooftop Calc'!AC77</f>
        <v>0.24496493227902819</v>
      </c>
      <c r="AR8" s="698">
        <f>'Rooftop Calc'!AC84</f>
        <v>0.43039234297918749</v>
      </c>
      <c r="AS8" s="698">
        <f>'Rooftop Calc'!AC91</f>
        <v>0.61581975367934683</v>
      </c>
      <c r="AT8" s="698">
        <f>'Rooftop Calc'!AC98</f>
        <v>0.80124716437950616</v>
      </c>
      <c r="AU8" s="698">
        <f>'Rooftop Calc'!AC105</f>
        <v>0.98667457507966549</v>
      </c>
      <c r="AV8" s="698">
        <f>'Rooftop Calc'!AC112</f>
        <v>1.1649074022446586</v>
      </c>
      <c r="AW8" s="698">
        <f>'Rooftop Calc'!AC119</f>
        <v>1.2410068115960038</v>
      </c>
      <c r="AX8" s="698">
        <f>'Rooftop Calc'!AC126</f>
        <v>1.307223787714507</v>
      </c>
      <c r="AY8" s="698">
        <f>'Rooftop Calc'!AK77</f>
        <v>0.37640069035805945</v>
      </c>
      <c r="AZ8" s="698">
        <f>'Rooftop Calc'!AK84</f>
        <v>0.64269246507195632</v>
      </c>
      <c r="BA8" s="698">
        <f>'Rooftop Calc'!AK91</f>
        <v>0.90976515408120195</v>
      </c>
      <c r="BB8" s="698">
        <f>'Rooftop Calc'!AK98</f>
        <v>1.1760569287950986</v>
      </c>
      <c r="BC8" s="698">
        <f>'Rooftop Calc'!AK105</f>
        <v>1.4431296178043442</v>
      </c>
      <c r="BD8" s="698">
        <f>'Rooftop Calc'!AK112</f>
        <v>1.7094213925182411</v>
      </c>
      <c r="BE8" s="698">
        <f>'Rooftop Calc'!AK119</f>
        <v>1.9764940815274865</v>
      </c>
      <c r="BF8" s="698">
        <f>'Rooftop Calc'!AK126</f>
        <v>2.2427858562413836</v>
      </c>
    </row>
    <row r="9" spans="1:58">
      <c r="A9" s="674" t="s">
        <v>466</v>
      </c>
      <c r="B9" s="674" t="s">
        <v>861</v>
      </c>
      <c r="C9" s="674" t="s">
        <v>862</v>
      </c>
      <c r="D9" s="674"/>
      <c r="E9" s="674" t="s">
        <v>1529</v>
      </c>
      <c r="F9" s="674" t="s">
        <v>346</v>
      </c>
      <c r="G9" s="697">
        <v>2010</v>
      </c>
      <c r="H9" s="674">
        <v>30</v>
      </c>
      <c r="I9" s="674">
        <v>31.536000000000001</v>
      </c>
      <c r="J9" s="674">
        <f t="shared" si="0"/>
        <v>0.34965034965034969</v>
      </c>
      <c r="K9" s="674">
        <v>0.3</v>
      </c>
      <c r="L9" s="715">
        <f t="shared" si="1"/>
        <v>1.1898577857016037E-4</v>
      </c>
      <c r="M9" s="709">
        <v>6546.9994999999999</v>
      </c>
      <c r="N9" s="709">
        <v>3903.1781000000001</v>
      </c>
      <c r="O9" s="709">
        <v>3453.8020999999999</v>
      </c>
      <c r="P9" s="709">
        <v>3004.4261000000001</v>
      </c>
      <c r="Q9" s="709">
        <v>2839.3022000000001</v>
      </c>
      <c r="R9" s="709">
        <v>2674.1783999999998</v>
      </c>
      <c r="S9" s="709">
        <v>2596.4180000000001</v>
      </c>
      <c r="T9" s="709">
        <v>2558.6682999999998</v>
      </c>
      <c r="U9" s="709">
        <v>2540.0679</v>
      </c>
      <c r="V9" s="709">
        <v>2530.8353000000002</v>
      </c>
      <c r="W9" s="674">
        <v>10</v>
      </c>
      <c r="X9" s="674">
        <v>0</v>
      </c>
      <c r="Y9" s="674">
        <v>0.29713463926757661</v>
      </c>
      <c r="Z9" s="674">
        <v>0.29713463926757661</v>
      </c>
      <c r="AA9" s="674">
        <v>0</v>
      </c>
      <c r="AB9" s="674">
        <v>0.30672516343634604</v>
      </c>
      <c r="AC9" s="674">
        <v>0.30672516343634604</v>
      </c>
      <c r="AD9" s="674">
        <v>0.30672516343634604</v>
      </c>
      <c r="AE9" s="674">
        <v>0</v>
      </c>
      <c r="AF9" s="674">
        <v>0.26137286823123029</v>
      </c>
      <c r="AG9" s="674">
        <v>0.26137286823123029</v>
      </c>
      <c r="AH9" s="674">
        <v>0.26137286823123029</v>
      </c>
      <c r="AI9" s="674">
        <v>0</v>
      </c>
      <c r="AJ9" s="674">
        <v>0.15</v>
      </c>
      <c r="AL9" s="13">
        <v>2.86</v>
      </c>
      <c r="AM9" s="13">
        <v>1</v>
      </c>
      <c r="AO9" s="698">
        <f>'Rooftop Calc'!AD65</f>
        <v>3.7523355129885777E-3</v>
      </c>
      <c r="AP9" s="698">
        <f>'Rooftop Calc'!AD71</f>
        <v>7.3448493282017149E-2</v>
      </c>
      <c r="AQ9" s="698">
        <f>'Rooftop Calc'!AD77</f>
        <v>0.1382006415096666</v>
      </c>
      <c r="AR9" s="698">
        <f>'Rooftop Calc'!AD84</f>
        <v>0.20768833619464028</v>
      </c>
      <c r="AS9" s="698">
        <f>'Rooftop Calc'!AD91</f>
        <v>0.27717603087961395</v>
      </c>
      <c r="AT9" s="698">
        <f>'Rooftop Calc'!AD98</f>
        <v>0.34666372556458763</v>
      </c>
      <c r="AU9" s="698">
        <f>'Rooftop Calc'!AD105</f>
        <v>0.41615142024956131</v>
      </c>
      <c r="AV9" s="698">
        <f>'Rooftop Calc'!AD112</f>
        <v>0.4818867794215464</v>
      </c>
      <c r="AW9" s="698">
        <f>'Rooftop Calc'!AD119</f>
        <v>0.47792598082450294</v>
      </c>
      <c r="AX9" s="698">
        <f>'Rooftop Calc'!AD126</f>
        <v>0.46631224805362592</v>
      </c>
      <c r="AY9" s="698">
        <f>'Rooftop Calc'!AL77</f>
        <v>0.25287266972808764</v>
      </c>
      <c r="AZ9" s="698">
        <f>'Rooftop Calc'!AL84</f>
        <v>0.43177221407928656</v>
      </c>
      <c r="BA9" s="698">
        <f>'Rooftop Calc'!AL91</f>
        <v>0.61119639052535712</v>
      </c>
      <c r="BB9" s="698">
        <f>'Rooftop Calc'!AL98</f>
        <v>0.79009593487655594</v>
      </c>
      <c r="BC9" s="698">
        <f>'Rooftop Calc'!AL105</f>
        <v>0.9695201113226265</v>
      </c>
      <c r="BD9" s="698">
        <f>'Rooftop Calc'!AL112</f>
        <v>1.1484196556738255</v>
      </c>
      <c r="BE9" s="698">
        <f>'Rooftop Calc'!AL119</f>
        <v>1.3278438321198958</v>
      </c>
      <c r="BF9" s="698">
        <f>'Rooftop Calc'!AL126</f>
        <v>1.5067433764710947</v>
      </c>
    </row>
    <row r="10" spans="1:58">
      <c r="A10" s="674" t="s">
        <v>467</v>
      </c>
      <c r="B10" s="674" t="s">
        <v>861</v>
      </c>
      <c r="C10" s="674" t="s">
        <v>862</v>
      </c>
      <c r="D10" s="674"/>
      <c r="E10" s="674" t="s">
        <v>1529</v>
      </c>
      <c r="F10" s="674" t="s">
        <v>346</v>
      </c>
      <c r="G10" s="697">
        <v>2010</v>
      </c>
      <c r="H10" s="674">
        <v>30</v>
      </c>
      <c r="I10" s="674">
        <v>31.536000000000001</v>
      </c>
      <c r="J10" s="674">
        <f t="shared" si="0"/>
        <v>0.34965034965034969</v>
      </c>
      <c r="K10" s="674">
        <v>0.3</v>
      </c>
      <c r="L10" s="715">
        <f t="shared" si="1"/>
        <v>3.7963767281238378E-5</v>
      </c>
      <c r="M10" s="709">
        <v>6546.9994999999999</v>
      </c>
      <c r="N10" s="709">
        <v>3903.1781000000001</v>
      </c>
      <c r="O10" s="709">
        <v>3453.8020999999999</v>
      </c>
      <c r="P10" s="709">
        <v>3004.4261000000001</v>
      </c>
      <c r="Q10" s="709">
        <v>2839.3022000000001</v>
      </c>
      <c r="R10" s="709">
        <v>2674.1783999999998</v>
      </c>
      <c r="S10" s="709">
        <v>2596.4180000000001</v>
      </c>
      <c r="T10" s="709">
        <v>2558.6682999999998</v>
      </c>
      <c r="U10" s="709">
        <v>2540.0679</v>
      </c>
      <c r="V10" s="709">
        <v>2530.8353000000002</v>
      </c>
      <c r="W10" s="674">
        <v>10</v>
      </c>
      <c r="X10" s="674">
        <v>0</v>
      </c>
      <c r="Y10" s="674">
        <v>0.33039362066850508</v>
      </c>
      <c r="Z10" s="674">
        <v>0.33039362066850508</v>
      </c>
      <c r="AA10" s="674">
        <v>0</v>
      </c>
      <c r="AB10" s="674">
        <v>0.32440091699064305</v>
      </c>
      <c r="AC10" s="674">
        <v>0.32440091699064305</v>
      </c>
      <c r="AD10" s="674">
        <v>0.32440091699064305</v>
      </c>
      <c r="AE10" s="674">
        <v>0</v>
      </c>
      <c r="AF10" s="674">
        <v>0.34679381784356855</v>
      </c>
      <c r="AG10" s="674">
        <v>0.34679381784356855</v>
      </c>
      <c r="AH10" s="674">
        <v>0.34679381784356855</v>
      </c>
      <c r="AI10" s="674">
        <v>0</v>
      </c>
      <c r="AJ10" s="674">
        <v>0.15</v>
      </c>
      <c r="AL10" s="13">
        <v>2.86</v>
      </c>
      <c r="AM10" s="13">
        <v>1</v>
      </c>
      <c r="AO10" s="698">
        <f>'Rooftop Calc'!AE65</f>
        <v>1.1972253649811335E-3</v>
      </c>
      <c r="AP10" s="698">
        <f>'Rooftop Calc'!AE71</f>
        <v>9.3117528387421482E-3</v>
      </c>
      <c r="AQ10" s="698">
        <f>'Rooftop Calc'!AE77</f>
        <v>1.7877615271523831E-2</v>
      </c>
      <c r="AR10" s="698">
        <f>'Rooftop Calc'!AE84</f>
        <v>2.4528867299196795E-2</v>
      </c>
      <c r="AS10" s="698">
        <f>'Rooftop Calc'!AE91</f>
        <v>3.118011932686976E-2</v>
      </c>
      <c r="AT10" s="698">
        <f>'Rooftop Calc'!AE98</f>
        <v>3.7831371354542724E-2</v>
      </c>
      <c r="AU10" s="698">
        <f>'Rooftop Calc'!AE105</f>
        <v>4.4482623382215689E-2</v>
      </c>
      <c r="AV10" s="698">
        <f>'Rooftop Calc'!AE112</f>
        <v>4.9936650044907521E-2</v>
      </c>
      <c r="AW10" s="698">
        <f>'Rooftop Calc'!AE119</f>
        <v>4.7276149233838341E-2</v>
      </c>
      <c r="AX10" s="698">
        <f>'Rooftop Calc'!AE126</f>
        <v>4.2167162387180983E-2</v>
      </c>
      <c r="AY10" s="698">
        <f>'Rooftop Calc'!AM77</f>
        <v>3.2059034773383684E-2</v>
      </c>
      <c r="AZ10" s="698">
        <f>'Rooftop Calc'!AM84</f>
        <v>5.4739804187748486E-2</v>
      </c>
      <c r="BA10" s="698">
        <f>'Rooftop Calc'!AM91</f>
        <v>7.7487086122390039E-2</v>
      </c>
      <c r="BB10" s="698">
        <f>'Rooftop Calc'!AM98</f>
        <v>0.10016785553675484</v>
      </c>
      <c r="BC10" s="698">
        <f>'Rooftop Calc'!AM105</f>
        <v>0.12291513747139636</v>
      </c>
      <c r="BD10" s="698">
        <f>'Rooftop Calc'!AM112</f>
        <v>0.14559590688576118</v>
      </c>
      <c r="BE10" s="698">
        <f>'Rooftop Calc'!AM119</f>
        <v>0.16834318882040269</v>
      </c>
      <c r="BF10" s="698">
        <f>'Rooftop Calc'!AM126</f>
        <v>0.1910239582347675</v>
      </c>
    </row>
    <row r="11" spans="1:58">
      <c r="A11" s="674" t="s">
        <v>468</v>
      </c>
      <c r="B11" s="674" t="s">
        <v>861</v>
      </c>
      <c r="C11" s="674" t="s">
        <v>862</v>
      </c>
      <c r="D11" s="674"/>
      <c r="E11" s="674" t="s">
        <v>1529</v>
      </c>
      <c r="F11" s="674" t="s">
        <v>346</v>
      </c>
      <c r="G11" s="697">
        <v>2010</v>
      </c>
      <c r="H11" s="674">
        <v>30</v>
      </c>
      <c r="I11" s="674">
        <v>31.536000000000001</v>
      </c>
      <c r="J11" s="674">
        <f t="shared" si="0"/>
        <v>0.34965034965034969</v>
      </c>
      <c r="K11" s="674">
        <v>0.3</v>
      </c>
      <c r="L11" s="715">
        <f t="shared" si="1"/>
        <v>5.5295396567334985E-5</v>
      </c>
      <c r="M11" s="709">
        <v>6546.9994999999999</v>
      </c>
      <c r="N11" s="709">
        <v>3903.1781000000001</v>
      </c>
      <c r="O11" s="709">
        <v>3453.8020999999999</v>
      </c>
      <c r="P11" s="709">
        <v>3004.4261000000001</v>
      </c>
      <c r="Q11" s="709">
        <v>2839.3022000000001</v>
      </c>
      <c r="R11" s="709">
        <v>2674.1783999999998</v>
      </c>
      <c r="S11" s="709">
        <v>2596.4180000000001</v>
      </c>
      <c r="T11" s="709">
        <v>2558.6682999999998</v>
      </c>
      <c r="U11" s="709">
        <v>2540.0679</v>
      </c>
      <c r="V11" s="709">
        <v>2530.8353000000002</v>
      </c>
      <c r="W11" s="674">
        <v>10</v>
      </c>
      <c r="X11" s="674">
        <v>0</v>
      </c>
      <c r="Y11" s="674">
        <v>0.34379747607645139</v>
      </c>
      <c r="Z11" s="674">
        <v>0.34379747607645139</v>
      </c>
      <c r="AA11" s="674">
        <v>0</v>
      </c>
      <c r="AB11" s="674">
        <v>0.29466039144191863</v>
      </c>
      <c r="AC11" s="674">
        <v>0.29466039144191863</v>
      </c>
      <c r="AD11" s="674">
        <v>0.29466039144191863</v>
      </c>
      <c r="AE11" s="674">
        <v>0</v>
      </c>
      <c r="AF11" s="674">
        <v>0.36077416278414398</v>
      </c>
      <c r="AG11" s="674">
        <v>0.36077416278414398</v>
      </c>
      <c r="AH11" s="674">
        <v>0.36077416278414398</v>
      </c>
      <c r="AI11" s="674">
        <v>0</v>
      </c>
      <c r="AJ11" s="674">
        <v>0.15</v>
      </c>
      <c r="AL11" s="13">
        <v>2.86</v>
      </c>
      <c r="AM11" s="13">
        <v>1</v>
      </c>
      <c r="AO11" s="698">
        <f>'Rooftop Calc'!AF65</f>
        <v>1.7437956261474761E-3</v>
      </c>
      <c r="AP11" s="698">
        <f>'Rooftop Calc'!AF71</f>
        <v>0.3203455141446217</v>
      </c>
      <c r="AQ11" s="698">
        <f>'Rooftop Calc'!AF77</f>
        <v>0.57042833115796643</v>
      </c>
      <c r="AR11" s="698">
        <f>'Rooftop Calc'!AF84</f>
        <v>1.0833093976719299</v>
      </c>
      <c r="AS11" s="698">
        <f>'Rooftop Calc'!AF91</f>
        <v>1.5961904641858933</v>
      </c>
      <c r="AT11" s="698">
        <f>'Rooftop Calc'!AF98</f>
        <v>2.1090715306998566</v>
      </c>
      <c r="AU11" s="698">
        <f>'Rooftop Calc'!AF105</f>
        <v>2.62195259721382</v>
      </c>
      <c r="AV11" s="698">
        <f>'Rooftop Calc'!AF112</f>
        <v>3.1330898681016359</v>
      </c>
      <c r="AW11" s="698">
        <f>'Rooftop Calc'!AF119</f>
        <v>3.3256254204709776</v>
      </c>
      <c r="AX11" s="698">
        <f>'Rooftop Calc'!AF126</f>
        <v>3.7957449103088061</v>
      </c>
      <c r="AY11" s="698">
        <f>'Rooftop Calc'!AN77</f>
        <v>1.1029038415550547</v>
      </c>
      <c r="AZ11" s="698">
        <f>'Rooftop Calc'!AN84</f>
        <v>1.8831739867215977</v>
      </c>
      <c r="BA11" s="698">
        <f>'Rooftop Calc'!AN91</f>
        <v>2.6657323141320313</v>
      </c>
      <c r="BB11" s="698">
        <f>'Rooftop Calc'!AN98</f>
        <v>3.4460024592985739</v>
      </c>
      <c r="BC11" s="698">
        <f>'Rooftop Calc'!AN105</f>
        <v>4.2285607867090071</v>
      </c>
      <c r="BD11" s="698">
        <f>'Rooftop Calc'!AN112</f>
        <v>5.0088309318755497</v>
      </c>
      <c r="BE11" s="698">
        <f>'Rooftop Calc'!AN119</f>
        <v>5.7913892592859826</v>
      </c>
      <c r="BF11" s="698">
        <f>'Rooftop Calc'!AN126</f>
        <v>6.5716594044525261</v>
      </c>
    </row>
    <row r="12" spans="1:58">
      <c r="A12" s="674" t="s">
        <v>469</v>
      </c>
      <c r="B12" s="674" t="s">
        <v>861</v>
      </c>
      <c r="C12" s="674" t="s">
        <v>862</v>
      </c>
      <c r="D12" s="674"/>
      <c r="E12" s="674" t="s">
        <v>1529</v>
      </c>
      <c r="F12" s="674" t="s">
        <v>346</v>
      </c>
      <c r="G12" s="697">
        <v>2010</v>
      </c>
      <c r="H12" s="674">
        <v>30</v>
      </c>
      <c r="I12" s="674">
        <v>31.536000000000001</v>
      </c>
      <c r="J12" s="674">
        <f t="shared" si="0"/>
        <v>0.34965034965034969</v>
      </c>
      <c r="K12" s="674">
        <v>0.3</v>
      </c>
      <c r="L12" s="715">
        <f t="shared" si="1"/>
        <v>4.1200637128207754E-4</v>
      </c>
      <c r="M12" s="709">
        <v>6546.9994999999999</v>
      </c>
      <c r="N12" s="709">
        <v>3903.1781000000001</v>
      </c>
      <c r="O12" s="709">
        <v>3453.8020999999999</v>
      </c>
      <c r="P12" s="709">
        <v>3004.4261000000001</v>
      </c>
      <c r="Q12" s="709">
        <v>2839.3022000000001</v>
      </c>
      <c r="R12" s="709">
        <v>2674.1783999999998</v>
      </c>
      <c r="S12" s="709">
        <v>2596.4180000000001</v>
      </c>
      <c r="T12" s="709">
        <v>2558.6682999999998</v>
      </c>
      <c r="U12" s="709">
        <v>2540.0679</v>
      </c>
      <c r="V12" s="709">
        <v>2530.8353000000002</v>
      </c>
      <c r="W12" s="674">
        <v>10</v>
      </c>
      <c r="X12" s="674">
        <v>0</v>
      </c>
      <c r="Y12" s="674">
        <v>0.34054374080256677</v>
      </c>
      <c r="Z12" s="674">
        <v>0.34054374080256677</v>
      </c>
      <c r="AA12" s="674">
        <v>0</v>
      </c>
      <c r="AB12" s="674">
        <v>0.30737100997881689</v>
      </c>
      <c r="AC12" s="674">
        <v>0.30737100997881689</v>
      </c>
      <c r="AD12" s="674">
        <v>0.30737100997881689</v>
      </c>
      <c r="AE12" s="674">
        <v>0</v>
      </c>
      <c r="AF12" s="674">
        <v>0.32128123658006663</v>
      </c>
      <c r="AG12" s="674">
        <v>0.32128123658006663</v>
      </c>
      <c r="AH12" s="674">
        <v>0.32128123658006663</v>
      </c>
      <c r="AI12" s="674">
        <v>0</v>
      </c>
      <c r="AJ12" s="674">
        <v>0.15</v>
      </c>
      <c r="AL12" s="13">
        <v>2.86</v>
      </c>
      <c r="AM12" s="13">
        <v>1</v>
      </c>
      <c r="AO12" s="698">
        <f>'Rooftop Calc'!AG65</f>
        <v>1.2993032924751598E-2</v>
      </c>
      <c r="AP12" s="698">
        <f>'Rooftop Calc'!AG71</f>
        <v>0.17523498352461039</v>
      </c>
      <c r="AQ12" s="698">
        <f>'Rooftop Calc'!AG77</f>
        <v>0.47194745859662995</v>
      </c>
      <c r="AR12" s="698">
        <f>'Rooftop Calc'!AG84</f>
        <v>0.89934985743714302</v>
      </c>
      <c r="AS12" s="698">
        <f>'Rooftop Calc'!AG91</f>
        <v>1.3267522562776561</v>
      </c>
      <c r="AT12" s="698">
        <f>'Rooftop Calc'!AG98</f>
        <v>1.7541546551181693</v>
      </c>
      <c r="AU12" s="698">
        <f>'Rooftop Calc'!AG105</f>
        <v>2.1815570539586822</v>
      </c>
      <c r="AV12" s="698">
        <f>'Rooftop Calc'!AG112</f>
        <v>2.5959664198744434</v>
      </c>
      <c r="AW12" s="698">
        <f>'Rooftop Calc'!AG119</f>
        <v>2.848133835190346</v>
      </c>
      <c r="AX12" s="698">
        <f>'Rooftop Calc'!AG126</f>
        <v>3.1386940227732558</v>
      </c>
      <c r="AY12" s="698">
        <f>'Rooftop Calc'!AO77</f>
        <v>0.60330901470615872</v>
      </c>
      <c r="AZ12" s="698">
        <f>'Rooftop Calc'!AO84</f>
        <v>1.0301313674339598</v>
      </c>
      <c r="BA12" s="698">
        <f>'Rooftop Calc'!AO91</f>
        <v>1.4582053986155081</v>
      </c>
      <c r="BB12" s="698">
        <f>'Rooftop Calc'!AO98</f>
        <v>1.8850277513433091</v>
      </c>
      <c r="BC12" s="698">
        <f>'Rooftop Calc'!AO105</f>
        <v>2.3131017825248574</v>
      </c>
      <c r="BD12" s="698">
        <f>'Rooftop Calc'!AO112</f>
        <v>2.7399241352526587</v>
      </c>
      <c r="BE12" s="698">
        <f>'Rooftop Calc'!AO119</f>
        <v>3.1679981664342067</v>
      </c>
      <c r="BF12" s="698">
        <f>'Rooftop Calc'!AO126</f>
        <v>3.594820519162008</v>
      </c>
    </row>
    <row r="13" spans="1:58">
      <c r="A13" s="674" t="s">
        <v>390</v>
      </c>
      <c r="B13" s="674"/>
      <c r="C13" s="674"/>
      <c r="D13" s="674"/>
      <c r="E13" s="674"/>
      <c r="F13" s="674"/>
      <c r="G13" s="697"/>
      <c r="H13" s="674"/>
      <c r="I13" s="674"/>
      <c r="J13" s="674"/>
      <c r="K13" s="674"/>
      <c r="L13" s="712"/>
      <c r="M13" s="674"/>
      <c r="N13" s="674"/>
      <c r="O13" s="674"/>
      <c r="P13" s="674"/>
      <c r="Q13" s="674"/>
      <c r="R13" s="674"/>
      <c r="S13" s="674"/>
      <c r="T13" s="674"/>
      <c r="U13" s="674"/>
      <c r="V13" s="674"/>
      <c r="W13" s="674"/>
      <c r="X13" s="674"/>
      <c r="Y13" s="674"/>
      <c r="Z13" s="674"/>
      <c r="AA13" s="674"/>
      <c r="AB13" s="674"/>
      <c r="AC13" s="674"/>
      <c r="AD13" s="674"/>
      <c r="AE13" s="674"/>
      <c r="AF13" s="674"/>
      <c r="AG13" s="674"/>
      <c r="AH13" s="674"/>
      <c r="AI13" s="674"/>
      <c r="AJ13" s="674"/>
      <c r="AO13" s="698">
        <f>SUM(AO8:AO12)</f>
        <v>2.6880972964034966E-2</v>
      </c>
      <c r="AP13" s="698">
        <f t="shared" ref="AP13:AX13" si="2">SUM(AP8:AP12)</f>
        <v>0.68766874513880538</v>
      </c>
      <c r="AQ13" s="698">
        <f t="shared" si="2"/>
        <v>1.4434189788148148</v>
      </c>
      <c r="AR13" s="698">
        <f t="shared" si="2"/>
        <v>2.6452688015820973</v>
      </c>
      <c r="AS13" s="698">
        <f t="shared" si="2"/>
        <v>3.8471186243493802</v>
      </c>
      <c r="AT13" s="698">
        <f t="shared" si="2"/>
        <v>5.0489684471166623</v>
      </c>
      <c r="AU13" s="698">
        <f t="shared" si="2"/>
        <v>6.2508182698839452</v>
      </c>
      <c r="AV13" s="698">
        <f t="shared" si="2"/>
        <v>7.4257871196871914</v>
      </c>
      <c r="AW13" s="698">
        <f t="shared" si="2"/>
        <v>7.9399681973156682</v>
      </c>
      <c r="AX13" s="698">
        <f t="shared" si="2"/>
        <v>8.7501421312373751</v>
      </c>
      <c r="AY13" s="698">
        <f t="shared" ref="AY13" si="3">SUM(AY8:AY12)</f>
        <v>2.3675452511207444</v>
      </c>
      <c r="AZ13" s="698">
        <f t="shared" ref="AZ13" si="4">SUM(AZ8:AZ12)</f>
        <v>4.0425098374945492</v>
      </c>
      <c r="BA13" s="698">
        <f t="shared" ref="BA13" si="5">SUM(BA8:BA12)</f>
        <v>5.7223863434764883</v>
      </c>
      <c r="BB13" s="698">
        <f t="shared" ref="BB13" si="6">SUM(BB8:BB12)</f>
        <v>7.3973509298502931</v>
      </c>
      <c r="BC13" s="698">
        <f t="shared" ref="BC13" si="7">SUM(BC8:BC12)</f>
        <v>9.0772274358322314</v>
      </c>
      <c r="BD13" s="698">
        <f t="shared" ref="BD13" si="8">SUM(BD8:BD12)</f>
        <v>10.752192022206037</v>
      </c>
      <c r="BE13" s="698">
        <f t="shared" ref="BE13" si="9">SUM(BE8:BE12)</f>
        <v>12.432068528187973</v>
      </c>
      <c r="BF13" s="698">
        <f t="shared" ref="BF13" si="10">SUM(BF8:BF12)</f>
        <v>14.10703311456178</v>
      </c>
    </row>
    <row r="14" spans="1:58">
      <c r="A14" s="674" t="s">
        <v>390</v>
      </c>
      <c r="B14" s="674"/>
      <c r="C14" s="674"/>
      <c r="D14" s="674"/>
      <c r="E14" s="674"/>
      <c r="F14" s="674"/>
      <c r="G14" s="697"/>
      <c r="H14" s="674"/>
      <c r="I14" s="674"/>
      <c r="J14" s="674"/>
      <c r="K14" s="674"/>
      <c r="L14" s="712"/>
      <c r="M14" s="674"/>
      <c r="N14" s="674"/>
      <c r="O14" s="674"/>
      <c r="P14" s="674"/>
      <c r="Q14" s="674"/>
      <c r="R14" s="674"/>
      <c r="S14" s="674"/>
      <c r="T14" s="674"/>
      <c r="U14" s="674"/>
      <c r="V14" s="674"/>
      <c r="W14" s="674"/>
      <c r="X14" s="674"/>
      <c r="Y14" s="674"/>
      <c r="Z14" s="674"/>
      <c r="AA14" s="674"/>
      <c r="AB14" s="674"/>
      <c r="AC14" s="674"/>
      <c r="AD14" s="674"/>
      <c r="AE14" s="674"/>
      <c r="AF14" s="674"/>
      <c r="AG14" s="674"/>
      <c r="AH14" s="674"/>
      <c r="AI14" s="674"/>
      <c r="AJ14" s="674"/>
      <c r="AO14" s="698"/>
      <c r="AP14" s="698"/>
      <c r="AQ14" s="698"/>
      <c r="AR14" s="698"/>
      <c r="AS14" s="698"/>
      <c r="AT14" s="698"/>
      <c r="AU14" s="698"/>
      <c r="AV14" s="698"/>
      <c r="AW14" s="698"/>
      <c r="AX14" s="698"/>
      <c r="AY14" s="698"/>
      <c r="AZ14" s="698"/>
      <c r="BA14" s="698"/>
      <c r="BB14" s="698"/>
      <c r="BC14" s="698"/>
      <c r="BD14" s="698"/>
      <c r="BE14" s="698"/>
      <c r="BF14" s="698"/>
    </row>
  </sheetData>
  <pageMargins left="0.75" right="0.75" top="1" bottom="1" header="0.5" footer="0.5"/>
  <pageSetup paperSize="9" orientation="landscape" horizontalDpi="1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tabColor rgb="FFFFC000"/>
  </sheetPr>
  <dimension ref="A1:BB437"/>
  <sheetViews>
    <sheetView zoomScale="70" zoomScaleNormal="70" zoomScaleSheetLayoutView="96" workbookViewId="0">
      <pane xSplit="6" ySplit="7" topLeftCell="AT388" activePane="bottomRight" state="frozen"/>
      <selection activeCell="F340" sqref="F340"/>
      <selection pane="topRight" activeCell="F340" sqref="F340"/>
      <selection pane="bottomLeft" activeCell="F340" sqref="F340"/>
      <selection pane="bottomRight" activeCell="C27" sqref="C27"/>
    </sheetView>
  </sheetViews>
  <sheetFormatPr defaultColWidth="9.28515625" defaultRowHeight="12.75"/>
  <cols>
    <col min="1" max="1" width="16.7109375" style="13" customWidth="1"/>
    <col min="2" max="2" width="30.5703125" style="13" bestFit="1" customWidth="1"/>
    <col min="3" max="3" width="41.7109375" style="13" bestFit="1" customWidth="1"/>
    <col min="4" max="4" width="11.42578125" style="13" bestFit="1" customWidth="1"/>
    <col min="5" max="5" width="15.7109375" style="13" bestFit="1" customWidth="1"/>
    <col min="6" max="6" width="13.28515625" style="13" bestFit="1" customWidth="1"/>
    <col min="7" max="7" width="17.28515625" style="693" bestFit="1" customWidth="1"/>
    <col min="8" max="9" width="15.7109375" style="13" bestFit="1" customWidth="1"/>
    <col min="10" max="10" width="6" style="13" bestFit="1" customWidth="1"/>
    <col min="11" max="11" width="12" style="13" bestFit="1" customWidth="1"/>
    <col min="12" max="16" width="16.7109375" style="13" bestFit="1" customWidth="1"/>
    <col min="17" max="17" width="14.7109375" style="13" bestFit="1" customWidth="1"/>
    <col min="18" max="18" width="17.42578125" style="13" bestFit="1" customWidth="1"/>
    <col min="19" max="28" width="25" style="691" bestFit="1" customWidth="1"/>
    <col min="29" max="33" width="25.42578125" style="691" bestFit="1" customWidth="1"/>
    <col min="34" max="35" width="20.5703125" style="691" bestFit="1" customWidth="1"/>
    <col min="36" max="43" width="21" style="691" bestFit="1" customWidth="1"/>
    <col min="44" max="45" width="21" style="691" customWidth="1"/>
    <col min="46" max="46" width="12.42578125" style="691" bestFit="1" customWidth="1"/>
    <col min="47" max="54" width="12.42578125" style="13" bestFit="1" customWidth="1"/>
    <col min="55" max="16384" width="9.28515625" style="13"/>
  </cols>
  <sheetData>
    <row r="1" spans="1:54">
      <c r="A1" s="1" t="s">
        <v>474</v>
      </c>
      <c r="B1" s="13" t="s">
        <v>2339</v>
      </c>
      <c r="G1" s="688"/>
      <c r="H1" s="689"/>
      <c r="I1" s="689"/>
      <c r="J1" s="689"/>
      <c r="K1" s="689"/>
      <c r="L1" s="689" t="s">
        <v>465</v>
      </c>
      <c r="M1" s="689" t="s">
        <v>466</v>
      </c>
      <c r="N1" s="689" t="s">
        <v>467</v>
      </c>
      <c r="O1" s="689" t="s">
        <v>468</v>
      </c>
      <c r="P1" s="689" t="s">
        <v>469</v>
      </c>
      <c r="Q1" s="689"/>
      <c r="R1" s="689"/>
      <c r="S1" s="690" t="s">
        <v>465</v>
      </c>
      <c r="T1" s="690" t="s">
        <v>466</v>
      </c>
      <c r="U1" s="690" t="s">
        <v>467</v>
      </c>
      <c r="V1" s="690" t="s">
        <v>468</v>
      </c>
      <c r="W1" s="690" t="s">
        <v>469</v>
      </c>
      <c r="X1" s="690" t="s">
        <v>465</v>
      </c>
      <c r="Y1" s="690" t="s">
        <v>466</v>
      </c>
      <c r="Z1" s="690" t="s">
        <v>467</v>
      </c>
      <c r="AA1" s="690" t="s">
        <v>468</v>
      </c>
      <c r="AB1" s="690" t="s">
        <v>469</v>
      </c>
      <c r="AC1" s="690" t="s">
        <v>465</v>
      </c>
      <c r="AD1" s="690" t="s">
        <v>466</v>
      </c>
      <c r="AE1" s="690" t="s">
        <v>467</v>
      </c>
      <c r="AF1" s="690" t="s">
        <v>468</v>
      </c>
      <c r="AG1" s="690" t="s">
        <v>469</v>
      </c>
      <c r="AH1" s="690"/>
      <c r="AI1" s="690"/>
      <c r="AJ1" s="690"/>
      <c r="AK1" s="690"/>
      <c r="AL1" s="690"/>
      <c r="AM1" s="690"/>
      <c r="AN1" s="690"/>
      <c r="AO1" s="690"/>
      <c r="AP1" s="690"/>
      <c r="AQ1" s="690"/>
      <c r="AR1" s="690"/>
      <c r="AS1" s="690"/>
      <c r="AT1" s="690"/>
    </row>
    <row r="2" spans="1:54">
      <c r="G2" s="688"/>
      <c r="H2" s="689"/>
      <c r="I2" s="689"/>
      <c r="J2" s="689"/>
      <c r="K2" s="689"/>
      <c r="L2" s="689"/>
      <c r="M2" s="689"/>
      <c r="N2" s="689"/>
      <c r="O2" s="689"/>
      <c r="P2" s="689"/>
      <c r="Q2" s="689"/>
      <c r="R2" s="689"/>
      <c r="S2" s="690"/>
      <c r="T2" s="690"/>
      <c r="U2" s="690"/>
      <c r="V2" s="690"/>
      <c r="W2" s="690"/>
      <c r="X2" s="690"/>
      <c r="Y2" s="690"/>
      <c r="Z2" s="690"/>
      <c r="AA2" s="690"/>
      <c r="AB2" s="690"/>
      <c r="AC2" s="690"/>
      <c r="AD2" s="690"/>
      <c r="AE2" s="690"/>
      <c r="AF2" s="690"/>
      <c r="AG2" s="690"/>
      <c r="AH2" s="690"/>
      <c r="AI2" s="690"/>
      <c r="AJ2" s="690"/>
      <c r="AK2" s="690"/>
      <c r="AL2" s="690"/>
      <c r="AM2" s="690"/>
      <c r="AN2" s="690"/>
      <c r="AO2" s="690"/>
      <c r="AP2" s="690"/>
    </row>
    <row r="3" spans="1:54">
      <c r="G3" s="688"/>
      <c r="H3" s="689"/>
      <c r="I3" s="689"/>
      <c r="J3" s="689"/>
      <c r="K3" s="689"/>
      <c r="L3" s="689"/>
      <c r="M3" s="689"/>
      <c r="N3" s="689"/>
      <c r="O3" s="689"/>
      <c r="P3" s="689"/>
      <c r="Q3" s="689"/>
      <c r="R3" s="689"/>
      <c r="S3" s="690"/>
      <c r="T3" s="690"/>
      <c r="U3" s="690"/>
      <c r="V3" s="690"/>
      <c r="W3" s="690"/>
      <c r="X3" s="690"/>
      <c r="Y3" s="690"/>
      <c r="Z3" s="690"/>
      <c r="AA3" s="690"/>
      <c r="AB3" s="690"/>
      <c r="AC3" s="690"/>
      <c r="AD3" s="690"/>
      <c r="AE3" s="690"/>
      <c r="AF3" s="690"/>
      <c r="AG3" s="690"/>
      <c r="AH3" s="690"/>
      <c r="AI3" s="690"/>
      <c r="AJ3" s="690"/>
      <c r="AK3" s="690"/>
      <c r="AL3" s="690"/>
      <c r="AM3" s="690"/>
      <c r="AN3" s="690"/>
      <c r="AO3" s="690"/>
      <c r="AP3" s="690"/>
    </row>
    <row r="4" spans="1:54">
      <c r="G4" s="688"/>
      <c r="H4" s="689"/>
      <c r="I4" s="689"/>
      <c r="J4" s="689"/>
      <c r="K4" s="689"/>
      <c r="L4" s="689"/>
      <c r="M4" s="689"/>
      <c r="N4" s="689"/>
      <c r="O4" s="689"/>
      <c r="P4" s="689"/>
      <c r="Q4" s="689"/>
      <c r="R4" s="689"/>
      <c r="S4" s="690"/>
      <c r="T4" s="690"/>
      <c r="U4" s="690"/>
      <c r="V4" s="690"/>
      <c r="W4" s="690"/>
      <c r="X4" s="690"/>
      <c r="Y4" s="690"/>
      <c r="Z4" s="690"/>
      <c r="AA4" s="690"/>
      <c r="AB4" s="690"/>
      <c r="AC4" s="690"/>
      <c r="AD4" s="690"/>
      <c r="AE4" s="690"/>
      <c r="AF4" s="690"/>
      <c r="AG4" s="690"/>
      <c r="AH4" s="690"/>
      <c r="AI4" s="690"/>
      <c r="AJ4" s="690"/>
      <c r="AK4" s="690"/>
      <c r="AL4" s="690"/>
      <c r="AM4" s="690"/>
      <c r="AN4" s="690"/>
      <c r="AO4" s="690"/>
      <c r="AP4" s="690"/>
    </row>
    <row r="5" spans="1:54">
      <c r="G5" s="688"/>
      <c r="H5" s="689"/>
      <c r="I5" s="689"/>
      <c r="J5" s="689"/>
      <c r="K5" s="689"/>
      <c r="L5" s="689"/>
      <c r="M5" s="689"/>
      <c r="N5" s="689"/>
      <c r="O5" s="689"/>
      <c r="P5" s="689"/>
      <c r="Q5" s="689"/>
      <c r="R5" s="689"/>
      <c r="S5" s="690"/>
      <c r="T5" s="690"/>
      <c r="U5" s="690"/>
      <c r="V5" s="690"/>
      <c r="W5" s="690"/>
      <c r="X5" s="690"/>
      <c r="Y5" s="690"/>
      <c r="Z5" s="690"/>
      <c r="AA5" s="690"/>
      <c r="AB5" s="690"/>
      <c r="AC5" s="690"/>
      <c r="AD5" s="690"/>
      <c r="AE5" s="690"/>
      <c r="AF5" s="690"/>
      <c r="AG5" s="690"/>
      <c r="AH5" s="690"/>
      <c r="AI5" s="690"/>
      <c r="AJ5" s="690"/>
      <c r="AK5" s="690"/>
      <c r="AL5" s="690"/>
      <c r="AM5" s="690"/>
      <c r="AN5" s="690"/>
      <c r="AO5" s="690"/>
      <c r="AP5" s="690"/>
    </row>
    <row r="6" spans="1:54">
      <c r="F6" s="687"/>
      <c r="G6" s="688"/>
      <c r="H6" s="689"/>
      <c r="I6" s="689"/>
      <c r="J6" s="689"/>
      <c r="K6" s="689"/>
      <c r="L6" s="689"/>
      <c r="M6" s="689"/>
      <c r="N6" s="689"/>
      <c r="O6" s="689"/>
      <c r="P6" s="689"/>
      <c r="Q6" s="689"/>
      <c r="R6" s="689"/>
      <c r="S6" s="690"/>
      <c r="T6" s="690"/>
      <c r="U6" s="690"/>
      <c r="V6" s="690"/>
      <c r="W6" s="690"/>
      <c r="X6" s="690"/>
      <c r="Y6" s="690"/>
      <c r="Z6" s="690"/>
      <c r="AA6" s="690"/>
      <c r="AB6" s="690"/>
      <c r="AC6" s="690"/>
      <c r="AD6" s="690"/>
      <c r="AE6" s="690"/>
      <c r="AF6" s="690"/>
      <c r="AG6" s="690"/>
      <c r="AH6" s="690"/>
      <c r="AI6" s="690"/>
      <c r="AJ6" s="690"/>
      <c r="AK6" s="690"/>
      <c r="AL6" s="690"/>
      <c r="AM6" s="690"/>
      <c r="AN6" s="690"/>
      <c r="AO6" s="690"/>
      <c r="AP6" s="690"/>
    </row>
    <row r="7" spans="1:54" ht="15.75" customHeight="1">
      <c r="A7" s="671" t="s">
        <v>664</v>
      </c>
      <c r="B7" s="671" t="s">
        <v>330</v>
      </c>
      <c r="C7" s="671" t="s">
        <v>3002</v>
      </c>
      <c r="D7" s="671" t="s">
        <v>3001</v>
      </c>
      <c r="E7" s="671" t="s">
        <v>333</v>
      </c>
      <c r="F7" s="671" t="s">
        <v>334</v>
      </c>
      <c r="G7" s="671" t="s">
        <v>3003</v>
      </c>
      <c r="H7" s="671" t="s">
        <v>3004</v>
      </c>
      <c r="I7" s="671" t="s">
        <v>3005</v>
      </c>
      <c r="J7" s="671" t="s">
        <v>479</v>
      </c>
      <c r="K7" s="671" t="s">
        <v>3047</v>
      </c>
      <c r="L7" s="671" t="s">
        <v>3006</v>
      </c>
      <c r="M7" s="671" t="s">
        <v>3007</v>
      </c>
      <c r="N7" s="671" t="s">
        <v>3008</v>
      </c>
      <c r="O7" s="671" t="s">
        <v>3009</v>
      </c>
      <c r="P7" s="671" t="s">
        <v>3010</v>
      </c>
      <c r="Q7" s="671" t="s">
        <v>3011</v>
      </c>
      <c r="R7" s="671" t="s">
        <v>3012</v>
      </c>
      <c r="S7" s="671" t="s">
        <v>3013</v>
      </c>
      <c r="T7" s="671" t="s">
        <v>3014</v>
      </c>
      <c r="U7" s="671" t="s">
        <v>3015</v>
      </c>
      <c r="V7" s="671" t="s">
        <v>3016</v>
      </c>
      <c r="W7" s="671" t="s">
        <v>3017</v>
      </c>
      <c r="X7" s="671" t="s">
        <v>3018</v>
      </c>
      <c r="Y7" s="671" t="s">
        <v>3019</v>
      </c>
      <c r="Z7" s="671" t="s">
        <v>3020</v>
      </c>
      <c r="AA7" s="671" t="s">
        <v>3021</v>
      </c>
      <c r="AB7" s="671" t="s">
        <v>3022</v>
      </c>
      <c r="AC7" s="671" t="s">
        <v>3023</v>
      </c>
      <c r="AD7" s="671" t="s">
        <v>3024</v>
      </c>
      <c r="AE7" s="671" t="s">
        <v>3025</v>
      </c>
      <c r="AF7" s="671" t="s">
        <v>3026</v>
      </c>
      <c r="AG7" s="671" t="s">
        <v>3027</v>
      </c>
      <c r="AH7" s="671" t="s">
        <v>3028</v>
      </c>
      <c r="AI7" s="671" t="s">
        <v>3029</v>
      </c>
      <c r="AJ7" s="671" t="s">
        <v>3030</v>
      </c>
      <c r="AK7" s="671" t="s">
        <v>3031</v>
      </c>
      <c r="AL7" s="671" t="s">
        <v>3032</v>
      </c>
      <c r="AM7" s="671" t="s">
        <v>3033</v>
      </c>
      <c r="AN7" s="671" t="s">
        <v>3034</v>
      </c>
      <c r="AO7" s="671" t="s">
        <v>3035</v>
      </c>
      <c r="AP7" s="671" t="s">
        <v>3036</v>
      </c>
      <c r="AQ7" s="671" t="s">
        <v>3037</v>
      </c>
      <c r="AR7" s="713"/>
      <c r="AS7" s="713"/>
      <c r="AT7" s="694" t="s">
        <v>3038</v>
      </c>
      <c r="AU7" s="694" t="s">
        <v>3039</v>
      </c>
      <c r="AV7" s="694" t="s">
        <v>3040</v>
      </c>
      <c r="AW7" s="694" t="s">
        <v>3041</v>
      </c>
      <c r="AX7" s="694" t="s">
        <v>3042</v>
      </c>
      <c r="AY7" s="694" t="s">
        <v>3043</v>
      </c>
      <c r="AZ7" s="694" t="s">
        <v>3044</v>
      </c>
      <c r="BA7" s="694" t="s">
        <v>3045</v>
      </c>
      <c r="BB7" s="694" t="s">
        <v>3046</v>
      </c>
    </row>
    <row r="8" spans="1:54" ht="15.75" customHeight="1">
      <c r="A8" s="684" t="s">
        <v>385</v>
      </c>
      <c r="B8" s="682"/>
      <c r="C8" s="682"/>
      <c r="D8" s="682"/>
      <c r="E8" s="684"/>
      <c r="F8" s="684"/>
      <c r="G8" s="704"/>
      <c r="H8" s="705"/>
      <c r="I8" s="705"/>
      <c r="J8" s="706"/>
      <c r="K8" s="705"/>
      <c r="L8" s="705"/>
      <c r="M8" s="705"/>
      <c r="N8" s="705"/>
      <c r="O8" s="705"/>
      <c r="P8" s="705"/>
      <c r="Q8" s="705"/>
      <c r="R8" s="706"/>
      <c r="S8" s="707"/>
      <c r="T8" s="707"/>
      <c r="U8" s="707"/>
      <c r="V8" s="707"/>
      <c r="W8" s="707"/>
      <c r="X8" s="707"/>
      <c r="Y8" s="707"/>
      <c r="Z8" s="707"/>
      <c r="AA8" s="707"/>
      <c r="AB8" s="707"/>
      <c r="AC8" s="707"/>
      <c r="AD8" s="707"/>
      <c r="AE8" s="707"/>
      <c r="AF8" s="707"/>
      <c r="AG8" s="707"/>
      <c r="AH8" s="707"/>
      <c r="AI8" s="707"/>
      <c r="AJ8" s="707"/>
      <c r="AK8" s="707"/>
      <c r="AL8" s="707"/>
      <c r="AM8" s="707"/>
      <c r="AN8" s="707"/>
      <c r="AO8" s="707"/>
      <c r="AP8" s="707"/>
      <c r="AQ8" s="708"/>
      <c r="AT8" s="708"/>
      <c r="AU8" s="682"/>
      <c r="AV8" s="682"/>
      <c r="AW8" s="682"/>
      <c r="AX8" s="682"/>
      <c r="AY8" s="682"/>
      <c r="AZ8" s="682"/>
      <c r="BA8" s="682"/>
      <c r="BB8" s="682"/>
    </row>
    <row r="9" spans="1:54" ht="15.75" customHeight="1">
      <c r="A9" s="684" t="s">
        <v>2320</v>
      </c>
      <c r="B9" s="682"/>
      <c r="C9" s="682"/>
      <c r="D9" s="682"/>
      <c r="E9" s="684"/>
      <c r="F9" s="684"/>
      <c r="G9" s="704"/>
      <c r="H9" s="705"/>
      <c r="I9" s="705"/>
      <c r="J9" s="706"/>
      <c r="K9" s="705"/>
      <c r="L9" s="705"/>
      <c r="M9" s="705"/>
      <c r="N9" s="705"/>
      <c r="O9" s="705"/>
      <c r="P9" s="705"/>
      <c r="Q9" s="705"/>
      <c r="R9" s="706"/>
      <c r="S9" s="707"/>
      <c r="T9" s="707"/>
      <c r="U9" s="707"/>
      <c r="V9" s="707"/>
      <c r="W9" s="707"/>
      <c r="X9" s="707"/>
      <c r="Y9" s="707"/>
      <c r="Z9" s="707"/>
      <c r="AA9" s="707"/>
      <c r="AB9" s="707"/>
      <c r="AC9" s="707"/>
      <c r="AD9" s="707"/>
      <c r="AE9" s="707"/>
      <c r="AF9" s="707"/>
      <c r="AG9" s="707"/>
      <c r="AH9" s="707"/>
      <c r="AI9" s="707"/>
      <c r="AJ9" s="707"/>
      <c r="AK9" s="707"/>
      <c r="AL9" s="707"/>
      <c r="AM9" s="707"/>
      <c r="AN9" s="707"/>
      <c r="AO9" s="707"/>
      <c r="AP9" s="707"/>
      <c r="AQ9" s="708"/>
      <c r="AT9" s="708"/>
      <c r="AU9" s="682"/>
      <c r="AV9" s="682"/>
      <c r="AW9" s="682"/>
      <c r="AX9" s="682"/>
      <c r="AY9" s="682"/>
      <c r="AZ9" s="682"/>
      <c r="BA9" s="682"/>
      <c r="BB9" s="682"/>
    </row>
    <row r="10" spans="1:54">
      <c r="A10" s="674" t="s">
        <v>390</v>
      </c>
      <c r="B10" s="674" t="s">
        <v>793</v>
      </c>
      <c r="C10" s="674" t="s">
        <v>321</v>
      </c>
      <c r="D10" s="673" t="s">
        <v>348</v>
      </c>
      <c r="E10" s="674" t="s">
        <v>349</v>
      </c>
      <c r="F10" s="674" t="str">
        <f>Commodities!$D$11</f>
        <v>RSH</v>
      </c>
      <c r="G10" s="697">
        <v>2010</v>
      </c>
      <c r="H10" s="695">
        <v>20</v>
      </c>
      <c r="I10" s="698"/>
      <c r="J10" s="698">
        <v>1</v>
      </c>
      <c r="K10" s="674">
        <v>1</v>
      </c>
      <c r="L10" s="674">
        <v>0.16</v>
      </c>
      <c r="M10" s="674">
        <v>0.16</v>
      </c>
      <c r="N10" s="674">
        <v>0.16</v>
      </c>
      <c r="O10" s="674">
        <v>0.16</v>
      </c>
      <c r="P10" s="674">
        <v>0.16</v>
      </c>
      <c r="Q10" s="674"/>
      <c r="R10" s="674">
        <v>0.18</v>
      </c>
      <c r="S10" s="699"/>
      <c r="T10" s="699"/>
      <c r="U10" s="699"/>
      <c r="V10" s="699"/>
      <c r="W10" s="699"/>
      <c r="X10" s="699"/>
      <c r="Y10" s="699"/>
      <c r="Z10" s="699"/>
      <c r="AA10" s="699"/>
      <c r="AB10" s="699"/>
      <c r="AC10" s="699"/>
      <c r="AD10" s="699"/>
      <c r="AE10" s="699"/>
      <c r="AF10" s="699"/>
      <c r="AG10" s="699"/>
      <c r="AH10" s="696">
        <v>0</v>
      </c>
      <c r="AI10" s="696">
        <v>0</v>
      </c>
      <c r="AJ10" s="696">
        <v>0</v>
      </c>
      <c r="AK10" s="696">
        <v>0</v>
      </c>
      <c r="AL10" s="696">
        <v>0</v>
      </c>
      <c r="AM10" s="696">
        <v>0</v>
      </c>
      <c r="AN10" s="696">
        <v>0</v>
      </c>
      <c r="AO10" s="696">
        <v>0</v>
      </c>
      <c r="AP10" s="696">
        <v>0</v>
      </c>
      <c r="AQ10" s="696">
        <v>0</v>
      </c>
      <c r="AT10" s="696"/>
      <c r="AU10" s="674"/>
      <c r="AV10" s="674"/>
      <c r="AW10" s="674"/>
      <c r="AX10" s="674"/>
      <c r="AY10" s="674"/>
      <c r="AZ10" s="674"/>
      <c r="BA10" s="674"/>
      <c r="BB10" s="674"/>
    </row>
    <row r="11" spans="1:54">
      <c r="A11" s="674" t="s">
        <v>1528</v>
      </c>
      <c r="B11" s="674" t="s">
        <v>6</v>
      </c>
      <c r="C11" s="674" t="s">
        <v>7</v>
      </c>
      <c r="D11" s="673" t="s">
        <v>348</v>
      </c>
      <c r="E11" s="674" t="s">
        <v>349</v>
      </c>
      <c r="F11" s="674" t="str">
        <f>Commodities!$D$11</f>
        <v>RSH</v>
      </c>
      <c r="G11" s="697" t="s">
        <v>489</v>
      </c>
      <c r="H11" s="695">
        <v>20</v>
      </c>
      <c r="I11" s="698">
        <v>3.7369871363896365</v>
      </c>
      <c r="J11" s="698">
        <v>1</v>
      </c>
      <c r="K11" s="674">
        <v>1</v>
      </c>
      <c r="L11" s="674">
        <v>0.16</v>
      </c>
      <c r="M11" s="674">
        <v>0.16</v>
      </c>
      <c r="N11" s="674">
        <v>0.16</v>
      </c>
      <c r="O11" s="674">
        <v>0.16</v>
      </c>
      <c r="P11" s="674">
        <v>0.16</v>
      </c>
      <c r="Q11" s="674"/>
      <c r="R11" s="674">
        <v>0.18</v>
      </c>
      <c r="S11" s="699">
        <f>Resid!V7</f>
        <v>4.7489159927021065</v>
      </c>
      <c r="T11" s="699">
        <f>Resid!W7</f>
        <v>2.7595597560261402</v>
      </c>
      <c r="U11" s="699">
        <f>Resid!X7</f>
        <v>4.5559659642035637</v>
      </c>
      <c r="V11" s="699">
        <f>Resid!Y7</f>
        <v>0.89318094475751086</v>
      </c>
      <c r="W11" s="699">
        <f>Resid!Z7</f>
        <v>2.3860340346174409</v>
      </c>
      <c r="X11" s="699">
        <f>S11*15/20</f>
        <v>3.5616869945265797</v>
      </c>
      <c r="Y11" s="699">
        <f t="shared" ref="Y11:AB11" si="0">T11*15/20</f>
        <v>2.0696698170196051</v>
      </c>
      <c r="Z11" s="699">
        <f t="shared" si="0"/>
        <v>3.4169744731526728</v>
      </c>
      <c r="AA11" s="699">
        <f t="shared" si="0"/>
        <v>0.66988570856813312</v>
      </c>
      <c r="AB11" s="699">
        <f t="shared" si="0"/>
        <v>1.7895255259630809</v>
      </c>
      <c r="AC11" s="699"/>
      <c r="AD11" s="699"/>
      <c r="AE11" s="699"/>
      <c r="AF11" s="699"/>
      <c r="AG11" s="699"/>
      <c r="AH11" s="696">
        <v>0</v>
      </c>
      <c r="AI11" s="696">
        <v>0</v>
      </c>
      <c r="AJ11" s="699">
        <f>SUM(X11:AB11)*1.12</f>
        <v>12.88867162153768</v>
      </c>
      <c r="AK11" s="699">
        <f>AJ11*1.12</f>
        <v>14.435312216122204</v>
      </c>
      <c r="AL11" s="699">
        <f t="shared" ref="AL11:AQ11" si="1">AK11*1.12</f>
        <v>16.167549682056869</v>
      </c>
      <c r="AM11" s="699">
        <f t="shared" si="1"/>
        <v>18.107655643903694</v>
      </c>
      <c r="AN11" s="699">
        <f t="shared" si="1"/>
        <v>20.280574321172139</v>
      </c>
      <c r="AO11" s="699">
        <f t="shared" si="1"/>
        <v>22.714243239712797</v>
      </c>
      <c r="AP11" s="699">
        <f t="shared" si="1"/>
        <v>25.439952428478335</v>
      </c>
      <c r="AQ11" s="699">
        <f t="shared" si="1"/>
        <v>28.492746719895738</v>
      </c>
      <c r="AR11" s="714"/>
      <c r="AS11" s="714"/>
      <c r="AT11" s="699"/>
      <c r="AU11" s="674">
        <v>1.1000000000000001</v>
      </c>
      <c r="AV11" s="674">
        <f>AU11</f>
        <v>1.1000000000000001</v>
      </c>
      <c r="AW11" s="674">
        <f t="shared" ref="AW11:BB11" si="2">AV11</f>
        <v>1.1000000000000001</v>
      </c>
      <c r="AX11" s="674">
        <f t="shared" si="2"/>
        <v>1.1000000000000001</v>
      </c>
      <c r="AY11" s="674">
        <f t="shared" si="2"/>
        <v>1.1000000000000001</v>
      </c>
      <c r="AZ11" s="674">
        <f t="shared" si="2"/>
        <v>1.1000000000000001</v>
      </c>
      <c r="BA11" s="674">
        <f t="shared" si="2"/>
        <v>1.1000000000000001</v>
      </c>
      <c r="BB11" s="674">
        <f t="shared" si="2"/>
        <v>1.1000000000000001</v>
      </c>
    </row>
    <row r="12" spans="1:54" ht="15.75" customHeight="1">
      <c r="A12" s="684" t="s">
        <v>2745</v>
      </c>
      <c r="B12" s="682"/>
      <c r="C12" s="682"/>
      <c r="D12" s="682"/>
      <c r="E12" s="684"/>
      <c r="F12" s="684"/>
      <c r="G12" s="704"/>
      <c r="H12" s="705"/>
      <c r="I12" s="705"/>
      <c r="J12" s="706"/>
      <c r="K12" s="705"/>
      <c r="L12" s="705"/>
      <c r="M12" s="705"/>
      <c r="N12" s="705"/>
      <c r="O12" s="705"/>
      <c r="P12" s="705"/>
      <c r="Q12" s="705"/>
      <c r="R12" s="706"/>
      <c r="S12" s="707"/>
      <c r="T12" s="707"/>
      <c r="U12" s="707"/>
      <c r="V12" s="707"/>
      <c r="W12" s="707"/>
      <c r="X12" s="707"/>
      <c r="Y12" s="707"/>
      <c r="Z12" s="707"/>
      <c r="AA12" s="707"/>
      <c r="AB12" s="707"/>
      <c r="AC12" s="707"/>
      <c r="AD12" s="707"/>
      <c r="AE12" s="707"/>
      <c r="AF12" s="707"/>
      <c r="AG12" s="707"/>
      <c r="AH12" s="707"/>
      <c r="AI12" s="707"/>
      <c r="AJ12" s="707"/>
      <c r="AK12" s="707"/>
      <c r="AL12" s="707"/>
      <c r="AM12" s="707"/>
      <c r="AN12" s="707"/>
      <c r="AO12" s="707"/>
      <c r="AP12" s="707"/>
      <c r="AQ12" s="708"/>
      <c r="AT12" s="708"/>
      <c r="AU12" s="682"/>
      <c r="AV12" s="682"/>
      <c r="AW12" s="682"/>
      <c r="AX12" s="682"/>
      <c r="AY12" s="682"/>
      <c r="AZ12" s="682"/>
      <c r="BA12" s="682"/>
      <c r="BB12" s="682"/>
    </row>
    <row r="13" spans="1:54">
      <c r="A13" s="674" t="s">
        <v>390</v>
      </c>
      <c r="B13" s="674" t="s">
        <v>2746</v>
      </c>
      <c r="C13" s="674" t="s">
        <v>2747</v>
      </c>
      <c r="D13" s="673" t="s">
        <v>348</v>
      </c>
      <c r="E13" s="674" t="s">
        <v>349</v>
      </c>
      <c r="F13" s="674" t="str">
        <f>Commodities!$D$11</f>
        <v>RSH</v>
      </c>
      <c r="G13" s="697">
        <v>2020</v>
      </c>
      <c r="H13" s="695">
        <v>15</v>
      </c>
      <c r="I13" s="698">
        <v>2.7754069649761228</v>
      </c>
      <c r="J13" s="698">
        <v>0.98</v>
      </c>
      <c r="K13" s="674">
        <v>1</v>
      </c>
      <c r="L13" s="674">
        <v>0.16</v>
      </c>
      <c r="M13" s="674">
        <v>0.16</v>
      </c>
      <c r="N13" s="674">
        <v>0.16</v>
      </c>
      <c r="O13" s="674">
        <v>0.16</v>
      </c>
      <c r="P13" s="674">
        <v>0.16</v>
      </c>
      <c r="Q13" s="674"/>
      <c r="R13" s="674">
        <v>0.18</v>
      </c>
      <c r="S13" s="699"/>
      <c r="T13" s="699"/>
      <c r="U13" s="699"/>
      <c r="V13" s="699"/>
      <c r="W13" s="699"/>
      <c r="X13" s="699"/>
      <c r="Y13" s="699"/>
      <c r="Z13" s="699"/>
      <c r="AA13" s="699"/>
      <c r="AB13" s="699"/>
      <c r="AC13" s="699"/>
      <c r="AD13" s="699"/>
      <c r="AE13" s="699"/>
      <c r="AF13" s="699"/>
      <c r="AG13" s="699"/>
      <c r="AH13" s="696"/>
      <c r="AI13" s="696"/>
      <c r="AJ13" s="696"/>
      <c r="AK13" s="696"/>
      <c r="AL13" s="696"/>
      <c r="AM13" s="696"/>
      <c r="AN13" s="696"/>
      <c r="AO13" s="696"/>
      <c r="AP13" s="696"/>
      <c r="AQ13" s="696"/>
      <c r="AT13" s="696"/>
      <c r="AU13" s="674"/>
      <c r="AV13" s="674"/>
      <c r="AW13" s="674"/>
      <c r="AX13" s="674"/>
      <c r="AY13" s="674"/>
      <c r="AZ13" s="674"/>
      <c r="BA13" s="674"/>
      <c r="BB13" s="674"/>
    </row>
    <row r="14" spans="1:54">
      <c r="A14" s="674" t="s">
        <v>390</v>
      </c>
      <c r="B14" s="674" t="s">
        <v>2750</v>
      </c>
      <c r="C14" s="674" t="s">
        <v>2751</v>
      </c>
      <c r="D14" s="673" t="s">
        <v>348</v>
      </c>
      <c r="E14" s="674" t="s">
        <v>349</v>
      </c>
      <c r="F14" s="674" t="str">
        <f>Commodities!$D$11</f>
        <v>RSH</v>
      </c>
      <c r="G14" s="697">
        <v>2030</v>
      </c>
      <c r="H14" s="695">
        <v>15</v>
      </c>
      <c r="I14" s="698">
        <v>2.7754069649761228</v>
      </c>
      <c r="J14" s="698">
        <v>0.98</v>
      </c>
      <c r="K14" s="674">
        <v>1</v>
      </c>
      <c r="L14" s="674">
        <v>0.16</v>
      </c>
      <c r="M14" s="674">
        <v>0.16</v>
      </c>
      <c r="N14" s="674">
        <v>0.16</v>
      </c>
      <c r="O14" s="674">
        <v>0.16</v>
      </c>
      <c r="P14" s="674">
        <v>0.16</v>
      </c>
      <c r="Q14" s="674"/>
      <c r="R14" s="674">
        <v>0.18</v>
      </c>
      <c r="S14" s="699"/>
      <c r="T14" s="699"/>
      <c r="U14" s="699"/>
      <c r="V14" s="699"/>
      <c r="W14" s="699"/>
      <c r="X14" s="699"/>
      <c r="Y14" s="699"/>
      <c r="Z14" s="699"/>
      <c r="AA14" s="699"/>
      <c r="AB14" s="699"/>
      <c r="AC14" s="699"/>
      <c r="AD14" s="699"/>
      <c r="AE14" s="699"/>
      <c r="AF14" s="699"/>
      <c r="AG14" s="699"/>
      <c r="AH14" s="696"/>
      <c r="AI14" s="696"/>
      <c r="AJ14" s="696"/>
      <c r="AK14" s="696"/>
      <c r="AL14" s="696"/>
      <c r="AM14" s="696"/>
      <c r="AN14" s="696"/>
      <c r="AO14" s="696"/>
      <c r="AP14" s="696"/>
      <c r="AQ14" s="696"/>
      <c r="AT14" s="696"/>
      <c r="AU14" s="674"/>
      <c r="AV14" s="674"/>
      <c r="AW14" s="674"/>
      <c r="AX14" s="674"/>
      <c r="AY14" s="674"/>
      <c r="AZ14" s="674"/>
      <c r="BA14" s="674"/>
      <c r="BB14" s="674"/>
    </row>
    <row r="15" spans="1:54">
      <c r="A15" s="674" t="s">
        <v>390</v>
      </c>
      <c r="B15" s="674" t="s">
        <v>2752</v>
      </c>
      <c r="C15" s="674" t="s">
        <v>2753</v>
      </c>
      <c r="D15" s="673" t="s">
        <v>348</v>
      </c>
      <c r="E15" s="674" t="s">
        <v>349</v>
      </c>
      <c r="F15" s="674" t="str">
        <f>Commodities!$D$11</f>
        <v>RSH</v>
      </c>
      <c r="G15" s="697">
        <v>2030</v>
      </c>
      <c r="H15" s="695">
        <v>30</v>
      </c>
      <c r="I15" s="698">
        <v>3.2831033610083407</v>
      </c>
      <c r="J15" s="698">
        <v>0.98</v>
      </c>
      <c r="K15" s="674">
        <v>1</v>
      </c>
      <c r="L15" s="674">
        <v>0.16</v>
      </c>
      <c r="M15" s="674">
        <v>0.16</v>
      </c>
      <c r="N15" s="674">
        <v>0.16</v>
      </c>
      <c r="O15" s="674">
        <v>0.16</v>
      </c>
      <c r="P15" s="674">
        <v>0.16</v>
      </c>
      <c r="Q15" s="674"/>
      <c r="R15" s="674">
        <v>0.18</v>
      </c>
      <c r="S15" s="699"/>
      <c r="T15" s="699"/>
      <c r="U15" s="699"/>
      <c r="V15" s="699"/>
      <c r="W15" s="699"/>
      <c r="X15" s="699"/>
      <c r="Y15" s="699"/>
      <c r="Z15" s="699"/>
      <c r="AA15" s="699"/>
      <c r="AB15" s="699"/>
      <c r="AC15" s="699"/>
      <c r="AD15" s="699"/>
      <c r="AE15" s="699"/>
      <c r="AF15" s="699"/>
      <c r="AG15" s="699"/>
      <c r="AH15" s="696"/>
      <c r="AI15" s="696"/>
      <c r="AJ15" s="696"/>
      <c r="AK15" s="696"/>
      <c r="AL15" s="696"/>
      <c r="AM15" s="696"/>
      <c r="AN15" s="696"/>
      <c r="AO15" s="696"/>
      <c r="AP15" s="696"/>
      <c r="AQ15" s="696"/>
      <c r="AT15" s="696"/>
      <c r="AU15" s="674"/>
      <c r="AV15" s="674"/>
      <c r="AW15" s="674"/>
      <c r="AX15" s="674"/>
      <c r="AY15" s="674"/>
      <c r="AZ15" s="674"/>
      <c r="BA15" s="674"/>
      <c r="BB15" s="674"/>
    </row>
    <row r="16" spans="1:54">
      <c r="A16" s="674" t="s">
        <v>390</v>
      </c>
      <c r="B16" s="674" t="s">
        <v>2754</v>
      </c>
      <c r="C16" s="674" t="s">
        <v>2755</v>
      </c>
      <c r="D16" s="673" t="s">
        <v>348</v>
      </c>
      <c r="E16" s="674" t="s">
        <v>349</v>
      </c>
      <c r="F16" s="674" t="str">
        <f>Commodities!$D$11</f>
        <v>RSH</v>
      </c>
      <c r="G16" s="697">
        <v>2040</v>
      </c>
      <c r="H16" s="695">
        <v>15</v>
      </c>
      <c r="I16" s="698">
        <v>2.7754069649761228</v>
      </c>
      <c r="J16" s="698">
        <v>0.98</v>
      </c>
      <c r="K16" s="674">
        <v>1</v>
      </c>
      <c r="L16" s="674">
        <v>0.16</v>
      </c>
      <c r="M16" s="674">
        <v>0.16</v>
      </c>
      <c r="N16" s="674">
        <v>0.16</v>
      </c>
      <c r="O16" s="674">
        <v>0.16</v>
      </c>
      <c r="P16" s="674">
        <v>0.16</v>
      </c>
      <c r="Q16" s="674"/>
      <c r="R16" s="674">
        <v>0.18</v>
      </c>
      <c r="S16" s="699"/>
      <c r="T16" s="699"/>
      <c r="U16" s="699"/>
      <c r="V16" s="699"/>
      <c r="W16" s="699"/>
      <c r="X16" s="699"/>
      <c r="Y16" s="699"/>
      <c r="Z16" s="699"/>
      <c r="AA16" s="699"/>
      <c r="AB16" s="699"/>
      <c r="AC16" s="699"/>
      <c r="AD16" s="699"/>
      <c r="AE16" s="699"/>
      <c r="AF16" s="699"/>
      <c r="AG16" s="699"/>
      <c r="AH16" s="696"/>
      <c r="AI16" s="696"/>
      <c r="AJ16" s="696"/>
      <c r="AK16" s="696"/>
      <c r="AL16" s="696"/>
      <c r="AM16" s="696"/>
      <c r="AN16" s="696"/>
      <c r="AO16" s="696"/>
      <c r="AP16" s="696"/>
      <c r="AQ16" s="696"/>
      <c r="AT16" s="696"/>
      <c r="AU16" s="674"/>
      <c r="AV16" s="674"/>
      <c r="AW16" s="674"/>
      <c r="AX16" s="674"/>
      <c r="AY16" s="674"/>
      <c r="AZ16" s="674"/>
      <c r="BA16" s="674"/>
      <c r="BB16" s="674"/>
    </row>
    <row r="17" spans="1:54">
      <c r="A17" s="674" t="s">
        <v>390</v>
      </c>
      <c r="B17" s="674" t="s">
        <v>2756</v>
      </c>
      <c r="C17" s="674" t="s">
        <v>2757</v>
      </c>
      <c r="D17" s="673" t="s">
        <v>348</v>
      </c>
      <c r="E17" s="674" t="s">
        <v>349</v>
      </c>
      <c r="F17" s="674" t="str">
        <f>Commodities!$D$11</f>
        <v>RSH</v>
      </c>
      <c r="G17" s="697">
        <v>2040</v>
      </c>
      <c r="H17" s="695">
        <v>30</v>
      </c>
      <c r="I17" s="698">
        <v>3.2831033610083407</v>
      </c>
      <c r="J17" s="698">
        <v>0.98</v>
      </c>
      <c r="K17" s="674">
        <v>1</v>
      </c>
      <c r="L17" s="674">
        <v>0.16</v>
      </c>
      <c r="M17" s="674">
        <v>0.16</v>
      </c>
      <c r="N17" s="674">
        <v>0.16</v>
      </c>
      <c r="O17" s="674">
        <v>0.16</v>
      </c>
      <c r="P17" s="674">
        <v>0.16</v>
      </c>
      <c r="Q17" s="674"/>
      <c r="R17" s="674">
        <v>0.18</v>
      </c>
      <c r="S17" s="699"/>
      <c r="T17" s="699"/>
      <c r="U17" s="699"/>
      <c r="V17" s="699"/>
      <c r="W17" s="699"/>
      <c r="X17" s="699"/>
      <c r="Y17" s="699"/>
      <c r="Z17" s="699"/>
      <c r="AA17" s="699"/>
      <c r="AB17" s="699"/>
      <c r="AC17" s="699"/>
      <c r="AD17" s="699"/>
      <c r="AE17" s="699"/>
      <c r="AF17" s="699"/>
      <c r="AG17" s="699"/>
      <c r="AH17" s="696"/>
      <c r="AI17" s="696"/>
      <c r="AJ17" s="696"/>
      <c r="AK17" s="696"/>
      <c r="AL17" s="696"/>
      <c r="AM17" s="696"/>
      <c r="AN17" s="696"/>
      <c r="AO17" s="696"/>
      <c r="AP17" s="696"/>
      <c r="AQ17" s="696"/>
      <c r="AT17" s="696"/>
      <c r="AU17" s="674"/>
      <c r="AV17" s="674"/>
      <c r="AW17" s="674"/>
      <c r="AX17" s="674"/>
      <c r="AY17" s="674"/>
      <c r="AZ17" s="674"/>
      <c r="BA17" s="674"/>
      <c r="BB17" s="674"/>
    </row>
    <row r="18" spans="1:54">
      <c r="A18" s="674" t="s">
        <v>390</v>
      </c>
      <c r="B18" s="674" t="s">
        <v>2760</v>
      </c>
      <c r="C18" s="674" t="s">
        <v>2761</v>
      </c>
      <c r="D18" s="673" t="s">
        <v>348</v>
      </c>
      <c r="E18" s="674" t="s">
        <v>349</v>
      </c>
      <c r="F18" s="674" t="str">
        <f>Commodities!$D$11</f>
        <v>RSH</v>
      </c>
      <c r="G18" s="697">
        <v>2050</v>
      </c>
      <c r="H18" s="695">
        <v>30</v>
      </c>
      <c r="I18" s="698">
        <v>3.2831033610083407</v>
      </c>
      <c r="J18" s="698">
        <v>0.98</v>
      </c>
      <c r="K18" s="674">
        <v>1</v>
      </c>
      <c r="L18" s="674">
        <v>0.16</v>
      </c>
      <c r="M18" s="674">
        <v>0.16</v>
      </c>
      <c r="N18" s="674">
        <v>0.16</v>
      </c>
      <c r="O18" s="674">
        <v>0.16</v>
      </c>
      <c r="P18" s="674">
        <v>0.16</v>
      </c>
      <c r="Q18" s="674"/>
      <c r="R18" s="674">
        <v>0.18</v>
      </c>
      <c r="S18" s="699"/>
      <c r="T18" s="699"/>
      <c r="U18" s="699"/>
      <c r="V18" s="699"/>
      <c r="W18" s="699"/>
      <c r="X18" s="699"/>
      <c r="Y18" s="699"/>
      <c r="Z18" s="699"/>
      <c r="AA18" s="699"/>
      <c r="AB18" s="699"/>
      <c r="AC18" s="699"/>
      <c r="AD18" s="699"/>
      <c r="AE18" s="699"/>
      <c r="AF18" s="699"/>
      <c r="AG18" s="699"/>
      <c r="AH18" s="696"/>
      <c r="AI18" s="696"/>
      <c r="AJ18" s="696"/>
      <c r="AK18" s="696"/>
      <c r="AL18" s="696"/>
      <c r="AM18" s="696"/>
      <c r="AN18" s="696"/>
      <c r="AO18" s="696"/>
      <c r="AP18" s="696"/>
      <c r="AQ18" s="696"/>
      <c r="AT18" s="696"/>
      <c r="AU18" s="674"/>
      <c r="AV18" s="674"/>
      <c r="AW18" s="674"/>
      <c r="AX18" s="674"/>
      <c r="AY18" s="674"/>
      <c r="AZ18" s="674"/>
      <c r="BA18" s="674"/>
      <c r="BB18" s="674"/>
    </row>
    <row r="19" spans="1:54">
      <c r="A19" s="674" t="s">
        <v>390</v>
      </c>
      <c r="B19" s="674" t="s">
        <v>2748</v>
      </c>
      <c r="C19" s="674" t="s">
        <v>2749</v>
      </c>
      <c r="D19" s="673" t="s">
        <v>348</v>
      </c>
      <c r="E19" s="674" t="s">
        <v>349</v>
      </c>
      <c r="F19" s="674" t="str">
        <f>Commodities!$D$11</f>
        <v>RSH</v>
      </c>
      <c r="G19" s="697">
        <v>2020</v>
      </c>
      <c r="H19" s="695">
        <v>30</v>
      </c>
      <c r="I19" s="698">
        <v>2.2343255291851065</v>
      </c>
      <c r="J19" s="698">
        <v>0.98</v>
      </c>
      <c r="K19" s="674">
        <v>1</v>
      </c>
      <c r="L19" s="674">
        <v>0.16</v>
      </c>
      <c r="M19" s="674">
        <v>0.16</v>
      </c>
      <c r="N19" s="674">
        <v>0.16</v>
      </c>
      <c r="O19" s="674">
        <v>0.16</v>
      </c>
      <c r="P19" s="674">
        <v>0.16</v>
      </c>
      <c r="Q19" s="674"/>
      <c r="R19" s="674">
        <v>0.18</v>
      </c>
      <c r="S19" s="699"/>
      <c r="T19" s="699"/>
      <c r="U19" s="699"/>
      <c r="V19" s="699"/>
      <c r="W19" s="699"/>
      <c r="X19" s="699"/>
      <c r="Y19" s="699"/>
      <c r="Z19" s="699"/>
      <c r="AA19" s="699"/>
      <c r="AB19" s="699"/>
      <c r="AC19" s="699"/>
      <c r="AD19" s="699"/>
      <c r="AE19" s="699"/>
      <c r="AF19" s="699"/>
      <c r="AG19" s="699"/>
      <c r="AH19" s="696"/>
      <c r="AI19" s="696"/>
      <c r="AJ19" s="696"/>
      <c r="AK19" s="696"/>
      <c r="AL19" s="696"/>
      <c r="AM19" s="696"/>
      <c r="AN19" s="696"/>
      <c r="AO19" s="696"/>
      <c r="AP19" s="696"/>
      <c r="AQ19" s="696"/>
      <c r="AT19" s="696"/>
      <c r="AU19" s="674"/>
      <c r="AV19" s="674"/>
      <c r="AW19" s="674"/>
      <c r="AX19" s="674"/>
      <c r="AY19" s="674"/>
      <c r="AZ19" s="674"/>
      <c r="BA19" s="674"/>
      <c r="BB19" s="674"/>
    </row>
    <row r="20" spans="1:54">
      <c r="A20" s="674" t="s">
        <v>390</v>
      </c>
      <c r="B20" s="674" t="s">
        <v>2750</v>
      </c>
      <c r="C20" s="674" t="s">
        <v>2751</v>
      </c>
      <c r="D20" s="673" t="s">
        <v>348</v>
      </c>
      <c r="E20" s="674" t="s">
        <v>349</v>
      </c>
      <c r="F20" s="674" t="str">
        <f>Commodities!$D$11</f>
        <v>RSH</v>
      </c>
      <c r="G20" s="697">
        <v>2030</v>
      </c>
      <c r="H20" s="695">
        <v>15</v>
      </c>
      <c r="I20" s="698">
        <v>1.8619379409875887</v>
      </c>
      <c r="J20" s="698">
        <v>0.98</v>
      </c>
      <c r="K20" s="674">
        <v>1</v>
      </c>
      <c r="L20" s="674">
        <v>0.16</v>
      </c>
      <c r="M20" s="674">
        <v>0.16</v>
      </c>
      <c r="N20" s="674">
        <v>0.16</v>
      </c>
      <c r="O20" s="674">
        <v>0.16</v>
      </c>
      <c r="P20" s="674">
        <v>0.16</v>
      </c>
      <c r="Q20" s="674"/>
      <c r="R20" s="674">
        <v>0.18</v>
      </c>
      <c r="S20" s="699"/>
      <c r="T20" s="699"/>
      <c r="U20" s="699"/>
      <c r="V20" s="699"/>
      <c r="W20" s="699"/>
      <c r="X20" s="699"/>
      <c r="Y20" s="699"/>
      <c r="Z20" s="699"/>
      <c r="AA20" s="699"/>
      <c r="AB20" s="699"/>
      <c r="AC20" s="699"/>
      <c r="AD20" s="699"/>
      <c r="AE20" s="699"/>
      <c r="AF20" s="699"/>
      <c r="AG20" s="699"/>
      <c r="AH20" s="696"/>
      <c r="AI20" s="696"/>
      <c r="AJ20" s="696"/>
      <c r="AK20" s="696"/>
      <c r="AL20" s="696"/>
      <c r="AM20" s="696"/>
      <c r="AN20" s="696"/>
      <c r="AO20" s="696"/>
      <c r="AP20" s="696"/>
      <c r="AQ20" s="696"/>
      <c r="AT20" s="696"/>
      <c r="AU20" s="674"/>
      <c r="AV20" s="674"/>
      <c r="AW20" s="674"/>
      <c r="AX20" s="674"/>
      <c r="AY20" s="674"/>
      <c r="AZ20" s="674"/>
      <c r="BA20" s="674"/>
      <c r="BB20" s="674"/>
    </row>
    <row r="21" spans="1:54">
      <c r="A21" s="674" t="s">
        <v>390</v>
      </c>
      <c r="B21" s="674" t="s">
        <v>2752</v>
      </c>
      <c r="C21" s="674" t="s">
        <v>2753</v>
      </c>
      <c r="D21" s="673" t="s">
        <v>348</v>
      </c>
      <c r="E21" s="674" t="s">
        <v>349</v>
      </c>
      <c r="F21" s="674" t="str">
        <f>Commodities!$D$11</f>
        <v>RSH</v>
      </c>
      <c r="G21" s="697">
        <v>2030</v>
      </c>
      <c r="H21" s="695">
        <v>30</v>
      </c>
      <c r="I21" s="698">
        <v>2.2343255291851065</v>
      </c>
      <c r="J21" s="698">
        <v>0.98</v>
      </c>
      <c r="K21" s="674">
        <v>1</v>
      </c>
      <c r="L21" s="674">
        <v>0.16</v>
      </c>
      <c r="M21" s="674">
        <v>0.16</v>
      </c>
      <c r="N21" s="674">
        <v>0.16</v>
      </c>
      <c r="O21" s="674">
        <v>0.16</v>
      </c>
      <c r="P21" s="674">
        <v>0.16</v>
      </c>
      <c r="Q21" s="674"/>
      <c r="R21" s="674">
        <v>0.18</v>
      </c>
      <c r="S21" s="699"/>
      <c r="T21" s="699"/>
      <c r="U21" s="699"/>
      <c r="V21" s="699"/>
      <c r="W21" s="699"/>
      <c r="X21" s="699"/>
      <c r="Y21" s="699"/>
      <c r="Z21" s="699"/>
      <c r="AA21" s="699"/>
      <c r="AB21" s="699"/>
      <c r="AC21" s="699"/>
      <c r="AD21" s="699"/>
      <c r="AE21" s="699"/>
      <c r="AF21" s="699"/>
      <c r="AG21" s="699"/>
      <c r="AH21" s="696"/>
      <c r="AI21" s="696"/>
      <c r="AJ21" s="696"/>
      <c r="AK21" s="696"/>
      <c r="AL21" s="696"/>
      <c r="AM21" s="696"/>
      <c r="AN21" s="696"/>
      <c r="AO21" s="696"/>
      <c r="AP21" s="696"/>
      <c r="AQ21" s="696"/>
      <c r="AT21" s="696"/>
      <c r="AU21" s="674"/>
      <c r="AV21" s="674"/>
      <c r="AW21" s="674"/>
      <c r="AX21" s="674"/>
      <c r="AY21" s="674"/>
      <c r="AZ21" s="674"/>
      <c r="BA21" s="674"/>
      <c r="BB21" s="674"/>
    </row>
    <row r="22" spans="1:54">
      <c r="A22" s="674" t="s">
        <v>390</v>
      </c>
      <c r="B22" s="674" t="s">
        <v>2754</v>
      </c>
      <c r="C22" s="674" t="s">
        <v>2755</v>
      </c>
      <c r="D22" s="673" t="s">
        <v>348</v>
      </c>
      <c r="E22" s="674" t="s">
        <v>349</v>
      </c>
      <c r="F22" s="674" t="str">
        <f>Commodities!$D$11</f>
        <v>RSH</v>
      </c>
      <c r="G22" s="697">
        <v>2040</v>
      </c>
      <c r="H22" s="695">
        <v>15</v>
      </c>
      <c r="I22" s="698">
        <v>1.8619379409875887</v>
      </c>
      <c r="J22" s="698">
        <v>0.98</v>
      </c>
      <c r="K22" s="674">
        <v>1</v>
      </c>
      <c r="L22" s="674">
        <v>0.16</v>
      </c>
      <c r="M22" s="674">
        <v>0.16</v>
      </c>
      <c r="N22" s="674">
        <v>0.16</v>
      </c>
      <c r="O22" s="674">
        <v>0.16</v>
      </c>
      <c r="P22" s="674">
        <v>0.16</v>
      </c>
      <c r="Q22" s="674"/>
      <c r="R22" s="674">
        <v>0.18</v>
      </c>
      <c r="S22" s="699"/>
      <c r="T22" s="699"/>
      <c r="U22" s="699"/>
      <c r="V22" s="699"/>
      <c r="W22" s="699"/>
      <c r="X22" s="699"/>
      <c r="Y22" s="699"/>
      <c r="Z22" s="699"/>
      <c r="AA22" s="699"/>
      <c r="AB22" s="699"/>
      <c r="AC22" s="699"/>
      <c r="AD22" s="699"/>
      <c r="AE22" s="699"/>
      <c r="AF22" s="699"/>
      <c r="AG22" s="699"/>
      <c r="AH22" s="696"/>
      <c r="AI22" s="696"/>
      <c r="AJ22" s="696"/>
      <c r="AK22" s="696"/>
      <c r="AL22" s="696"/>
      <c r="AM22" s="696"/>
      <c r="AN22" s="696"/>
      <c r="AO22" s="696"/>
      <c r="AP22" s="696"/>
      <c r="AQ22" s="696"/>
      <c r="AT22" s="696"/>
      <c r="AU22" s="674"/>
      <c r="AV22" s="674"/>
      <c r="AW22" s="674"/>
      <c r="AX22" s="674"/>
      <c r="AY22" s="674"/>
      <c r="AZ22" s="674"/>
      <c r="BA22" s="674"/>
      <c r="BB22" s="674"/>
    </row>
    <row r="23" spans="1:54">
      <c r="A23" s="674" t="s">
        <v>390</v>
      </c>
      <c r="B23" s="674" t="s">
        <v>2756</v>
      </c>
      <c r="C23" s="674" t="s">
        <v>2757</v>
      </c>
      <c r="D23" s="673" t="s">
        <v>348</v>
      </c>
      <c r="E23" s="674" t="s">
        <v>349</v>
      </c>
      <c r="F23" s="674" t="str">
        <f>Commodities!$D$11</f>
        <v>RSH</v>
      </c>
      <c r="G23" s="697">
        <v>2040</v>
      </c>
      <c r="H23" s="695">
        <v>30</v>
      </c>
      <c r="I23" s="698">
        <v>2.2343255291851065</v>
      </c>
      <c r="J23" s="698">
        <v>0.98</v>
      </c>
      <c r="K23" s="674">
        <v>1</v>
      </c>
      <c r="L23" s="674">
        <v>0.16</v>
      </c>
      <c r="M23" s="674">
        <v>0.16</v>
      </c>
      <c r="N23" s="674">
        <v>0.16</v>
      </c>
      <c r="O23" s="674">
        <v>0.16</v>
      </c>
      <c r="P23" s="674">
        <v>0.16</v>
      </c>
      <c r="Q23" s="674"/>
      <c r="R23" s="674">
        <v>0.18</v>
      </c>
      <c r="S23" s="699"/>
      <c r="T23" s="699"/>
      <c r="U23" s="699"/>
      <c r="V23" s="699"/>
      <c r="W23" s="699"/>
      <c r="X23" s="699"/>
      <c r="Y23" s="699"/>
      <c r="Z23" s="699"/>
      <c r="AA23" s="699"/>
      <c r="AB23" s="699"/>
      <c r="AC23" s="699"/>
      <c r="AD23" s="699"/>
      <c r="AE23" s="699"/>
      <c r="AF23" s="699"/>
      <c r="AG23" s="699"/>
      <c r="AH23" s="696"/>
      <c r="AI23" s="696"/>
      <c r="AJ23" s="696"/>
      <c r="AK23" s="696"/>
      <c r="AL23" s="696"/>
      <c r="AM23" s="696"/>
      <c r="AN23" s="696"/>
      <c r="AO23" s="696"/>
      <c r="AP23" s="696"/>
      <c r="AQ23" s="696"/>
      <c r="AT23" s="696"/>
      <c r="AU23" s="674"/>
      <c r="AV23" s="674"/>
      <c r="AW23" s="674"/>
      <c r="AX23" s="674"/>
      <c r="AY23" s="674"/>
      <c r="AZ23" s="674"/>
      <c r="BA23" s="674"/>
      <c r="BB23" s="674"/>
    </row>
    <row r="24" spans="1:54">
      <c r="A24" s="674" t="s">
        <v>390</v>
      </c>
      <c r="B24" s="674" t="s">
        <v>2758</v>
      </c>
      <c r="C24" s="674" t="s">
        <v>2759</v>
      </c>
      <c r="D24" s="673" t="s">
        <v>348</v>
      </c>
      <c r="E24" s="674" t="s">
        <v>349</v>
      </c>
      <c r="F24" s="674" t="str">
        <f>Commodities!$D$11</f>
        <v>RSH</v>
      </c>
      <c r="G24" s="697">
        <v>2050</v>
      </c>
      <c r="H24" s="695">
        <v>15</v>
      </c>
      <c r="I24" s="698">
        <v>1.8619379409875887</v>
      </c>
      <c r="J24" s="698">
        <v>0.98</v>
      </c>
      <c r="K24" s="674">
        <v>1</v>
      </c>
      <c r="L24" s="674">
        <v>0.16</v>
      </c>
      <c r="M24" s="674">
        <v>0.16</v>
      </c>
      <c r="N24" s="674">
        <v>0.16</v>
      </c>
      <c r="O24" s="674">
        <v>0.16</v>
      </c>
      <c r="P24" s="674">
        <v>0.16</v>
      </c>
      <c r="Q24" s="674"/>
      <c r="R24" s="674">
        <v>0.18</v>
      </c>
      <c r="S24" s="699"/>
      <c r="T24" s="699"/>
      <c r="U24" s="699"/>
      <c r="V24" s="699"/>
      <c r="W24" s="699"/>
      <c r="X24" s="699"/>
      <c r="Y24" s="699"/>
      <c r="Z24" s="699"/>
      <c r="AA24" s="699"/>
      <c r="AB24" s="699"/>
      <c r="AC24" s="699"/>
      <c r="AD24" s="699"/>
      <c r="AE24" s="699"/>
      <c r="AF24" s="699"/>
      <c r="AG24" s="699"/>
      <c r="AH24" s="696"/>
      <c r="AI24" s="696"/>
      <c r="AJ24" s="696"/>
      <c r="AK24" s="696"/>
      <c r="AL24" s="696"/>
      <c r="AM24" s="696"/>
      <c r="AN24" s="696"/>
      <c r="AO24" s="696"/>
      <c r="AP24" s="696"/>
      <c r="AQ24" s="696"/>
      <c r="AT24" s="696"/>
      <c r="AU24" s="674"/>
      <c r="AV24" s="674"/>
      <c r="AW24" s="674"/>
      <c r="AX24" s="674"/>
      <c r="AY24" s="674"/>
      <c r="AZ24" s="674"/>
      <c r="BA24" s="674"/>
      <c r="BB24" s="674"/>
    </row>
    <row r="25" spans="1:54">
      <c r="A25" s="674" t="s">
        <v>390</v>
      </c>
      <c r="B25" s="674" t="s">
        <v>2760</v>
      </c>
      <c r="C25" s="674" t="s">
        <v>2761</v>
      </c>
      <c r="D25" s="673" t="s">
        <v>348</v>
      </c>
      <c r="E25" s="674" t="s">
        <v>349</v>
      </c>
      <c r="F25" s="674" t="str">
        <f>Commodities!$D$11</f>
        <v>RSH</v>
      </c>
      <c r="G25" s="697">
        <v>2050</v>
      </c>
      <c r="H25" s="695">
        <v>30</v>
      </c>
      <c r="I25" s="698">
        <v>2.2343255291851065</v>
      </c>
      <c r="J25" s="698">
        <v>0.98</v>
      </c>
      <c r="K25" s="674">
        <v>1</v>
      </c>
      <c r="L25" s="674">
        <v>0.16</v>
      </c>
      <c r="M25" s="674">
        <v>0.16</v>
      </c>
      <c r="N25" s="674">
        <v>0.16</v>
      </c>
      <c r="O25" s="674">
        <v>0.16</v>
      </c>
      <c r="P25" s="674">
        <v>0.16</v>
      </c>
      <c r="Q25" s="674"/>
      <c r="R25" s="674">
        <v>0.18</v>
      </c>
      <c r="S25" s="699"/>
      <c r="T25" s="699"/>
      <c r="U25" s="699"/>
      <c r="V25" s="699"/>
      <c r="W25" s="699"/>
      <c r="X25" s="699"/>
      <c r="Y25" s="699"/>
      <c r="Z25" s="699"/>
      <c r="AA25" s="699"/>
      <c r="AB25" s="699"/>
      <c r="AC25" s="699"/>
      <c r="AD25" s="699"/>
      <c r="AE25" s="699"/>
      <c r="AF25" s="699"/>
      <c r="AG25" s="699"/>
      <c r="AH25" s="696"/>
      <c r="AI25" s="696"/>
      <c r="AJ25" s="696"/>
      <c r="AK25" s="696"/>
      <c r="AL25" s="696"/>
      <c r="AM25" s="696"/>
      <c r="AN25" s="696"/>
      <c r="AO25" s="696"/>
      <c r="AP25" s="696"/>
      <c r="AQ25" s="696"/>
      <c r="AT25" s="696"/>
      <c r="AU25" s="674"/>
      <c r="AV25" s="674"/>
      <c r="AW25" s="674"/>
      <c r="AX25" s="674"/>
      <c r="AY25" s="674"/>
      <c r="AZ25" s="674"/>
      <c r="BA25" s="674"/>
      <c r="BB25" s="674"/>
    </row>
    <row r="26" spans="1:54" ht="15.75" customHeight="1">
      <c r="A26" s="684" t="s">
        <v>2321</v>
      </c>
      <c r="B26" s="682"/>
      <c r="C26" s="682"/>
      <c r="D26" s="682"/>
      <c r="E26" s="684"/>
      <c r="F26" s="684"/>
      <c r="G26" s="704"/>
      <c r="H26" s="705"/>
      <c r="I26" s="705"/>
      <c r="J26" s="706"/>
      <c r="K26" s="705"/>
      <c r="L26" s="705"/>
      <c r="M26" s="705"/>
      <c r="N26" s="705"/>
      <c r="O26" s="705"/>
      <c r="P26" s="705"/>
      <c r="Q26" s="705"/>
      <c r="R26" s="706"/>
      <c r="S26" s="707"/>
      <c r="T26" s="707"/>
      <c r="U26" s="707"/>
      <c r="V26" s="707"/>
      <c r="W26" s="707"/>
      <c r="X26" s="707"/>
      <c r="Y26" s="707"/>
      <c r="Z26" s="707"/>
      <c r="AA26" s="707"/>
      <c r="AB26" s="707"/>
      <c r="AC26" s="707"/>
      <c r="AD26" s="707"/>
      <c r="AE26" s="707"/>
      <c r="AF26" s="707"/>
      <c r="AG26" s="707"/>
      <c r="AH26" s="707"/>
      <c r="AI26" s="707"/>
      <c r="AJ26" s="707"/>
      <c r="AK26" s="707"/>
      <c r="AL26" s="707"/>
      <c r="AM26" s="707"/>
      <c r="AN26" s="707"/>
      <c r="AO26" s="707"/>
      <c r="AP26" s="707"/>
      <c r="AQ26" s="708"/>
      <c r="AT26" s="708"/>
      <c r="AU26" s="682"/>
      <c r="AV26" s="682"/>
      <c r="AW26" s="682"/>
      <c r="AX26" s="682"/>
      <c r="AY26" s="682"/>
      <c r="AZ26" s="682"/>
      <c r="BA26" s="682"/>
      <c r="BB26" s="682"/>
    </row>
    <row r="27" spans="1:54">
      <c r="A27" s="674" t="s">
        <v>390</v>
      </c>
      <c r="B27" s="674" t="s">
        <v>434</v>
      </c>
      <c r="C27" s="674" t="s">
        <v>1</v>
      </c>
      <c r="D27" s="673" t="s">
        <v>348</v>
      </c>
      <c r="E27" s="674" t="s">
        <v>349</v>
      </c>
      <c r="F27" s="674" t="str">
        <f>Commodities!$D$11</f>
        <v>RSH</v>
      </c>
      <c r="G27" s="697">
        <v>2010</v>
      </c>
      <c r="H27" s="695">
        <v>15</v>
      </c>
      <c r="I27" s="698">
        <v>4.0729892459103505</v>
      </c>
      <c r="J27" s="698">
        <v>2.2657000026278018</v>
      </c>
      <c r="K27" s="674">
        <v>1</v>
      </c>
      <c r="L27" s="674">
        <v>0.16</v>
      </c>
      <c r="M27" s="674">
        <v>0.16</v>
      </c>
      <c r="N27" s="674">
        <v>0.16</v>
      </c>
      <c r="O27" s="674">
        <v>0.16</v>
      </c>
      <c r="P27" s="674">
        <v>0.16</v>
      </c>
      <c r="Q27" s="674"/>
      <c r="R27" s="674">
        <v>0.18</v>
      </c>
      <c r="S27" s="699"/>
      <c r="T27" s="699"/>
      <c r="U27" s="699"/>
      <c r="V27" s="699"/>
      <c r="W27" s="699"/>
      <c r="X27" s="699"/>
      <c r="Y27" s="699"/>
      <c r="Z27" s="699"/>
      <c r="AA27" s="699"/>
      <c r="AB27" s="699"/>
      <c r="AC27" s="699"/>
      <c r="AD27" s="699"/>
      <c r="AE27" s="699"/>
      <c r="AF27" s="699"/>
      <c r="AG27" s="699"/>
      <c r="AH27" s="696"/>
      <c r="AI27" s="696"/>
      <c r="AJ27" s="696">
        <v>0</v>
      </c>
      <c r="AK27" s="696">
        <v>0</v>
      </c>
      <c r="AL27" s="696">
        <v>0</v>
      </c>
      <c r="AM27" s="696">
        <v>0</v>
      </c>
      <c r="AN27" s="696">
        <v>0</v>
      </c>
      <c r="AO27" s="696">
        <v>0</v>
      </c>
      <c r="AP27" s="696">
        <v>0</v>
      </c>
      <c r="AQ27" s="696">
        <v>0</v>
      </c>
      <c r="AT27" s="696"/>
      <c r="AU27" s="674"/>
      <c r="AV27" s="674"/>
      <c r="AW27" s="674"/>
      <c r="AX27" s="674"/>
      <c r="AY27" s="674"/>
      <c r="AZ27" s="674"/>
      <c r="BA27" s="674"/>
      <c r="BB27" s="674"/>
    </row>
    <row r="28" spans="1:54">
      <c r="A28" s="674" t="s">
        <v>1528</v>
      </c>
      <c r="B28" s="674" t="s">
        <v>436</v>
      </c>
      <c r="C28" s="674" t="s">
        <v>779</v>
      </c>
      <c r="D28" s="673" t="s">
        <v>348</v>
      </c>
      <c r="E28" s="674" t="s">
        <v>349</v>
      </c>
      <c r="F28" s="674" t="str">
        <f>Commodities!$D$11</f>
        <v>RSH</v>
      </c>
      <c r="G28" s="697" t="s">
        <v>489</v>
      </c>
      <c r="H28" s="695">
        <v>15</v>
      </c>
      <c r="I28" s="698">
        <v>4.0729892459103505</v>
      </c>
      <c r="J28" s="698">
        <v>2.2599999999999998</v>
      </c>
      <c r="K28" s="674">
        <v>1</v>
      </c>
      <c r="L28" s="674">
        <v>0.16</v>
      </c>
      <c r="M28" s="674">
        <v>0.16</v>
      </c>
      <c r="N28" s="674">
        <v>0.16</v>
      </c>
      <c r="O28" s="674">
        <v>0.16</v>
      </c>
      <c r="P28" s="674">
        <v>0.16</v>
      </c>
      <c r="Q28" s="674"/>
      <c r="R28" s="674">
        <v>0.18</v>
      </c>
      <c r="S28" s="699">
        <f>Resid!V10</f>
        <v>2.4354857501120173</v>
      </c>
      <c r="T28" s="699">
        <f>Resid!W10</f>
        <v>1.4152426517362175</v>
      </c>
      <c r="U28" s="699">
        <f>Resid!X10</f>
        <v>2.3365311580295147</v>
      </c>
      <c r="V28" s="699">
        <f>Resid!Y10</f>
        <v>0.45806863430969152</v>
      </c>
      <c r="W28" s="699">
        <f>Resid!Z10</f>
        <v>1.2236796564780985</v>
      </c>
      <c r="X28" s="699"/>
      <c r="Y28" s="699"/>
      <c r="Z28" s="699"/>
      <c r="AA28" s="699"/>
      <c r="AB28" s="699"/>
      <c r="AC28" s="699"/>
      <c r="AD28" s="699"/>
      <c r="AE28" s="699"/>
      <c r="AF28" s="699"/>
      <c r="AG28" s="699"/>
      <c r="AH28" s="696">
        <v>0</v>
      </c>
      <c r="AI28" s="696">
        <v>0</v>
      </c>
      <c r="AJ28" s="696">
        <v>0</v>
      </c>
      <c r="AK28" s="696">
        <v>0</v>
      </c>
      <c r="AL28" s="696">
        <v>0</v>
      </c>
      <c r="AM28" s="696">
        <v>0</v>
      </c>
      <c r="AN28" s="696">
        <v>0</v>
      </c>
      <c r="AO28" s="696">
        <v>0</v>
      </c>
      <c r="AP28" s="696">
        <v>0</v>
      </c>
      <c r="AQ28" s="696">
        <v>0</v>
      </c>
      <c r="AT28" s="696"/>
      <c r="AU28" s="674"/>
      <c r="AV28" s="674"/>
      <c r="AW28" s="674"/>
      <c r="AX28" s="674"/>
      <c r="AY28" s="674"/>
      <c r="AZ28" s="674"/>
      <c r="BA28" s="674"/>
      <c r="BB28" s="674"/>
    </row>
    <row r="29" spans="1:54">
      <c r="A29" s="674" t="s">
        <v>390</v>
      </c>
      <c r="B29" s="674" t="s">
        <v>438</v>
      </c>
      <c r="C29" s="674" t="s">
        <v>0</v>
      </c>
      <c r="D29" s="673" t="s">
        <v>348</v>
      </c>
      <c r="E29" s="674" t="s">
        <v>349</v>
      </c>
      <c r="F29" s="674" t="str">
        <f>Commodities!$D$11</f>
        <v>RSH</v>
      </c>
      <c r="G29" s="697" t="s">
        <v>490</v>
      </c>
      <c r="H29" s="695">
        <v>15</v>
      </c>
      <c r="I29" s="698">
        <v>4.0729892459103505</v>
      </c>
      <c r="J29" s="698">
        <v>2.2599999999999998</v>
      </c>
      <c r="K29" s="674">
        <v>1</v>
      </c>
      <c r="L29" s="674">
        <v>0.16</v>
      </c>
      <c r="M29" s="674">
        <v>0.16</v>
      </c>
      <c r="N29" s="674">
        <v>0.16</v>
      </c>
      <c r="O29" s="674">
        <v>0.16</v>
      </c>
      <c r="P29" s="674">
        <v>0.16</v>
      </c>
      <c r="Q29" s="674"/>
      <c r="R29" s="674">
        <v>0.18</v>
      </c>
      <c r="S29" s="696"/>
      <c r="T29" s="696"/>
      <c r="U29" s="696"/>
      <c r="V29" s="696"/>
      <c r="W29" s="696"/>
      <c r="X29" s="696"/>
      <c r="Y29" s="696"/>
      <c r="Z29" s="696"/>
      <c r="AA29" s="696"/>
      <c r="AB29" s="696"/>
      <c r="AC29" s="696"/>
      <c r="AD29" s="696"/>
      <c r="AE29" s="696"/>
      <c r="AF29" s="696"/>
      <c r="AG29" s="696"/>
      <c r="AH29" s="696">
        <v>0</v>
      </c>
      <c r="AI29" s="696"/>
      <c r="AJ29" s="696"/>
      <c r="AK29" s="696"/>
      <c r="AL29" s="696"/>
      <c r="AM29" s="696"/>
      <c r="AN29" s="696"/>
      <c r="AO29" s="696"/>
      <c r="AP29" s="696"/>
      <c r="AQ29" s="696"/>
      <c r="AT29" s="696"/>
      <c r="AU29" s="674"/>
      <c r="AV29" s="674"/>
      <c r="AW29" s="674"/>
      <c r="AX29" s="674"/>
      <c r="AY29" s="674"/>
      <c r="AZ29" s="674"/>
      <c r="BA29" s="674"/>
      <c r="BB29" s="674"/>
    </row>
    <row r="30" spans="1:54">
      <c r="A30" s="674" t="s">
        <v>390</v>
      </c>
      <c r="B30" s="674" t="s">
        <v>442</v>
      </c>
      <c r="C30" s="674" t="s">
        <v>2</v>
      </c>
      <c r="D30" s="673" t="s">
        <v>348</v>
      </c>
      <c r="E30" s="674" t="s">
        <v>349</v>
      </c>
      <c r="F30" s="674" t="str">
        <f>Commodities!$D$11</f>
        <v>RSH</v>
      </c>
      <c r="G30" s="697" t="s">
        <v>490</v>
      </c>
      <c r="H30" s="695">
        <v>15</v>
      </c>
      <c r="I30" s="698">
        <v>6.1935761064381811</v>
      </c>
      <c r="J30" s="698">
        <v>2.7442857142857138</v>
      </c>
      <c r="K30" s="674">
        <v>1</v>
      </c>
      <c r="L30" s="674">
        <v>0.16</v>
      </c>
      <c r="M30" s="674">
        <v>0.16</v>
      </c>
      <c r="N30" s="674">
        <v>0.16</v>
      </c>
      <c r="O30" s="674">
        <v>0.16</v>
      </c>
      <c r="P30" s="674">
        <v>0.16</v>
      </c>
      <c r="Q30" s="674"/>
      <c r="R30" s="674">
        <v>0.18</v>
      </c>
      <c r="S30" s="696"/>
      <c r="T30" s="696"/>
      <c r="U30" s="696"/>
      <c r="V30" s="696"/>
      <c r="W30" s="696"/>
      <c r="X30" s="696"/>
      <c r="Y30" s="696"/>
      <c r="Z30" s="696"/>
      <c r="AA30" s="696"/>
      <c r="AB30" s="696"/>
      <c r="AC30" s="696"/>
      <c r="AD30" s="696"/>
      <c r="AE30" s="696"/>
      <c r="AF30" s="696"/>
      <c r="AG30" s="696"/>
      <c r="AH30" s="696"/>
      <c r="AI30" s="696"/>
      <c r="AJ30" s="696"/>
      <c r="AK30" s="696"/>
      <c r="AL30" s="696"/>
      <c r="AM30" s="696"/>
      <c r="AN30" s="696"/>
      <c r="AO30" s="696"/>
      <c r="AP30" s="696"/>
      <c r="AQ30" s="696"/>
      <c r="AT30" s="696"/>
      <c r="AU30" s="674"/>
      <c r="AV30" s="674"/>
      <c r="AW30" s="674"/>
      <c r="AX30" s="674"/>
      <c r="AY30" s="674"/>
      <c r="AZ30" s="674"/>
      <c r="BA30" s="674"/>
      <c r="BB30" s="674"/>
    </row>
    <row r="31" spans="1:54">
      <c r="A31" s="674" t="s">
        <v>390</v>
      </c>
      <c r="B31" s="674" t="s">
        <v>1190</v>
      </c>
      <c r="C31" s="674" t="s">
        <v>1191</v>
      </c>
      <c r="D31" s="673" t="s">
        <v>348</v>
      </c>
      <c r="E31" s="674" t="s">
        <v>349</v>
      </c>
      <c r="F31" s="674" t="str">
        <f>Commodities!$D$11</f>
        <v>RSH</v>
      </c>
      <c r="G31" s="697" t="s">
        <v>847</v>
      </c>
      <c r="H31" s="695">
        <v>9</v>
      </c>
      <c r="I31" s="698">
        <v>6.3763853185526491</v>
      </c>
      <c r="J31" s="698">
        <v>2.7765714285714282</v>
      </c>
      <c r="K31" s="674">
        <v>1</v>
      </c>
      <c r="L31" s="674">
        <v>0.16</v>
      </c>
      <c r="M31" s="674">
        <v>0.16</v>
      </c>
      <c r="N31" s="674">
        <v>0.16</v>
      </c>
      <c r="O31" s="674">
        <v>0.16</v>
      </c>
      <c r="P31" s="674">
        <v>0.16</v>
      </c>
      <c r="Q31" s="674"/>
      <c r="R31" s="674">
        <v>0.18</v>
      </c>
      <c r="S31" s="696"/>
      <c r="T31" s="696"/>
      <c r="U31" s="696"/>
      <c r="V31" s="696"/>
      <c r="W31" s="696"/>
      <c r="X31" s="696"/>
      <c r="Y31" s="696"/>
      <c r="Z31" s="696"/>
      <c r="AA31" s="696"/>
      <c r="AB31" s="696"/>
      <c r="AC31" s="696"/>
      <c r="AD31" s="696"/>
      <c r="AE31" s="696"/>
      <c r="AF31" s="696"/>
      <c r="AG31" s="696"/>
      <c r="AH31" s="696"/>
      <c r="AI31" s="696"/>
      <c r="AJ31" s="696"/>
      <c r="AK31" s="696"/>
      <c r="AL31" s="696"/>
      <c r="AM31" s="696"/>
      <c r="AN31" s="696"/>
      <c r="AO31" s="696"/>
      <c r="AP31" s="696"/>
      <c r="AQ31" s="696"/>
      <c r="AT31" s="696"/>
      <c r="AU31" s="674"/>
      <c r="AV31" s="674"/>
      <c r="AW31" s="674"/>
      <c r="AX31" s="674"/>
      <c r="AY31" s="674"/>
      <c r="AZ31" s="674"/>
      <c r="BA31" s="674"/>
      <c r="BB31" s="674"/>
    </row>
    <row r="32" spans="1:54">
      <c r="A32" s="674" t="s">
        <v>390</v>
      </c>
      <c r="B32" s="674" t="s">
        <v>2865</v>
      </c>
      <c r="C32" s="674" t="s">
        <v>2866</v>
      </c>
      <c r="D32" s="673" t="s">
        <v>348</v>
      </c>
      <c r="E32" s="674" t="s">
        <v>349</v>
      </c>
      <c r="F32" s="674" t="str">
        <f>Commodities!$D$11</f>
        <v>RSH</v>
      </c>
      <c r="G32" s="697" t="s">
        <v>847</v>
      </c>
      <c r="H32" s="695">
        <v>9</v>
      </c>
      <c r="I32" s="698">
        <v>7.8022971730454991</v>
      </c>
      <c r="J32" s="698">
        <v>2.9057142857142852</v>
      </c>
      <c r="K32" s="674">
        <v>1</v>
      </c>
      <c r="L32" s="674">
        <v>0.16</v>
      </c>
      <c r="M32" s="674">
        <v>0.16</v>
      </c>
      <c r="N32" s="674">
        <v>0.16</v>
      </c>
      <c r="O32" s="674">
        <v>0.16</v>
      </c>
      <c r="P32" s="674">
        <v>0.16</v>
      </c>
      <c r="Q32" s="674"/>
      <c r="R32" s="674">
        <v>0.18</v>
      </c>
      <c r="S32" s="696"/>
      <c r="T32" s="696"/>
      <c r="U32" s="696"/>
      <c r="V32" s="696"/>
      <c r="W32" s="696"/>
      <c r="X32" s="696"/>
      <c r="Y32" s="696"/>
      <c r="Z32" s="696"/>
      <c r="AA32" s="696"/>
      <c r="AB32" s="696"/>
      <c r="AC32" s="696"/>
      <c r="AD32" s="696"/>
      <c r="AE32" s="696"/>
      <c r="AF32" s="696"/>
      <c r="AG32" s="696"/>
      <c r="AH32" s="696"/>
      <c r="AI32" s="696"/>
      <c r="AJ32" s="696"/>
      <c r="AK32" s="696"/>
      <c r="AL32" s="696"/>
      <c r="AM32" s="696"/>
      <c r="AN32" s="696"/>
      <c r="AO32" s="696"/>
      <c r="AP32" s="696"/>
      <c r="AQ32" s="696"/>
      <c r="AT32" s="696"/>
      <c r="AU32" s="674"/>
      <c r="AV32" s="674"/>
      <c r="AW32" s="674"/>
      <c r="AX32" s="674"/>
      <c r="AY32" s="674"/>
      <c r="AZ32" s="674"/>
      <c r="BA32" s="674"/>
      <c r="BB32" s="674"/>
    </row>
    <row r="33" spans="1:54">
      <c r="A33" s="674" t="s">
        <v>390</v>
      </c>
      <c r="B33" s="674" t="s">
        <v>452</v>
      </c>
      <c r="C33" s="674" t="s">
        <v>126</v>
      </c>
      <c r="D33" s="673" t="s">
        <v>348</v>
      </c>
      <c r="E33" s="674" t="s">
        <v>349</v>
      </c>
      <c r="F33" s="674" t="str">
        <f>Commodities!$D$11</f>
        <v>RSH</v>
      </c>
      <c r="G33" s="697">
        <v>2030</v>
      </c>
      <c r="H33" s="695">
        <v>22</v>
      </c>
      <c r="I33" s="698">
        <v>6.5628507149094064</v>
      </c>
      <c r="J33" s="698">
        <v>2.8411428571428567</v>
      </c>
      <c r="K33" s="674">
        <v>1</v>
      </c>
      <c r="L33" s="674">
        <v>0.16</v>
      </c>
      <c r="M33" s="674">
        <v>0.16</v>
      </c>
      <c r="N33" s="674">
        <v>0.16</v>
      </c>
      <c r="O33" s="674">
        <v>0.16</v>
      </c>
      <c r="P33" s="674">
        <v>0.16</v>
      </c>
      <c r="Q33" s="674"/>
      <c r="R33" s="674">
        <v>0.18</v>
      </c>
      <c r="S33" s="696"/>
      <c r="T33" s="696"/>
      <c r="U33" s="696"/>
      <c r="V33" s="696"/>
      <c r="W33" s="696"/>
      <c r="X33" s="696"/>
      <c r="Y33" s="696"/>
      <c r="Z33" s="696"/>
      <c r="AA33" s="696"/>
      <c r="AB33" s="696"/>
      <c r="AC33" s="696"/>
      <c r="AD33" s="696"/>
      <c r="AE33" s="696"/>
      <c r="AF33" s="696"/>
      <c r="AG33" s="696"/>
      <c r="AH33" s="696"/>
      <c r="AI33" s="696"/>
      <c r="AJ33" s="696"/>
      <c r="AK33" s="696"/>
      <c r="AL33" s="696"/>
      <c r="AM33" s="696"/>
      <c r="AN33" s="696"/>
      <c r="AO33" s="696"/>
      <c r="AP33" s="696"/>
      <c r="AQ33" s="696"/>
      <c r="AT33" s="696"/>
      <c r="AU33" s="674"/>
      <c r="AV33" s="674"/>
      <c r="AW33" s="674"/>
      <c r="AX33" s="674"/>
      <c r="AY33" s="674"/>
      <c r="AZ33" s="674"/>
      <c r="BA33" s="674"/>
      <c r="BB33" s="674"/>
    </row>
    <row r="34" spans="1:54">
      <c r="A34" s="674" t="s">
        <v>390</v>
      </c>
      <c r="B34" s="674" t="s">
        <v>2867</v>
      </c>
      <c r="C34" s="674" t="s">
        <v>2868</v>
      </c>
      <c r="D34" s="673" t="s">
        <v>348</v>
      </c>
      <c r="E34" s="674" t="s">
        <v>349</v>
      </c>
      <c r="F34" s="674" t="str">
        <f>Commodities!$D$11</f>
        <v>RSH</v>
      </c>
      <c r="G34" s="697">
        <v>2030</v>
      </c>
      <c r="H34" s="695">
        <v>22</v>
      </c>
      <c r="I34" s="698">
        <v>7.8790770421335763</v>
      </c>
      <c r="J34" s="698">
        <v>2.9057142857142852</v>
      </c>
      <c r="K34" s="674">
        <v>1</v>
      </c>
      <c r="L34" s="674">
        <v>0.16</v>
      </c>
      <c r="M34" s="674">
        <v>0.16</v>
      </c>
      <c r="N34" s="674">
        <v>0.16</v>
      </c>
      <c r="O34" s="674">
        <v>0.16</v>
      </c>
      <c r="P34" s="674">
        <v>0.16</v>
      </c>
      <c r="Q34" s="674"/>
      <c r="R34" s="674">
        <v>0.18</v>
      </c>
      <c r="S34" s="696"/>
      <c r="T34" s="696"/>
      <c r="U34" s="696"/>
      <c r="V34" s="696"/>
      <c r="W34" s="696"/>
      <c r="X34" s="696"/>
      <c r="Y34" s="696"/>
      <c r="Z34" s="696"/>
      <c r="AA34" s="696"/>
      <c r="AB34" s="696"/>
      <c r="AC34" s="696"/>
      <c r="AD34" s="696"/>
      <c r="AE34" s="696"/>
      <c r="AF34" s="696"/>
      <c r="AG34" s="696"/>
      <c r="AH34" s="696"/>
      <c r="AI34" s="696"/>
      <c r="AJ34" s="696"/>
      <c r="AK34" s="696"/>
      <c r="AL34" s="696"/>
      <c r="AM34" s="696"/>
      <c r="AN34" s="696"/>
      <c r="AO34" s="696"/>
      <c r="AP34" s="696"/>
      <c r="AQ34" s="696"/>
      <c r="AT34" s="696"/>
      <c r="AU34" s="674"/>
      <c r="AV34" s="674"/>
      <c r="AW34" s="674"/>
      <c r="AX34" s="674"/>
      <c r="AY34" s="674"/>
      <c r="AZ34" s="674"/>
      <c r="BA34" s="674"/>
      <c r="BB34" s="674"/>
    </row>
    <row r="35" spans="1:54">
      <c r="A35" s="674" t="s">
        <v>390</v>
      </c>
      <c r="B35" s="674" t="s">
        <v>2869</v>
      </c>
      <c r="C35" s="674" t="s">
        <v>2870</v>
      </c>
      <c r="D35" s="673" t="s">
        <v>348</v>
      </c>
      <c r="E35" s="674" t="s">
        <v>349</v>
      </c>
      <c r="F35" s="674" t="str">
        <f>Commodities!$D$11</f>
        <v>RSH</v>
      </c>
      <c r="G35" s="697">
        <v>2040</v>
      </c>
      <c r="H35" s="695">
        <v>22</v>
      </c>
      <c r="I35" s="698">
        <v>6.5628507149094064</v>
      </c>
      <c r="J35" s="698">
        <v>2.8411428571428567</v>
      </c>
      <c r="K35" s="674">
        <v>1</v>
      </c>
      <c r="L35" s="674">
        <v>0.16</v>
      </c>
      <c r="M35" s="674">
        <v>0.16</v>
      </c>
      <c r="N35" s="674">
        <v>0.16</v>
      </c>
      <c r="O35" s="674">
        <v>0.16</v>
      </c>
      <c r="P35" s="674">
        <v>0.16</v>
      </c>
      <c r="Q35" s="674"/>
      <c r="R35" s="674">
        <v>0.18</v>
      </c>
      <c r="S35" s="696"/>
      <c r="T35" s="696"/>
      <c r="U35" s="696"/>
      <c r="V35" s="696"/>
      <c r="W35" s="696"/>
      <c r="X35" s="696"/>
      <c r="Y35" s="696"/>
      <c r="Z35" s="696"/>
      <c r="AA35" s="696"/>
      <c r="AB35" s="696"/>
      <c r="AC35" s="696"/>
      <c r="AD35" s="696"/>
      <c r="AE35" s="696"/>
      <c r="AF35" s="696"/>
      <c r="AG35" s="696"/>
      <c r="AH35" s="696"/>
      <c r="AI35" s="696"/>
      <c r="AJ35" s="696"/>
      <c r="AK35" s="696"/>
      <c r="AL35" s="696"/>
      <c r="AM35" s="696"/>
      <c r="AN35" s="696"/>
      <c r="AO35" s="696"/>
      <c r="AP35" s="696"/>
      <c r="AQ35" s="696"/>
      <c r="AT35" s="696"/>
      <c r="AU35" s="674"/>
      <c r="AV35" s="674"/>
      <c r="AW35" s="674"/>
      <c r="AX35" s="674"/>
      <c r="AY35" s="674"/>
      <c r="AZ35" s="674"/>
      <c r="BA35" s="674"/>
      <c r="BB35" s="674"/>
    </row>
    <row r="36" spans="1:54">
      <c r="A36" s="674" t="s">
        <v>390</v>
      </c>
      <c r="B36" s="674" t="s">
        <v>2871</v>
      </c>
      <c r="C36" s="674" t="s">
        <v>2872</v>
      </c>
      <c r="D36" s="673" t="s">
        <v>348</v>
      </c>
      <c r="E36" s="674" t="s">
        <v>349</v>
      </c>
      <c r="F36" s="674" t="str">
        <f>Commodities!$D$11</f>
        <v>RSH</v>
      </c>
      <c r="G36" s="697">
        <v>2040</v>
      </c>
      <c r="H36" s="695">
        <v>22</v>
      </c>
      <c r="I36" s="698">
        <v>7.8022971730454991</v>
      </c>
      <c r="J36" s="698">
        <v>2.9057142857142852</v>
      </c>
      <c r="K36" s="674">
        <v>1</v>
      </c>
      <c r="L36" s="674">
        <v>0.16</v>
      </c>
      <c r="M36" s="674">
        <v>0.16</v>
      </c>
      <c r="N36" s="674">
        <v>0.16</v>
      </c>
      <c r="O36" s="674">
        <v>0.16</v>
      </c>
      <c r="P36" s="674">
        <v>0.16</v>
      </c>
      <c r="Q36" s="674"/>
      <c r="R36" s="674">
        <v>0.18</v>
      </c>
      <c r="S36" s="696"/>
      <c r="T36" s="696"/>
      <c r="U36" s="696"/>
      <c r="V36" s="696"/>
      <c r="W36" s="696"/>
      <c r="X36" s="696"/>
      <c r="Y36" s="696"/>
      <c r="Z36" s="696"/>
      <c r="AA36" s="696"/>
      <c r="AB36" s="696"/>
      <c r="AC36" s="696"/>
      <c r="AD36" s="696"/>
      <c r="AE36" s="696"/>
      <c r="AF36" s="696"/>
      <c r="AG36" s="696"/>
      <c r="AH36" s="696"/>
      <c r="AI36" s="696"/>
      <c r="AJ36" s="696"/>
      <c r="AK36" s="696"/>
      <c r="AL36" s="696"/>
      <c r="AM36" s="696"/>
      <c r="AN36" s="696"/>
      <c r="AO36" s="696"/>
      <c r="AP36" s="696"/>
      <c r="AQ36" s="696"/>
      <c r="AT36" s="696"/>
      <c r="AU36" s="674"/>
      <c r="AV36" s="674"/>
      <c r="AW36" s="674"/>
      <c r="AX36" s="674"/>
      <c r="AY36" s="674"/>
      <c r="AZ36" s="674"/>
      <c r="BA36" s="674"/>
      <c r="BB36" s="674"/>
    </row>
    <row r="37" spans="1:54">
      <c r="A37" s="674" t="s">
        <v>390</v>
      </c>
      <c r="B37" s="674" t="s">
        <v>440</v>
      </c>
      <c r="C37" s="674" t="s">
        <v>124</v>
      </c>
      <c r="D37" s="673" t="s">
        <v>348</v>
      </c>
      <c r="E37" s="674" t="s">
        <v>349</v>
      </c>
      <c r="F37" s="674" t="str">
        <f>Commodities!$D$11</f>
        <v>RSH</v>
      </c>
      <c r="G37" s="697" t="s">
        <v>489</v>
      </c>
      <c r="H37" s="695">
        <v>15</v>
      </c>
      <c r="I37" s="698">
        <v>8.8097832710939876</v>
      </c>
      <c r="J37" s="698">
        <v>2.4</v>
      </c>
      <c r="K37" s="674">
        <v>1</v>
      </c>
      <c r="L37" s="674">
        <v>0.16</v>
      </c>
      <c r="M37" s="674">
        <v>0.16</v>
      </c>
      <c r="N37" s="674">
        <v>0.16</v>
      </c>
      <c r="O37" s="674">
        <v>0.16</v>
      </c>
      <c r="P37" s="674">
        <v>0.16</v>
      </c>
      <c r="Q37" s="674"/>
      <c r="R37" s="674">
        <v>0.18</v>
      </c>
      <c r="S37" s="696"/>
      <c r="T37" s="696"/>
      <c r="U37" s="696"/>
      <c r="V37" s="696"/>
      <c r="W37" s="696"/>
      <c r="X37" s="696"/>
      <c r="Y37" s="696"/>
      <c r="Z37" s="696"/>
      <c r="AA37" s="696"/>
      <c r="AB37" s="696"/>
      <c r="AC37" s="696"/>
      <c r="AD37" s="696"/>
      <c r="AE37" s="696"/>
      <c r="AF37" s="696"/>
      <c r="AG37" s="696"/>
      <c r="AH37" s="696">
        <v>0</v>
      </c>
      <c r="AI37" s="696">
        <v>0</v>
      </c>
      <c r="AJ37" s="696">
        <v>0</v>
      </c>
      <c r="AK37" s="696">
        <v>0</v>
      </c>
      <c r="AL37" s="696">
        <v>0</v>
      </c>
      <c r="AM37" s="696">
        <v>0</v>
      </c>
      <c r="AN37" s="696">
        <v>0</v>
      </c>
      <c r="AO37" s="696">
        <v>0</v>
      </c>
      <c r="AP37" s="696">
        <v>0</v>
      </c>
      <c r="AQ37" s="696">
        <v>0</v>
      </c>
      <c r="AT37" s="696"/>
      <c r="AU37" s="674"/>
      <c r="AV37" s="674"/>
      <c r="AW37" s="674"/>
      <c r="AX37" s="674"/>
      <c r="AY37" s="674"/>
      <c r="AZ37" s="674"/>
      <c r="BA37" s="674"/>
      <c r="BB37" s="674"/>
    </row>
    <row r="38" spans="1:54">
      <c r="A38" s="674" t="s">
        <v>390</v>
      </c>
      <c r="B38" s="674" t="s">
        <v>442</v>
      </c>
      <c r="C38" s="674" t="s">
        <v>2</v>
      </c>
      <c r="D38" s="673" t="s">
        <v>348</v>
      </c>
      <c r="E38" s="674" t="s">
        <v>349</v>
      </c>
      <c r="F38" s="674" t="str">
        <f>Commodities!$D$11</f>
        <v>RSH</v>
      </c>
      <c r="G38" s="697" t="s">
        <v>490</v>
      </c>
      <c r="H38" s="695">
        <v>15</v>
      </c>
      <c r="I38" s="698">
        <v>9.356126419688966</v>
      </c>
      <c r="J38" s="698">
        <v>2.58</v>
      </c>
      <c r="K38" s="674">
        <v>1</v>
      </c>
      <c r="L38" s="674">
        <v>0.16</v>
      </c>
      <c r="M38" s="674">
        <v>0.16</v>
      </c>
      <c r="N38" s="674">
        <v>0.16</v>
      </c>
      <c r="O38" s="674">
        <v>0.16</v>
      </c>
      <c r="P38" s="674">
        <v>0.16</v>
      </c>
      <c r="Q38" s="674"/>
      <c r="R38" s="674">
        <v>0.18</v>
      </c>
      <c r="S38" s="696"/>
      <c r="T38" s="696"/>
      <c r="U38" s="696"/>
      <c r="V38" s="696"/>
      <c r="W38" s="696"/>
      <c r="X38" s="696"/>
      <c r="Y38" s="696"/>
      <c r="Z38" s="696"/>
      <c r="AA38" s="696"/>
      <c r="AB38" s="696"/>
      <c r="AC38" s="696"/>
      <c r="AD38" s="696"/>
      <c r="AE38" s="696"/>
      <c r="AF38" s="696"/>
      <c r="AG38" s="696"/>
      <c r="AH38" s="696">
        <v>0</v>
      </c>
      <c r="AI38" s="696"/>
      <c r="AJ38" s="696"/>
      <c r="AK38" s="696"/>
      <c r="AL38" s="696"/>
      <c r="AM38" s="696"/>
      <c r="AN38" s="696"/>
      <c r="AO38" s="696"/>
      <c r="AP38" s="696"/>
      <c r="AQ38" s="696"/>
      <c r="AT38" s="696"/>
      <c r="AU38" s="674"/>
      <c r="AV38" s="674"/>
      <c r="AW38" s="674"/>
      <c r="AX38" s="674"/>
      <c r="AY38" s="674"/>
      <c r="AZ38" s="674"/>
      <c r="BA38" s="674"/>
      <c r="BB38" s="674"/>
    </row>
    <row r="39" spans="1:54">
      <c r="A39" s="674" t="s">
        <v>390</v>
      </c>
      <c r="B39" s="674" t="s">
        <v>444</v>
      </c>
      <c r="C39" s="674" t="s">
        <v>315</v>
      </c>
      <c r="D39" s="673" t="s">
        <v>348</v>
      </c>
      <c r="E39" s="674" t="s">
        <v>349</v>
      </c>
      <c r="F39" s="674" t="str">
        <f>Commodities!$D$11</f>
        <v>RSH</v>
      </c>
      <c r="G39" s="697" t="s">
        <v>489</v>
      </c>
      <c r="H39" s="695">
        <v>15</v>
      </c>
      <c r="I39" s="698">
        <v>9.7658837811351979</v>
      </c>
      <c r="J39" s="698">
        <v>2.4900000000000002</v>
      </c>
      <c r="K39" s="674">
        <v>1</v>
      </c>
      <c r="L39" s="674">
        <v>0.16</v>
      </c>
      <c r="M39" s="674">
        <v>0.16</v>
      </c>
      <c r="N39" s="674">
        <v>0.16</v>
      </c>
      <c r="O39" s="674">
        <v>0.16</v>
      </c>
      <c r="P39" s="674">
        <v>0.16</v>
      </c>
      <c r="Q39" s="674"/>
      <c r="R39" s="674">
        <v>0.18</v>
      </c>
      <c r="S39" s="696"/>
      <c r="T39" s="696"/>
      <c r="U39" s="696"/>
      <c r="V39" s="696"/>
      <c r="W39" s="696"/>
      <c r="X39" s="696"/>
      <c r="Y39" s="696"/>
      <c r="Z39" s="696"/>
      <c r="AA39" s="696"/>
      <c r="AB39" s="696"/>
      <c r="AC39" s="696"/>
      <c r="AD39" s="696"/>
      <c r="AE39" s="696"/>
      <c r="AF39" s="696"/>
      <c r="AG39" s="696"/>
      <c r="AH39" s="696">
        <v>0</v>
      </c>
      <c r="AI39" s="696">
        <v>0</v>
      </c>
      <c r="AJ39" s="696">
        <v>0</v>
      </c>
      <c r="AK39" s="696">
        <v>0</v>
      </c>
      <c r="AL39" s="696">
        <v>0</v>
      </c>
      <c r="AM39" s="696">
        <v>0</v>
      </c>
      <c r="AN39" s="696">
        <v>0</v>
      </c>
      <c r="AO39" s="696">
        <v>0</v>
      </c>
      <c r="AP39" s="696">
        <v>0</v>
      </c>
      <c r="AQ39" s="696">
        <v>0</v>
      </c>
      <c r="AT39" s="696"/>
      <c r="AU39" s="674"/>
      <c r="AV39" s="674"/>
      <c r="AW39" s="674"/>
      <c r="AX39" s="674"/>
      <c r="AY39" s="674"/>
      <c r="AZ39" s="674"/>
      <c r="BA39" s="674"/>
      <c r="BB39" s="674"/>
    </row>
    <row r="40" spans="1:54">
      <c r="A40" s="674" t="s">
        <v>390</v>
      </c>
      <c r="B40" s="674" t="s">
        <v>446</v>
      </c>
      <c r="C40" s="674" t="s">
        <v>777</v>
      </c>
      <c r="D40" s="673" t="s">
        <v>348</v>
      </c>
      <c r="E40" s="674" t="s">
        <v>349</v>
      </c>
      <c r="F40" s="674" t="str">
        <f>Commodities!$D$11</f>
        <v>RSH</v>
      </c>
      <c r="G40" s="697" t="s">
        <v>490</v>
      </c>
      <c r="H40" s="695">
        <v>15</v>
      </c>
      <c r="I40" s="698">
        <v>9.7658837811351979</v>
      </c>
      <c r="J40" s="698">
        <v>2.4900000000000002</v>
      </c>
      <c r="K40" s="674">
        <v>1</v>
      </c>
      <c r="L40" s="674">
        <v>0.16</v>
      </c>
      <c r="M40" s="674">
        <v>0.16</v>
      </c>
      <c r="N40" s="674">
        <v>0.16</v>
      </c>
      <c r="O40" s="674">
        <v>0.16</v>
      </c>
      <c r="P40" s="674">
        <v>0.16</v>
      </c>
      <c r="Q40" s="674"/>
      <c r="R40" s="674">
        <v>0.18</v>
      </c>
      <c r="S40" s="696"/>
      <c r="T40" s="696"/>
      <c r="U40" s="696"/>
      <c r="V40" s="696"/>
      <c r="W40" s="696"/>
      <c r="X40" s="696"/>
      <c r="Y40" s="696"/>
      <c r="Z40" s="696"/>
      <c r="AA40" s="696"/>
      <c r="AB40" s="696"/>
      <c r="AC40" s="696"/>
      <c r="AD40" s="696"/>
      <c r="AE40" s="696"/>
      <c r="AF40" s="696"/>
      <c r="AG40" s="696"/>
      <c r="AH40" s="696">
        <v>0</v>
      </c>
      <c r="AI40" s="696"/>
      <c r="AJ40" s="696"/>
      <c r="AK40" s="696">
        <v>0</v>
      </c>
      <c r="AL40" s="696">
        <v>0</v>
      </c>
      <c r="AM40" s="696">
        <v>0</v>
      </c>
      <c r="AN40" s="696">
        <v>0</v>
      </c>
      <c r="AO40" s="696">
        <v>0</v>
      </c>
      <c r="AP40" s="696">
        <v>0</v>
      </c>
      <c r="AQ40" s="696">
        <v>0</v>
      </c>
      <c r="AT40" s="696"/>
      <c r="AU40" s="674"/>
      <c r="AV40" s="674"/>
      <c r="AW40" s="674"/>
      <c r="AX40" s="674"/>
      <c r="AY40" s="674"/>
      <c r="AZ40" s="674"/>
      <c r="BA40" s="674"/>
      <c r="BB40" s="674"/>
    </row>
    <row r="41" spans="1:54">
      <c r="A41" s="674" t="s">
        <v>390</v>
      </c>
      <c r="B41" s="674" t="s">
        <v>1190</v>
      </c>
      <c r="C41" s="674" t="s">
        <v>1191</v>
      </c>
      <c r="D41" s="673" t="s">
        <v>348</v>
      </c>
      <c r="E41" s="674" t="s">
        <v>349</v>
      </c>
      <c r="F41" s="674" t="str">
        <f>Commodities!$D$11</f>
        <v>RSH</v>
      </c>
      <c r="G41" s="697" t="s">
        <v>847</v>
      </c>
      <c r="H41" s="695">
        <v>15</v>
      </c>
      <c r="I41" s="698">
        <v>10.2439340361558</v>
      </c>
      <c r="J41" s="698">
        <v>2.78</v>
      </c>
      <c r="K41" s="674">
        <v>1</v>
      </c>
      <c r="L41" s="674">
        <v>0.16</v>
      </c>
      <c r="M41" s="674">
        <v>0.16</v>
      </c>
      <c r="N41" s="674">
        <v>0.16</v>
      </c>
      <c r="O41" s="674">
        <v>0.16</v>
      </c>
      <c r="P41" s="674">
        <v>0.16</v>
      </c>
      <c r="Q41" s="674"/>
      <c r="R41" s="674">
        <v>0.18</v>
      </c>
      <c r="S41" s="696"/>
      <c r="T41" s="696"/>
      <c r="U41" s="696"/>
      <c r="V41" s="696"/>
      <c r="W41" s="696"/>
      <c r="X41" s="696"/>
      <c r="Y41" s="696"/>
      <c r="Z41" s="696"/>
      <c r="AA41" s="696"/>
      <c r="AB41" s="696"/>
      <c r="AC41" s="696"/>
      <c r="AD41" s="696"/>
      <c r="AE41" s="696"/>
      <c r="AF41" s="696"/>
      <c r="AG41" s="696"/>
      <c r="AH41" s="696">
        <v>0</v>
      </c>
      <c r="AI41" s="696"/>
      <c r="AJ41" s="696"/>
      <c r="AK41" s="696"/>
      <c r="AL41" s="696">
        <v>0</v>
      </c>
      <c r="AM41" s="696">
        <v>0</v>
      </c>
      <c r="AN41" s="696">
        <v>0</v>
      </c>
      <c r="AO41" s="696">
        <v>0</v>
      </c>
      <c r="AP41" s="696">
        <v>0</v>
      </c>
      <c r="AQ41" s="696">
        <v>0</v>
      </c>
      <c r="AT41" s="696"/>
      <c r="AU41" s="674"/>
      <c r="AV41" s="674"/>
      <c r="AW41" s="674"/>
      <c r="AX41" s="674"/>
      <c r="AY41" s="674"/>
      <c r="AZ41" s="674"/>
      <c r="BA41" s="674"/>
      <c r="BB41" s="674"/>
    </row>
    <row r="42" spans="1:54">
      <c r="A42" s="674" t="s">
        <v>390</v>
      </c>
      <c r="B42" s="674" t="s">
        <v>1192</v>
      </c>
      <c r="C42" s="674" t="s">
        <v>1193</v>
      </c>
      <c r="D42" s="673" t="s">
        <v>348</v>
      </c>
      <c r="E42" s="674" t="s">
        <v>349</v>
      </c>
      <c r="F42" s="674" t="str">
        <f>Commodities!$D$11</f>
        <v>RSH</v>
      </c>
      <c r="G42" s="697" t="s">
        <v>2322</v>
      </c>
      <c r="H42" s="695">
        <v>15</v>
      </c>
      <c r="I42" s="698">
        <v>10.2439340361558</v>
      </c>
      <c r="J42" s="698">
        <v>2.8</v>
      </c>
      <c r="K42" s="674">
        <v>1</v>
      </c>
      <c r="L42" s="674">
        <v>0.16</v>
      </c>
      <c r="M42" s="674">
        <v>0.16</v>
      </c>
      <c r="N42" s="674">
        <v>0.16</v>
      </c>
      <c r="O42" s="674">
        <v>0.16</v>
      </c>
      <c r="P42" s="674">
        <v>0.16</v>
      </c>
      <c r="Q42" s="674"/>
      <c r="R42" s="674">
        <v>0.18</v>
      </c>
      <c r="S42" s="696"/>
      <c r="T42" s="696"/>
      <c r="U42" s="696"/>
      <c r="V42" s="696"/>
      <c r="W42" s="696"/>
      <c r="X42" s="696"/>
      <c r="Y42" s="696"/>
      <c r="Z42" s="696"/>
      <c r="AA42" s="696"/>
      <c r="AB42" s="696"/>
      <c r="AC42" s="696"/>
      <c r="AD42" s="696"/>
      <c r="AE42" s="696"/>
      <c r="AF42" s="696"/>
      <c r="AG42" s="696"/>
      <c r="AH42" s="696">
        <v>0</v>
      </c>
      <c r="AI42" s="696"/>
      <c r="AJ42" s="696"/>
      <c r="AK42" s="696"/>
      <c r="AL42" s="696"/>
      <c r="AM42" s="696"/>
      <c r="AN42" s="696"/>
      <c r="AO42" s="696"/>
      <c r="AP42" s="696"/>
      <c r="AQ42" s="696"/>
      <c r="AT42" s="696"/>
      <c r="AU42" s="674"/>
      <c r="AV42" s="674"/>
      <c r="AW42" s="674"/>
      <c r="AX42" s="674"/>
      <c r="AY42" s="674"/>
      <c r="AZ42" s="674"/>
      <c r="BA42" s="674"/>
      <c r="BB42" s="674"/>
    </row>
    <row r="43" spans="1:54">
      <c r="A43" s="674" t="s">
        <v>390</v>
      </c>
      <c r="B43" s="674" t="s">
        <v>448</v>
      </c>
      <c r="C43" s="674" t="s">
        <v>125</v>
      </c>
      <c r="D43" s="673" t="s">
        <v>348</v>
      </c>
      <c r="E43" s="674" t="s">
        <v>349</v>
      </c>
      <c r="F43" s="674" t="str">
        <f>Commodities!$D$11</f>
        <v>RSH</v>
      </c>
      <c r="G43" s="697" t="s">
        <v>489</v>
      </c>
      <c r="H43" s="695">
        <v>15</v>
      </c>
      <c r="I43" s="698">
        <v>10.926862971899521</v>
      </c>
      <c r="J43" s="698">
        <v>3.14</v>
      </c>
      <c r="K43" s="674">
        <v>1</v>
      </c>
      <c r="L43" s="674">
        <v>0.16</v>
      </c>
      <c r="M43" s="674">
        <v>0.16</v>
      </c>
      <c r="N43" s="674">
        <v>0.16</v>
      </c>
      <c r="O43" s="674">
        <v>0.16</v>
      </c>
      <c r="P43" s="674">
        <v>0.16</v>
      </c>
      <c r="Q43" s="674"/>
      <c r="R43" s="674">
        <v>0.18</v>
      </c>
      <c r="S43" s="696"/>
      <c r="T43" s="696"/>
      <c r="U43" s="696"/>
      <c r="V43" s="696"/>
      <c r="W43" s="696"/>
      <c r="X43" s="696"/>
      <c r="Y43" s="696"/>
      <c r="Z43" s="696"/>
      <c r="AA43" s="696"/>
      <c r="AB43" s="696"/>
      <c r="AC43" s="696"/>
      <c r="AD43" s="696"/>
      <c r="AE43" s="696"/>
      <c r="AF43" s="696"/>
      <c r="AG43" s="696"/>
      <c r="AH43" s="696">
        <v>0</v>
      </c>
      <c r="AI43" s="696"/>
      <c r="AJ43" s="696">
        <v>0</v>
      </c>
      <c r="AK43" s="696">
        <v>0</v>
      </c>
      <c r="AL43" s="696">
        <v>0</v>
      </c>
      <c r="AM43" s="696">
        <v>0</v>
      </c>
      <c r="AN43" s="696">
        <v>0</v>
      </c>
      <c r="AO43" s="696">
        <v>0</v>
      </c>
      <c r="AP43" s="696">
        <v>0</v>
      </c>
      <c r="AQ43" s="696">
        <v>0</v>
      </c>
      <c r="AT43" s="696"/>
      <c r="AU43" s="674"/>
      <c r="AV43" s="674"/>
      <c r="AW43" s="674"/>
      <c r="AX43" s="674"/>
      <c r="AY43" s="674"/>
      <c r="AZ43" s="674"/>
      <c r="BA43" s="674"/>
      <c r="BB43" s="674"/>
    </row>
    <row r="44" spans="1:54">
      <c r="A44" s="674" t="s">
        <v>390</v>
      </c>
      <c r="B44" s="674" t="s">
        <v>450</v>
      </c>
      <c r="C44" s="674" t="s">
        <v>322</v>
      </c>
      <c r="D44" s="673" t="s">
        <v>348</v>
      </c>
      <c r="E44" s="674" t="s">
        <v>349</v>
      </c>
      <c r="F44" s="674" t="str">
        <f>Commodities!$D$11</f>
        <v>RSH</v>
      </c>
      <c r="G44" s="697" t="s">
        <v>847</v>
      </c>
      <c r="H44" s="695">
        <v>15</v>
      </c>
      <c r="I44" s="698">
        <v>11.20003454619701</v>
      </c>
      <c r="J44" s="698">
        <v>3.17</v>
      </c>
      <c r="K44" s="674">
        <v>1</v>
      </c>
      <c r="L44" s="674">
        <v>0.16</v>
      </c>
      <c r="M44" s="674">
        <v>0.16</v>
      </c>
      <c r="N44" s="674">
        <v>0.16</v>
      </c>
      <c r="O44" s="674">
        <v>0.16</v>
      </c>
      <c r="P44" s="674">
        <v>0.16</v>
      </c>
      <c r="Q44" s="674"/>
      <c r="R44" s="674">
        <v>0.18</v>
      </c>
      <c r="S44" s="696"/>
      <c r="T44" s="696"/>
      <c r="U44" s="696"/>
      <c r="V44" s="696"/>
      <c r="W44" s="696"/>
      <c r="X44" s="696"/>
      <c r="Y44" s="696"/>
      <c r="Z44" s="696"/>
      <c r="AA44" s="696"/>
      <c r="AB44" s="696"/>
      <c r="AC44" s="696"/>
      <c r="AD44" s="696"/>
      <c r="AE44" s="696"/>
      <c r="AF44" s="696"/>
      <c r="AG44" s="696"/>
      <c r="AH44" s="696">
        <v>0</v>
      </c>
      <c r="AI44" s="696"/>
      <c r="AJ44" s="696"/>
      <c r="AK44" s="696"/>
      <c r="AL44" s="696">
        <v>0</v>
      </c>
      <c r="AM44" s="696">
        <v>0</v>
      </c>
      <c r="AN44" s="696">
        <v>0</v>
      </c>
      <c r="AO44" s="696">
        <v>0</v>
      </c>
      <c r="AP44" s="696">
        <v>0</v>
      </c>
      <c r="AQ44" s="696">
        <v>0</v>
      </c>
      <c r="AT44" s="696"/>
      <c r="AU44" s="674"/>
      <c r="AV44" s="674"/>
      <c r="AW44" s="674"/>
      <c r="AX44" s="674"/>
      <c r="AY44" s="674"/>
      <c r="AZ44" s="674"/>
      <c r="BA44" s="674"/>
      <c r="BB44" s="674"/>
    </row>
    <row r="45" spans="1:54">
      <c r="A45" s="674" t="s">
        <v>390</v>
      </c>
      <c r="B45" s="674" t="s">
        <v>452</v>
      </c>
      <c r="C45" s="674" t="s">
        <v>126</v>
      </c>
      <c r="D45" s="673" t="s">
        <v>348</v>
      </c>
      <c r="E45" s="674" t="s">
        <v>349</v>
      </c>
      <c r="F45" s="674" t="str">
        <f>Commodities!$D$11</f>
        <v>RSH</v>
      </c>
      <c r="G45" s="697" t="s">
        <v>2322</v>
      </c>
      <c r="H45" s="695">
        <v>15</v>
      </c>
      <c r="I45" s="698">
        <v>11.268327439771381</v>
      </c>
      <c r="J45" s="698">
        <v>3.22</v>
      </c>
      <c r="K45" s="674">
        <v>1</v>
      </c>
      <c r="L45" s="674">
        <v>0.16</v>
      </c>
      <c r="M45" s="674">
        <v>0.16</v>
      </c>
      <c r="N45" s="674">
        <v>0.16</v>
      </c>
      <c r="O45" s="674">
        <v>0.16</v>
      </c>
      <c r="P45" s="674">
        <v>0.16</v>
      </c>
      <c r="Q45" s="674"/>
      <c r="R45" s="674">
        <v>0.18</v>
      </c>
      <c r="S45" s="696"/>
      <c r="T45" s="696"/>
      <c r="U45" s="696"/>
      <c r="V45" s="696"/>
      <c r="W45" s="696"/>
      <c r="X45" s="696"/>
      <c r="Y45" s="696"/>
      <c r="Z45" s="696"/>
      <c r="AA45" s="696"/>
      <c r="AB45" s="696"/>
      <c r="AC45" s="696"/>
      <c r="AD45" s="696"/>
      <c r="AE45" s="696"/>
      <c r="AF45" s="696"/>
      <c r="AG45" s="696"/>
      <c r="AH45" s="696">
        <v>0</v>
      </c>
      <c r="AI45" s="696"/>
      <c r="AJ45" s="696"/>
      <c r="AK45" s="696"/>
      <c r="AL45" s="696"/>
      <c r="AM45" s="696">
        <v>0</v>
      </c>
      <c r="AN45" s="696">
        <v>0</v>
      </c>
      <c r="AO45" s="696">
        <v>0</v>
      </c>
      <c r="AP45" s="696">
        <v>0</v>
      </c>
      <c r="AQ45" s="696">
        <v>0</v>
      </c>
      <c r="AT45" s="696"/>
      <c r="AU45" s="674"/>
      <c r="AV45" s="674"/>
      <c r="AW45" s="674"/>
      <c r="AX45" s="674"/>
      <c r="AY45" s="674"/>
      <c r="AZ45" s="674"/>
      <c r="BA45" s="674"/>
      <c r="BB45" s="674"/>
    </row>
    <row r="46" spans="1:54">
      <c r="A46" s="674" t="s">
        <v>390</v>
      </c>
      <c r="B46" s="674" t="s">
        <v>1003</v>
      </c>
      <c r="C46" s="674" t="s">
        <v>1004</v>
      </c>
      <c r="D46" s="673" t="s">
        <v>348</v>
      </c>
      <c r="E46" s="674" t="s">
        <v>349</v>
      </c>
      <c r="F46" s="674" t="str">
        <f>Commodities!$D$11</f>
        <v>RSH</v>
      </c>
      <c r="G46" s="697" t="s">
        <v>2323</v>
      </c>
      <c r="H46" s="695">
        <v>15</v>
      </c>
      <c r="I46" s="698">
        <v>11.268327439771381</v>
      </c>
      <c r="J46" s="698">
        <v>3.22</v>
      </c>
      <c r="K46" s="674">
        <v>1</v>
      </c>
      <c r="L46" s="674">
        <v>0.16</v>
      </c>
      <c r="M46" s="674">
        <v>0.16</v>
      </c>
      <c r="N46" s="674">
        <v>0.16</v>
      </c>
      <c r="O46" s="674">
        <v>0.16</v>
      </c>
      <c r="P46" s="674">
        <v>0.16</v>
      </c>
      <c r="Q46" s="674"/>
      <c r="R46" s="674">
        <v>0.18</v>
      </c>
      <c r="S46" s="696"/>
      <c r="T46" s="696"/>
      <c r="U46" s="696"/>
      <c r="V46" s="696"/>
      <c r="W46" s="696"/>
      <c r="X46" s="696"/>
      <c r="Y46" s="696"/>
      <c r="Z46" s="696"/>
      <c r="AA46" s="696"/>
      <c r="AB46" s="696"/>
      <c r="AC46" s="696"/>
      <c r="AD46" s="696"/>
      <c r="AE46" s="696"/>
      <c r="AF46" s="696"/>
      <c r="AG46" s="696"/>
      <c r="AH46" s="696">
        <v>0</v>
      </c>
      <c r="AI46" s="696"/>
      <c r="AJ46" s="696"/>
      <c r="AK46" s="696"/>
      <c r="AL46" s="696"/>
      <c r="AM46" s="696"/>
      <c r="AN46" s="696"/>
      <c r="AO46" s="696"/>
      <c r="AP46" s="696"/>
      <c r="AQ46" s="696"/>
      <c r="AT46" s="696"/>
      <c r="AU46" s="674"/>
      <c r="AV46" s="674"/>
      <c r="AW46" s="674"/>
      <c r="AX46" s="674"/>
      <c r="AY46" s="674"/>
      <c r="AZ46" s="674"/>
      <c r="BA46" s="674"/>
      <c r="BB46" s="674"/>
    </row>
    <row r="47" spans="1:54" ht="15.75" customHeight="1">
      <c r="A47" s="684" t="s">
        <v>2324</v>
      </c>
      <c r="B47" s="682"/>
      <c r="C47" s="682"/>
      <c r="D47" s="682"/>
      <c r="E47" s="684"/>
      <c r="F47" s="684"/>
      <c r="G47" s="704"/>
      <c r="H47" s="705"/>
      <c r="I47" s="705"/>
      <c r="J47" s="706"/>
      <c r="K47" s="705"/>
      <c r="L47" s="705"/>
      <c r="M47" s="705" t="s">
        <v>729</v>
      </c>
      <c r="N47" s="705" t="s">
        <v>729</v>
      </c>
      <c r="O47" s="705" t="s">
        <v>729</v>
      </c>
      <c r="P47" s="705" t="s">
        <v>729</v>
      </c>
      <c r="Q47" s="705"/>
      <c r="R47" s="706"/>
      <c r="S47" s="707"/>
      <c r="T47" s="707"/>
      <c r="U47" s="707"/>
      <c r="V47" s="707"/>
      <c r="W47" s="707"/>
      <c r="X47" s="707"/>
      <c r="Y47" s="707"/>
      <c r="Z47" s="707"/>
      <c r="AA47" s="707"/>
      <c r="AB47" s="707"/>
      <c r="AC47" s="707"/>
      <c r="AD47" s="707"/>
      <c r="AE47" s="707"/>
      <c r="AF47" s="707"/>
      <c r="AG47" s="707"/>
      <c r="AH47" s="707"/>
      <c r="AI47" s="707"/>
      <c r="AJ47" s="707"/>
      <c r="AK47" s="707"/>
      <c r="AL47" s="707"/>
      <c r="AM47" s="707"/>
      <c r="AN47" s="707"/>
      <c r="AO47" s="707"/>
      <c r="AP47" s="707"/>
      <c r="AQ47" s="708"/>
      <c r="AT47" s="708"/>
      <c r="AU47" s="682"/>
      <c r="AV47" s="682"/>
      <c r="AW47" s="682"/>
      <c r="AX47" s="682"/>
      <c r="AY47" s="682"/>
      <c r="AZ47" s="682"/>
      <c r="BA47" s="682"/>
      <c r="BB47" s="682"/>
    </row>
    <row r="48" spans="1:54">
      <c r="A48" s="674" t="s">
        <v>390</v>
      </c>
      <c r="B48" s="674" t="s">
        <v>792</v>
      </c>
      <c r="C48" s="674" t="s">
        <v>791</v>
      </c>
      <c r="D48" s="673" t="s">
        <v>348</v>
      </c>
      <c r="E48" s="674" t="s">
        <v>352</v>
      </c>
      <c r="F48" s="674" t="str">
        <f>Commodities!$D$11</f>
        <v>RSH</v>
      </c>
      <c r="G48" s="697">
        <v>2010</v>
      </c>
      <c r="H48" s="695">
        <v>15</v>
      </c>
      <c r="I48" s="698"/>
      <c r="J48" s="698">
        <v>0.81440001726150502</v>
      </c>
      <c r="K48" s="674">
        <v>1</v>
      </c>
      <c r="L48" s="674">
        <v>0.16</v>
      </c>
      <c r="M48" s="674">
        <v>0.16</v>
      </c>
      <c r="N48" s="674">
        <v>0.16</v>
      </c>
      <c r="O48" s="674">
        <v>0.16</v>
      </c>
      <c r="P48" s="674">
        <v>0.16</v>
      </c>
      <c r="Q48" s="674"/>
      <c r="R48" s="674">
        <v>0.15</v>
      </c>
      <c r="S48" s="699"/>
      <c r="T48" s="699"/>
      <c r="U48" s="699"/>
      <c r="V48" s="699"/>
      <c r="W48" s="699"/>
      <c r="X48" s="699"/>
      <c r="Y48" s="699"/>
      <c r="Z48" s="699"/>
      <c r="AA48" s="699"/>
      <c r="AB48" s="699"/>
      <c r="AC48" s="699"/>
      <c r="AD48" s="699"/>
      <c r="AE48" s="699"/>
      <c r="AF48" s="699"/>
      <c r="AG48" s="699"/>
      <c r="AH48" s="696">
        <v>0</v>
      </c>
      <c r="AI48" s="696">
        <v>0</v>
      </c>
      <c r="AJ48" s="696">
        <v>0</v>
      </c>
      <c r="AK48" s="696">
        <v>0</v>
      </c>
      <c r="AL48" s="696">
        <v>0</v>
      </c>
      <c r="AM48" s="696">
        <v>0</v>
      </c>
      <c r="AN48" s="696">
        <v>0</v>
      </c>
      <c r="AO48" s="696">
        <v>0</v>
      </c>
      <c r="AP48" s="696">
        <v>0</v>
      </c>
      <c r="AQ48" s="696">
        <v>0</v>
      </c>
      <c r="AT48" s="696"/>
      <c r="AU48" s="674"/>
      <c r="AV48" s="674"/>
      <c r="AW48" s="674"/>
      <c r="AX48" s="674"/>
      <c r="AY48" s="674"/>
      <c r="AZ48" s="674"/>
      <c r="BA48" s="674"/>
      <c r="BB48" s="674"/>
    </row>
    <row r="49" spans="1:54">
      <c r="A49" s="674" t="s">
        <v>1528</v>
      </c>
      <c r="B49" s="674" t="s">
        <v>1007</v>
      </c>
      <c r="C49" s="674" t="s">
        <v>1008</v>
      </c>
      <c r="D49" s="673" t="s">
        <v>348</v>
      </c>
      <c r="E49" s="674" t="s">
        <v>352</v>
      </c>
      <c r="F49" s="674" t="str">
        <f>Commodities!$D$11</f>
        <v>RSH</v>
      </c>
      <c r="G49" s="697" t="s">
        <v>489</v>
      </c>
      <c r="H49" s="695">
        <v>15</v>
      </c>
      <c r="I49" s="698">
        <v>3.5376820878764188</v>
      </c>
      <c r="J49" s="698">
        <v>0.78</v>
      </c>
      <c r="K49" s="674">
        <v>1</v>
      </c>
      <c r="L49" s="674">
        <v>0.16</v>
      </c>
      <c r="M49" s="674">
        <v>0.16</v>
      </c>
      <c r="N49" s="674">
        <v>0.16</v>
      </c>
      <c r="O49" s="674">
        <v>0.16</v>
      </c>
      <c r="P49" s="674">
        <v>0.16</v>
      </c>
      <c r="Q49" s="674"/>
      <c r="R49" s="674">
        <v>0.15</v>
      </c>
      <c r="S49" s="699">
        <f>Resid!V25</f>
        <v>100.23486397855565</v>
      </c>
      <c r="T49" s="699">
        <f>Resid!W25</f>
        <v>58.24573380768318</v>
      </c>
      <c r="U49" s="699">
        <f>Resid!X25</f>
        <v>96.16228828108467</v>
      </c>
      <c r="V49" s="699">
        <f>Resid!Y25</f>
        <v>18.852275054683815</v>
      </c>
      <c r="W49" s="699">
        <f>Resid!Z25</f>
        <v>50.361766195826235</v>
      </c>
      <c r="X49" s="699">
        <f>S49*2/3</f>
        <v>66.823242652370439</v>
      </c>
      <c r="Y49" s="699">
        <f t="shared" ref="Y49:AB49" si="3">T49*2/3</f>
        <v>38.83048920512212</v>
      </c>
      <c r="Z49" s="699">
        <f t="shared" si="3"/>
        <v>64.108192187389776</v>
      </c>
      <c r="AA49" s="699">
        <f t="shared" si="3"/>
        <v>12.56818336978921</v>
      </c>
      <c r="AB49" s="699">
        <f t="shared" si="3"/>
        <v>33.574510797217492</v>
      </c>
      <c r="AC49" s="699">
        <f>U49*1/3</f>
        <v>32.054096093694888</v>
      </c>
      <c r="AD49" s="699">
        <f t="shared" ref="AD49:AG49" si="4">V49*1/3</f>
        <v>6.2840916848946051</v>
      </c>
      <c r="AE49" s="699">
        <f t="shared" si="4"/>
        <v>16.787255398608746</v>
      </c>
      <c r="AF49" s="699">
        <f t="shared" si="4"/>
        <v>22.274414217456812</v>
      </c>
      <c r="AG49" s="699">
        <f t="shared" si="4"/>
        <v>12.943496401707373</v>
      </c>
      <c r="AH49" s="696">
        <v>0</v>
      </c>
      <c r="AI49" s="696"/>
      <c r="AJ49" s="696"/>
      <c r="AK49" s="696"/>
      <c r="AL49" s="696"/>
      <c r="AM49" s="696"/>
      <c r="AN49" s="696"/>
      <c r="AO49" s="696"/>
      <c r="AP49" s="696"/>
      <c r="AQ49" s="696"/>
      <c r="AT49" s="696"/>
      <c r="AU49" s="674"/>
      <c r="AV49" s="674"/>
      <c r="AW49" s="674"/>
      <c r="AX49" s="674"/>
      <c r="AY49" s="674"/>
      <c r="AZ49" s="674"/>
      <c r="BA49" s="674"/>
      <c r="BB49" s="674"/>
    </row>
    <row r="50" spans="1:54">
      <c r="A50" s="674" t="s">
        <v>390</v>
      </c>
      <c r="B50" s="674" t="s">
        <v>2873</v>
      </c>
      <c r="C50" s="674" t="s">
        <v>2874</v>
      </c>
      <c r="D50" s="673" t="s">
        <v>348</v>
      </c>
      <c r="E50" s="674" t="s">
        <v>352</v>
      </c>
      <c r="F50" s="674" t="str">
        <f>Commodities!$D$11</f>
        <v>RSH</v>
      </c>
      <c r="G50" s="697" t="s">
        <v>490</v>
      </c>
      <c r="H50" s="695">
        <v>15</v>
      </c>
      <c r="I50" s="698">
        <v>3.5376820878764188</v>
      </c>
      <c r="J50" s="698">
        <v>0.78</v>
      </c>
      <c r="K50" s="674">
        <v>1</v>
      </c>
      <c r="L50" s="674">
        <v>0.16</v>
      </c>
      <c r="M50" s="674">
        <v>0.16</v>
      </c>
      <c r="N50" s="674">
        <v>0.16</v>
      </c>
      <c r="O50" s="674">
        <v>0.16</v>
      </c>
      <c r="P50" s="674">
        <v>0.16</v>
      </c>
      <c r="Q50" s="674"/>
      <c r="R50" s="674">
        <v>0.15</v>
      </c>
      <c r="S50" s="699"/>
      <c r="T50" s="699"/>
      <c r="U50" s="699"/>
      <c r="V50" s="699"/>
      <c r="W50" s="699"/>
      <c r="X50" s="699"/>
      <c r="Y50" s="699"/>
      <c r="Z50" s="699"/>
      <c r="AA50" s="699"/>
      <c r="AB50" s="699"/>
      <c r="AC50" s="699"/>
      <c r="AD50" s="699"/>
      <c r="AE50" s="699"/>
      <c r="AF50" s="699"/>
      <c r="AG50" s="699"/>
      <c r="AH50" s="696"/>
      <c r="AI50" s="696"/>
      <c r="AJ50" s="696"/>
      <c r="AK50" s="696"/>
      <c r="AL50" s="696"/>
      <c r="AM50" s="696"/>
      <c r="AN50" s="696"/>
      <c r="AO50" s="696"/>
      <c r="AP50" s="696"/>
      <c r="AQ50" s="696"/>
      <c r="AT50" s="696"/>
      <c r="AU50" s="674"/>
      <c r="AV50" s="674"/>
      <c r="AW50" s="674"/>
      <c r="AX50" s="674"/>
      <c r="AY50" s="674"/>
      <c r="AZ50" s="674"/>
      <c r="BA50" s="674"/>
      <c r="BB50" s="674"/>
    </row>
    <row r="51" spans="1:54">
      <c r="A51" s="674" t="s">
        <v>390</v>
      </c>
      <c r="B51" s="674" t="s">
        <v>2875</v>
      </c>
      <c r="C51" s="674" t="s">
        <v>2876</v>
      </c>
      <c r="D51" s="673" t="s">
        <v>348</v>
      </c>
      <c r="E51" s="674" t="s">
        <v>352</v>
      </c>
      <c r="F51" s="674" t="str">
        <f>Commodities!$D$11</f>
        <v>RSH</v>
      </c>
      <c r="G51" s="697" t="s">
        <v>490</v>
      </c>
      <c r="H51" s="695">
        <v>15</v>
      </c>
      <c r="I51" s="698">
        <v>5.0362835278796227</v>
      </c>
      <c r="J51" s="698">
        <v>0.92625000000000013</v>
      </c>
      <c r="K51" s="674">
        <v>1</v>
      </c>
      <c r="L51" s="674">
        <v>0.16</v>
      </c>
      <c r="M51" s="674">
        <v>0.16</v>
      </c>
      <c r="N51" s="674">
        <v>0.16</v>
      </c>
      <c r="O51" s="674">
        <v>0.16</v>
      </c>
      <c r="P51" s="674">
        <v>0.16</v>
      </c>
      <c r="Q51" s="674"/>
      <c r="R51" s="674">
        <v>0.15</v>
      </c>
      <c r="S51" s="699"/>
      <c r="T51" s="699"/>
      <c r="U51" s="699"/>
      <c r="V51" s="699"/>
      <c r="W51" s="699"/>
      <c r="X51" s="699"/>
      <c r="Y51" s="699"/>
      <c r="Z51" s="699"/>
      <c r="AA51" s="699"/>
      <c r="AB51" s="699"/>
      <c r="AC51" s="699"/>
      <c r="AD51" s="699"/>
      <c r="AE51" s="699"/>
      <c r="AF51" s="699"/>
      <c r="AG51" s="699"/>
      <c r="AH51" s="696"/>
      <c r="AI51" s="696"/>
      <c r="AJ51" s="696"/>
      <c r="AK51" s="696"/>
      <c r="AL51" s="696"/>
      <c r="AM51" s="696"/>
      <c r="AN51" s="696"/>
      <c r="AO51" s="696"/>
      <c r="AP51" s="696"/>
      <c r="AQ51" s="696"/>
      <c r="AT51" s="696"/>
      <c r="AU51" s="674"/>
      <c r="AV51" s="674"/>
      <c r="AW51" s="674"/>
      <c r="AX51" s="674"/>
      <c r="AY51" s="674"/>
      <c r="AZ51" s="674"/>
      <c r="BA51" s="674"/>
      <c r="BB51" s="674"/>
    </row>
    <row r="52" spans="1:54">
      <c r="A52" s="674" t="s">
        <v>390</v>
      </c>
      <c r="B52" s="674" t="s">
        <v>2877</v>
      </c>
      <c r="C52" s="674" t="s">
        <v>2878</v>
      </c>
      <c r="D52" s="673" t="s">
        <v>348</v>
      </c>
      <c r="E52" s="674" t="s">
        <v>352</v>
      </c>
      <c r="F52" s="674" t="str">
        <f>Commodities!$D$11</f>
        <v>RSH</v>
      </c>
      <c r="G52" s="697" t="s">
        <v>847</v>
      </c>
      <c r="H52" s="695">
        <v>16</v>
      </c>
      <c r="I52" s="698">
        <v>5.0854180013223509</v>
      </c>
      <c r="J52" s="698">
        <v>0.89700000000000002</v>
      </c>
      <c r="K52" s="674">
        <v>1</v>
      </c>
      <c r="L52" s="674">
        <v>0.16</v>
      </c>
      <c r="M52" s="674">
        <v>0.16</v>
      </c>
      <c r="N52" s="674">
        <v>0.16</v>
      </c>
      <c r="O52" s="674">
        <v>0.16</v>
      </c>
      <c r="P52" s="674">
        <v>0.16</v>
      </c>
      <c r="Q52" s="674"/>
      <c r="R52" s="674">
        <v>0.15</v>
      </c>
      <c r="S52" s="699"/>
      <c r="T52" s="699"/>
      <c r="U52" s="699"/>
      <c r="V52" s="699"/>
      <c r="W52" s="699"/>
      <c r="X52" s="699"/>
      <c r="Y52" s="699"/>
      <c r="Z52" s="699"/>
      <c r="AA52" s="699"/>
      <c r="AB52" s="699"/>
      <c r="AC52" s="699"/>
      <c r="AD52" s="699"/>
      <c r="AE52" s="699"/>
      <c r="AF52" s="699"/>
      <c r="AG52" s="699"/>
      <c r="AH52" s="696"/>
      <c r="AI52" s="696"/>
      <c r="AJ52" s="696"/>
      <c r="AK52" s="696"/>
      <c r="AL52" s="696"/>
      <c r="AM52" s="696"/>
      <c r="AN52" s="696"/>
      <c r="AO52" s="696"/>
      <c r="AP52" s="696"/>
      <c r="AQ52" s="696"/>
      <c r="AT52" s="696"/>
      <c r="AU52" s="674"/>
      <c r="AV52" s="674"/>
      <c r="AW52" s="674"/>
      <c r="AX52" s="674"/>
      <c r="AY52" s="674"/>
      <c r="AZ52" s="674"/>
      <c r="BA52" s="674"/>
      <c r="BB52" s="674"/>
    </row>
    <row r="53" spans="1:54">
      <c r="A53" s="674" t="s">
        <v>390</v>
      </c>
      <c r="B53" s="674" t="s">
        <v>2879</v>
      </c>
      <c r="C53" s="674" t="s">
        <v>2880</v>
      </c>
      <c r="D53" s="673" t="s">
        <v>348</v>
      </c>
      <c r="E53" s="674" t="s">
        <v>352</v>
      </c>
      <c r="F53" s="674" t="str">
        <f>Commodities!$D$11</f>
        <v>RSH</v>
      </c>
      <c r="G53" s="697" t="s">
        <v>847</v>
      </c>
      <c r="H53" s="695">
        <v>16</v>
      </c>
      <c r="I53" s="698">
        <v>5.7733006295205431</v>
      </c>
      <c r="J53" s="698">
        <v>0.96524999999999994</v>
      </c>
      <c r="K53" s="674">
        <v>1</v>
      </c>
      <c r="L53" s="674">
        <v>0.16</v>
      </c>
      <c r="M53" s="674">
        <v>0.16</v>
      </c>
      <c r="N53" s="674">
        <v>0.16</v>
      </c>
      <c r="O53" s="674">
        <v>0.16</v>
      </c>
      <c r="P53" s="674">
        <v>0.16</v>
      </c>
      <c r="Q53" s="674"/>
      <c r="R53" s="674">
        <v>0.15</v>
      </c>
      <c r="S53" s="699"/>
      <c r="T53" s="699"/>
      <c r="U53" s="699"/>
      <c r="V53" s="699"/>
      <c r="W53" s="699"/>
      <c r="X53" s="699"/>
      <c r="Y53" s="699"/>
      <c r="Z53" s="699"/>
      <c r="AA53" s="699"/>
      <c r="AB53" s="699"/>
      <c r="AC53" s="699"/>
      <c r="AD53" s="699"/>
      <c r="AE53" s="699"/>
      <c r="AF53" s="699"/>
      <c r="AG53" s="699"/>
      <c r="AH53" s="696"/>
      <c r="AI53" s="696"/>
      <c r="AJ53" s="696"/>
      <c r="AK53" s="696"/>
      <c r="AL53" s="696"/>
      <c r="AM53" s="696"/>
      <c r="AN53" s="696"/>
      <c r="AO53" s="696"/>
      <c r="AP53" s="696"/>
      <c r="AQ53" s="696"/>
      <c r="AT53" s="696"/>
      <c r="AU53" s="674"/>
      <c r="AV53" s="674"/>
      <c r="AW53" s="674"/>
      <c r="AX53" s="674"/>
      <c r="AY53" s="674"/>
      <c r="AZ53" s="674"/>
      <c r="BA53" s="674"/>
      <c r="BB53" s="674"/>
    </row>
    <row r="54" spans="1:54">
      <c r="A54" s="674" t="s">
        <v>390</v>
      </c>
      <c r="B54" s="674" t="s">
        <v>2881</v>
      </c>
      <c r="C54" s="674" t="s">
        <v>2882</v>
      </c>
      <c r="D54" s="673" t="s">
        <v>348</v>
      </c>
      <c r="E54" s="674" t="s">
        <v>352</v>
      </c>
      <c r="F54" s="674" t="str">
        <f>Commodities!$D$11</f>
        <v>RSH</v>
      </c>
      <c r="G54" s="697">
        <v>2030</v>
      </c>
      <c r="H54" s="695">
        <v>27</v>
      </c>
      <c r="I54" s="698">
        <v>5.0854180013223509</v>
      </c>
      <c r="J54" s="698">
        <v>0.89700000000000002</v>
      </c>
      <c r="K54" s="674">
        <v>1</v>
      </c>
      <c r="L54" s="674">
        <v>0.16</v>
      </c>
      <c r="M54" s="674">
        <v>0.16</v>
      </c>
      <c r="N54" s="674">
        <v>0.16</v>
      </c>
      <c r="O54" s="674">
        <v>0.16</v>
      </c>
      <c r="P54" s="674">
        <v>0.16</v>
      </c>
      <c r="Q54" s="674"/>
      <c r="R54" s="674">
        <v>0.15</v>
      </c>
      <c r="S54" s="699"/>
      <c r="T54" s="699"/>
      <c r="U54" s="699"/>
      <c r="V54" s="699"/>
      <c r="W54" s="699"/>
      <c r="X54" s="699"/>
      <c r="Y54" s="699"/>
      <c r="Z54" s="699"/>
      <c r="AA54" s="699"/>
      <c r="AB54" s="699"/>
      <c r="AC54" s="699"/>
      <c r="AD54" s="699"/>
      <c r="AE54" s="699"/>
      <c r="AF54" s="699"/>
      <c r="AG54" s="699"/>
      <c r="AH54" s="696"/>
      <c r="AI54" s="696"/>
      <c r="AJ54" s="696"/>
      <c r="AK54" s="696"/>
      <c r="AL54" s="696"/>
      <c r="AM54" s="696"/>
      <c r="AN54" s="696"/>
      <c r="AO54" s="696"/>
      <c r="AP54" s="696"/>
      <c r="AQ54" s="696"/>
      <c r="AT54" s="696"/>
      <c r="AU54" s="674"/>
      <c r="AV54" s="674"/>
      <c r="AW54" s="674"/>
      <c r="AX54" s="674"/>
      <c r="AY54" s="674"/>
      <c r="AZ54" s="674"/>
      <c r="BA54" s="674"/>
      <c r="BB54" s="674"/>
    </row>
    <row r="55" spans="1:54">
      <c r="A55" s="674" t="s">
        <v>390</v>
      </c>
      <c r="B55" s="674" t="s">
        <v>2883</v>
      </c>
      <c r="C55" s="674" t="s">
        <v>2884</v>
      </c>
      <c r="D55" s="673" t="s">
        <v>348</v>
      </c>
      <c r="E55" s="674" t="s">
        <v>352</v>
      </c>
      <c r="F55" s="674" t="str">
        <f>Commodities!$D$11</f>
        <v>RSH</v>
      </c>
      <c r="G55" s="697">
        <v>2030</v>
      </c>
      <c r="H55" s="695">
        <v>27</v>
      </c>
      <c r="I55" s="698">
        <v>5.7733006295205431</v>
      </c>
      <c r="J55" s="698">
        <v>0.96524999999999994</v>
      </c>
      <c r="K55" s="674">
        <v>1</v>
      </c>
      <c r="L55" s="674">
        <v>0.16</v>
      </c>
      <c r="M55" s="674">
        <v>0.16</v>
      </c>
      <c r="N55" s="674">
        <v>0.16</v>
      </c>
      <c r="O55" s="674">
        <v>0.16</v>
      </c>
      <c r="P55" s="674">
        <v>0.16</v>
      </c>
      <c r="Q55" s="674"/>
      <c r="R55" s="674">
        <v>0.15</v>
      </c>
      <c r="S55" s="699"/>
      <c r="T55" s="699"/>
      <c r="U55" s="699"/>
      <c r="V55" s="699"/>
      <c r="W55" s="699"/>
      <c r="X55" s="699"/>
      <c r="Y55" s="699"/>
      <c r="Z55" s="699"/>
      <c r="AA55" s="699"/>
      <c r="AB55" s="699"/>
      <c r="AC55" s="699"/>
      <c r="AD55" s="699"/>
      <c r="AE55" s="699"/>
      <c r="AF55" s="699"/>
      <c r="AG55" s="699"/>
      <c r="AH55" s="696"/>
      <c r="AI55" s="696"/>
      <c r="AJ55" s="696"/>
      <c r="AK55" s="696"/>
      <c r="AL55" s="696"/>
      <c r="AM55" s="696"/>
      <c r="AN55" s="696"/>
      <c r="AO55" s="696"/>
      <c r="AP55" s="696"/>
      <c r="AQ55" s="696"/>
      <c r="AT55" s="696"/>
      <c r="AU55" s="674"/>
      <c r="AV55" s="674"/>
      <c r="AW55" s="674"/>
      <c r="AX55" s="674"/>
      <c r="AY55" s="674"/>
      <c r="AZ55" s="674"/>
      <c r="BA55" s="674"/>
      <c r="BB55" s="674"/>
    </row>
    <row r="56" spans="1:54">
      <c r="A56" s="674" t="s">
        <v>390</v>
      </c>
      <c r="B56" s="674" t="s">
        <v>2885</v>
      </c>
      <c r="C56" s="674" t="s">
        <v>2886</v>
      </c>
      <c r="D56" s="673" t="s">
        <v>348</v>
      </c>
      <c r="E56" s="674" t="s">
        <v>352</v>
      </c>
      <c r="F56" s="674" t="str">
        <f>Commodities!$D$11</f>
        <v>RSH</v>
      </c>
      <c r="G56" s="697">
        <v>2040</v>
      </c>
      <c r="H56" s="695">
        <v>27</v>
      </c>
      <c r="I56" s="698">
        <v>5.0854180013223509</v>
      </c>
      <c r="J56" s="698">
        <v>0.89700000000000002</v>
      </c>
      <c r="K56" s="674">
        <v>1</v>
      </c>
      <c r="L56" s="674">
        <v>0.16</v>
      </c>
      <c r="M56" s="674">
        <v>0.16</v>
      </c>
      <c r="N56" s="674">
        <v>0.16</v>
      </c>
      <c r="O56" s="674">
        <v>0.16</v>
      </c>
      <c r="P56" s="674">
        <v>0.16</v>
      </c>
      <c r="Q56" s="674"/>
      <c r="R56" s="674">
        <v>0.15</v>
      </c>
      <c r="S56" s="699"/>
      <c r="T56" s="699"/>
      <c r="U56" s="699"/>
      <c r="V56" s="699"/>
      <c r="W56" s="699"/>
      <c r="X56" s="699"/>
      <c r="Y56" s="699"/>
      <c r="Z56" s="699"/>
      <c r="AA56" s="699"/>
      <c r="AB56" s="699"/>
      <c r="AC56" s="699"/>
      <c r="AD56" s="699"/>
      <c r="AE56" s="699"/>
      <c r="AF56" s="699"/>
      <c r="AG56" s="699"/>
      <c r="AH56" s="696"/>
      <c r="AI56" s="696"/>
      <c r="AJ56" s="696"/>
      <c r="AK56" s="696"/>
      <c r="AL56" s="696"/>
      <c r="AM56" s="696"/>
      <c r="AN56" s="696"/>
      <c r="AO56" s="696"/>
      <c r="AP56" s="696"/>
      <c r="AQ56" s="696"/>
      <c r="AT56" s="696"/>
      <c r="AU56" s="674"/>
      <c r="AV56" s="674"/>
      <c r="AW56" s="674"/>
      <c r="AX56" s="674"/>
      <c r="AY56" s="674"/>
      <c r="AZ56" s="674"/>
      <c r="BA56" s="674"/>
      <c r="BB56" s="674"/>
    </row>
    <row r="57" spans="1:54">
      <c r="A57" s="674" t="s">
        <v>390</v>
      </c>
      <c r="B57" s="674" t="s">
        <v>2887</v>
      </c>
      <c r="C57" s="674" t="s">
        <v>2888</v>
      </c>
      <c r="D57" s="673" t="s">
        <v>348</v>
      </c>
      <c r="E57" s="674" t="s">
        <v>352</v>
      </c>
      <c r="F57" s="674" t="str">
        <f>Commodities!$D$11</f>
        <v>RSH</v>
      </c>
      <c r="G57" s="697">
        <v>2040</v>
      </c>
      <c r="H57" s="695">
        <v>27</v>
      </c>
      <c r="I57" s="698">
        <v>5.7733006295205431</v>
      </c>
      <c r="J57" s="698">
        <v>0.96524999999999994</v>
      </c>
      <c r="K57" s="674">
        <v>1</v>
      </c>
      <c r="L57" s="674">
        <v>0.16</v>
      </c>
      <c r="M57" s="674">
        <v>0.16</v>
      </c>
      <c r="N57" s="674">
        <v>0.16</v>
      </c>
      <c r="O57" s="674">
        <v>0.16</v>
      </c>
      <c r="P57" s="674">
        <v>0.16</v>
      </c>
      <c r="Q57" s="674"/>
      <c r="R57" s="674">
        <v>0.15</v>
      </c>
      <c r="S57" s="699"/>
      <c r="T57" s="699"/>
      <c r="U57" s="699"/>
      <c r="V57" s="699"/>
      <c r="W57" s="699"/>
      <c r="X57" s="699"/>
      <c r="Y57" s="699"/>
      <c r="Z57" s="699"/>
      <c r="AA57" s="699"/>
      <c r="AB57" s="699"/>
      <c r="AC57" s="699"/>
      <c r="AD57" s="699"/>
      <c r="AE57" s="699"/>
      <c r="AF57" s="699"/>
      <c r="AG57" s="699"/>
      <c r="AH57" s="696"/>
      <c r="AI57" s="696"/>
      <c r="AJ57" s="696"/>
      <c r="AK57" s="696"/>
      <c r="AL57" s="696"/>
      <c r="AM57" s="696"/>
      <c r="AN57" s="696"/>
      <c r="AO57" s="696"/>
      <c r="AP57" s="696"/>
      <c r="AQ57" s="696"/>
      <c r="AT57" s="696"/>
      <c r="AU57" s="674"/>
      <c r="AV57" s="674"/>
      <c r="AW57" s="674"/>
      <c r="AX57" s="674"/>
      <c r="AY57" s="674"/>
      <c r="AZ57" s="674"/>
      <c r="BA57" s="674"/>
      <c r="BB57" s="674"/>
    </row>
    <row r="58" spans="1:54">
      <c r="A58" s="674" t="s">
        <v>390</v>
      </c>
      <c r="B58" s="674" t="s">
        <v>780</v>
      </c>
      <c r="C58" s="674" t="s">
        <v>781</v>
      </c>
      <c r="D58" s="673" t="s">
        <v>348</v>
      </c>
      <c r="E58" s="674" t="s">
        <v>352</v>
      </c>
      <c r="F58" s="674" t="str">
        <f>Commodities!$D$11</f>
        <v>RSH</v>
      </c>
      <c r="G58" s="697" t="s">
        <v>489</v>
      </c>
      <c r="H58" s="695">
        <v>15</v>
      </c>
      <c r="I58" s="698">
        <v>4.9170883373547847</v>
      </c>
      <c r="J58" s="698">
        <v>0.8</v>
      </c>
      <c r="K58" s="674">
        <v>1</v>
      </c>
      <c r="L58" s="674">
        <v>0.16</v>
      </c>
      <c r="M58" s="674">
        <v>0.16</v>
      </c>
      <c r="N58" s="674">
        <v>0.16</v>
      </c>
      <c r="O58" s="674">
        <v>0.16</v>
      </c>
      <c r="P58" s="674">
        <v>0.16</v>
      </c>
      <c r="Q58" s="674"/>
      <c r="R58" s="674">
        <v>0.15</v>
      </c>
      <c r="S58" s="696"/>
      <c r="T58" s="696"/>
      <c r="U58" s="696"/>
      <c r="V58" s="696"/>
      <c r="W58" s="696"/>
      <c r="X58" s="696"/>
      <c r="Y58" s="696"/>
      <c r="Z58" s="696"/>
      <c r="AA58" s="696"/>
      <c r="AB58" s="696"/>
      <c r="AC58" s="696"/>
      <c r="AD58" s="696"/>
      <c r="AE58" s="696"/>
      <c r="AF58" s="696"/>
      <c r="AG58" s="696"/>
      <c r="AH58" s="696">
        <v>0</v>
      </c>
      <c r="AI58" s="696"/>
      <c r="AJ58" s="696"/>
      <c r="AK58" s="696"/>
      <c r="AL58" s="696"/>
      <c r="AM58" s="696"/>
      <c r="AN58" s="696"/>
      <c r="AO58" s="696"/>
      <c r="AP58" s="696"/>
      <c r="AQ58" s="696"/>
      <c r="AT58" s="696"/>
      <c r="AU58" s="674"/>
      <c r="AV58" s="674"/>
      <c r="AW58" s="674"/>
      <c r="AX58" s="674"/>
      <c r="AY58" s="674"/>
      <c r="AZ58" s="674"/>
      <c r="BA58" s="674"/>
      <c r="BB58" s="674"/>
    </row>
    <row r="59" spans="1:54">
      <c r="A59" s="674" t="s">
        <v>390</v>
      </c>
      <c r="B59" s="674" t="s">
        <v>782</v>
      </c>
      <c r="C59" s="674" t="s">
        <v>783</v>
      </c>
      <c r="D59" s="673" t="s">
        <v>348</v>
      </c>
      <c r="E59" s="674" t="s">
        <v>352</v>
      </c>
      <c r="F59" s="674" t="str">
        <f>Commodities!$D$11</f>
        <v>RSH</v>
      </c>
      <c r="G59" s="697" t="s">
        <v>489</v>
      </c>
      <c r="H59" s="695">
        <v>20</v>
      </c>
      <c r="I59" s="698">
        <v>5.4087971710902627</v>
      </c>
      <c r="J59" s="698">
        <v>0.9</v>
      </c>
      <c r="K59" s="674">
        <v>1</v>
      </c>
      <c r="L59" s="674">
        <v>0.16</v>
      </c>
      <c r="M59" s="674">
        <v>0.16</v>
      </c>
      <c r="N59" s="674">
        <v>0.16</v>
      </c>
      <c r="O59" s="674">
        <v>0.16</v>
      </c>
      <c r="P59" s="674">
        <v>0.16</v>
      </c>
      <c r="Q59" s="674"/>
      <c r="R59" s="674">
        <v>0.15</v>
      </c>
      <c r="S59" s="696"/>
      <c r="T59" s="696"/>
      <c r="U59" s="696"/>
      <c r="V59" s="696"/>
      <c r="W59" s="696"/>
      <c r="X59" s="696"/>
      <c r="Y59" s="696"/>
      <c r="Z59" s="696"/>
      <c r="AA59" s="696"/>
      <c r="AB59" s="696"/>
      <c r="AC59" s="696"/>
      <c r="AD59" s="696"/>
      <c r="AE59" s="696"/>
      <c r="AF59" s="696"/>
      <c r="AG59" s="696"/>
      <c r="AH59" s="696">
        <v>0</v>
      </c>
      <c r="AI59" s="696"/>
      <c r="AJ59" s="696"/>
      <c r="AK59" s="696"/>
      <c r="AL59" s="696"/>
      <c r="AM59" s="696"/>
      <c r="AN59" s="696"/>
      <c r="AO59" s="696"/>
      <c r="AP59" s="696"/>
      <c r="AQ59" s="696"/>
      <c r="AT59" s="696"/>
      <c r="AU59" s="674"/>
      <c r="AV59" s="674"/>
      <c r="AW59" s="674"/>
      <c r="AX59" s="674"/>
      <c r="AY59" s="674"/>
      <c r="AZ59" s="674"/>
      <c r="BA59" s="674"/>
      <c r="BB59" s="674"/>
    </row>
    <row r="60" spans="1:54">
      <c r="A60" s="674" t="s">
        <v>390</v>
      </c>
      <c r="B60" s="674" t="s">
        <v>771</v>
      </c>
      <c r="C60" s="674" t="s">
        <v>772</v>
      </c>
      <c r="D60" s="673" t="s">
        <v>348</v>
      </c>
      <c r="E60" s="674" t="s">
        <v>352</v>
      </c>
      <c r="F60" s="674" t="str">
        <f>Commodities!$D$11</f>
        <v>RSH</v>
      </c>
      <c r="G60" s="697" t="s">
        <v>489</v>
      </c>
      <c r="H60" s="695">
        <v>20</v>
      </c>
      <c r="I60" s="698">
        <v>6.2938730718141249</v>
      </c>
      <c r="J60" s="698">
        <v>0.95</v>
      </c>
      <c r="K60" s="674">
        <v>1</v>
      </c>
      <c r="L60" s="674">
        <v>0.16</v>
      </c>
      <c r="M60" s="674">
        <v>0.16</v>
      </c>
      <c r="N60" s="674">
        <v>0.16</v>
      </c>
      <c r="O60" s="674">
        <v>0.16</v>
      </c>
      <c r="P60" s="674">
        <v>0.16</v>
      </c>
      <c r="Q60" s="674"/>
      <c r="R60" s="674">
        <v>0.15</v>
      </c>
      <c r="S60" s="696"/>
      <c r="T60" s="696"/>
      <c r="U60" s="696"/>
      <c r="V60" s="696"/>
      <c r="W60" s="696"/>
      <c r="X60" s="696"/>
      <c r="Y60" s="696"/>
      <c r="Z60" s="696"/>
      <c r="AA60" s="696"/>
      <c r="AB60" s="696"/>
      <c r="AC60" s="696"/>
      <c r="AD60" s="696"/>
      <c r="AE60" s="696"/>
      <c r="AF60" s="696"/>
      <c r="AG60" s="696"/>
      <c r="AH60" s="696">
        <v>0</v>
      </c>
      <c r="AI60" s="696">
        <v>0</v>
      </c>
      <c r="AJ60" s="696"/>
      <c r="AK60" s="696"/>
      <c r="AL60" s="696"/>
      <c r="AM60" s="696"/>
      <c r="AN60" s="696"/>
      <c r="AO60" s="696"/>
      <c r="AP60" s="696"/>
      <c r="AQ60" s="696"/>
      <c r="AT60" s="696"/>
      <c r="AU60" s="674"/>
      <c r="AV60" s="674"/>
      <c r="AW60" s="674"/>
      <c r="AX60" s="674"/>
      <c r="AY60" s="674"/>
      <c r="AZ60" s="674"/>
      <c r="BA60" s="674"/>
      <c r="BB60" s="674"/>
    </row>
    <row r="61" spans="1:54">
      <c r="A61" s="674" t="s">
        <v>390</v>
      </c>
      <c r="B61" s="674" t="s">
        <v>127</v>
      </c>
      <c r="C61" s="674" t="s">
        <v>128</v>
      </c>
      <c r="D61" s="673" t="s">
        <v>348</v>
      </c>
      <c r="E61" s="674" t="s">
        <v>352</v>
      </c>
      <c r="F61" s="674" t="str">
        <f>Commodities!$D$11</f>
        <v>RSH</v>
      </c>
      <c r="G61" s="697" t="s">
        <v>489</v>
      </c>
      <c r="H61" s="695">
        <v>20</v>
      </c>
      <c r="I61" s="698">
        <v>7.3756325060321766</v>
      </c>
      <c r="J61" s="698">
        <v>0.98</v>
      </c>
      <c r="K61" s="674">
        <v>1</v>
      </c>
      <c r="L61" s="674">
        <v>0.16</v>
      </c>
      <c r="M61" s="674">
        <v>0.16</v>
      </c>
      <c r="N61" s="674">
        <v>0.16</v>
      </c>
      <c r="O61" s="674">
        <v>0.16</v>
      </c>
      <c r="P61" s="674">
        <v>0.16</v>
      </c>
      <c r="Q61" s="674"/>
      <c r="R61" s="674">
        <v>0.15</v>
      </c>
      <c r="S61" s="696"/>
      <c r="T61" s="696"/>
      <c r="U61" s="696"/>
      <c r="V61" s="696"/>
      <c r="W61" s="696"/>
      <c r="X61" s="696"/>
      <c r="Y61" s="696"/>
      <c r="Z61" s="696"/>
      <c r="AA61" s="696"/>
      <c r="AB61" s="696"/>
      <c r="AC61" s="696"/>
      <c r="AD61" s="696"/>
      <c r="AE61" s="696"/>
      <c r="AF61" s="696"/>
      <c r="AG61" s="696"/>
      <c r="AH61" s="696">
        <v>0</v>
      </c>
      <c r="AI61" s="696">
        <v>0</v>
      </c>
      <c r="AJ61" s="696"/>
      <c r="AK61" s="696"/>
      <c r="AL61" s="696"/>
      <c r="AM61" s="696"/>
      <c r="AN61" s="696"/>
      <c r="AO61" s="696"/>
      <c r="AP61" s="696"/>
      <c r="AQ61" s="696"/>
      <c r="AT61" s="696"/>
      <c r="AU61" s="674"/>
      <c r="AV61" s="674"/>
      <c r="AW61" s="674"/>
      <c r="AX61" s="674"/>
      <c r="AY61" s="674"/>
      <c r="AZ61" s="674"/>
      <c r="BA61" s="674"/>
      <c r="BB61" s="674"/>
    </row>
    <row r="62" spans="1:54">
      <c r="A62" s="674" t="s">
        <v>390</v>
      </c>
      <c r="B62" s="674" t="s">
        <v>2675</v>
      </c>
      <c r="C62" s="674" t="s">
        <v>2676</v>
      </c>
      <c r="D62" s="673" t="s">
        <v>348</v>
      </c>
      <c r="E62" s="674" t="s">
        <v>352</v>
      </c>
      <c r="F62" s="674" t="str">
        <f>Commodities!$D$11</f>
        <v>RSH</v>
      </c>
      <c r="G62" s="697">
        <v>2020</v>
      </c>
      <c r="H62" s="695">
        <v>27</v>
      </c>
      <c r="I62" s="698">
        <v>5.1389487171257446</v>
      </c>
      <c r="J62" s="698">
        <v>0.92</v>
      </c>
      <c r="K62" s="674">
        <v>1</v>
      </c>
      <c r="L62" s="674">
        <v>0.16</v>
      </c>
      <c r="M62" s="674">
        <v>0.16</v>
      </c>
      <c r="N62" s="674">
        <v>0.16</v>
      </c>
      <c r="O62" s="674">
        <v>0.16</v>
      </c>
      <c r="P62" s="674">
        <v>0.16</v>
      </c>
      <c r="Q62" s="674"/>
      <c r="R62" s="674">
        <v>0.15</v>
      </c>
      <c r="S62" s="696"/>
      <c r="T62" s="696"/>
      <c r="U62" s="696"/>
      <c r="V62" s="696"/>
      <c r="W62" s="696"/>
      <c r="X62" s="696"/>
      <c r="Y62" s="696"/>
      <c r="Z62" s="696"/>
      <c r="AA62" s="696"/>
      <c r="AB62" s="696"/>
      <c r="AC62" s="696"/>
      <c r="AD62" s="696"/>
      <c r="AE62" s="696"/>
      <c r="AF62" s="696"/>
      <c r="AG62" s="696"/>
      <c r="AH62" s="696">
        <v>0</v>
      </c>
      <c r="AI62" s="696">
        <v>0</v>
      </c>
      <c r="AJ62" s="696"/>
      <c r="AK62" s="696"/>
      <c r="AL62" s="696"/>
      <c r="AM62" s="696"/>
      <c r="AN62" s="696"/>
      <c r="AO62" s="696"/>
      <c r="AP62" s="696"/>
      <c r="AQ62" s="696"/>
      <c r="AT62" s="696"/>
      <c r="AU62" s="674"/>
      <c r="AV62" s="674"/>
      <c r="AW62" s="674"/>
      <c r="AX62" s="674"/>
      <c r="AY62" s="674"/>
      <c r="AZ62" s="674"/>
      <c r="BA62" s="674"/>
      <c r="BB62" s="674"/>
    </row>
    <row r="63" spans="1:54">
      <c r="A63" s="674" t="s">
        <v>390</v>
      </c>
      <c r="B63" s="674" t="s">
        <v>2677</v>
      </c>
      <c r="C63" s="674" t="s">
        <v>2678</v>
      </c>
      <c r="D63" s="673" t="s">
        <v>348</v>
      </c>
      <c r="E63" s="674" t="s">
        <v>352</v>
      </c>
      <c r="F63" s="674" t="str">
        <f>Commodities!$D$11</f>
        <v>RSH</v>
      </c>
      <c r="G63" s="697">
        <v>2020</v>
      </c>
      <c r="H63" s="695">
        <v>27</v>
      </c>
      <c r="I63" s="698">
        <v>5.660291340602269</v>
      </c>
      <c r="J63" s="698">
        <v>0.99</v>
      </c>
      <c r="K63" s="674">
        <v>1</v>
      </c>
      <c r="L63" s="674">
        <v>0.16</v>
      </c>
      <c r="M63" s="674">
        <v>0.16</v>
      </c>
      <c r="N63" s="674">
        <v>0.16</v>
      </c>
      <c r="O63" s="674">
        <v>0.16</v>
      </c>
      <c r="P63" s="674">
        <v>0.16</v>
      </c>
      <c r="Q63" s="674"/>
      <c r="R63" s="674">
        <v>0.15</v>
      </c>
      <c r="S63" s="696"/>
      <c r="T63" s="696"/>
      <c r="U63" s="696"/>
      <c r="V63" s="696"/>
      <c r="W63" s="696"/>
      <c r="X63" s="696"/>
      <c r="Y63" s="696"/>
      <c r="Z63" s="696"/>
      <c r="AA63" s="696"/>
      <c r="AB63" s="696"/>
      <c r="AC63" s="696"/>
      <c r="AD63" s="696"/>
      <c r="AE63" s="696"/>
      <c r="AF63" s="696"/>
      <c r="AG63" s="696"/>
      <c r="AH63" s="696">
        <v>0</v>
      </c>
      <c r="AI63" s="696">
        <v>0</v>
      </c>
      <c r="AJ63" s="696"/>
      <c r="AK63" s="696"/>
      <c r="AL63" s="696"/>
      <c r="AM63" s="696"/>
      <c r="AN63" s="696"/>
      <c r="AO63" s="696"/>
      <c r="AP63" s="696"/>
      <c r="AQ63" s="696"/>
      <c r="AT63" s="696"/>
      <c r="AU63" s="674"/>
      <c r="AV63" s="674"/>
      <c r="AW63" s="674"/>
      <c r="AX63" s="674"/>
      <c r="AY63" s="674"/>
      <c r="AZ63" s="674"/>
      <c r="BA63" s="674"/>
      <c r="BB63" s="674"/>
    </row>
    <row r="64" spans="1:54">
      <c r="A64" s="674" t="s">
        <v>390</v>
      </c>
      <c r="B64" s="674" t="s">
        <v>2679</v>
      </c>
      <c r="C64" s="674" t="s">
        <v>2681</v>
      </c>
      <c r="D64" s="673" t="s">
        <v>348</v>
      </c>
      <c r="E64" s="674" t="s">
        <v>352</v>
      </c>
      <c r="F64" s="674" t="str">
        <f>Commodities!$D$11</f>
        <v>RSH</v>
      </c>
      <c r="G64" s="697">
        <v>2030</v>
      </c>
      <c r="H64" s="695">
        <v>27</v>
      </c>
      <c r="I64" s="698">
        <v>5.1389487171257446</v>
      </c>
      <c r="J64" s="698">
        <v>0.92</v>
      </c>
      <c r="K64" s="674">
        <v>1</v>
      </c>
      <c r="L64" s="674">
        <v>0.16</v>
      </c>
      <c r="M64" s="674">
        <v>0.16</v>
      </c>
      <c r="N64" s="674">
        <v>0.16</v>
      </c>
      <c r="O64" s="674">
        <v>0.16</v>
      </c>
      <c r="P64" s="674">
        <v>0.16</v>
      </c>
      <c r="Q64" s="674"/>
      <c r="R64" s="674">
        <v>0.15</v>
      </c>
      <c r="S64" s="696"/>
      <c r="T64" s="696"/>
      <c r="U64" s="696"/>
      <c r="V64" s="696"/>
      <c r="W64" s="696"/>
      <c r="X64" s="696"/>
      <c r="Y64" s="696"/>
      <c r="Z64" s="696"/>
      <c r="AA64" s="696"/>
      <c r="AB64" s="696"/>
      <c r="AC64" s="696"/>
      <c r="AD64" s="696"/>
      <c r="AE64" s="696"/>
      <c r="AF64" s="696"/>
      <c r="AG64" s="696"/>
      <c r="AH64" s="696">
        <v>0</v>
      </c>
      <c r="AI64" s="696">
        <v>0</v>
      </c>
      <c r="AJ64" s="696"/>
      <c r="AK64" s="696"/>
      <c r="AL64" s="696"/>
      <c r="AM64" s="696"/>
      <c r="AN64" s="696"/>
      <c r="AO64" s="696"/>
      <c r="AP64" s="696"/>
      <c r="AQ64" s="696"/>
      <c r="AT64" s="696"/>
      <c r="AU64" s="674"/>
      <c r="AV64" s="674"/>
      <c r="AW64" s="674"/>
      <c r="AX64" s="674"/>
      <c r="AY64" s="674"/>
      <c r="AZ64" s="674"/>
      <c r="BA64" s="674"/>
      <c r="BB64" s="674"/>
    </row>
    <row r="65" spans="1:54">
      <c r="A65" s="674" t="s">
        <v>390</v>
      </c>
      <c r="B65" s="674" t="s">
        <v>2680</v>
      </c>
      <c r="C65" s="674" t="s">
        <v>2681</v>
      </c>
      <c r="D65" s="673" t="s">
        <v>348</v>
      </c>
      <c r="E65" s="674" t="s">
        <v>352</v>
      </c>
      <c r="F65" s="674" t="str">
        <f>Commodities!$D$11</f>
        <v>RSH</v>
      </c>
      <c r="G65" s="697">
        <v>2030</v>
      </c>
      <c r="H65" s="695">
        <v>27</v>
      </c>
      <c r="I65" s="698">
        <v>5.660291340602269</v>
      </c>
      <c r="J65" s="698">
        <v>0.99</v>
      </c>
      <c r="K65" s="674">
        <v>1</v>
      </c>
      <c r="L65" s="674">
        <v>0.16</v>
      </c>
      <c r="M65" s="674">
        <v>0.16</v>
      </c>
      <c r="N65" s="674">
        <v>0.16</v>
      </c>
      <c r="O65" s="674">
        <v>0.16</v>
      </c>
      <c r="P65" s="674">
        <v>0.16</v>
      </c>
      <c r="Q65" s="674"/>
      <c r="R65" s="674">
        <v>0.15</v>
      </c>
      <c r="S65" s="696"/>
      <c r="T65" s="696"/>
      <c r="U65" s="696"/>
      <c r="V65" s="696"/>
      <c r="W65" s="696"/>
      <c r="X65" s="696"/>
      <c r="Y65" s="696"/>
      <c r="Z65" s="696"/>
      <c r="AA65" s="696"/>
      <c r="AB65" s="696"/>
      <c r="AC65" s="696"/>
      <c r="AD65" s="696"/>
      <c r="AE65" s="696"/>
      <c r="AF65" s="696"/>
      <c r="AG65" s="696"/>
      <c r="AH65" s="696">
        <v>0</v>
      </c>
      <c r="AI65" s="696">
        <v>0</v>
      </c>
      <c r="AJ65" s="696"/>
      <c r="AK65" s="696"/>
      <c r="AL65" s="696"/>
      <c r="AM65" s="696"/>
      <c r="AN65" s="696"/>
      <c r="AO65" s="696"/>
      <c r="AP65" s="696"/>
      <c r="AQ65" s="696"/>
      <c r="AT65" s="696"/>
      <c r="AU65" s="674"/>
      <c r="AV65" s="674"/>
      <c r="AW65" s="674"/>
      <c r="AX65" s="674"/>
      <c r="AY65" s="674"/>
      <c r="AZ65" s="674"/>
      <c r="BA65" s="674"/>
      <c r="BB65" s="674"/>
    </row>
    <row r="66" spans="1:54">
      <c r="A66" s="674" t="s">
        <v>390</v>
      </c>
      <c r="B66" s="674" t="s">
        <v>2685</v>
      </c>
      <c r="C66" s="674" t="s">
        <v>2682</v>
      </c>
      <c r="D66" s="673" t="s">
        <v>348</v>
      </c>
      <c r="E66" s="674" t="s">
        <v>352</v>
      </c>
      <c r="F66" s="674" t="str">
        <f>Commodities!$D$11</f>
        <v>RSH</v>
      </c>
      <c r="G66" s="697">
        <v>2040</v>
      </c>
      <c r="H66" s="695">
        <v>27</v>
      </c>
      <c r="I66" s="698">
        <v>5.1389487171257446</v>
      </c>
      <c r="J66" s="698">
        <v>0.92</v>
      </c>
      <c r="K66" s="674">
        <v>1</v>
      </c>
      <c r="L66" s="674">
        <v>0.16</v>
      </c>
      <c r="M66" s="674">
        <v>0.16</v>
      </c>
      <c r="N66" s="674">
        <v>0.16</v>
      </c>
      <c r="O66" s="674">
        <v>0.16</v>
      </c>
      <c r="P66" s="674">
        <v>0.16</v>
      </c>
      <c r="Q66" s="674"/>
      <c r="R66" s="674">
        <v>0.15</v>
      </c>
      <c r="S66" s="696"/>
      <c r="T66" s="696"/>
      <c r="U66" s="696"/>
      <c r="V66" s="696"/>
      <c r="W66" s="696"/>
      <c r="X66" s="696"/>
      <c r="Y66" s="696"/>
      <c r="Z66" s="696"/>
      <c r="AA66" s="696"/>
      <c r="AB66" s="696"/>
      <c r="AC66" s="696"/>
      <c r="AD66" s="696"/>
      <c r="AE66" s="696"/>
      <c r="AF66" s="696"/>
      <c r="AG66" s="696"/>
      <c r="AH66" s="696">
        <v>0</v>
      </c>
      <c r="AI66" s="696">
        <v>0</v>
      </c>
      <c r="AJ66" s="696"/>
      <c r="AK66" s="696"/>
      <c r="AL66" s="696"/>
      <c r="AM66" s="696"/>
      <c r="AN66" s="696"/>
      <c r="AO66" s="696"/>
      <c r="AP66" s="696"/>
      <c r="AQ66" s="696"/>
      <c r="AT66" s="696"/>
      <c r="AU66" s="674"/>
      <c r="AV66" s="674"/>
      <c r="AW66" s="674"/>
      <c r="AX66" s="674"/>
      <c r="AY66" s="674"/>
      <c r="AZ66" s="674"/>
      <c r="BA66" s="674"/>
      <c r="BB66" s="674"/>
    </row>
    <row r="67" spans="1:54">
      <c r="A67" s="674" t="s">
        <v>390</v>
      </c>
      <c r="B67" s="674" t="s">
        <v>2686</v>
      </c>
      <c r="C67" s="674" t="s">
        <v>2682</v>
      </c>
      <c r="D67" s="673" t="s">
        <v>348</v>
      </c>
      <c r="E67" s="674" t="s">
        <v>352</v>
      </c>
      <c r="F67" s="674" t="str">
        <f>Commodities!$D$11</f>
        <v>RSH</v>
      </c>
      <c r="G67" s="697">
        <v>2040</v>
      </c>
      <c r="H67" s="695">
        <v>27</v>
      </c>
      <c r="I67" s="698">
        <v>5.660291340602269</v>
      </c>
      <c r="J67" s="698">
        <v>0.99</v>
      </c>
      <c r="K67" s="674">
        <v>1</v>
      </c>
      <c r="L67" s="674">
        <v>0.16</v>
      </c>
      <c r="M67" s="674">
        <v>0.16</v>
      </c>
      <c r="N67" s="674">
        <v>0.16</v>
      </c>
      <c r="O67" s="674">
        <v>0.16</v>
      </c>
      <c r="P67" s="674">
        <v>0.16</v>
      </c>
      <c r="Q67" s="674"/>
      <c r="R67" s="674">
        <v>0.15</v>
      </c>
      <c r="S67" s="696"/>
      <c r="T67" s="696"/>
      <c r="U67" s="696"/>
      <c r="V67" s="696"/>
      <c r="W67" s="696"/>
      <c r="X67" s="696"/>
      <c r="Y67" s="696"/>
      <c r="Z67" s="696"/>
      <c r="AA67" s="696"/>
      <c r="AB67" s="696"/>
      <c r="AC67" s="696"/>
      <c r="AD67" s="696"/>
      <c r="AE67" s="696"/>
      <c r="AF67" s="696"/>
      <c r="AG67" s="696"/>
      <c r="AH67" s="696">
        <v>0</v>
      </c>
      <c r="AI67" s="696">
        <v>0</v>
      </c>
      <c r="AJ67" s="696"/>
      <c r="AK67" s="696"/>
      <c r="AL67" s="696"/>
      <c r="AM67" s="696"/>
      <c r="AN67" s="696"/>
      <c r="AO67" s="696"/>
      <c r="AP67" s="696"/>
      <c r="AQ67" s="696"/>
      <c r="AT67" s="696"/>
      <c r="AU67" s="674"/>
      <c r="AV67" s="674"/>
      <c r="AW67" s="674"/>
      <c r="AX67" s="674"/>
      <c r="AY67" s="674"/>
      <c r="AZ67" s="674"/>
      <c r="BA67" s="674"/>
      <c r="BB67" s="674"/>
    </row>
    <row r="68" spans="1:54">
      <c r="A68" s="674" t="s">
        <v>390</v>
      </c>
      <c r="B68" s="674" t="s">
        <v>2684</v>
      </c>
      <c r="C68" s="674" t="s">
        <v>2683</v>
      </c>
      <c r="D68" s="673" t="s">
        <v>348</v>
      </c>
      <c r="E68" s="674" t="s">
        <v>352</v>
      </c>
      <c r="F68" s="674" t="str">
        <f>Commodities!$D$11</f>
        <v>RSH</v>
      </c>
      <c r="G68" s="697">
        <v>2050</v>
      </c>
      <c r="H68" s="695">
        <v>27</v>
      </c>
      <c r="I68" s="698">
        <v>5.1389487171257446</v>
      </c>
      <c r="J68" s="698">
        <v>0.93</v>
      </c>
      <c r="K68" s="674">
        <v>1</v>
      </c>
      <c r="L68" s="674">
        <v>0.16</v>
      </c>
      <c r="M68" s="674">
        <v>0.16</v>
      </c>
      <c r="N68" s="674">
        <v>0.16</v>
      </c>
      <c r="O68" s="674">
        <v>0.16</v>
      </c>
      <c r="P68" s="674">
        <v>0.16</v>
      </c>
      <c r="Q68" s="674"/>
      <c r="R68" s="674">
        <v>0.15</v>
      </c>
      <c r="S68" s="696"/>
      <c r="T68" s="696"/>
      <c r="U68" s="696"/>
      <c r="V68" s="696"/>
      <c r="W68" s="696"/>
      <c r="X68" s="696"/>
      <c r="Y68" s="696"/>
      <c r="Z68" s="696"/>
      <c r="AA68" s="696"/>
      <c r="AB68" s="696"/>
      <c r="AC68" s="696"/>
      <c r="AD68" s="696"/>
      <c r="AE68" s="696"/>
      <c r="AF68" s="696"/>
      <c r="AG68" s="696"/>
      <c r="AH68" s="696">
        <v>0</v>
      </c>
      <c r="AI68" s="696">
        <v>0</v>
      </c>
      <c r="AJ68" s="696"/>
      <c r="AK68" s="696"/>
      <c r="AL68" s="696"/>
      <c r="AM68" s="696"/>
      <c r="AN68" s="696"/>
      <c r="AO68" s="696"/>
      <c r="AP68" s="696"/>
      <c r="AQ68" s="696"/>
      <c r="AT68" s="696"/>
      <c r="AU68" s="674"/>
      <c r="AV68" s="674"/>
      <c r="AW68" s="674"/>
      <c r="AX68" s="674"/>
      <c r="AY68" s="674"/>
      <c r="AZ68" s="674"/>
      <c r="BA68" s="674"/>
      <c r="BB68" s="674"/>
    </row>
    <row r="69" spans="1:54">
      <c r="A69" s="674" t="s">
        <v>390</v>
      </c>
      <c r="B69" s="674" t="s">
        <v>2687</v>
      </c>
      <c r="C69" s="674" t="s">
        <v>2683</v>
      </c>
      <c r="D69" s="673" t="s">
        <v>348</v>
      </c>
      <c r="E69" s="674" t="s">
        <v>352</v>
      </c>
      <c r="F69" s="674" t="str">
        <f>Commodities!$D$11</f>
        <v>RSH</v>
      </c>
      <c r="G69" s="697">
        <v>2050</v>
      </c>
      <c r="H69" s="695">
        <v>27</v>
      </c>
      <c r="I69" s="698">
        <v>5.660291340602269</v>
      </c>
      <c r="J69" s="698">
        <v>0.99</v>
      </c>
      <c r="K69" s="674">
        <v>1</v>
      </c>
      <c r="L69" s="674">
        <v>0.16</v>
      </c>
      <c r="M69" s="674">
        <v>0.16</v>
      </c>
      <c r="N69" s="674">
        <v>0.16</v>
      </c>
      <c r="O69" s="674">
        <v>0.16</v>
      </c>
      <c r="P69" s="674">
        <v>0.16</v>
      </c>
      <c r="Q69" s="674"/>
      <c r="R69" s="674">
        <v>0.15</v>
      </c>
      <c r="S69" s="696"/>
      <c r="T69" s="696"/>
      <c r="U69" s="696"/>
      <c r="V69" s="696"/>
      <c r="W69" s="696"/>
      <c r="X69" s="696"/>
      <c r="Y69" s="696"/>
      <c r="Z69" s="696"/>
      <c r="AA69" s="696"/>
      <c r="AB69" s="696"/>
      <c r="AC69" s="696"/>
      <c r="AD69" s="696"/>
      <c r="AE69" s="696"/>
      <c r="AF69" s="696"/>
      <c r="AG69" s="696"/>
      <c r="AH69" s="696">
        <v>0</v>
      </c>
      <c r="AI69" s="696">
        <v>0</v>
      </c>
      <c r="AJ69" s="696"/>
      <c r="AK69" s="696"/>
      <c r="AL69" s="696"/>
      <c r="AM69" s="696"/>
      <c r="AN69" s="696"/>
      <c r="AO69" s="696"/>
      <c r="AP69" s="696"/>
      <c r="AQ69" s="696"/>
      <c r="AT69" s="696"/>
      <c r="AU69" s="674"/>
      <c r="AV69" s="674"/>
      <c r="AW69" s="674"/>
      <c r="AX69" s="674"/>
      <c r="AY69" s="674"/>
      <c r="AZ69" s="674"/>
      <c r="BA69" s="674"/>
      <c r="BB69" s="674"/>
    </row>
    <row r="70" spans="1:54" ht="15.75" customHeight="1">
      <c r="A70" s="684" t="s">
        <v>2325</v>
      </c>
      <c r="B70" s="682"/>
      <c r="C70" s="682"/>
      <c r="D70" s="682"/>
      <c r="E70" s="684"/>
      <c r="F70" s="684"/>
      <c r="G70" s="704"/>
      <c r="H70" s="705"/>
      <c r="I70" s="705"/>
      <c r="J70" s="706"/>
      <c r="K70" s="705"/>
      <c r="L70" s="705"/>
      <c r="M70" s="705" t="s">
        <v>729</v>
      </c>
      <c r="N70" s="705" t="s">
        <v>729</v>
      </c>
      <c r="O70" s="705" t="s">
        <v>729</v>
      </c>
      <c r="P70" s="705" t="s">
        <v>729</v>
      </c>
      <c r="Q70" s="705"/>
      <c r="R70" s="706"/>
      <c r="S70" s="707"/>
      <c r="T70" s="707"/>
      <c r="U70" s="707"/>
      <c r="V70" s="707"/>
      <c r="W70" s="707"/>
      <c r="X70" s="707"/>
      <c r="Y70" s="707"/>
      <c r="Z70" s="707"/>
      <c r="AA70" s="707"/>
      <c r="AB70" s="707"/>
      <c r="AC70" s="707"/>
      <c r="AD70" s="707"/>
      <c r="AE70" s="707"/>
      <c r="AF70" s="707"/>
      <c r="AG70" s="707"/>
      <c r="AH70" s="707"/>
      <c r="AI70" s="707"/>
      <c r="AJ70" s="707"/>
      <c r="AK70" s="707"/>
      <c r="AL70" s="707"/>
      <c r="AM70" s="707"/>
      <c r="AN70" s="707"/>
      <c r="AO70" s="707"/>
      <c r="AP70" s="707"/>
      <c r="AQ70" s="708"/>
      <c r="AT70" s="708"/>
      <c r="AU70" s="682"/>
      <c r="AV70" s="682"/>
      <c r="AW70" s="682"/>
      <c r="AX70" s="682"/>
      <c r="AY70" s="682"/>
      <c r="AZ70" s="682"/>
      <c r="BA70" s="682"/>
      <c r="BB70" s="682"/>
    </row>
    <row r="71" spans="1:54">
      <c r="A71" s="674" t="s">
        <v>390</v>
      </c>
      <c r="B71" s="674" t="s">
        <v>784</v>
      </c>
      <c r="C71" s="674" t="s">
        <v>789</v>
      </c>
      <c r="D71" s="673" t="s">
        <v>348</v>
      </c>
      <c r="E71" s="674" t="s">
        <v>352</v>
      </c>
      <c r="F71" s="674" t="str">
        <f>Commodities!$D$11</f>
        <v>RSH</v>
      </c>
      <c r="G71" s="697">
        <v>2010</v>
      </c>
      <c r="H71" s="695">
        <v>20</v>
      </c>
      <c r="I71" s="698"/>
      <c r="J71" s="698">
        <v>0.8</v>
      </c>
      <c r="K71" s="674">
        <v>1</v>
      </c>
      <c r="L71" s="674">
        <v>0.16</v>
      </c>
      <c r="M71" s="674">
        <v>0.16</v>
      </c>
      <c r="N71" s="674">
        <v>0.16</v>
      </c>
      <c r="O71" s="674">
        <v>0.16</v>
      </c>
      <c r="P71" s="674">
        <v>0.16</v>
      </c>
      <c r="Q71" s="674"/>
      <c r="R71" s="674">
        <v>0.15</v>
      </c>
      <c r="S71" s="699"/>
      <c r="T71" s="699"/>
      <c r="U71" s="699"/>
      <c r="V71" s="699"/>
      <c r="W71" s="699"/>
      <c r="X71" s="699"/>
      <c r="Y71" s="699"/>
      <c r="Z71" s="699"/>
      <c r="AA71" s="699"/>
      <c r="AB71" s="699"/>
      <c r="AC71" s="699"/>
      <c r="AD71" s="699"/>
      <c r="AE71" s="699"/>
      <c r="AF71" s="699"/>
      <c r="AG71" s="699"/>
      <c r="AH71" s="696">
        <v>0</v>
      </c>
      <c r="AI71" s="696">
        <v>0</v>
      </c>
      <c r="AJ71" s="696">
        <v>0</v>
      </c>
      <c r="AK71" s="696">
        <v>0</v>
      </c>
      <c r="AL71" s="696">
        <v>0</v>
      </c>
      <c r="AM71" s="696">
        <v>0</v>
      </c>
      <c r="AN71" s="696">
        <v>0</v>
      </c>
      <c r="AO71" s="696">
        <v>0</v>
      </c>
      <c r="AP71" s="696">
        <v>0</v>
      </c>
      <c r="AQ71" s="696">
        <v>0</v>
      </c>
      <c r="AT71" s="696"/>
      <c r="AU71" s="674"/>
      <c r="AV71" s="674"/>
      <c r="AW71" s="674"/>
      <c r="AX71" s="674"/>
      <c r="AY71" s="674"/>
      <c r="AZ71" s="674"/>
      <c r="BA71" s="674"/>
      <c r="BB71" s="674"/>
    </row>
    <row r="72" spans="1:54">
      <c r="A72" s="674" t="s">
        <v>1528</v>
      </c>
      <c r="B72" s="674" t="s">
        <v>785</v>
      </c>
      <c r="C72" s="674" t="s">
        <v>790</v>
      </c>
      <c r="D72" s="673" t="s">
        <v>348</v>
      </c>
      <c r="E72" s="674" t="s">
        <v>352</v>
      </c>
      <c r="F72" s="674" t="str">
        <f>Commodities!$D$11</f>
        <v>RSH</v>
      </c>
      <c r="G72" s="697" t="s">
        <v>489</v>
      </c>
      <c r="H72" s="695">
        <v>20</v>
      </c>
      <c r="I72" s="698">
        <v>8.2856238373947697</v>
      </c>
      <c r="J72" s="698">
        <v>0.8</v>
      </c>
      <c r="K72" s="674">
        <v>1</v>
      </c>
      <c r="L72" s="674">
        <v>0.16</v>
      </c>
      <c r="M72" s="674">
        <v>0.16</v>
      </c>
      <c r="N72" s="674">
        <v>0.16</v>
      </c>
      <c r="O72" s="674">
        <v>0.16</v>
      </c>
      <c r="P72" s="674">
        <v>0.16</v>
      </c>
      <c r="Q72" s="674"/>
      <c r="R72" s="674">
        <v>0.15</v>
      </c>
      <c r="S72" s="699">
        <f>Resid!V32</f>
        <v>58.812533040554797</v>
      </c>
      <c r="T72" s="699">
        <f>Resid!W32</f>
        <v>34.175525441612798</v>
      </c>
      <c r="U72" s="699">
        <f>Resid!X32</f>
        <v>56.422960358349968</v>
      </c>
      <c r="V72" s="699">
        <f>Resid!Y32</f>
        <v>11.061520967199852</v>
      </c>
      <c r="W72" s="699">
        <f>Resid!Z32</f>
        <v>29.54962894952796</v>
      </c>
      <c r="X72" s="699">
        <f>S72*2/3</f>
        <v>39.208355360369865</v>
      </c>
      <c r="Y72" s="699">
        <f t="shared" ref="Y72:AB72" si="5">T72*2/3</f>
        <v>22.783683627741866</v>
      </c>
      <c r="Z72" s="699">
        <f t="shared" si="5"/>
        <v>37.615306905566648</v>
      </c>
      <c r="AA72" s="699">
        <f t="shared" si="5"/>
        <v>7.3743473114665683</v>
      </c>
      <c r="AB72" s="699">
        <f t="shared" si="5"/>
        <v>19.69975263301864</v>
      </c>
      <c r="AC72" s="699">
        <f>U72*1/3</f>
        <v>18.807653452783324</v>
      </c>
      <c r="AD72" s="699">
        <f t="shared" ref="AD72:AG72" si="6">V72*1/3</f>
        <v>3.6871736557332841</v>
      </c>
      <c r="AE72" s="699">
        <f t="shared" si="6"/>
        <v>9.8498763165093202</v>
      </c>
      <c r="AF72" s="699">
        <f t="shared" si="6"/>
        <v>13.069451786789955</v>
      </c>
      <c r="AG72" s="699">
        <f t="shared" si="6"/>
        <v>7.5945612092472885</v>
      </c>
      <c r="AH72" s="696">
        <v>0</v>
      </c>
      <c r="AI72" s="696"/>
      <c r="AJ72" s="696">
        <v>0</v>
      </c>
      <c r="AK72" s="696">
        <v>0</v>
      </c>
      <c r="AL72" s="696">
        <v>0</v>
      </c>
      <c r="AM72" s="696">
        <v>0</v>
      </c>
      <c r="AN72" s="696">
        <v>0</v>
      </c>
      <c r="AO72" s="696">
        <v>0</v>
      </c>
      <c r="AP72" s="696">
        <v>0</v>
      </c>
      <c r="AQ72" s="696">
        <v>0</v>
      </c>
      <c r="AT72" s="696"/>
      <c r="AU72" s="674"/>
      <c r="AV72" s="674"/>
      <c r="AW72" s="674"/>
      <c r="AX72" s="674"/>
      <c r="AY72" s="674"/>
      <c r="AZ72" s="674"/>
      <c r="BA72" s="674"/>
      <c r="BB72" s="674"/>
    </row>
    <row r="73" spans="1:54">
      <c r="A73" s="674" t="s">
        <v>390</v>
      </c>
      <c r="B73" s="674" t="s">
        <v>1009</v>
      </c>
      <c r="C73" s="674" t="s">
        <v>1010</v>
      </c>
      <c r="D73" s="673" t="s">
        <v>348</v>
      </c>
      <c r="E73" s="674" t="s">
        <v>352</v>
      </c>
      <c r="F73" s="674" t="str">
        <f>Commodities!$D$11</f>
        <v>RSH</v>
      </c>
      <c r="G73" s="697" t="s">
        <v>490</v>
      </c>
      <c r="H73" s="695">
        <v>20</v>
      </c>
      <c r="I73" s="698">
        <v>8.2856238373947697</v>
      </c>
      <c r="J73" s="698">
        <v>0.82</v>
      </c>
      <c r="K73" s="674">
        <v>1</v>
      </c>
      <c r="L73" s="674">
        <v>0.16</v>
      </c>
      <c r="M73" s="674">
        <v>0.16</v>
      </c>
      <c r="N73" s="674">
        <v>0.16</v>
      </c>
      <c r="O73" s="674">
        <v>0.16</v>
      </c>
      <c r="P73" s="674">
        <v>0.16</v>
      </c>
      <c r="Q73" s="674"/>
      <c r="R73" s="674">
        <v>0.15</v>
      </c>
      <c r="S73" s="696"/>
      <c r="T73" s="696"/>
      <c r="U73" s="696"/>
      <c r="V73" s="696"/>
      <c r="W73" s="696"/>
      <c r="X73" s="696"/>
      <c r="Y73" s="696"/>
      <c r="Z73" s="696"/>
      <c r="AA73" s="696"/>
      <c r="AB73" s="696"/>
      <c r="AC73" s="696"/>
      <c r="AD73" s="696"/>
      <c r="AE73" s="696"/>
      <c r="AF73" s="696"/>
      <c r="AG73" s="696"/>
      <c r="AH73" s="696">
        <v>0</v>
      </c>
      <c r="AI73" s="696"/>
      <c r="AJ73" s="696"/>
      <c r="AK73" s="696"/>
      <c r="AL73" s="696"/>
      <c r="AM73" s="696"/>
      <c r="AN73" s="696"/>
      <c r="AO73" s="696"/>
      <c r="AP73" s="696"/>
      <c r="AQ73" s="696"/>
      <c r="AT73" s="696"/>
      <c r="AU73" s="674"/>
      <c r="AV73" s="674"/>
      <c r="AW73" s="674"/>
      <c r="AX73" s="674"/>
      <c r="AY73" s="674"/>
      <c r="AZ73" s="674"/>
      <c r="BA73" s="674"/>
      <c r="BB73" s="674"/>
    </row>
    <row r="74" spans="1:54">
      <c r="A74" s="674" t="s">
        <v>390</v>
      </c>
      <c r="B74" s="674" t="s">
        <v>2889</v>
      </c>
      <c r="C74" s="674" t="s">
        <v>2890</v>
      </c>
      <c r="D74" s="673" t="s">
        <v>348</v>
      </c>
      <c r="E74" s="674" t="s">
        <v>352</v>
      </c>
      <c r="F74" s="674" t="str">
        <f>Commodities!$D$11</f>
        <v>RSH</v>
      </c>
      <c r="G74" s="697">
        <v>2020</v>
      </c>
      <c r="H74" s="695">
        <v>20</v>
      </c>
      <c r="I74" s="698">
        <v>9.4958834990367009</v>
      </c>
      <c r="J74" s="698">
        <v>0.85</v>
      </c>
      <c r="K74" s="674">
        <v>1</v>
      </c>
      <c r="L74" s="674">
        <v>0.16</v>
      </c>
      <c r="M74" s="674">
        <v>0.16</v>
      </c>
      <c r="N74" s="674">
        <v>0.16</v>
      </c>
      <c r="O74" s="674">
        <v>0.16</v>
      </c>
      <c r="P74" s="674">
        <v>0.16</v>
      </c>
      <c r="Q74" s="674"/>
      <c r="R74" s="674">
        <v>0.15</v>
      </c>
      <c r="S74" s="696"/>
      <c r="T74" s="696"/>
      <c r="U74" s="696"/>
      <c r="V74" s="696"/>
      <c r="W74" s="696"/>
      <c r="X74" s="696"/>
      <c r="Y74" s="696"/>
      <c r="Z74" s="696"/>
      <c r="AA74" s="696"/>
      <c r="AB74" s="696"/>
      <c r="AC74" s="696"/>
      <c r="AD74" s="696"/>
      <c r="AE74" s="696"/>
      <c r="AF74" s="696"/>
      <c r="AG74" s="696"/>
      <c r="AH74" s="696"/>
      <c r="AI74" s="696"/>
      <c r="AJ74" s="696"/>
      <c r="AK74" s="696"/>
      <c r="AL74" s="696"/>
      <c r="AM74" s="696"/>
      <c r="AN74" s="696"/>
      <c r="AO74" s="696"/>
      <c r="AP74" s="696"/>
      <c r="AQ74" s="696"/>
      <c r="AT74" s="696"/>
      <c r="AU74" s="674"/>
      <c r="AV74" s="674"/>
      <c r="AW74" s="674"/>
      <c r="AX74" s="674"/>
      <c r="AY74" s="674"/>
      <c r="AZ74" s="674"/>
      <c r="BA74" s="674"/>
      <c r="BB74" s="674"/>
    </row>
    <row r="75" spans="1:54">
      <c r="A75" s="674" t="s">
        <v>390</v>
      </c>
      <c r="B75" s="674" t="s">
        <v>2891</v>
      </c>
      <c r="C75" s="674" t="s">
        <v>2892</v>
      </c>
      <c r="D75" s="673" t="s">
        <v>348</v>
      </c>
      <c r="E75" s="674" t="s">
        <v>352</v>
      </c>
      <c r="F75" s="674" t="str">
        <f>Commodities!$D$11</f>
        <v>RSH</v>
      </c>
      <c r="G75" s="697">
        <v>2015</v>
      </c>
      <c r="H75" s="695">
        <v>20</v>
      </c>
      <c r="I75" s="698">
        <v>11.916402822320567</v>
      </c>
      <c r="J75" s="698">
        <v>0.98</v>
      </c>
      <c r="K75" s="674">
        <v>1</v>
      </c>
      <c r="L75" s="674">
        <v>0.16</v>
      </c>
      <c r="M75" s="674">
        <v>0.16</v>
      </c>
      <c r="N75" s="674">
        <v>0.16</v>
      </c>
      <c r="O75" s="674">
        <v>0.16</v>
      </c>
      <c r="P75" s="674">
        <v>0.16</v>
      </c>
      <c r="Q75" s="674"/>
      <c r="R75" s="674">
        <v>0.15</v>
      </c>
      <c r="S75" s="696"/>
      <c r="T75" s="696"/>
      <c r="U75" s="696"/>
      <c r="V75" s="696"/>
      <c r="W75" s="696"/>
      <c r="X75" s="696"/>
      <c r="Y75" s="696"/>
      <c r="Z75" s="696"/>
      <c r="AA75" s="696"/>
      <c r="AB75" s="696"/>
      <c r="AC75" s="696"/>
      <c r="AD75" s="696"/>
      <c r="AE75" s="696"/>
      <c r="AF75" s="696"/>
      <c r="AG75" s="696"/>
      <c r="AH75" s="696"/>
      <c r="AI75" s="696"/>
      <c r="AJ75" s="696"/>
      <c r="AK75" s="696"/>
      <c r="AL75" s="696"/>
      <c r="AM75" s="696"/>
      <c r="AN75" s="696"/>
      <c r="AO75" s="696"/>
      <c r="AP75" s="696"/>
      <c r="AQ75" s="696"/>
      <c r="AT75" s="696"/>
      <c r="AU75" s="674"/>
      <c r="AV75" s="674"/>
      <c r="AW75" s="674"/>
      <c r="AX75" s="674"/>
      <c r="AY75" s="674"/>
      <c r="AZ75" s="674"/>
      <c r="BA75" s="674"/>
      <c r="BB75" s="674"/>
    </row>
    <row r="76" spans="1:54">
      <c r="A76" s="674" t="s">
        <v>390</v>
      </c>
      <c r="B76" s="674" t="s">
        <v>2893</v>
      </c>
      <c r="C76" s="674" t="s">
        <v>2894</v>
      </c>
      <c r="D76" s="673" t="s">
        <v>348</v>
      </c>
      <c r="E76" s="674" t="s">
        <v>352</v>
      </c>
      <c r="F76" s="674" t="str">
        <f>Commodities!$D$11</f>
        <v>RSH</v>
      </c>
      <c r="G76" s="697">
        <v>2020</v>
      </c>
      <c r="H76" s="695">
        <v>20</v>
      </c>
      <c r="I76" s="698">
        <v>12.987017138388431</v>
      </c>
      <c r="J76" s="698">
        <v>0.9</v>
      </c>
      <c r="K76" s="674">
        <v>1</v>
      </c>
      <c r="L76" s="674">
        <v>0.16</v>
      </c>
      <c r="M76" s="674">
        <v>0.16</v>
      </c>
      <c r="N76" s="674">
        <v>0.16</v>
      </c>
      <c r="O76" s="674">
        <v>0.16</v>
      </c>
      <c r="P76" s="674">
        <v>0.16</v>
      </c>
      <c r="Q76" s="674"/>
      <c r="R76" s="674">
        <v>0.15</v>
      </c>
      <c r="S76" s="696"/>
      <c r="T76" s="696"/>
      <c r="U76" s="696"/>
      <c r="V76" s="696"/>
      <c r="W76" s="696"/>
      <c r="X76" s="696"/>
      <c r="Y76" s="696"/>
      <c r="Z76" s="696"/>
      <c r="AA76" s="696"/>
      <c r="AB76" s="696"/>
      <c r="AC76" s="696"/>
      <c r="AD76" s="696"/>
      <c r="AE76" s="696"/>
      <c r="AF76" s="696"/>
      <c r="AG76" s="696"/>
      <c r="AH76" s="696"/>
      <c r="AI76" s="696"/>
      <c r="AJ76" s="696"/>
      <c r="AK76" s="696"/>
      <c r="AL76" s="696"/>
      <c r="AM76" s="696"/>
      <c r="AN76" s="696"/>
      <c r="AO76" s="696"/>
      <c r="AP76" s="696"/>
      <c r="AQ76" s="696"/>
      <c r="AT76" s="696"/>
      <c r="AU76" s="674"/>
      <c r="AV76" s="674"/>
      <c r="AW76" s="674"/>
      <c r="AX76" s="674"/>
      <c r="AY76" s="674"/>
      <c r="AZ76" s="674"/>
      <c r="BA76" s="674"/>
      <c r="BB76" s="674"/>
    </row>
    <row r="77" spans="1:54">
      <c r="A77" s="674" t="s">
        <v>390</v>
      </c>
      <c r="B77" s="674" t="s">
        <v>2895</v>
      </c>
      <c r="C77" s="674" t="s">
        <v>2896</v>
      </c>
      <c r="D77" s="673" t="s">
        <v>348</v>
      </c>
      <c r="E77" s="674" t="s">
        <v>352</v>
      </c>
      <c r="F77" s="674" t="str">
        <f>Commodities!$D$11</f>
        <v>RSH</v>
      </c>
      <c r="G77" s="697">
        <v>2015</v>
      </c>
      <c r="H77" s="695">
        <v>20</v>
      </c>
      <c r="I77" s="698">
        <v>12.988879076329416</v>
      </c>
      <c r="J77" s="698">
        <v>0.96</v>
      </c>
      <c r="K77" s="674">
        <v>1</v>
      </c>
      <c r="L77" s="674">
        <v>0.16</v>
      </c>
      <c r="M77" s="674">
        <v>0.16</v>
      </c>
      <c r="N77" s="674">
        <v>0.16</v>
      </c>
      <c r="O77" s="674">
        <v>0.16</v>
      </c>
      <c r="P77" s="674">
        <v>0.16</v>
      </c>
      <c r="Q77" s="674"/>
      <c r="R77" s="674">
        <v>0.15</v>
      </c>
      <c r="S77" s="696"/>
      <c r="T77" s="696"/>
      <c r="U77" s="696"/>
      <c r="V77" s="696"/>
      <c r="W77" s="696"/>
      <c r="X77" s="696"/>
      <c r="Y77" s="696"/>
      <c r="Z77" s="696"/>
      <c r="AA77" s="696"/>
      <c r="AB77" s="696"/>
      <c r="AC77" s="696"/>
      <c r="AD77" s="696"/>
      <c r="AE77" s="696"/>
      <c r="AF77" s="696"/>
      <c r="AG77" s="696"/>
      <c r="AH77" s="696"/>
      <c r="AI77" s="696"/>
      <c r="AJ77" s="696"/>
      <c r="AK77" s="696"/>
      <c r="AL77" s="696"/>
      <c r="AM77" s="696"/>
      <c r="AN77" s="696"/>
      <c r="AO77" s="696"/>
      <c r="AP77" s="696"/>
      <c r="AQ77" s="696"/>
      <c r="AT77" s="696"/>
      <c r="AU77" s="674"/>
      <c r="AV77" s="674"/>
      <c r="AW77" s="674"/>
      <c r="AX77" s="674"/>
      <c r="AY77" s="674"/>
      <c r="AZ77" s="674"/>
      <c r="BA77" s="674"/>
      <c r="BB77" s="674"/>
    </row>
    <row r="78" spans="1:54">
      <c r="A78" s="674" t="s">
        <v>390</v>
      </c>
      <c r="B78" s="674" t="s">
        <v>786</v>
      </c>
      <c r="C78" s="674" t="s">
        <v>787</v>
      </c>
      <c r="D78" s="673" t="s">
        <v>348</v>
      </c>
      <c r="E78" s="674" t="s">
        <v>352</v>
      </c>
      <c r="F78" s="674" t="str">
        <f>Commodities!$D$11</f>
        <v>RSH</v>
      </c>
      <c r="G78" s="697" t="s">
        <v>489</v>
      </c>
      <c r="H78" s="695">
        <v>20</v>
      </c>
      <c r="I78" s="698">
        <v>8.3590501735031335</v>
      </c>
      <c r="J78" s="698">
        <v>0.85</v>
      </c>
      <c r="K78" s="674">
        <v>1</v>
      </c>
      <c r="L78" s="674">
        <v>0.16</v>
      </c>
      <c r="M78" s="674">
        <v>0.16</v>
      </c>
      <c r="N78" s="674">
        <v>0.16</v>
      </c>
      <c r="O78" s="674">
        <v>0.16</v>
      </c>
      <c r="P78" s="674">
        <v>0.16</v>
      </c>
      <c r="Q78" s="674"/>
      <c r="R78" s="674">
        <v>0.15</v>
      </c>
      <c r="S78" s="696"/>
      <c r="T78" s="696"/>
      <c r="U78" s="696"/>
      <c r="V78" s="696"/>
      <c r="W78" s="696"/>
      <c r="X78" s="696"/>
      <c r="Y78" s="696"/>
      <c r="Z78" s="696"/>
      <c r="AA78" s="696"/>
      <c r="AB78" s="696"/>
      <c r="AC78" s="696"/>
      <c r="AD78" s="696"/>
      <c r="AE78" s="696"/>
      <c r="AF78" s="696"/>
      <c r="AG78" s="696"/>
      <c r="AH78" s="696">
        <v>0</v>
      </c>
      <c r="AI78" s="696">
        <v>0</v>
      </c>
      <c r="AJ78" s="696"/>
      <c r="AK78" s="696"/>
      <c r="AL78" s="696"/>
      <c r="AM78" s="696"/>
      <c r="AN78" s="696"/>
      <c r="AO78" s="696"/>
      <c r="AP78" s="696"/>
      <c r="AQ78" s="696"/>
      <c r="AT78" s="696"/>
      <c r="AU78" s="674"/>
      <c r="AV78" s="674"/>
      <c r="AW78" s="674"/>
      <c r="AX78" s="674"/>
      <c r="AY78" s="674"/>
      <c r="AZ78" s="674"/>
      <c r="BA78" s="674"/>
      <c r="BB78" s="674"/>
    </row>
    <row r="79" spans="1:54">
      <c r="A79" s="674" t="s">
        <v>390</v>
      </c>
      <c r="B79" s="674" t="s">
        <v>129</v>
      </c>
      <c r="C79" s="674" t="s">
        <v>130</v>
      </c>
      <c r="D79" s="673" t="s">
        <v>348</v>
      </c>
      <c r="E79" s="674" t="s">
        <v>352</v>
      </c>
      <c r="F79" s="674" t="str">
        <f>Commodities!$D$11</f>
        <v>RSH</v>
      </c>
      <c r="G79" s="697" t="s">
        <v>489</v>
      </c>
      <c r="H79" s="695">
        <v>20</v>
      </c>
      <c r="I79" s="698">
        <v>7.8673413397676546</v>
      </c>
      <c r="J79" s="698">
        <v>0.98</v>
      </c>
      <c r="K79" s="674">
        <v>1</v>
      </c>
      <c r="L79" s="674">
        <v>0.16</v>
      </c>
      <c r="M79" s="674">
        <v>0.16</v>
      </c>
      <c r="N79" s="674">
        <v>0.16</v>
      </c>
      <c r="O79" s="674">
        <v>0.16</v>
      </c>
      <c r="P79" s="674">
        <v>0.16</v>
      </c>
      <c r="Q79" s="674"/>
      <c r="R79" s="674">
        <v>0.15</v>
      </c>
      <c r="S79" s="696"/>
      <c r="T79" s="696"/>
      <c r="U79" s="696"/>
      <c r="V79" s="696"/>
      <c r="W79" s="696"/>
      <c r="X79" s="696"/>
      <c r="Y79" s="696"/>
      <c r="Z79" s="696"/>
      <c r="AA79" s="696"/>
      <c r="AB79" s="696"/>
      <c r="AC79" s="696"/>
      <c r="AD79" s="696"/>
      <c r="AE79" s="696"/>
      <c r="AF79" s="696"/>
      <c r="AG79" s="696"/>
      <c r="AH79" s="696">
        <v>0</v>
      </c>
      <c r="AI79" s="696">
        <v>0</v>
      </c>
      <c r="AJ79" s="696">
        <v>0</v>
      </c>
      <c r="AK79" s="696">
        <v>0</v>
      </c>
      <c r="AL79" s="696">
        <v>0</v>
      </c>
      <c r="AM79" s="696">
        <v>0</v>
      </c>
      <c r="AN79" s="696">
        <v>0</v>
      </c>
      <c r="AO79" s="696">
        <v>0</v>
      </c>
      <c r="AP79" s="696">
        <v>0</v>
      </c>
      <c r="AQ79" s="696">
        <v>0</v>
      </c>
      <c r="AT79" s="696"/>
      <c r="AU79" s="674"/>
      <c r="AV79" s="674"/>
      <c r="AW79" s="674"/>
      <c r="AX79" s="674"/>
      <c r="AY79" s="674"/>
      <c r="AZ79" s="674"/>
      <c r="BA79" s="674"/>
      <c r="BB79" s="674"/>
    </row>
    <row r="80" spans="1:54" ht="15.75" customHeight="1">
      <c r="A80" s="684" t="s">
        <v>2326</v>
      </c>
      <c r="B80" s="682"/>
      <c r="C80" s="682"/>
      <c r="D80" s="682"/>
      <c r="E80" s="684"/>
      <c r="F80" s="684"/>
      <c r="G80" s="704"/>
      <c r="H80" s="705"/>
      <c r="I80" s="705"/>
      <c r="J80" s="706"/>
      <c r="K80" s="705"/>
      <c r="L80" s="705"/>
      <c r="M80" s="705" t="s">
        <v>729</v>
      </c>
      <c r="N80" s="705" t="s">
        <v>729</v>
      </c>
      <c r="O80" s="705" t="s">
        <v>729</v>
      </c>
      <c r="P80" s="705" t="s">
        <v>729</v>
      </c>
      <c r="Q80" s="705"/>
      <c r="R80" s="706"/>
      <c r="S80" s="707"/>
      <c r="T80" s="707"/>
      <c r="U80" s="707"/>
      <c r="V80" s="707"/>
      <c r="W80" s="707"/>
      <c r="X80" s="707"/>
      <c r="Y80" s="707"/>
      <c r="Z80" s="707"/>
      <c r="AA80" s="707"/>
      <c r="AB80" s="707"/>
      <c r="AC80" s="707"/>
      <c r="AD80" s="707"/>
      <c r="AE80" s="707"/>
      <c r="AF80" s="707"/>
      <c r="AG80" s="707"/>
      <c r="AH80" s="707"/>
      <c r="AI80" s="707"/>
      <c r="AJ80" s="707"/>
      <c r="AK80" s="707"/>
      <c r="AL80" s="707"/>
      <c r="AM80" s="707"/>
      <c r="AN80" s="707"/>
      <c r="AO80" s="707"/>
      <c r="AP80" s="707"/>
      <c r="AQ80" s="708"/>
      <c r="AT80" s="708"/>
      <c r="AU80" s="682"/>
      <c r="AV80" s="682"/>
      <c r="AW80" s="682"/>
      <c r="AX80" s="682"/>
      <c r="AY80" s="682"/>
      <c r="AZ80" s="682"/>
      <c r="BA80" s="682"/>
      <c r="BB80" s="682"/>
    </row>
    <row r="81" spans="1:54">
      <c r="A81" s="674" t="s">
        <v>390</v>
      </c>
      <c r="B81" s="674" t="s">
        <v>151</v>
      </c>
      <c r="C81" s="674" t="s">
        <v>150</v>
      </c>
      <c r="D81" s="673" t="s">
        <v>348</v>
      </c>
      <c r="E81" s="674" t="s">
        <v>356</v>
      </c>
      <c r="F81" s="674" t="str">
        <f>Commodities!$D$11</f>
        <v>RSH</v>
      </c>
      <c r="G81" s="697">
        <v>2010</v>
      </c>
      <c r="H81" s="695">
        <v>20</v>
      </c>
      <c r="I81" s="698"/>
      <c r="J81" s="698">
        <v>0.8</v>
      </c>
      <c r="K81" s="674">
        <v>1</v>
      </c>
      <c r="L81" s="674">
        <v>0.16</v>
      </c>
      <c r="M81" s="674">
        <v>0.16</v>
      </c>
      <c r="N81" s="674">
        <v>0.16</v>
      </c>
      <c r="O81" s="674">
        <v>0.16</v>
      </c>
      <c r="P81" s="674">
        <v>0.16</v>
      </c>
      <c r="Q81" s="674"/>
      <c r="R81" s="674">
        <v>0.45</v>
      </c>
      <c r="S81" s="699"/>
      <c r="T81" s="699"/>
      <c r="U81" s="699"/>
      <c r="V81" s="699"/>
      <c r="W81" s="699"/>
      <c r="X81" s="699"/>
      <c r="Y81" s="699"/>
      <c r="Z81" s="699"/>
      <c r="AA81" s="699"/>
      <c r="AB81" s="699"/>
      <c r="AC81" s="699"/>
      <c r="AD81" s="699"/>
      <c r="AE81" s="699"/>
      <c r="AF81" s="699"/>
      <c r="AG81" s="699"/>
      <c r="AH81" s="696"/>
      <c r="AI81" s="696"/>
      <c r="AJ81" s="696">
        <v>0</v>
      </c>
      <c r="AK81" s="696">
        <v>0</v>
      </c>
      <c r="AL81" s="696">
        <v>0</v>
      </c>
      <c r="AM81" s="696">
        <v>0</v>
      </c>
      <c r="AN81" s="696">
        <v>0</v>
      </c>
      <c r="AO81" s="696">
        <v>0</v>
      </c>
      <c r="AP81" s="696">
        <v>0</v>
      </c>
      <c r="AQ81" s="696">
        <v>0</v>
      </c>
      <c r="AT81" s="696"/>
      <c r="AU81" s="674"/>
      <c r="AV81" s="674"/>
      <c r="AW81" s="674"/>
      <c r="AX81" s="674"/>
      <c r="AY81" s="674"/>
      <c r="AZ81" s="674"/>
      <c r="BA81" s="674"/>
      <c r="BB81" s="674"/>
    </row>
    <row r="82" spans="1:54">
      <c r="A82" s="674" t="s">
        <v>390</v>
      </c>
      <c r="B82" s="674" t="s">
        <v>260</v>
      </c>
      <c r="C82" s="674" t="s">
        <v>261</v>
      </c>
      <c r="D82" s="673" t="s">
        <v>348</v>
      </c>
      <c r="E82" s="674" t="s">
        <v>356</v>
      </c>
      <c r="F82" s="674" t="str">
        <f>Commodities!$D$11</f>
        <v>RSH</v>
      </c>
      <c r="G82" s="697" t="s">
        <v>489</v>
      </c>
      <c r="H82" s="695">
        <v>20</v>
      </c>
      <c r="I82" s="698">
        <v>6.3922148385612205</v>
      </c>
      <c r="J82" s="698">
        <v>0.8</v>
      </c>
      <c r="K82" s="674">
        <v>1</v>
      </c>
      <c r="L82" s="674">
        <v>0.16</v>
      </c>
      <c r="M82" s="674">
        <v>0.16</v>
      </c>
      <c r="N82" s="674">
        <v>0.16</v>
      </c>
      <c r="O82" s="674">
        <v>0.16</v>
      </c>
      <c r="P82" s="674">
        <v>0.16</v>
      </c>
      <c r="Q82" s="674"/>
      <c r="R82" s="674">
        <v>0.45</v>
      </c>
      <c r="S82" s="696"/>
      <c r="T82" s="696"/>
      <c r="U82" s="696"/>
      <c r="V82" s="696"/>
      <c r="W82" s="696"/>
      <c r="X82" s="696"/>
      <c r="Y82" s="696"/>
      <c r="Z82" s="696"/>
      <c r="AA82" s="696"/>
      <c r="AB82" s="696"/>
      <c r="AC82" s="696"/>
      <c r="AD82" s="696"/>
      <c r="AE82" s="696"/>
      <c r="AF82" s="696"/>
      <c r="AG82" s="696"/>
      <c r="AH82" s="696"/>
      <c r="AI82" s="696"/>
      <c r="AJ82" s="696">
        <v>0</v>
      </c>
      <c r="AK82" s="696">
        <v>0</v>
      </c>
      <c r="AL82" s="696">
        <v>0</v>
      </c>
      <c r="AM82" s="696">
        <v>0</v>
      </c>
      <c r="AN82" s="696">
        <v>0</v>
      </c>
      <c r="AO82" s="696">
        <v>0</v>
      </c>
      <c r="AP82" s="696">
        <v>0</v>
      </c>
      <c r="AQ82" s="696">
        <v>0</v>
      </c>
      <c r="AT82" s="696"/>
      <c r="AU82" s="674"/>
      <c r="AV82" s="674"/>
      <c r="AW82" s="674"/>
      <c r="AX82" s="674"/>
      <c r="AY82" s="674"/>
      <c r="AZ82" s="674"/>
      <c r="BA82" s="674"/>
      <c r="BB82" s="674"/>
    </row>
    <row r="83" spans="1:54">
      <c r="A83" s="674" t="s">
        <v>390</v>
      </c>
      <c r="B83" s="674" t="s">
        <v>131</v>
      </c>
      <c r="C83" s="674" t="s">
        <v>132</v>
      </c>
      <c r="D83" s="673" t="s">
        <v>348</v>
      </c>
      <c r="E83" s="674" t="s">
        <v>356</v>
      </c>
      <c r="F83" s="674" t="str">
        <f>Commodities!$D$11</f>
        <v>RSH</v>
      </c>
      <c r="G83" s="697" t="s">
        <v>490</v>
      </c>
      <c r="H83" s="695">
        <v>20</v>
      </c>
      <c r="I83" s="698">
        <v>6.8839236722966968</v>
      </c>
      <c r="J83" s="698">
        <v>0.83</v>
      </c>
      <c r="K83" s="674">
        <v>1</v>
      </c>
      <c r="L83" s="674">
        <v>0.16</v>
      </c>
      <c r="M83" s="674">
        <v>0.16</v>
      </c>
      <c r="N83" s="674">
        <v>0.16</v>
      </c>
      <c r="O83" s="674">
        <v>0.16</v>
      </c>
      <c r="P83" s="674">
        <v>0.16</v>
      </c>
      <c r="Q83" s="674"/>
      <c r="R83" s="674">
        <v>0.45</v>
      </c>
      <c r="S83" s="696"/>
      <c r="T83" s="696"/>
      <c r="U83" s="696"/>
      <c r="V83" s="696"/>
      <c r="W83" s="696"/>
      <c r="X83" s="696"/>
      <c r="Y83" s="696"/>
      <c r="Z83" s="696"/>
      <c r="AA83" s="696"/>
      <c r="AB83" s="696"/>
      <c r="AC83" s="696"/>
      <c r="AD83" s="696"/>
      <c r="AE83" s="696"/>
      <c r="AF83" s="696"/>
      <c r="AG83" s="696"/>
      <c r="AH83" s="696"/>
      <c r="AI83" s="696"/>
      <c r="AJ83" s="696"/>
      <c r="AK83" s="696"/>
      <c r="AL83" s="696"/>
      <c r="AM83" s="696"/>
      <c r="AN83" s="696"/>
      <c r="AO83" s="696"/>
      <c r="AP83" s="696"/>
      <c r="AQ83" s="696"/>
      <c r="AT83" s="696"/>
      <c r="AU83" s="674"/>
      <c r="AV83" s="674"/>
      <c r="AW83" s="674"/>
      <c r="AX83" s="674"/>
      <c r="AY83" s="674"/>
      <c r="AZ83" s="674"/>
      <c r="BA83" s="674"/>
      <c r="BB83" s="674"/>
    </row>
    <row r="84" spans="1:54">
      <c r="A84" s="674" t="s">
        <v>390</v>
      </c>
      <c r="B84" s="674" t="s">
        <v>262</v>
      </c>
      <c r="C84" s="674" t="s">
        <v>263</v>
      </c>
      <c r="D84" s="673" t="s">
        <v>348</v>
      </c>
      <c r="E84" s="674" t="s">
        <v>356</v>
      </c>
      <c r="F84" s="674" t="str">
        <f>Commodities!$D$11</f>
        <v>RSH</v>
      </c>
      <c r="G84" s="697" t="s">
        <v>489</v>
      </c>
      <c r="H84" s="695">
        <v>20</v>
      </c>
      <c r="I84" s="698">
        <v>7.3756325060321766</v>
      </c>
      <c r="J84" s="698">
        <v>0.85</v>
      </c>
      <c r="K84" s="674">
        <v>1</v>
      </c>
      <c r="L84" s="674">
        <v>0.16</v>
      </c>
      <c r="M84" s="674">
        <v>0.16</v>
      </c>
      <c r="N84" s="674">
        <v>0.16</v>
      </c>
      <c r="O84" s="674">
        <v>0.16</v>
      </c>
      <c r="P84" s="674">
        <v>0.16</v>
      </c>
      <c r="Q84" s="674"/>
      <c r="R84" s="674">
        <v>0.45</v>
      </c>
      <c r="S84" s="696"/>
      <c r="T84" s="696"/>
      <c r="U84" s="696"/>
      <c r="V84" s="696"/>
      <c r="W84" s="696"/>
      <c r="X84" s="696"/>
      <c r="Y84" s="696"/>
      <c r="Z84" s="696"/>
      <c r="AA84" s="696"/>
      <c r="AB84" s="696"/>
      <c r="AC84" s="696"/>
      <c r="AD84" s="696"/>
      <c r="AE84" s="696"/>
      <c r="AF84" s="696"/>
      <c r="AG84" s="696"/>
      <c r="AH84" s="696"/>
      <c r="AI84" s="696"/>
      <c r="AJ84" s="696"/>
      <c r="AK84" s="696"/>
      <c r="AL84" s="696"/>
      <c r="AM84" s="696"/>
      <c r="AN84" s="696"/>
      <c r="AO84" s="696"/>
      <c r="AP84" s="696"/>
      <c r="AQ84" s="696"/>
      <c r="AT84" s="696"/>
      <c r="AU84" s="674"/>
      <c r="AV84" s="674"/>
      <c r="AW84" s="674"/>
      <c r="AX84" s="674"/>
      <c r="AY84" s="674"/>
      <c r="AZ84" s="674"/>
      <c r="BA84" s="674"/>
      <c r="BB84" s="674"/>
    </row>
    <row r="85" spans="1:54">
      <c r="A85" s="674" t="s">
        <v>390</v>
      </c>
      <c r="B85" s="674" t="s">
        <v>794</v>
      </c>
      <c r="C85" s="674" t="s">
        <v>316</v>
      </c>
      <c r="D85" s="673" t="s">
        <v>348</v>
      </c>
      <c r="E85" s="674" t="s">
        <v>356</v>
      </c>
      <c r="F85" s="674" t="str">
        <f>Commodities!$D$11</f>
        <v>RSH</v>
      </c>
      <c r="G85" s="697" t="s">
        <v>489</v>
      </c>
      <c r="H85" s="695">
        <v>20</v>
      </c>
      <c r="I85" s="698">
        <v>9.3424678409740913</v>
      </c>
      <c r="J85" s="698">
        <v>0.98</v>
      </c>
      <c r="K85" s="674">
        <v>1</v>
      </c>
      <c r="L85" s="674">
        <v>0.16</v>
      </c>
      <c r="M85" s="674">
        <v>0.16</v>
      </c>
      <c r="N85" s="674">
        <v>0.16</v>
      </c>
      <c r="O85" s="674">
        <v>0.16</v>
      </c>
      <c r="P85" s="674">
        <v>0.16</v>
      </c>
      <c r="Q85" s="674"/>
      <c r="R85" s="674">
        <v>0.45</v>
      </c>
      <c r="S85" s="696"/>
      <c r="T85" s="696"/>
      <c r="U85" s="696"/>
      <c r="V85" s="696"/>
      <c r="W85" s="696"/>
      <c r="X85" s="696"/>
      <c r="Y85" s="696"/>
      <c r="Z85" s="696"/>
      <c r="AA85" s="696"/>
      <c r="AB85" s="696"/>
      <c r="AC85" s="696"/>
      <c r="AD85" s="696"/>
      <c r="AE85" s="696"/>
      <c r="AF85" s="696"/>
      <c r="AG85" s="696"/>
      <c r="AH85" s="696"/>
      <c r="AI85" s="696"/>
      <c r="AJ85" s="696"/>
      <c r="AK85" s="696"/>
      <c r="AL85" s="696"/>
      <c r="AM85" s="696"/>
      <c r="AN85" s="696"/>
      <c r="AO85" s="696"/>
      <c r="AP85" s="696"/>
      <c r="AQ85" s="696"/>
      <c r="AT85" s="696"/>
      <c r="AU85" s="674"/>
      <c r="AV85" s="674"/>
      <c r="AW85" s="674"/>
      <c r="AX85" s="674"/>
      <c r="AY85" s="674"/>
      <c r="AZ85" s="674"/>
      <c r="BA85" s="674"/>
      <c r="BB85" s="674"/>
    </row>
    <row r="86" spans="1:54" ht="15.75" customHeight="1">
      <c r="A86" s="684" t="s">
        <v>2327</v>
      </c>
      <c r="B86" s="682"/>
      <c r="C86" s="682"/>
      <c r="D86" s="682"/>
      <c r="E86" s="684"/>
      <c r="F86" s="684"/>
      <c r="G86" s="704"/>
      <c r="H86" s="705"/>
      <c r="I86" s="705"/>
      <c r="J86" s="706"/>
      <c r="K86" s="705"/>
      <c r="L86" s="705"/>
      <c r="M86" s="705" t="s">
        <v>729</v>
      </c>
      <c r="N86" s="705" t="s">
        <v>729</v>
      </c>
      <c r="O86" s="705" t="s">
        <v>729</v>
      </c>
      <c r="P86" s="705" t="s">
        <v>729</v>
      </c>
      <c r="Q86" s="705"/>
      <c r="R86" s="706"/>
      <c r="S86" s="707"/>
      <c r="T86" s="707"/>
      <c r="U86" s="707"/>
      <c r="V86" s="707"/>
      <c r="W86" s="707"/>
      <c r="X86" s="707"/>
      <c r="Y86" s="707"/>
      <c r="Z86" s="707"/>
      <c r="AA86" s="707"/>
      <c r="AB86" s="707"/>
      <c r="AC86" s="707"/>
      <c r="AD86" s="707"/>
      <c r="AE86" s="707"/>
      <c r="AF86" s="707"/>
      <c r="AG86" s="707"/>
      <c r="AH86" s="707"/>
      <c r="AI86" s="707"/>
      <c r="AJ86" s="707"/>
      <c r="AK86" s="707"/>
      <c r="AL86" s="707"/>
      <c r="AM86" s="707"/>
      <c r="AN86" s="707"/>
      <c r="AO86" s="707"/>
      <c r="AP86" s="707"/>
      <c r="AQ86" s="708"/>
      <c r="AT86" s="708"/>
      <c r="AU86" s="682"/>
      <c r="AV86" s="682"/>
      <c r="AW86" s="682"/>
      <c r="AX86" s="682"/>
      <c r="AY86" s="682"/>
      <c r="AZ86" s="682"/>
      <c r="BA86" s="682"/>
      <c r="BB86" s="682"/>
    </row>
    <row r="87" spans="1:54">
      <c r="A87" s="674" t="s">
        <v>390</v>
      </c>
      <c r="B87" s="674" t="s">
        <v>796</v>
      </c>
      <c r="C87" s="674" t="s">
        <v>795</v>
      </c>
      <c r="D87" s="673" t="s">
        <v>348</v>
      </c>
      <c r="E87" s="674" t="s">
        <v>358</v>
      </c>
      <c r="F87" s="674" t="str">
        <f>Commodities!$D$11</f>
        <v>RSH</v>
      </c>
      <c r="G87" s="697">
        <v>2010</v>
      </c>
      <c r="H87" s="695">
        <v>20</v>
      </c>
      <c r="I87" s="698"/>
      <c r="J87" s="698">
        <v>0.78</v>
      </c>
      <c r="K87" s="674">
        <v>1</v>
      </c>
      <c r="L87" s="674">
        <v>0.16</v>
      </c>
      <c r="M87" s="674">
        <v>0.16</v>
      </c>
      <c r="N87" s="674">
        <v>0.16</v>
      </c>
      <c r="O87" s="674">
        <v>0.16</v>
      </c>
      <c r="P87" s="674">
        <v>0.16</v>
      </c>
      <c r="Q87" s="674"/>
      <c r="R87" s="674">
        <v>0.45</v>
      </c>
      <c r="S87" s="699"/>
      <c r="T87" s="699"/>
      <c r="U87" s="699"/>
      <c r="V87" s="699"/>
      <c r="W87" s="699"/>
      <c r="X87" s="699"/>
      <c r="Y87" s="699"/>
      <c r="Z87" s="699"/>
      <c r="AA87" s="699"/>
      <c r="AB87" s="699"/>
      <c r="AC87" s="699"/>
      <c r="AD87" s="699"/>
      <c r="AE87" s="699"/>
      <c r="AF87" s="699"/>
      <c r="AG87" s="699"/>
      <c r="AH87" s="696"/>
      <c r="AI87" s="696"/>
      <c r="AJ87" s="696">
        <v>0</v>
      </c>
      <c r="AK87" s="696">
        <v>0</v>
      </c>
      <c r="AL87" s="696">
        <v>0</v>
      </c>
      <c r="AM87" s="696">
        <v>0</v>
      </c>
      <c r="AN87" s="696">
        <v>0</v>
      </c>
      <c r="AO87" s="696">
        <v>0</v>
      </c>
      <c r="AP87" s="696">
        <v>0</v>
      </c>
      <c r="AQ87" s="696">
        <v>0</v>
      </c>
      <c r="AT87" s="696"/>
      <c r="AU87" s="674"/>
      <c r="AV87" s="674"/>
      <c r="AW87" s="674"/>
      <c r="AX87" s="674"/>
      <c r="AY87" s="674"/>
      <c r="AZ87" s="674"/>
      <c r="BA87" s="674"/>
      <c r="BB87" s="674"/>
    </row>
    <row r="88" spans="1:54">
      <c r="A88" s="674" t="s">
        <v>390</v>
      </c>
      <c r="B88" s="674" t="s">
        <v>1011</v>
      </c>
      <c r="C88" s="674" t="s">
        <v>1012</v>
      </c>
      <c r="D88" s="673" t="s">
        <v>348</v>
      </c>
      <c r="E88" s="674" t="s">
        <v>358</v>
      </c>
      <c r="F88" s="674" t="str">
        <f>Commodities!$D$11</f>
        <v>RSH</v>
      </c>
      <c r="G88" s="697" t="s">
        <v>489</v>
      </c>
      <c r="H88" s="695">
        <v>20</v>
      </c>
      <c r="I88" s="698">
        <v>4.9170883373547847</v>
      </c>
      <c r="J88" s="698">
        <v>0.78</v>
      </c>
      <c r="K88" s="674">
        <v>1</v>
      </c>
      <c r="L88" s="674">
        <v>0.16</v>
      </c>
      <c r="M88" s="674">
        <v>0.16</v>
      </c>
      <c r="N88" s="674">
        <v>0.16</v>
      </c>
      <c r="O88" s="674">
        <v>0.16</v>
      </c>
      <c r="P88" s="674">
        <v>0.16</v>
      </c>
      <c r="Q88" s="674"/>
      <c r="R88" s="674">
        <v>0.45</v>
      </c>
      <c r="S88" s="696"/>
      <c r="T88" s="696"/>
      <c r="U88" s="696"/>
      <c r="V88" s="696"/>
      <c r="W88" s="696"/>
      <c r="X88" s="696"/>
      <c r="Y88" s="696"/>
      <c r="Z88" s="696"/>
      <c r="AA88" s="696"/>
      <c r="AB88" s="696"/>
      <c r="AC88" s="696"/>
      <c r="AD88" s="696"/>
      <c r="AE88" s="696"/>
      <c r="AF88" s="696"/>
      <c r="AG88" s="696"/>
      <c r="AH88" s="696"/>
      <c r="AI88" s="696"/>
      <c r="AJ88" s="696"/>
      <c r="AK88" s="696"/>
      <c r="AL88" s="696"/>
      <c r="AM88" s="696"/>
      <c r="AN88" s="696"/>
      <c r="AO88" s="696"/>
      <c r="AP88" s="696"/>
      <c r="AQ88" s="696"/>
      <c r="AT88" s="696"/>
      <c r="AU88" s="674"/>
      <c r="AV88" s="674"/>
      <c r="AW88" s="674"/>
      <c r="AX88" s="674"/>
      <c r="AY88" s="674"/>
      <c r="AZ88" s="674"/>
      <c r="BA88" s="674"/>
      <c r="BB88" s="674"/>
    </row>
    <row r="89" spans="1:54">
      <c r="A89" s="674" t="s">
        <v>390</v>
      </c>
      <c r="B89" s="674" t="s">
        <v>264</v>
      </c>
      <c r="C89" s="674" t="s">
        <v>265</v>
      </c>
      <c r="D89" s="673" t="s">
        <v>348</v>
      </c>
      <c r="E89" s="674" t="s">
        <v>358</v>
      </c>
      <c r="F89" s="674" t="str">
        <f>Commodities!$D$11</f>
        <v>RSH</v>
      </c>
      <c r="G89" s="697" t="s">
        <v>489</v>
      </c>
      <c r="H89" s="695">
        <v>20</v>
      </c>
      <c r="I89" s="698">
        <v>4.9170883373547847</v>
      </c>
      <c r="J89" s="698">
        <v>0.8</v>
      </c>
      <c r="K89" s="674">
        <v>1</v>
      </c>
      <c r="L89" s="674">
        <v>0.16</v>
      </c>
      <c r="M89" s="674">
        <v>0.16</v>
      </c>
      <c r="N89" s="674">
        <v>0.16</v>
      </c>
      <c r="O89" s="674">
        <v>0.16</v>
      </c>
      <c r="P89" s="674">
        <v>0.16</v>
      </c>
      <c r="Q89" s="674"/>
      <c r="R89" s="674">
        <v>0.45</v>
      </c>
      <c r="S89" s="696"/>
      <c r="T89" s="696"/>
      <c r="U89" s="696"/>
      <c r="V89" s="696"/>
      <c r="W89" s="696"/>
      <c r="X89" s="696"/>
      <c r="Y89" s="696"/>
      <c r="Z89" s="696"/>
      <c r="AA89" s="696"/>
      <c r="AB89" s="696"/>
      <c r="AC89" s="696"/>
      <c r="AD89" s="696"/>
      <c r="AE89" s="696"/>
      <c r="AF89" s="696"/>
      <c r="AG89" s="696"/>
      <c r="AH89" s="696"/>
      <c r="AI89" s="696"/>
      <c r="AJ89" s="696"/>
      <c r="AK89" s="696"/>
      <c r="AL89" s="696"/>
      <c r="AM89" s="696"/>
      <c r="AN89" s="696"/>
      <c r="AO89" s="696"/>
      <c r="AP89" s="696"/>
      <c r="AQ89" s="696"/>
      <c r="AT89" s="696"/>
      <c r="AU89" s="674"/>
      <c r="AV89" s="674"/>
      <c r="AW89" s="674"/>
      <c r="AX89" s="674"/>
      <c r="AY89" s="674"/>
      <c r="AZ89" s="674"/>
      <c r="BA89" s="674"/>
      <c r="BB89" s="674"/>
    </row>
    <row r="90" spans="1:54">
      <c r="A90" s="674" t="s">
        <v>390</v>
      </c>
      <c r="B90" s="674" t="s">
        <v>266</v>
      </c>
      <c r="C90" s="674" t="s">
        <v>1013</v>
      </c>
      <c r="D90" s="673" t="s">
        <v>348</v>
      </c>
      <c r="E90" s="674" t="s">
        <v>358</v>
      </c>
      <c r="F90" s="674" t="str">
        <f>Commodities!$D$11</f>
        <v>RSH</v>
      </c>
      <c r="G90" s="697" t="s">
        <v>489</v>
      </c>
      <c r="H90" s="695">
        <v>20</v>
      </c>
      <c r="I90" s="698">
        <v>5.4087971710902627</v>
      </c>
      <c r="J90" s="698">
        <v>0.9</v>
      </c>
      <c r="K90" s="674">
        <v>1</v>
      </c>
      <c r="L90" s="674">
        <v>0.16</v>
      </c>
      <c r="M90" s="674">
        <v>0.16</v>
      </c>
      <c r="N90" s="674">
        <v>0.16</v>
      </c>
      <c r="O90" s="674">
        <v>0.16</v>
      </c>
      <c r="P90" s="674">
        <v>0.16</v>
      </c>
      <c r="Q90" s="674"/>
      <c r="R90" s="674">
        <v>0.45</v>
      </c>
      <c r="S90" s="696"/>
      <c r="T90" s="696"/>
      <c r="U90" s="696"/>
      <c r="V90" s="696"/>
      <c r="W90" s="696"/>
      <c r="X90" s="696"/>
      <c r="Y90" s="696"/>
      <c r="Z90" s="696"/>
      <c r="AA90" s="696"/>
      <c r="AB90" s="696"/>
      <c r="AC90" s="696"/>
      <c r="AD90" s="696"/>
      <c r="AE90" s="696"/>
      <c r="AF90" s="696"/>
      <c r="AG90" s="696"/>
      <c r="AH90" s="696"/>
      <c r="AI90" s="696"/>
      <c r="AJ90" s="696"/>
      <c r="AK90" s="696"/>
      <c r="AL90" s="696"/>
      <c r="AM90" s="696"/>
      <c r="AN90" s="696"/>
      <c r="AO90" s="696"/>
      <c r="AP90" s="696"/>
      <c r="AQ90" s="696"/>
      <c r="AT90" s="696"/>
      <c r="AU90" s="674"/>
      <c r="AV90" s="674"/>
      <c r="AW90" s="674"/>
      <c r="AX90" s="674"/>
      <c r="AY90" s="674"/>
      <c r="AZ90" s="674"/>
      <c r="BA90" s="674"/>
      <c r="BB90" s="674"/>
    </row>
    <row r="91" spans="1:54">
      <c r="A91" s="674" t="s">
        <v>390</v>
      </c>
      <c r="B91" s="674" t="s">
        <v>774</v>
      </c>
      <c r="C91" s="674" t="s">
        <v>775</v>
      </c>
      <c r="D91" s="673" t="s">
        <v>348</v>
      </c>
      <c r="E91" s="674" t="s">
        <v>358</v>
      </c>
      <c r="F91" s="674" t="str">
        <f>Commodities!$D$11</f>
        <v>RSH</v>
      </c>
      <c r="G91" s="697" t="s">
        <v>489</v>
      </c>
      <c r="H91" s="695">
        <v>20</v>
      </c>
      <c r="I91" s="698">
        <v>6.2938730718141249</v>
      </c>
      <c r="J91" s="698">
        <v>0.95</v>
      </c>
      <c r="K91" s="674">
        <v>1</v>
      </c>
      <c r="L91" s="674">
        <v>0.16</v>
      </c>
      <c r="M91" s="674">
        <v>0.16</v>
      </c>
      <c r="N91" s="674">
        <v>0.16</v>
      </c>
      <c r="O91" s="674">
        <v>0.16</v>
      </c>
      <c r="P91" s="674">
        <v>0.16</v>
      </c>
      <c r="Q91" s="674"/>
      <c r="R91" s="674">
        <v>0.45</v>
      </c>
      <c r="S91" s="696"/>
      <c r="T91" s="696"/>
      <c r="U91" s="696"/>
      <c r="V91" s="696"/>
      <c r="W91" s="696"/>
      <c r="X91" s="696"/>
      <c r="Y91" s="696"/>
      <c r="Z91" s="696"/>
      <c r="AA91" s="696"/>
      <c r="AB91" s="696"/>
      <c r="AC91" s="696"/>
      <c r="AD91" s="696"/>
      <c r="AE91" s="696"/>
      <c r="AF91" s="696"/>
      <c r="AG91" s="696"/>
      <c r="AH91" s="696"/>
      <c r="AI91" s="696"/>
      <c r="AJ91" s="696"/>
      <c r="AK91" s="696"/>
      <c r="AL91" s="696"/>
      <c r="AM91" s="696"/>
      <c r="AN91" s="696"/>
      <c r="AO91" s="696"/>
      <c r="AP91" s="696"/>
      <c r="AQ91" s="696"/>
      <c r="AT91" s="696"/>
      <c r="AU91" s="674"/>
      <c r="AV91" s="674"/>
      <c r="AW91" s="674"/>
      <c r="AX91" s="674"/>
      <c r="AY91" s="674"/>
      <c r="AZ91" s="674"/>
      <c r="BA91" s="674"/>
      <c r="BB91" s="674"/>
    </row>
    <row r="92" spans="1:54">
      <c r="A92" s="674" t="s">
        <v>390</v>
      </c>
      <c r="B92" s="674" t="s">
        <v>133</v>
      </c>
      <c r="C92" s="674" t="s">
        <v>134</v>
      </c>
      <c r="D92" s="673" t="s">
        <v>348</v>
      </c>
      <c r="E92" s="674" t="s">
        <v>358</v>
      </c>
      <c r="F92" s="674" t="str">
        <f>Commodities!$D$11</f>
        <v>RSH</v>
      </c>
      <c r="G92" s="697" t="s">
        <v>489</v>
      </c>
      <c r="H92" s="695">
        <v>20</v>
      </c>
      <c r="I92" s="698">
        <v>7.3756325060321766</v>
      </c>
      <c r="J92" s="698">
        <v>0.98</v>
      </c>
      <c r="K92" s="674">
        <v>1</v>
      </c>
      <c r="L92" s="674">
        <v>0.16</v>
      </c>
      <c r="M92" s="674">
        <v>0.16</v>
      </c>
      <c r="N92" s="674">
        <v>0.16</v>
      </c>
      <c r="O92" s="674">
        <v>0.16</v>
      </c>
      <c r="P92" s="674">
        <v>0.16</v>
      </c>
      <c r="Q92" s="674"/>
      <c r="R92" s="674">
        <v>0.45</v>
      </c>
      <c r="S92" s="696"/>
      <c r="T92" s="696"/>
      <c r="U92" s="696"/>
      <c r="V92" s="696"/>
      <c r="W92" s="696"/>
      <c r="X92" s="696"/>
      <c r="Y92" s="696"/>
      <c r="Z92" s="696"/>
      <c r="AA92" s="696"/>
      <c r="AB92" s="696"/>
      <c r="AC92" s="696"/>
      <c r="AD92" s="696"/>
      <c r="AE92" s="696"/>
      <c r="AF92" s="696"/>
      <c r="AG92" s="696"/>
      <c r="AH92" s="696"/>
      <c r="AI92" s="696"/>
      <c r="AJ92" s="696"/>
      <c r="AK92" s="696"/>
      <c r="AL92" s="696"/>
      <c r="AM92" s="696"/>
      <c r="AN92" s="696"/>
      <c r="AO92" s="696"/>
      <c r="AP92" s="696"/>
      <c r="AQ92" s="696"/>
      <c r="AT92" s="696"/>
      <c r="AU92" s="674"/>
      <c r="AV92" s="674"/>
      <c r="AW92" s="674"/>
      <c r="AX92" s="674"/>
      <c r="AY92" s="674"/>
      <c r="AZ92" s="674"/>
      <c r="BA92" s="674"/>
      <c r="BB92" s="674"/>
    </row>
    <row r="93" spans="1:54" ht="15.75" customHeight="1">
      <c r="A93" s="684" t="s">
        <v>2328</v>
      </c>
      <c r="B93" s="682"/>
      <c r="C93" s="682"/>
      <c r="D93" s="682"/>
      <c r="E93" s="684"/>
      <c r="F93" s="684"/>
      <c r="G93" s="704"/>
      <c r="H93" s="705"/>
      <c r="I93" s="705"/>
      <c r="J93" s="706"/>
      <c r="K93" s="705"/>
      <c r="L93" s="705"/>
      <c r="M93" s="705" t="s">
        <v>729</v>
      </c>
      <c r="N93" s="705" t="s">
        <v>729</v>
      </c>
      <c r="O93" s="705" t="s">
        <v>729</v>
      </c>
      <c r="P93" s="705" t="s">
        <v>729</v>
      </c>
      <c r="Q93" s="705"/>
      <c r="R93" s="706"/>
      <c r="S93" s="707"/>
      <c r="T93" s="707"/>
      <c r="U93" s="707"/>
      <c r="V93" s="707"/>
      <c r="W93" s="707"/>
      <c r="X93" s="707"/>
      <c r="Y93" s="707"/>
      <c r="Z93" s="707"/>
      <c r="AA93" s="707"/>
      <c r="AB93" s="707"/>
      <c r="AC93" s="707"/>
      <c r="AD93" s="707"/>
      <c r="AE93" s="707"/>
      <c r="AF93" s="707"/>
      <c r="AG93" s="707"/>
      <c r="AH93" s="707"/>
      <c r="AI93" s="707"/>
      <c r="AJ93" s="707"/>
      <c r="AK93" s="707"/>
      <c r="AL93" s="707"/>
      <c r="AM93" s="707"/>
      <c r="AN93" s="707"/>
      <c r="AO93" s="707"/>
      <c r="AP93" s="707"/>
      <c r="AQ93" s="708"/>
      <c r="AT93" s="708"/>
      <c r="AU93" s="682"/>
      <c r="AV93" s="682"/>
      <c r="AW93" s="682"/>
      <c r="AX93" s="682"/>
      <c r="AY93" s="682"/>
      <c r="AZ93" s="682"/>
      <c r="BA93" s="682"/>
      <c r="BB93" s="682"/>
    </row>
    <row r="94" spans="1:54">
      <c r="A94" s="674" t="s">
        <v>390</v>
      </c>
      <c r="B94" s="674" t="s">
        <v>798</v>
      </c>
      <c r="C94" s="674" t="s">
        <v>797</v>
      </c>
      <c r="D94" s="673" t="s">
        <v>348</v>
      </c>
      <c r="E94" s="674" t="s">
        <v>354</v>
      </c>
      <c r="F94" s="674" t="str">
        <f>Commodities!$D$11</f>
        <v>RSH</v>
      </c>
      <c r="G94" s="697">
        <v>2010</v>
      </c>
      <c r="H94" s="695">
        <v>20</v>
      </c>
      <c r="I94" s="698"/>
      <c r="J94" s="698">
        <v>0.81739997863769498</v>
      </c>
      <c r="K94" s="674">
        <v>1</v>
      </c>
      <c r="L94" s="674">
        <v>0.16</v>
      </c>
      <c r="M94" s="674">
        <v>0.16</v>
      </c>
      <c r="N94" s="674">
        <v>0.16</v>
      </c>
      <c r="O94" s="674">
        <v>0.16</v>
      </c>
      <c r="P94" s="674">
        <v>0.16</v>
      </c>
      <c r="Q94" s="674"/>
      <c r="R94" s="674">
        <v>0.18</v>
      </c>
      <c r="S94" s="699"/>
      <c r="T94" s="699"/>
      <c r="U94" s="699"/>
      <c r="V94" s="699"/>
      <c r="W94" s="699"/>
      <c r="X94" s="699"/>
      <c r="Y94" s="699"/>
      <c r="Z94" s="699"/>
      <c r="AA94" s="699"/>
      <c r="AB94" s="699"/>
      <c r="AC94" s="699"/>
      <c r="AD94" s="699"/>
      <c r="AE94" s="699"/>
      <c r="AF94" s="699"/>
      <c r="AG94" s="699"/>
      <c r="AH94" s="696">
        <v>0</v>
      </c>
      <c r="AI94" s="696">
        <v>0</v>
      </c>
      <c r="AJ94" s="696">
        <v>0</v>
      </c>
      <c r="AK94" s="696">
        <v>0</v>
      </c>
      <c r="AL94" s="696">
        <v>0</v>
      </c>
      <c r="AM94" s="696">
        <v>0</v>
      </c>
      <c r="AN94" s="696">
        <v>0</v>
      </c>
      <c r="AO94" s="696">
        <v>0</v>
      </c>
      <c r="AP94" s="696">
        <v>0</v>
      </c>
      <c r="AQ94" s="696">
        <v>0</v>
      </c>
      <c r="AT94" s="696"/>
      <c r="AU94" s="674"/>
      <c r="AV94" s="674"/>
      <c r="AW94" s="674"/>
      <c r="AX94" s="674"/>
      <c r="AY94" s="674"/>
      <c r="AZ94" s="674"/>
      <c r="BA94" s="674"/>
      <c r="BB94" s="674"/>
    </row>
    <row r="95" spans="1:54">
      <c r="A95" s="674" t="s">
        <v>1528</v>
      </c>
      <c r="B95" s="674" t="s">
        <v>267</v>
      </c>
      <c r="C95" s="674" t="s">
        <v>268</v>
      </c>
      <c r="D95" s="673" t="s">
        <v>348</v>
      </c>
      <c r="E95" s="674" t="s">
        <v>354</v>
      </c>
      <c r="F95" s="674" t="str">
        <f>Commodities!$D$11</f>
        <v>RSH</v>
      </c>
      <c r="G95" s="697" t="s">
        <v>489</v>
      </c>
      <c r="H95" s="695">
        <v>20</v>
      </c>
      <c r="I95" s="698">
        <v>6.3922148385612205</v>
      </c>
      <c r="J95" s="698">
        <v>0.8</v>
      </c>
      <c r="K95" s="674">
        <v>1</v>
      </c>
      <c r="L95" s="674">
        <v>0.16</v>
      </c>
      <c r="M95" s="674">
        <v>0.16</v>
      </c>
      <c r="N95" s="674">
        <v>0.16</v>
      </c>
      <c r="O95" s="674">
        <v>0.16</v>
      </c>
      <c r="P95" s="674">
        <v>0.16</v>
      </c>
      <c r="Q95" s="674"/>
      <c r="R95" s="674">
        <v>0.18</v>
      </c>
      <c r="S95" s="699">
        <f>Resid!V39</f>
        <v>35.586068732736358</v>
      </c>
      <c r="T95" s="699">
        <f>Resid!W39</f>
        <v>20.678799814726368</v>
      </c>
      <c r="U95" s="699">
        <f>Resid!X39</f>
        <v>34.140194982456414</v>
      </c>
      <c r="V95" s="699">
        <f>Resid!Y39</f>
        <v>6.6930639623350778</v>
      </c>
      <c r="W95" s="699">
        <f>Resid!Z39</f>
        <v>17.879779571807379</v>
      </c>
      <c r="X95" s="699"/>
      <c r="Y95" s="699"/>
      <c r="Z95" s="699"/>
      <c r="AA95" s="699"/>
      <c r="AB95" s="699"/>
      <c r="AC95" s="699"/>
      <c r="AD95" s="699"/>
      <c r="AE95" s="699"/>
      <c r="AF95" s="699"/>
      <c r="AG95" s="699"/>
      <c r="AH95" s="696">
        <v>0</v>
      </c>
      <c r="AI95" s="696"/>
      <c r="AJ95" s="696">
        <v>0</v>
      </c>
      <c r="AK95" s="696">
        <v>0</v>
      </c>
      <c r="AL95" s="696">
        <v>0</v>
      </c>
      <c r="AM95" s="696">
        <v>0</v>
      </c>
      <c r="AN95" s="696">
        <v>0</v>
      </c>
      <c r="AO95" s="696">
        <v>0</v>
      </c>
      <c r="AP95" s="696">
        <v>0</v>
      </c>
      <c r="AQ95" s="696">
        <v>0</v>
      </c>
      <c r="AT95" s="696"/>
      <c r="AU95" s="674"/>
      <c r="AV95" s="674"/>
      <c r="AW95" s="674"/>
      <c r="AX95" s="674"/>
      <c r="AY95" s="674"/>
      <c r="AZ95" s="674"/>
      <c r="BA95" s="674"/>
      <c r="BB95" s="674"/>
    </row>
    <row r="96" spans="1:54">
      <c r="A96" s="674" t="s">
        <v>390</v>
      </c>
      <c r="B96" s="674" t="s">
        <v>135</v>
      </c>
      <c r="C96" s="674" t="s">
        <v>136</v>
      </c>
      <c r="D96" s="673" t="s">
        <v>348</v>
      </c>
      <c r="E96" s="674" t="s">
        <v>354</v>
      </c>
      <c r="F96" s="674" t="str">
        <f>Commodities!$D$11</f>
        <v>RSH</v>
      </c>
      <c r="G96" s="697" t="s">
        <v>490</v>
      </c>
      <c r="H96" s="695">
        <v>20</v>
      </c>
      <c r="I96" s="698">
        <v>6.8839236722966968</v>
      </c>
      <c r="J96" s="698">
        <v>0.83</v>
      </c>
      <c r="K96" s="674">
        <v>1</v>
      </c>
      <c r="L96" s="674">
        <v>0.16</v>
      </c>
      <c r="M96" s="674">
        <v>0.16</v>
      </c>
      <c r="N96" s="674">
        <v>0.16</v>
      </c>
      <c r="O96" s="674">
        <v>0.16</v>
      </c>
      <c r="P96" s="674">
        <v>0.16</v>
      </c>
      <c r="Q96" s="674"/>
      <c r="R96" s="674">
        <v>0.18</v>
      </c>
      <c r="S96" s="696"/>
      <c r="T96" s="696"/>
      <c r="U96" s="696"/>
      <c r="V96" s="696"/>
      <c r="W96" s="696"/>
      <c r="X96" s="696"/>
      <c r="Y96" s="696"/>
      <c r="Z96" s="696"/>
      <c r="AA96" s="696"/>
      <c r="AB96" s="696"/>
      <c r="AC96" s="696"/>
      <c r="AD96" s="696"/>
      <c r="AE96" s="696"/>
      <c r="AF96" s="696"/>
      <c r="AG96" s="696"/>
      <c r="AH96" s="696">
        <v>0</v>
      </c>
      <c r="AI96" s="696"/>
      <c r="AJ96" s="696"/>
      <c r="AK96" s="696">
        <v>0</v>
      </c>
      <c r="AL96" s="696">
        <v>0</v>
      </c>
      <c r="AM96" s="696">
        <v>0</v>
      </c>
      <c r="AN96" s="696">
        <v>0</v>
      </c>
      <c r="AO96" s="696">
        <v>0</v>
      </c>
      <c r="AP96" s="696">
        <v>0</v>
      </c>
      <c r="AQ96" s="696">
        <v>0</v>
      </c>
      <c r="AT96" s="696"/>
      <c r="AU96" s="674"/>
      <c r="AV96" s="674"/>
      <c r="AW96" s="674"/>
      <c r="AX96" s="674"/>
      <c r="AY96" s="674"/>
      <c r="AZ96" s="674"/>
      <c r="BA96" s="674"/>
      <c r="BB96" s="674"/>
    </row>
    <row r="97" spans="1:54">
      <c r="A97" s="674" t="s">
        <v>1528</v>
      </c>
      <c r="B97" s="674" t="s">
        <v>269</v>
      </c>
      <c r="C97" s="674" t="s">
        <v>270</v>
      </c>
      <c r="D97" s="673" t="s">
        <v>348</v>
      </c>
      <c r="E97" s="674" t="s">
        <v>354</v>
      </c>
      <c r="F97" s="674" t="str">
        <f>Commodities!$D$11</f>
        <v>RSH</v>
      </c>
      <c r="G97" s="697" t="s">
        <v>489</v>
      </c>
      <c r="H97" s="695">
        <v>20</v>
      </c>
      <c r="I97" s="698">
        <v>9.3424678409740913</v>
      </c>
      <c r="J97" s="698">
        <v>0.85</v>
      </c>
      <c r="K97" s="674">
        <v>1</v>
      </c>
      <c r="L97" s="674">
        <v>0.16</v>
      </c>
      <c r="M97" s="674">
        <v>0.16</v>
      </c>
      <c r="N97" s="674">
        <v>0.16</v>
      </c>
      <c r="O97" s="674">
        <v>0.16</v>
      </c>
      <c r="P97" s="674">
        <v>0.16</v>
      </c>
      <c r="Q97" s="674"/>
      <c r="R97" s="674">
        <v>0.18</v>
      </c>
      <c r="S97" s="696"/>
      <c r="T97" s="696"/>
      <c r="U97" s="696"/>
      <c r="V97" s="696"/>
      <c r="W97" s="696"/>
      <c r="X97" s="696"/>
      <c r="Y97" s="696"/>
      <c r="Z97" s="696"/>
      <c r="AA97" s="696"/>
      <c r="AB97" s="696"/>
      <c r="AC97" s="696"/>
      <c r="AD97" s="696"/>
      <c r="AE97" s="696"/>
      <c r="AF97" s="696"/>
      <c r="AG97" s="696"/>
      <c r="AH97" s="696">
        <v>0</v>
      </c>
      <c r="AI97" s="696"/>
      <c r="AJ97" s="696"/>
      <c r="AK97" s="696">
        <v>0</v>
      </c>
      <c r="AL97" s="696">
        <v>0</v>
      </c>
      <c r="AM97" s="696">
        <v>0</v>
      </c>
      <c r="AN97" s="696">
        <v>0</v>
      </c>
      <c r="AO97" s="696">
        <v>0</v>
      </c>
      <c r="AP97" s="696">
        <v>0</v>
      </c>
      <c r="AQ97" s="696">
        <v>0</v>
      </c>
      <c r="AT97" s="696"/>
      <c r="AU97" s="674"/>
      <c r="AV97" s="674"/>
      <c r="AW97" s="674"/>
      <c r="AX97" s="674"/>
      <c r="AY97" s="674"/>
      <c r="AZ97" s="674"/>
      <c r="BA97" s="674"/>
      <c r="BB97" s="674"/>
    </row>
    <row r="98" spans="1:54">
      <c r="A98" s="674" t="s">
        <v>1528</v>
      </c>
      <c r="B98" s="674" t="s">
        <v>147</v>
      </c>
      <c r="C98" s="674" t="s">
        <v>137</v>
      </c>
      <c r="D98" s="673" t="s">
        <v>348</v>
      </c>
      <c r="E98" s="674" t="s">
        <v>354</v>
      </c>
      <c r="F98" s="674" t="str">
        <f>Commodities!$D$11</f>
        <v>RSH</v>
      </c>
      <c r="G98" s="697" t="s">
        <v>489</v>
      </c>
      <c r="H98" s="695">
        <v>20</v>
      </c>
      <c r="I98" s="698">
        <v>9.3424678409740913</v>
      </c>
      <c r="J98" s="698">
        <v>0.98</v>
      </c>
      <c r="K98" s="674">
        <v>1</v>
      </c>
      <c r="L98" s="674">
        <v>0.16</v>
      </c>
      <c r="M98" s="674">
        <v>0.16</v>
      </c>
      <c r="N98" s="674">
        <v>0.16</v>
      </c>
      <c r="O98" s="674">
        <v>0.16</v>
      </c>
      <c r="P98" s="674">
        <v>0.16</v>
      </c>
      <c r="Q98" s="674"/>
      <c r="R98" s="674">
        <v>0.18</v>
      </c>
      <c r="S98" s="696"/>
      <c r="T98" s="696"/>
      <c r="U98" s="696"/>
      <c r="V98" s="696"/>
      <c r="W98" s="696"/>
      <c r="X98" s="696"/>
      <c r="Y98" s="696"/>
      <c r="Z98" s="696"/>
      <c r="AA98" s="696"/>
      <c r="AB98" s="696"/>
      <c r="AC98" s="696"/>
      <c r="AD98" s="696"/>
      <c r="AE98" s="696"/>
      <c r="AF98" s="696"/>
      <c r="AG98" s="696"/>
      <c r="AH98" s="696">
        <v>0</v>
      </c>
      <c r="AI98" s="696"/>
      <c r="AJ98" s="696"/>
      <c r="AK98" s="696">
        <v>0</v>
      </c>
      <c r="AL98" s="696">
        <v>0</v>
      </c>
      <c r="AM98" s="696">
        <v>0</v>
      </c>
      <c r="AN98" s="696">
        <v>0</v>
      </c>
      <c r="AO98" s="696">
        <v>0</v>
      </c>
      <c r="AP98" s="696">
        <v>0</v>
      </c>
      <c r="AQ98" s="696">
        <v>0</v>
      </c>
      <c r="AT98" s="696"/>
      <c r="AU98" s="674"/>
      <c r="AV98" s="674"/>
      <c r="AW98" s="674"/>
      <c r="AX98" s="674"/>
      <c r="AY98" s="674"/>
      <c r="AZ98" s="674"/>
      <c r="BA98" s="674"/>
      <c r="BB98" s="674"/>
    </row>
    <row r="99" spans="1:54" ht="15.75" customHeight="1">
      <c r="A99" s="684" t="s">
        <v>2329</v>
      </c>
      <c r="B99" s="682"/>
      <c r="C99" s="682"/>
      <c r="D99" s="682"/>
      <c r="E99" s="684"/>
      <c r="F99" s="684"/>
      <c r="G99" s="704"/>
      <c r="H99" s="705"/>
      <c r="I99" s="705"/>
      <c r="J99" s="706"/>
      <c r="K99" s="705"/>
      <c r="L99" s="705"/>
      <c r="M99" s="705" t="s">
        <v>729</v>
      </c>
      <c r="N99" s="705" t="s">
        <v>729</v>
      </c>
      <c r="O99" s="705" t="s">
        <v>729</v>
      </c>
      <c r="P99" s="705" t="s">
        <v>729</v>
      </c>
      <c r="Q99" s="705"/>
      <c r="R99" s="706"/>
      <c r="S99" s="707"/>
      <c r="T99" s="707"/>
      <c r="U99" s="707"/>
      <c r="V99" s="707"/>
      <c r="W99" s="707"/>
      <c r="X99" s="707"/>
      <c r="Y99" s="707"/>
      <c r="Z99" s="707"/>
      <c r="AA99" s="707"/>
      <c r="AB99" s="707"/>
      <c r="AC99" s="707"/>
      <c r="AD99" s="707"/>
      <c r="AE99" s="707"/>
      <c r="AF99" s="707"/>
      <c r="AG99" s="707"/>
      <c r="AH99" s="707"/>
      <c r="AI99" s="707"/>
      <c r="AJ99" s="707"/>
      <c r="AK99" s="707"/>
      <c r="AL99" s="707"/>
      <c r="AM99" s="707"/>
      <c r="AN99" s="707"/>
      <c r="AO99" s="707"/>
      <c r="AP99" s="707"/>
      <c r="AQ99" s="708"/>
      <c r="AT99" s="708"/>
      <c r="AU99" s="682"/>
      <c r="AV99" s="682"/>
      <c r="AW99" s="682"/>
      <c r="AX99" s="682"/>
      <c r="AY99" s="682"/>
      <c r="AZ99" s="682"/>
      <c r="BA99" s="682"/>
      <c r="BB99" s="682"/>
    </row>
    <row r="100" spans="1:54">
      <c r="A100" s="674" t="s">
        <v>390</v>
      </c>
      <c r="B100" s="674" t="s">
        <v>800</v>
      </c>
      <c r="C100" s="674" t="s">
        <v>799</v>
      </c>
      <c r="D100" s="673" t="s">
        <v>348</v>
      </c>
      <c r="E100" s="674" t="s">
        <v>354</v>
      </c>
      <c r="F100" s="674" t="str">
        <f>Commodities!$D$11</f>
        <v>RSH</v>
      </c>
      <c r="G100" s="697">
        <v>2010</v>
      </c>
      <c r="H100" s="695">
        <v>20</v>
      </c>
      <c r="I100" s="698"/>
      <c r="J100" s="698">
        <v>0.8</v>
      </c>
      <c r="K100" s="674">
        <v>1</v>
      </c>
      <c r="L100" s="674">
        <v>0.16</v>
      </c>
      <c r="M100" s="674">
        <v>0.16</v>
      </c>
      <c r="N100" s="674">
        <v>0.16</v>
      </c>
      <c r="O100" s="674">
        <v>0.16</v>
      </c>
      <c r="P100" s="674">
        <v>0.16</v>
      </c>
      <c r="Q100" s="674"/>
      <c r="R100" s="674">
        <v>0.18</v>
      </c>
      <c r="S100" s="699"/>
      <c r="T100" s="699"/>
      <c r="U100" s="699"/>
      <c r="V100" s="699"/>
      <c r="W100" s="699"/>
      <c r="X100" s="699"/>
      <c r="Y100" s="699"/>
      <c r="Z100" s="699"/>
      <c r="AA100" s="699"/>
      <c r="AB100" s="699"/>
      <c r="AC100" s="699"/>
      <c r="AD100" s="699"/>
      <c r="AE100" s="699"/>
      <c r="AF100" s="699"/>
      <c r="AG100" s="699"/>
      <c r="AH100" s="696">
        <v>0</v>
      </c>
      <c r="AI100" s="696">
        <v>0</v>
      </c>
      <c r="AJ100" s="696">
        <v>0</v>
      </c>
      <c r="AK100" s="696">
        <v>0</v>
      </c>
      <c r="AL100" s="696">
        <v>0</v>
      </c>
      <c r="AM100" s="696">
        <v>0</v>
      </c>
      <c r="AN100" s="696">
        <v>0</v>
      </c>
      <c r="AO100" s="696">
        <v>0</v>
      </c>
      <c r="AP100" s="696">
        <v>0</v>
      </c>
      <c r="AQ100" s="696">
        <v>0</v>
      </c>
      <c r="AT100" s="696"/>
      <c r="AU100" s="674"/>
      <c r="AV100" s="674"/>
      <c r="AW100" s="674"/>
      <c r="AX100" s="674"/>
      <c r="AY100" s="674"/>
      <c r="AZ100" s="674"/>
      <c r="BA100" s="674"/>
      <c r="BB100" s="674"/>
    </row>
    <row r="101" spans="1:54">
      <c r="A101" s="674" t="s">
        <v>1528</v>
      </c>
      <c r="B101" s="674" t="s">
        <v>271</v>
      </c>
      <c r="C101" s="674" t="s">
        <v>272</v>
      </c>
      <c r="D101" s="673" t="s">
        <v>348</v>
      </c>
      <c r="E101" s="674" t="s">
        <v>354</v>
      </c>
      <c r="F101" s="674" t="str">
        <f>Commodities!$D$11</f>
        <v>RSH</v>
      </c>
      <c r="G101" s="697" t="s">
        <v>489</v>
      </c>
      <c r="H101" s="695">
        <v>20</v>
      </c>
      <c r="I101" s="698">
        <v>11.507810885270514</v>
      </c>
      <c r="J101" s="698">
        <v>0.85</v>
      </c>
      <c r="K101" s="674">
        <v>1</v>
      </c>
      <c r="L101" s="674">
        <v>0.16</v>
      </c>
      <c r="M101" s="674">
        <v>0.16</v>
      </c>
      <c r="N101" s="674">
        <v>0.16</v>
      </c>
      <c r="O101" s="674">
        <v>0.16</v>
      </c>
      <c r="P101" s="674">
        <v>0.16</v>
      </c>
      <c r="Q101" s="674"/>
      <c r="R101" s="674">
        <v>0.18</v>
      </c>
      <c r="S101" s="699">
        <f>Resid!V45</f>
        <v>80.824588484044497</v>
      </c>
      <c r="T101" s="699">
        <f>Resid!W45</f>
        <v>46.966567111462929</v>
      </c>
      <c r="U101" s="699">
        <f>Resid!X45</f>
        <v>77.540658703996783</v>
      </c>
      <c r="V101" s="699">
        <f>Resid!Y45</f>
        <v>15.201570719034693</v>
      </c>
      <c r="W101" s="699">
        <f>Resid!Z45</f>
        <v>40.609313631414302</v>
      </c>
      <c r="X101" s="699"/>
      <c r="Y101" s="699"/>
      <c r="Z101" s="699"/>
      <c r="AA101" s="699"/>
      <c r="AB101" s="699"/>
      <c r="AC101" s="699"/>
      <c r="AD101" s="699"/>
      <c r="AE101" s="699"/>
      <c r="AF101" s="699"/>
      <c r="AG101" s="699"/>
      <c r="AH101" s="696">
        <v>0</v>
      </c>
      <c r="AI101" s="696"/>
      <c r="AJ101" s="696">
        <v>0</v>
      </c>
      <c r="AK101" s="696">
        <v>0</v>
      </c>
      <c r="AL101" s="696">
        <v>0</v>
      </c>
      <c r="AM101" s="696">
        <v>0</v>
      </c>
      <c r="AN101" s="696">
        <v>0</v>
      </c>
      <c r="AO101" s="696">
        <v>0</v>
      </c>
      <c r="AP101" s="696">
        <v>0</v>
      </c>
      <c r="AQ101" s="696">
        <v>0</v>
      </c>
      <c r="AT101" s="696"/>
      <c r="AU101" s="674"/>
      <c r="AV101" s="674"/>
      <c r="AW101" s="674"/>
      <c r="AX101" s="674"/>
      <c r="AY101" s="674"/>
      <c r="AZ101" s="674"/>
      <c r="BA101" s="674"/>
      <c r="BB101" s="674"/>
    </row>
    <row r="102" spans="1:54">
      <c r="A102" s="674" t="s">
        <v>390</v>
      </c>
      <c r="B102" s="674" t="s">
        <v>138</v>
      </c>
      <c r="C102" s="674" t="s">
        <v>139</v>
      </c>
      <c r="D102" s="673" t="s">
        <v>348</v>
      </c>
      <c r="E102" s="674" t="s">
        <v>354</v>
      </c>
      <c r="F102" s="674" t="str">
        <f>Commodities!$D$11</f>
        <v>RSH</v>
      </c>
      <c r="G102" s="697" t="s">
        <v>490</v>
      </c>
      <c r="H102" s="695">
        <v>20</v>
      </c>
      <c r="I102" s="698">
        <v>13.705932065603083</v>
      </c>
      <c r="J102" s="698">
        <v>0.85</v>
      </c>
      <c r="K102" s="674">
        <v>1</v>
      </c>
      <c r="L102" s="674">
        <v>0.16</v>
      </c>
      <c r="M102" s="674">
        <v>0.16</v>
      </c>
      <c r="N102" s="674">
        <v>0.16</v>
      </c>
      <c r="O102" s="674">
        <v>0.16</v>
      </c>
      <c r="P102" s="674">
        <v>0.16</v>
      </c>
      <c r="Q102" s="674"/>
      <c r="R102" s="674">
        <v>0.18</v>
      </c>
      <c r="S102" s="696"/>
      <c r="T102" s="696"/>
      <c r="U102" s="696"/>
      <c r="V102" s="696"/>
      <c r="W102" s="696"/>
      <c r="X102" s="696"/>
      <c r="Y102" s="696"/>
      <c r="Z102" s="696"/>
      <c r="AA102" s="696"/>
      <c r="AB102" s="696"/>
      <c r="AC102" s="696"/>
      <c r="AD102" s="696"/>
      <c r="AE102" s="696"/>
      <c r="AF102" s="696"/>
      <c r="AG102" s="696"/>
      <c r="AH102" s="696">
        <v>0</v>
      </c>
      <c r="AI102" s="696"/>
      <c r="AJ102" s="696"/>
      <c r="AK102" s="696">
        <v>0</v>
      </c>
      <c r="AL102" s="696">
        <v>0</v>
      </c>
      <c r="AM102" s="696">
        <v>0</v>
      </c>
      <c r="AN102" s="696">
        <v>0</v>
      </c>
      <c r="AO102" s="696">
        <v>0</v>
      </c>
      <c r="AP102" s="696">
        <v>0</v>
      </c>
      <c r="AQ102" s="696">
        <v>0</v>
      </c>
      <c r="AT102" s="696"/>
      <c r="AU102" s="674"/>
      <c r="AV102" s="674"/>
      <c r="AW102" s="674"/>
      <c r="AX102" s="674"/>
      <c r="AY102" s="674"/>
      <c r="AZ102" s="674"/>
      <c r="BA102" s="674"/>
      <c r="BB102" s="674"/>
    </row>
    <row r="103" spans="1:54">
      <c r="A103" s="674" t="s">
        <v>1528</v>
      </c>
      <c r="B103" s="674" t="s">
        <v>273</v>
      </c>
      <c r="C103" s="674" t="s">
        <v>274</v>
      </c>
      <c r="D103" s="673" t="s">
        <v>348</v>
      </c>
      <c r="E103" s="674" t="s">
        <v>354</v>
      </c>
      <c r="F103" s="674" t="str">
        <f>Commodities!$D$11</f>
        <v>RSH</v>
      </c>
      <c r="G103" s="697" t="s">
        <v>489</v>
      </c>
      <c r="H103" s="695">
        <v>20</v>
      </c>
      <c r="I103" s="698">
        <v>13.705932065603083</v>
      </c>
      <c r="J103" s="698">
        <v>0.85</v>
      </c>
      <c r="K103" s="674">
        <v>1</v>
      </c>
      <c r="L103" s="674">
        <v>0.16</v>
      </c>
      <c r="M103" s="674">
        <v>0.16</v>
      </c>
      <c r="N103" s="674">
        <v>0.16</v>
      </c>
      <c r="O103" s="674">
        <v>0.16</v>
      </c>
      <c r="P103" s="674">
        <v>0.16</v>
      </c>
      <c r="Q103" s="674"/>
      <c r="R103" s="674">
        <v>0.18</v>
      </c>
      <c r="S103" s="696"/>
      <c r="T103" s="696"/>
      <c r="U103" s="696"/>
      <c r="V103" s="696"/>
      <c r="W103" s="696"/>
      <c r="X103" s="696"/>
      <c r="Y103" s="696"/>
      <c r="Z103" s="696"/>
      <c r="AA103" s="696"/>
      <c r="AB103" s="696"/>
      <c r="AC103" s="696"/>
      <c r="AD103" s="696"/>
      <c r="AE103" s="696"/>
      <c r="AF103" s="696"/>
      <c r="AG103" s="696"/>
      <c r="AH103" s="696">
        <v>0</v>
      </c>
      <c r="AI103" s="696"/>
      <c r="AJ103" s="696"/>
      <c r="AK103" s="696">
        <v>0</v>
      </c>
      <c r="AL103" s="696">
        <v>0</v>
      </c>
      <c r="AM103" s="696">
        <v>0</v>
      </c>
      <c r="AN103" s="696">
        <v>0</v>
      </c>
      <c r="AO103" s="696">
        <v>0</v>
      </c>
      <c r="AP103" s="696">
        <v>0</v>
      </c>
      <c r="AQ103" s="696">
        <v>0</v>
      </c>
      <c r="AT103" s="696"/>
      <c r="AU103" s="674"/>
      <c r="AV103" s="674"/>
      <c r="AW103" s="674"/>
      <c r="AX103" s="674"/>
      <c r="AY103" s="674"/>
      <c r="AZ103" s="674"/>
      <c r="BA103" s="674"/>
      <c r="BB103" s="674"/>
    </row>
    <row r="104" spans="1:54">
      <c r="A104" s="674" t="s">
        <v>1528</v>
      </c>
      <c r="B104" s="674" t="s">
        <v>317</v>
      </c>
      <c r="C104" s="674" t="s">
        <v>318</v>
      </c>
      <c r="D104" s="673" t="s">
        <v>348</v>
      </c>
      <c r="E104" s="674" t="s">
        <v>354</v>
      </c>
      <c r="F104" s="674" t="str">
        <f>Commodities!$D$11</f>
        <v>RSH</v>
      </c>
      <c r="G104" s="697" t="s">
        <v>489</v>
      </c>
      <c r="H104" s="695">
        <v>20</v>
      </c>
      <c r="I104" s="698">
        <v>17.391017573807687</v>
      </c>
      <c r="J104" s="698">
        <v>0.98</v>
      </c>
      <c r="K104" s="674">
        <v>1</v>
      </c>
      <c r="L104" s="674">
        <v>0.16</v>
      </c>
      <c r="M104" s="674">
        <v>0.16</v>
      </c>
      <c r="N104" s="674">
        <v>0.16</v>
      </c>
      <c r="O104" s="674">
        <v>0.16</v>
      </c>
      <c r="P104" s="674">
        <v>0.16</v>
      </c>
      <c r="Q104" s="674"/>
      <c r="R104" s="674">
        <v>0.18</v>
      </c>
      <c r="S104" s="696"/>
      <c r="T104" s="696"/>
      <c r="U104" s="696"/>
      <c r="V104" s="696"/>
      <c r="W104" s="696"/>
      <c r="X104" s="696"/>
      <c r="Y104" s="696"/>
      <c r="Z104" s="696"/>
      <c r="AA104" s="696"/>
      <c r="AB104" s="696"/>
      <c r="AC104" s="696"/>
      <c r="AD104" s="696"/>
      <c r="AE104" s="696"/>
      <c r="AF104" s="696"/>
      <c r="AG104" s="696"/>
      <c r="AH104" s="696">
        <v>0</v>
      </c>
      <c r="AI104" s="696"/>
      <c r="AJ104" s="696"/>
      <c r="AK104" s="696">
        <v>0</v>
      </c>
      <c r="AL104" s="696">
        <v>0</v>
      </c>
      <c r="AM104" s="696">
        <v>0</v>
      </c>
      <c r="AN104" s="696">
        <v>0</v>
      </c>
      <c r="AO104" s="696">
        <v>0</v>
      </c>
      <c r="AP104" s="696">
        <v>0</v>
      </c>
      <c r="AQ104" s="696">
        <v>0</v>
      </c>
      <c r="AT104" s="696"/>
      <c r="AU104" s="674"/>
      <c r="AV104" s="674"/>
      <c r="AW104" s="674"/>
      <c r="AX104" s="674"/>
      <c r="AY104" s="674"/>
      <c r="AZ104" s="674"/>
      <c r="BA104" s="674"/>
      <c r="BB104" s="674"/>
    </row>
    <row r="105" spans="1:54" ht="15.75" customHeight="1">
      <c r="A105" s="684" t="s">
        <v>2330</v>
      </c>
      <c r="B105" s="682"/>
      <c r="C105" s="682"/>
      <c r="D105" s="682"/>
      <c r="E105" s="684"/>
      <c r="F105" s="684"/>
      <c r="G105" s="704"/>
      <c r="H105" s="705"/>
      <c r="I105" s="705"/>
      <c r="J105" s="706"/>
      <c r="K105" s="705"/>
      <c r="L105" s="705"/>
      <c r="M105" s="705" t="s">
        <v>729</v>
      </c>
      <c r="N105" s="705" t="s">
        <v>729</v>
      </c>
      <c r="O105" s="705" t="s">
        <v>729</v>
      </c>
      <c r="P105" s="705" t="s">
        <v>729</v>
      </c>
      <c r="Q105" s="705"/>
      <c r="R105" s="706"/>
      <c r="S105" s="707"/>
      <c r="T105" s="707"/>
      <c r="U105" s="707"/>
      <c r="V105" s="707"/>
      <c r="W105" s="707"/>
      <c r="X105" s="707"/>
      <c r="Y105" s="707"/>
      <c r="Z105" s="707"/>
      <c r="AA105" s="707"/>
      <c r="AB105" s="707"/>
      <c r="AC105" s="707"/>
      <c r="AD105" s="707"/>
      <c r="AE105" s="707"/>
      <c r="AF105" s="707"/>
      <c r="AG105" s="707"/>
      <c r="AH105" s="707"/>
      <c r="AI105" s="707"/>
      <c r="AJ105" s="707"/>
      <c r="AK105" s="707"/>
      <c r="AL105" s="707"/>
      <c r="AM105" s="707"/>
      <c r="AN105" s="707"/>
      <c r="AO105" s="707"/>
      <c r="AP105" s="707"/>
      <c r="AQ105" s="708"/>
      <c r="AT105" s="708"/>
      <c r="AU105" s="682"/>
      <c r="AV105" s="682"/>
      <c r="AW105" s="682"/>
      <c r="AX105" s="682"/>
      <c r="AY105" s="682"/>
      <c r="AZ105" s="682"/>
      <c r="BA105" s="682"/>
      <c r="BB105" s="682"/>
    </row>
    <row r="106" spans="1:54">
      <c r="A106" s="674" t="s">
        <v>390</v>
      </c>
      <c r="B106" s="674" t="s">
        <v>802</v>
      </c>
      <c r="C106" s="674" t="s">
        <v>801</v>
      </c>
      <c r="D106" s="673" t="s">
        <v>348</v>
      </c>
      <c r="E106" s="674" t="s">
        <v>361</v>
      </c>
      <c r="F106" s="674" t="str">
        <f>Commodities!$D$11</f>
        <v>RSH</v>
      </c>
      <c r="G106" s="697">
        <v>2010</v>
      </c>
      <c r="H106" s="695">
        <v>20</v>
      </c>
      <c r="I106" s="698"/>
      <c r="J106" s="698">
        <v>1</v>
      </c>
      <c r="K106" s="674">
        <v>1</v>
      </c>
      <c r="L106" s="674">
        <v>0.16</v>
      </c>
      <c r="M106" s="674">
        <v>0.16</v>
      </c>
      <c r="N106" s="674">
        <v>0.16</v>
      </c>
      <c r="O106" s="674">
        <v>0.16</v>
      </c>
      <c r="P106" s="674">
        <v>0.16</v>
      </c>
      <c r="Q106" s="674"/>
      <c r="R106" s="674">
        <v>0.45</v>
      </c>
      <c r="S106" s="699"/>
      <c r="T106" s="699"/>
      <c r="U106" s="699"/>
      <c r="V106" s="699"/>
      <c r="W106" s="699"/>
      <c r="X106" s="699"/>
      <c r="Y106" s="699"/>
      <c r="Z106" s="699"/>
      <c r="AA106" s="699"/>
      <c r="AB106" s="699"/>
      <c r="AC106" s="699"/>
      <c r="AD106" s="699"/>
      <c r="AE106" s="699"/>
      <c r="AF106" s="699"/>
      <c r="AG106" s="699"/>
      <c r="AH106" s="696"/>
      <c r="AI106" s="696"/>
      <c r="AJ106" s="696">
        <v>0</v>
      </c>
      <c r="AK106" s="696">
        <v>0</v>
      </c>
      <c r="AL106" s="696">
        <v>0</v>
      </c>
      <c r="AM106" s="696">
        <v>0</v>
      </c>
      <c r="AN106" s="696">
        <v>0</v>
      </c>
      <c r="AO106" s="696">
        <v>0</v>
      </c>
      <c r="AP106" s="696">
        <v>0</v>
      </c>
      <c r="AQ106" s="696">
        <v>0</v>
      </c>
      <c r="AT106" s="696"/>
      <c r="AU106" s="674"/>
      <c r="AV106" s="674"/>
      <c r="AW106" s="674"/>
      <c r="AX106" s="674"/>
      <c r="AY106" s="674"/>
      <c r="AZ106" s="674"/>
      <c r="BA106" s="674"/>
      <c r="BB106" s="674"/>
    </row>
    <row r="107" spans="1:54">
      <c r="A107" s="674" t="s">
        <v>390</v>
      </c>
      <c r="B107" s="674" t="s">
        <v>804</v>
      </c>
      <c r="C107" s="674" t="s">
        <v>803</v>
      </c>
      <c r="D107" s="673" t="s">
        <v>348</v>
      </c>
      <c r="E107" s="674" t="s">
        <v>361</v>
      </c>
      <c r="F107" s="674" t="str">
        <f>Commodities!$D$11</f>
        <v>RSH</v>
      </c>
      <c r="G107" s="697" t="s">
        <v>489</v>
      </c>
      <c r="H107" s="695">
        <v>20</v>
      </c>
      <c r="I107" s="698">
        <v>8.8507590072386133</v>
      </c>
      <c r="J107" s="698">
        <v>1</v>
      </c>
      <c r="K107" s="674">
        <v>1</v>
      </c>
      <c r="L107" s="674">
        <v>0.16</v>
      </c>
      <c r="M107" s="674">
        <v>0.16</v>
      </c>
      <c r="N107" s="674">
        <v>0.16</v>
      </c>
      <c r="O107" s="674">
        <v>0.16</v>
      </c>
      <c r="P107" s="674">
        <v>0.16</v>
      </c>
      <c r="Q107" s="674"/>
      <c r="R107" s="674">
        <v>0.45</v>
      </c>
      <c r="S107" s="696"/>
      <c r="T107" s="696"/>
      <c r="U107" s="696"/>
      <c r="V107" s="696"/>
      <c r="W107" s="696"/>
      <c r="X107" s="696"/>
      <c r="Y107" s="696"/>
      <c r="Z107" s="696"/>
      <c r="AA107" s="696"/>
      <c r="AB107" s="696"/>
      <c r="AC107" s="696"/>
      <c r="AD107" s="696"/>
      <c r="AE107" s="696"/>
      <c r="AF107" s="696"/>
      <c r="AG107" s="696"/>
      <c r="AH107" s="696"/>
      <c r="AI107" s="696"/>
      <c r="AJ107" s="696"/>
      <c r="AK107" s="696"/>
      <c r="AL107" s="696"/>
      <c r="AM107" s="696"/>
      <c r="AN107" s="696"/>
      <c r="AO107" s="696"/>
      <c r="AP107" s="696"/>
      <c r="AQ107" s="696"/>
      <c r="AT107" s="696"/>
      <c r="AU107" s="674"/>
      <c r="AV107" s="674"/>
      <c r="AW107" s="674"/>
      <c r="AX107" s="674"/>
      <c r="AY107" s="674"/>
      <c r="AZ107" s="674"/>
      <c r="BA107" s="674"/>
      <c r="BB107" s="674"/>
    </row>
    <row r="108" spans="1:54" ht="15.75" customHeight="1">
      <c r="A108" s="684" t="s">
        <v>2331</v>
      </c>
      <c r="B108" s="682"/>
      <c r="C108" s="682"/>
      <c r="D108" s="682"/>
      <c r="E108" s="684"/>
      <c r="F108" s="684"/>
      <c r="G108" s="704"/>
      <c r="H108" s="705"/>
      <c r="I108" s="705"/>
      <c r="J108" s="706"/>
      <c r="K108" s="705"/>
      <c r="L108" s="705"/>
      <c r="M108" s="705" t="s">
        <v>729</v>
      </c>
      <c r="N108" s="705" t="s">
        <v>729</v>
      </c>
      <c r="O108" s="705" t="s">
        <v>729</v>
      </c>
      <c r="P108" s="705" t="s">
        <v>729</v>
      </c>
      <c r="Q108" s="705"/>
      <c r="R108" s="706"/>
      <c r="S108" s="707"/>
      <c r="T108" s="707"/>
      <c r="U108" s="707"/>
      <c r="V108" s="707"/>
      <c r="W108" s="707"/>
      <c r="X108" s="707"/>
      <c r="Y108" s="707"/>
      <c r="Z108" s="707"/>
      <c r="AA108" s="707"/>
      <c r="AB108" s="707"/>
      <c r="AC108" s="707"/>
      <c r="AD108" s="707"/>
      <c r="AE108" s="707"/>
      <c r="AF108" s="707"/>
      <c r="AG108" s="707"/>
      <c r="AH108" s="707"/>
      <c r="AI108" s="707"/>
      <c r="AJ108" s="707"/>
      <c r="AK108" s="707"/>
      <c r="AL108" s="707"/>
      <c r="AM108" s="707"/>
      <c r="AN108" s="707"/>
      <c r="AO108" s="707"/>
      <c r="AP108" s="707"/>
      <c r="AQ108" s="708"/>
      <c r="AT108" s="708"/>
      <c r="AU108" s="682"/>
      <c r="AV108" s="682"/>
      <c r="AW108" s="682"/>
      <c r="AX108" s="682"/>
      <c r="AY108" s="682"/>
      <c r="AZ108" s="682"/>
      <c r="BA108" s="682"/>
      <c r="BB108" s="682"/>
    </row>
    <row r="109" spans="1:54">
      <c r="A109" s="674" t="s">
        <v>390</v>
      </c>
      <c r="B109" s="674" t="s">
        <v>454</v>
      </c>
      <c r="C109" s="674" t="s">
        <v>805</v>
      </c>
      <c r="D109" s="673" t="s">
        <v>348</v>
      </c>
      <c r="E109" s="674" t="s">
        <v>349</v>
      </c>
      <c r="F109" s="674" t="str">
        <f>Commodities!$D$11</f>
        <v>RSH</v>
      </c>
      <c r="G109" s="697">
        <v>2010</v>
      </c>
      <c r="H109" s="695">
        <v>15</v>
      </c>
      <c r="I109" s="698"/>
      <c r="J109" s="698">
        <v>3.2999999523162802</v>
      </c>
      <c r="K109" s="674">
        <v>1</v>
      </c>
      <c r="L109" s="674">
        <v>0.16</v>
      </c>
      <c r="M109" s="674">
        <v>0.16</v>
      </c>
      <c r="N109" s="674">
        <v>0.16</v>
      </c>
      <c r="O109" s="674">
        <v>0.16</v>
      </c>
      <c r="P109" s="674">
        <v>0.16</v>
      </c>
      <c r="Q109" s="674"/>
      <c r="R109" s="674">
        <v>0.6</v>
      </c>
      <c r="S109" s="699"/>
      <c r="T109" s="699"/>
      <c r="U109" s="699"/>
      <c r="V109" s="699"/>
      <c r="W109" s="699"/>
      <c r="X109" s="699"/>
      <c r="Y109" s="699"/>
      <c r="Z109" s="699"/>
      <c r="AA109" s="699"/>
      <c r="AB109" s="699"/>
      <c r="AC109" s="699"/>
      <c r="AD109" s="699"/>
      <c r="AE109" s="699"/>
      <c r="AF109" s="699"/>
      <c r="AG109" s="699"/>
      <c r="AH109" s="696"/>
      <c r="AI109" s="696"/>
      <c r="AJ109" s="696">
        <v>0</v>
      </c>
      <c r="AK109" s="696">
        <v>0</v>
      </c>
      <c r="AL109" s="696">
        <v>0</v>
      </c>
      <c r="AM109" s="696">
        <v>0</v>
      </c>
      <c r="AN109" s="696">
        <v>0</v>
      </c>
      <c r="AO109" s="696">
        <v>0</v>
      </c>
      <c r="AP109" s="696">
        <v>0</v>
      </c>
      <c r="AQ109" s="696">
        <v>0</v>
      </c>
      <c r="AT109" s="696"/>
      <c r="AU109" s="674"/>
      <c r="AV109" s="674"/>
      <c r="AW109" s="674"/>
      <c r="AX109" s="674"/>
      <c r="AY109" s="674"/>
      <c r="AZ109" s="674"/>
      <c r="BA109" s="674"/>
      <c r="BB109" s="674"/>
    </row>
    <row r="110" spans="1:54">
      <c r="A110" s="674" t="s">
        <v>390</v>
      </c>
      <c r="B110" s="674" t="s">
        <v>456</v>
      </c>
      <c r="C110" s="674" t="s">
        <v>140</v>
      </c>
      <c r="D110" s="673" t="s">
        <v>348</v>
      </c>
      <c r="E110" s="674" t="s">
        <v>349</v>
      </c>
      <c r="F110" s="674" t="str">
        <f>Commodities!$D$11</f>
        <v>RSH</v>
      </c>
      <c r="G110" s="697" t="s">
        <v>489</v>
      </c>
      <c r="H110" s="695">
        <v>15</v>
      </c>
      <c r="I110" s="698">
        <v>13.6585787148744</v>
      </c>
      <c r="J110" s="698">
        <v>3.3</v>
      </c>
      <c r="K110" s="674">
        <v>1</v>
      </c>
      <c r="L110" s="674">
        <v>0.16</v>
      </c>
      <c r="M110" s="674">
        <v>0.16</v>
      </c>
      <c r="N110" s="674">
        <v>0.16</v>
      </c>
      <c r="O110" s="674">
        <v>0.16</v>
      </c>
      <c r="P110" s="674">
        <v>0.16</v>
      </c>
      <c r="Q110" s="674"/>
      <c r="R110" s="674">
        <v>0.6</v>
      </c>
      <c r="S110" s="696"/>
      <c r="T110" s="696"/>
      <c r="U110" s="696"/>
      <c r="V110" s="696"/>
      <c r="W110" s="696"/>
      <c r="X110" s="696"/>
      <c r="Y110" s="696"/>
      <c r="Z110" s="696"/>
      <c r="AA110" s="696"/>
      <c r="AB110" s="696"/>
      <c r="AC110" s="696"/>
      <c r="AD110" s="696"/>
      <c r="AE110" s="696"/>
      <c r="AF110" s="696"/>
      <c r="AG110" s="696"/>
      <c r="AH110" s="696"/>
      <c r="AI110" s="696"/>
      <c r="AJ110" s="696"/>
      <c r="AK110" s="696"/>
      <c r="AL110" s="696"/>
      <c r="AM110" s="696"/>
      <c r="AN110" s="696"/>
      <c r="AO110" s="696"/>
      <c r="AP110" s="696"/>
      <c r="AQ110" s="696"/>
      <c r="AT110" s="696"/>
      <c r="AU110" s="674"/>
      <c r="AV110" s="674"/>
      <c r="AW110" s="674"/>
      <c r="AX110" s="674"/>
      <c r="AY110" s="674"/>
      <c r="AZ110" s="674"/>
      <c r="BA110" s="674"/>
      <c r="BB110" s="674"/>
    </row>
    <row r="111" spans="1:54">
      <c r="A111" s="674" t="s">
        <v>390</v>
      </c>
      <c r="B111" s="674" t="s">
        <v>458</v>
      </c>
      <c r="C111" s="674" t="s">
        <v>141</v>
      </c>
      <c r="D111" s="673" t="s">
        <v>348</v>
      </c>
      <c r="E111" s="674" t="s">
        <v>349</v>
      </c>
      <c r="F111" s="674" t="str">
        <f>Commodities!$D$11</f>
        <v>RSH</v>
      </c>
      <c r="G111" s="697" t="s">
        <v>489</v>
      </c>
      <c r="H111" s="695">
        <v>15</v>
      </c>
      <c r="I111" s="698">
        <v>17.756152329336725</v>
      </c>
      <c r="J111" s="698">
        <v>5</v>
      </c>
      <c r="K111" s="674">
        <v>1</v>
      </c>
      <c r="L111" s="674">
        <v>0.16</v>
      </c>
      <c r="M111" s="674">
        <v>0.16</v>
      </c>
      <c r="N111" s="674">
        <v>0.16</v>
      </c>
      <c r="O111" s="674">
        <v>0.16</v>
      </c>
      <c r="P111" s="674">
        <v>0.16</v>
      </c>
      <c r="Q111" s="674"/>
      <c r="R111" s="674">
        <v>0.6</v>
      </c>
      <c r="S111" s="696"/>
      <c r="T111" s="696"/>
      <c r="U111" s="696"/>
      <c r="V111" s="696"/>
      <c r="W111" s="696"/>
      <c r="X111" s="696"/>
      <c r="Y111" s="696"/>
      <c r="Z111" s="696"/>
      <c r="AA111" s="696"/>
      <c r="AB111" s="696"/>
      <c r="AC111" s="696"/>
      <c r="AD111" s="696"/>
      <c r="AE111" s="696"/>
      <c r="AF111" s="696"/>
      <c r="AG111" s="696"/>
      <c r="AH111" s="696"/>
      <c r="AI111" s="696"/>
      <c r="AJ111" s="696">
        <v>0</v>
      </c>
      <c r="AK111" s="696">
        <v>0</v>
      </c>
      <c r="AL111" s="696">
        <v>0</v>
      </c>
      <c r="AM111" s="696">
        <v>0</v>
      </c>
      <c r="AN111" s="696">
        <v>0</v>
      </c>
      <c r="AO111" s="696">
        <v>0</v>
      </c>
      <c r="AP111" s="696">
        <v>0</v>
      </c>
      <c r="AQ111" s="696">
        <v>0</v>
      </c>
      <c r="AT111" s="696"/>
      <c r="AU111" s="674"/>
      <c r="AV111" s="674"/>
      <c r="AW111" s="674"/>
      <c r="AX111" s="674"/>
      <c r="AY111" s="674"/>
      <c r="AZ111" s="674"/>
      <c r="BA111" s="674"/>
      <c r="BB111" s="674"/>
    </row>
    <row r="112" spans="1:54">
      <c r="A112" s="674" t="s">
        <v>390</v>
      </c>
      <c r="B112" s="674" t="s">
        <v>1018</v>
      </c>
      <c r="C112" s="674" t="s">
        <v>1019</v>
      </c>
      <c r="D112" s="673" t="s">
        <v>348</v>
      </c>
      <c r="E112" s="674" t="s">
        <v>349</v>
      </c>
      <c r="F112" s="674" t="str">
        <f>Commodities!$D$11</f>
        <v>RSH</v>
      </c>
      <c r="G112" s="697" t="s">
        <v>847</v>
      </c>
      <c r="H112" s="695">
        <v>15</v>
      </c>
      <c r="I112" s="698">
        <v>17.756152329336725</v>
      </c>
      <c r="J112" s="698">
        <v>5</v>
      </c>
      <c r="K112" s="674">
        <v>1</v>
      </c>
      <c r="L112" s="674">
        <v>0.16</v>
      </c>
      <c r="M112" s="674">
        <v>0.16</v>
      </c>
      <c r="N112" s="674">
        <v>0.16</v>
      </c>
      <c r="O112" s="674">
        <v>0.16</v>
      </c>
      <c r="P112" s="674">
        <v>0.16</v>
      </c>
      <c r="Q112" s="674"/>
      <c r="R112" s="674">
        <v>0.6</v>
      </c>
      <c r="S112" s="696"/>
      <c r="T112" s="696"/>
      <c r="U112" s="696"/>
      <c r="V112" s="696"/>
      <c r="W112" s="696"/>
      <c r="X112" s="696"/>
      <c r="Y112" s="696"/>
      <c r="Z112" s="696"/>
      <c r="AA112" s="696"/>
      <c r="AB112" s="696"/>
      <c r="AC112" s="696"/>
      <c r="AD112" s="696"/>
      <c r="AE112" s="696"/>
      <c r="AF112" s="696"/>
      <c r="AG112" s="696"/>
      <c r="AH112" s="696"/>
      <c r="AI112" s="696"/>
      <c r="AJ112" s="696"/>
      <c r="AK112" s="696"/>
      <c r="AL112" s="696"/>
      <c r="AM112" s="696"/>
      <c r="AN112" s="696"/>
      <c r="AO112" s="696"/>
      <c r="AP112" s="696"/>
      <c r="AQ112" s="696"/>
      <c r="AT112" s="696"/>
      <c r="AU112" s="674"/>
      <c r="AV112" s="674"/>
      <c r="AW112" s="674"/>
      <c r="AX112" s="674"/>
      <c r="AY112" s="674"/>
      <c r="AZ112" s="674"/>
      <c r="BA112" s="674"/>
      <c r="BB112" s="674"/>
    </row>
    <row r="113" spans="1:54" ht="15.75" customHeight="1">
      <c r="A113" s="684" t="s">
        <v>2332</v>
      </c>
      <c r="B113" s="682"/>
      <c r="C113" s="682"/>
      <c r="D113" s="682"/>
      <c r="E113" s="684"/>
      <c r="F113" s="684"/>
      <c r="G113" s="704"/>
      <c r="H113" s="705"/>
      <c r="I113" s="705"/>
      <c r="J113" s="706"/>
      <c r="K113" s="705"/>
      <c r="L113" s="705"/>
      <c r="M113" s="705" t="s">
        <v>729</v>
      </c>
      <c r="N113" s="705" t="s">
        <v>729</v>
      </c>
      <c r="O113" s="705" t="s">
        <v>729</v>
      </c>
      <c r="P113" s="705" t="s">
        <v>729</v>
      </c>
      <c r="Q113" s="705"/>
      <c r="R113" s="706"/>
      <c r="S113" s="707"/>
      <c r="T113" s="707"/>
      <c r="U113" s="707"/>
      <c r="V113" s="707"/>
      <c r="W113" s="707"/>
      <c r="X113" s="707"/>
      <c r="Y113" s="707"/>
      <c r="Z113" s="707"/>
      <c r="AA113" s="707"/>
      <c r="AB113" s="707"/>
      <c r="AC113" s="707"/>
      <c r="AD113" s="707"/>
      <c r="AE113" s="707"/>
      <c r="AF113" s="707"/>
      <c r="AG113" s="707"/>
      <c r="AH113" s="707"/>
      <c r="AI113" s="707"/>
      <c r="AJ113" s="707"/>
      <c r="AK113" s="707"/>
      <c r="AL113" s="707"/>
      <c r="AM113" s="707"/>
      <c r="AN113" s="707"/>
      <c r="AO113" s="707"/>
      <c r="AP113" s="707"/>
      <c r="AQ113" s="708"/>
      <c r="AT113" s="708"/>
      <c r="AU113" s="682"/>
      <c r="AV113" s="682"/>
      <c r="AW113" s="682"/>
      <c r="AX113" s="682"/>
      <c r="AY113" s="682"/>
      <c r="AZ113" s="682"/>
      <c r="BA113" s="682"/>
      <c r="BB113" s="682"/>
    </row>
    <row r="114" spans="1:54">
      <c r="A114" s="674" t="s">
        <v>390</v>
      </c>
      <c r="B114" s="674" t="s">
        <v>460</v>
      </c>
      <c r="C114" s="674" t="s">
        <v>806</v>
      </c>
      <c r="D114" s="673" t="s">
        <v>348</v>
      </c>
      <c r="E114" s="674" t="s">
        <v>352</v>
      </c>
      <c r="F114" s="674" t="str">
        <f>Commodities!$D$11</f>
        <v>RSH</v>
      </c>
      <c r="G114" s="697">
        <v>2010</v>
      </c>
      <c r="H114" s="695">
        <v>15</v>
      </c>
      <c r="I114" s="698"/>
      <c r="J114" s="698">
        <v>1.29999995231628</v>
      </c>
      <c r="K114" s="674">
        <v>1</v>
      </c>
      <c r="L114" s="674">
        <v>0.16</v>
      </c>
      <c r="M114" s="674">
        <v>0.16</v>
      </c>
      <c r="N114" s="674">
        <v>0.16</v>
      </c>
      <c r="O114" s="674">
        <v>0.16</v>
      </c>
      <c r="P114" s="674">
        <v>0.16</v>
      </c>
      <c r="Q114" s="674"/>
      <c r="R114" s="674">
        <v>0.18</v>
      </c>
      <c r="S114" s="699"/>
      <c r="T114" s="699"/>
      <c r="U114" s="699"/>
      <c r="V114" s="699"/>
      <c r="W114" s="699"/>
      <c r="X114" s="699"/>
      <c r="Y114" s="699"/>
      <c r="Z114" s="699"/>
      <c r="AA114" s="699"/>
      <c r="AB114" s="699"/>
      <c r="AC114" s="699"/>
      <c r="AD114" s="699"/>
      <c r="AE114" s="699"/>
      <c r="AF114" s="699"/>
      <c r="AG114" s="699"/>
      <c r="AH114" s="696">
        <v>0</v>
      </c>
      <c r="AI114" s="696">
        <v>0</v>
      </c>
      <c r="AJ114" s="696">
        <v>0</v>
      </c>
      <c r="AK114" s="696">
        <v>0</v>
      </c>
      <c r="AL114" s="696">
        <v>0</v>
      </c>
      <c r="AM114" s="696">
        <v>0</v>
      </c>
      <c r="AN114" s="696">
        <v>0</v>
      </c>
      <c r="AO114" s="696">
        <v>0</v>
      </c>
      <c r="AP114" s="696">
        <v>0</v>
      </c>
      <c r="AQ114" s="696">
        <v>0</v>
      </c>
      <c r="AT114" s="696"/>
      <c r="AU114" s="674"/>
      <c r="AV114" s="674"/>
      <c r="AW114" s="674"/>
      <c r="AX114" s="674"/>
      <c r="AY114" s="674"/>
      <c r="AZ114" s="674"/>
      <c r="BA114" s="674"/>
      <c r="BB114" s="674"/>
    </row>
    <row r="115" spans="1:54">
      <c r="A115" s="674" t="s">
        <v>1528</v>
      </c>
      <c r="B115" s="674" t="s">
        <v>462</v>
      </c>
      <c r="C115" s="674" t="s">
        <v>776</v>
      </c>
      <c r="D115" s="673" t="s">
        <v>348</v>
      </c>
      <c r="E115" s="674" t="s">
        <v>352</v>
      </c>
      <c r="F115" s="674" t="str">
        <f>Commodities!$D$11</f>
        <v>RSH</v>
      </c>
      <c r="G115" s="697" t="s">
        <v>489</v>
      </c>
      <c r="H115" s="695">
        <v>15</v>
      </c>
      <c r="I115" s="698">
        <v>12.292720843386961</v>
      </c>
      <c r="J115" s="698">
        <v>1.3</v>
      </c>
      <c r="K115" s="674">
        <v>1</v>
      </c>
      <c r="L115" s="674">
        <v>0.16</v>
      </c>
      <c r="M115" s="674">
        <v>0.16</v>
      </c>
      <c r="N115" s="674">
        <v>0.16</v>
      </c>
      <c r="O115" s="674">
        <v>0.16</v>
      </c>
      <c r="P115" s="674">
        <v>0.16</v>
      </c>
      <c r="Q115" s="674"/>
      <c r="R115" s="674">
        <v>0.18</v>
      </c>
      <c r="S115" s="696"/>
      <c r="T115" s="696"/>
      <c r="U115" s="696"/>
      <c r="V115" s="696"/>
      <c r="W115" s="696"/>
      <c r="X115" s="696"/>
      <c r="Y115" s="696"/>
      <c r="Z115" s="696"/>
      <c r="AA115" s="696"/>
      <c r="AB115" s="696"/>
      <c r="AC115" s="696"/>
      <c r="AD115" s="696"/>
      <c r="AE115" s="696"/>
      <c r="AF115" s="696"/>
      <c r="AG115" s="696"/>
      <c r="AH115" s="696">
        <v>0</v>
      </c>
      <c r="AI115" s="696"/>
      <c r="AJ115" s="696">
        <v>0</v>
      </c>
      <c r="AK115" s="696">
        <v>0</v>
      </c>
      <c r="AL115" s="696">
        <v>0</v>
      </c>
      <c r="AM115" s="696">
        <v>0</v>
      </c>
      <c r="AN115" s="696">
        <v>0</v>
      </c>
      <c r="AO115" s="696">
        <v>0</v>
      </c>
      <c r="AP115" s="696">
        <v>0</v>
      </c>
      <c r="AQ115" s="696">
        <v>0</v>
      </c>
      <c r="AT115" s="696"/>
      <c r="AU115" s="674"/>
      <c r="AV115" s="674"/>
      <c r="AW115" s="674"/>
      <c r="AX115" s="674"/>
      <c r="AY115" s="674"/>
      <c r="AZ115" s="674"/>
      <c r="BA115" s="674"/>
      <c r="BB115" s="674"/>
    </row>
    <row r="116" spans="1:54">
      <c r="A116" s="674" t="s">
        <v>390</v>
      </c>
      <c r="B116" s="674" t="s">
        <v>1095</v>
      </c>
      <c r="C116" s="674" t="s">
        <v>1096</v>
      </c>
      <c r="D116" s="673" t="s">
        <v>348</v>
      </c>
      <c r="E116" s="674" t="s">
        <v>352</v>
      </c>
      <c r="F116" s="674" t="str">
        <f>Commodities!$D$11</f>
        <v>RSH</v>
      </c>
      <c r="G116" s="697" t="s">
        <v>847</v>
      </c>
      <c r="H116" s="695">
        <v>15</v>
      </c>
      <c r="I116" s="698">
        <v>12.292720843386961</v>
      </c>
      <c r="J116" s="698">
        <v>1.3</v>
      </c>
      <c r="K116" s="674">
        <v>1</v>
      </c>
      <c r="L116" s="674">
        <v>0.16</v>
      </c>
      <c r="M116" s="674">
        <v>0.16</v>
      </c>
      <c r="N116" s="674">
        <v>0.16</v>
      </c>
      <c r="O116" s="674">
        <v>0.16</v>
      </c>
      <c r="P116" s="674">
        <v>0.16</v>
      </c>
      <c r="Q116" s="674"/>
      <c r="R116" s="674">
        <v>0.18</v>
      </c>
      <c r="S116" s="696"/>
      <c r="T116" s="696"/>
      <c r="U116" s="696"/>
      <c r="V116" s="696"/>
      <c r="W116" s="696"/>
      <c r="X116" s="696"/>
      <c r="Y116" s="696"/>
      <c r="Z116" s="696"/>
      <c r="AA116" s="696"/>
      <c r="AB116" s="696"/>
      <c r="AC116" s="696"/>
      <c r="AD116" s="696"/>
      <c r="AE116" s="696"/>
      <c r="AF116" s="696"/>
      <c r="AG116" s="696"/>
      <c r="AH116" s="696">
        <v>0</v>
      </c>
      <c r="AI116" s="696"/>
      <c r="AJ116" s="696"/>
      <c r="AK116" s="696"/>
      <c r="AL116" s="696"/>
      <c r="AM116" s="696"/>
      <c r="AN116" s="696"/>
      <c r="AO116" s="696"/>
      <c r="AP116" s="696"/>
      <c r="AQ116" s="696"/>
      <c r="AT116" s="696"/>
      <c r="AU116" s="674"/>
      <c r="AV116" s="674"/>
      <c r="AW116" s="674"/>
      <c r="AX116" s="674"/>
      <c r="AY116" s="674"/>
      <c r="AZ116" s="674"/>
      <c r="BA116" s="674"/>
      <c r="BB116" s="674"/>
    </row>
    <row r="117" spans="1:54">
      <c r="A117" s="674" t="s">
        <v>390</v>
      </c>
      <c r="B117" s="674" t="s">
        <v>2847</v>
      </c>
      <c r="C117" s="674" t="s">
        <v>2848</v>
      </c>
      <c r="D117" s="673" t="s">
        <v>348</v>
      </c>
      <c r="E117" s="674" t="s">
        <v>352</v>
      </c>
      <c r="F117" s="674" t="s">
        <v>364</v>
      </c>
      <c r="G117" s="697">
        <v>2020</v>
      </c>
      <c r="H117" s="695">
        <v>18</v>
      </c>
      <c r="I117" s="698">
        <v>14.07</v>
      </c>
      <c r="J117" s="698">
        <v>1.3</v>
      </c>
      <c r="K117" s="674">
        <v>1</v>
      </c>
      <c r="L117" s="674">
        <v>0.16</v>
      </c>
      <c r="M117" s="674">
        <v>0.16</v>
      </c>
      <c r="N117" s="674">
        <v>0.16</v>
      </c>
      <c r="O117" s="674">
        <v>0.16</v>
      </c>
      <c r="P117" s="674">
        <v>0.16</v>
      </c>
      <c r="Q117" s="674"/>
      <c r="R117" s="674">
        <v>0.18</v>
      </c>
      <c r="S117" s="696"/>
      <c r="T117" s="696"/>
      <c r="U117" s="696"/>
      <c r="V117" s="696"/>
      <c r="W117" s="696"/>
      <c r="X117" s="696"/>
      <c r="Y117" s="696"/>
      <c r="Z117" s="696"/>
      <c r="AA117" s="696"/>
      <c r="AB117" s="696"/>
      <c r="AC117" s="696"/>
      <c r="AD117" s="696"/>
      <c r="AE117" s="696"/>
      <c r="AF117" s="696"/>
      <c r="AG117" s="696"/>
      <c r="AH117" s="696">
        <v>0</v>
      </c>
      <c r="AI117" s="696">
        <v>0</v>
      </c>
      <c r="AJ117" s="696"/>
      <c r="AK117" s="696"/>
      <c r="AL117" s="696"/>
      <c r="AM117" s="696"/>
      <c r="AN117" s="696"/>
      <c r="AO117" s="696"/>
      <c r="AP117" s="696"/>
      <c r="AQ117" s="696"/>
      <c r="AT117" s="696"/>
      <c r="AU117" s="674"/>
      <c r="AV117" s="674"/>
      <c r="AW117" s="674"/>
      <c r="AX117" s="674"/>
      <c r="AY117" s="674"/>
      <c r="AZ117" s="674"/>
      <c r="BA117" s="674"/>
      <c r="BB117" s="674"/>
    </row>
    <row r="118" spans="1:54">
      <c r="A118" s="674" t="s">
        <v>390</v>
      </c>
      <c r="B118" s="674" t="s">
        <v>2849</v>
      </c>
      <c r="C118" s="674" t="s">
        <v>2852</v>
      </c>
      <c r="D118" s="673" t="s">
        <v>348</v>
      </c>
      <c r="E118" s="674" t="s">
        <v>352</v>
      </c>
      <c r="F118" s="674" t="s">
        <v>364</v>
      </c>
      <c r="G118" s="697">
        <v>2030</v>
      </c>
      <c r="H118" s="695">
        <v>12</v>
      </c>
      <c r="I118" s="698">
        <v>12.292720843386961</v>
      </c>
      <c r="J118" s="698">
        <v>1.3</v>
      </c>
      <c r="K118" s="674">
        <v>1</v>
      </c>
      <c r="L118" s="674">
        <v>0.16</v>
      </c>
      <c r="M118" s="674">
        <v>0.16</v>
      </c>
      <c r="N118" s="674">
        <v>0.16</v>
      </c>
      <c r="O118" s="674">
        <v>0.16</v>
      </c>
      <c r="P118" s="674">
        <v>0.16</v>
      </c>
      <c r="Q118" s="674"/>
      <c r="R118" s="674">
        <v>0.18</v>
      </c>
      <c r="S118" s="696"/>
      <c r="T118" s="696"/>
      <c r="U118" s="696"/>
      <c r="V118" s="696"/>
      <c r="W118" s="696"/>
      <c r="X118" s="696"/>
      <c r="Y118" s="696"/>
      <c r="Z118" s="696"/>
      <c r="AA118" s="696"/>
      <c r="AB118" s="696"/>
      <c r="AC118" s="696"/>
      <c r="AD118" s="696"/>
      <c r="AE118" s="696"/>
      <c r="AF118" s="696"/>
      <c r="AG118" s="696"/>
      <c r="AH118" s="696">
        <v>0</v>
      </c>
      <c r="AI118" s="696">
        <v>0</v>
      </c>
      <c r="AJ118" s="696">
        <v>0</v>
      </c>
      <c r="AK118" s="696">
        <v>0</v>
      </c>
      <c r="AL118" s="696"/>
      <c r="AM118" s="696"/>
      <c r="AN118" s="696"/>
      <c r="AO118" s="696"/>
      <c r="AP118" s="696"/>
      <c r="AQ118" s="696"/>
      <c r="AT118" s="696"/>
      <c r="AU118" s="674"/>
      <c r="AV118" s="674"/>
      <c r="AW118" s="674"/>
      <c r="AX118" s="674"/>
      <c r="AY118" s="674"/>
      <c r="AZ118" s="674"/>
      <c r="BA118" s="674"/>
      <c r="BB118" s="674"/>
    </row>
    <row r="119" spans="1:54">
      <c r="A119" s="674" t="s">
        <v>390</v>
      </c>
      <c r="B119" s="674" t="s">
        <v>2858</v>
      </c>
      <c r="C119" s="674" t="s">
        <v>2855</v>
      </c>
      <c r="D119" s="673" t="s">
        <v>348</v>
      </c>
      <c r="E119" s="674" t="s">
        <v>352</v>
      </c>
      <c r="F119" s="674" t="s">
        <v>364</v>
      </c>
      <c r="G119" s="697">
        <v>2030</v>
      </c>
      <c r="H119" s="695">
        <v>18</v>
      </c>
      <c r="I119" s="698">
        <v>14.07</v>
      </c>
      <c r="J119" s="698">
        <v>1.3</v>
      </c>
      <c r="K119" s="674">
        <v>1</v>
      </c>
      <c r="L119" s="674">
        <v>0.16</v>
      </c>
      <c r="M119" s="674">
        <v>0.16</v>
      </c>
      <c r="N119" s="674">
        <v>0.16</v>
      </c>
      <c r="O119" s="674">
        <v>0.16</v>
      </c>
      <c r="P119" s="674">
        <v>0.16</v>
      </c>
      <c r="Q119" s="674"/>
      <c r="R119" s="674">
        <v>0.18</v>
      </c>
      <c r="S119" s="696"/>
      <c r="T119" s="696"/>
      <c r="U119" s="696"/>
      <c r="V119" s="696"/>
      <c r="W119" s="696"/>
      <c r="X119" s="696"/>
      <c r="Y119" s="696"/>
      <c r="Z119" s="696"/>
      <c r="AA119" s="696"/>
      <c r="AB119" s="696"/>
      <c r="AC119" s="696"/>
      <c r="AD119" s="696"/>
      <c r="AE119" s="696"/>
      <c r="AF119" s="696"/>
      <c r="AG119" s="696"/>
      <c r="AH119" s="696">
        <v>0</v>
      </c>
      <c r="AI119" s="696">
        <v>0</v>
      </c>
      <c r="AJ119" s="696">
        <v>0</v>
      </c>
      <c r="AK119" s="696">
        <v>0</v>
      </c>
      <c r="AL119" s="696"/>
      <c r="AM119" s="696"/>
      <c r="AN119" s="696"/>
      <c r="AO119" s="696"/>
      <c r="AP119" s="696"/>
      <c r="AQ119" s="696"/>
      <c r="AT119" s="696"/>
      <c r="AU119" s="674"/>
      <c r="AV119" s="674"/>
      <c r="AW119" s="674"/>
      <c r="AX119" s="674"/>
      <c r="AY119" s="674"/>
      <c r="AZ119" s="674"/>
      <c r="BA119" s="674"/>
      <c r="BB119" s="674"/>
    </row>
    <row r="120" spans="1:54">
      <c r="A120" s="674" t="s">
        <v>390</v>
      </c>
      <c r="B120" s="674" t="s">
        <v>2850</v>
      </c>
      <c r="C120" s="674" t="s">
        <v>2853</v>
      </c>
      <c r="D120" s="673" t="s">
        <v>348</v>
      </c>
      <c r="E120" s="674" t="s">
        <v>352</v>
      </c>
      <c r="F120" s="674" t="s">
        <v>364</v>
      </c>
      <c r="G120" s="697">
        <v>2040</v>
      </c>
      <c r="H120" s="695">
        <v>12</v>
      </c>
      <c r="I120" s="698">
        <v>12.292720843386961</v>
      </c>
      <c r="J120" s="698">
        <v>1.3</v>
      </c>
      <c r="K120" s="674">
        <v>1</v>
      </c>
      <c r="L120" s="674">
        <v>0.16</v>
      </c>
      <c r="M120" s="674">
        <v>0.16</v>
      </c>
      <c r="N120" s="674">
        <v>0.16</v>
      </c>
      <c r="O120" s="674">
        <v>0.16</v>
      </c>
      <c r="P120" s="674">
        <v>0.16</v>
      </c>
      <c r="Q120" s="674"/>
      <c r="R120" s="674">
        <v>0.18</v>
      </c>
      <c r="S120" s="696"/>
      <c r="T120" s="696"/>
      <c r="U120" s="696"/>
      <c r="V120" s="696"/>
      <c r="W120" s="696"/>
      <c r="X120" s="696"/>
      <c r="Y120" s="696"/>
      <c r="Z120" s="696"/>
      <c r="AA120" s="696"/>
      <c r="AB120" s="696"/>
      <c r="AC120" s="696"/>
      <c r="AD120" s="696"/>
      <c r="AE120" s="696"/>
      <c r="AF120" s="696"/>
      <c r="AG120" s="696"/>
      <c r="AH120" s="696">
        <v>0</v>
      </c>
      <c r="AI120" s="696">
        <v>0</v>
      </c>
      <c r="AJ120" s="696">
        <v>0</v>
      </c>
      <c r="AK120" s="696">
        <v>0</v>
      </c>
      <c r="AL120" s="696">
        <v>0</v>
      </c>
      <c r="AM120" s="696">
        <v>0</v>
      </c>
      <c r="AN120" s="696"/>
      <c r="AO120" s="696"/>
      <c r="AP120" s="696"/>
      <c r="AQ120" s="696"/>
      <c r="AT120" s="696"/>
      <c r="AU120" s="674"/>
      <c r="AV120" s="674"/>
      <c r="AW120" s="674"/>
      <c r="AX120" s="674"/>
      <c r="AY120" s="674"/>
      <c r="AZ120" s="674"/>
      <c r="BA120" s="674"/>
      <c r="BB120" s="674"/>
    </row>
    <row r="121" spans="1:54">
      <c r="A121" s="674" t="s">
        <v>390</v>
      </c>
      <c r="B121" s="674" t="s">
        <v>2859</v>
      </c>
      <c r="C121" s="674" t="s">
        <v>2856</v>
      </c>
      <c r="D121" s="673" t="s">
        <v>348</v>
      </c>
      <c r="E121" s="674" t="s">
        <v>352</v>
      </c>
      <c r="F121" s="674" t="s">
        <v>364</v>
      </c>
      <c r="G121" s="697">
        <v>2040</v>
      </c>
      <c r="H121" s="695">
        <v>18</v>
      </c>
      <c r="I121" s="698">
        <v>14.07</v>
      </c>
      <c r="J121" s="698">
        <v>1.3</v>
      </c>
      <c r="K121" s="674">
        <v>1</v>
      </c>
      <c r="L121" s="674">
        <v>0.16</v>
      </c>
      <c r="M121" s="674">
        <v>0.16</v>
      </c>
      <c r="N121" s="674">
        <v>0.16</v>
      </c>
      <c r="O121" s="674">
        <v>0.16</v>
      </c>
      <c r="P121" s="674">
        <v>0.16</v>
      </c>
      <c r="Q121" s="674"/>
      <c r="R121" s="674">
        <v>0.18</v>
      </c>
      <c r="S121" s="696"/>
      <c r="T121" s="696"/>
      <c r="U121" s="696"/>
      <c r="V121" s="696"/>
      <c r="W121" s="696"/>
      <c r="X121" s="696"/>
      <c r="Y121" s="696"/>
      <c r="Z121" s="696"/>
      <c r="AA121" s="696"/>
      <c r="AB121" s="696"/>
      <c r="AC121" s="696"/>
      <c r="AD121" s="696"/>
      <c r="AE121" s="696"/>
      <c r="AF121" s="696"/>
      <c r="AG121" s="696"/>
      <c r="AH121" s="696">
        <v>0</v>
      </c>
      <c r="AI121" s="696">
        <v>0</v>
      </c>
      <c r="AJ121" s="696">
        <v>0</v>
      </c>
      <c r="AK121" s="696">
        <v>0</v>
      </c>
      <c r="AL121" s="696">
        <v>0</v>
      </c>
      <c r="AM121" s="696">
        <v>0</v>
      </c>
      <c r="AN121" s="696"/>
      <c r="AO121" s="696"/>
      <c r="AP121" s="696"/>
      <c r="AQ121" s="696"/>
      <c r="AT121" s="696"/>
      <c r="AU121" s="674"/>
      <c r="AV121" s="674"/>
      <c r="AW121" s="674"/>
      <c r="AX121" s="674"/>
      <c r="AY121" s="674"/>
      <c r="AZ121" s="674"/>
      <c r="BA121" s="674"/>
      <c r="BB121" s="674"/>
    </row>
    <row r="122" spans="1:54">
      <c r="A122" s="674" t="s">
        <v>390</v>
      </c>
      <c r="B122" s="674" t="s">
        <v>2851</v>
      </c>
      <c r="C122" s="674" t="s">
        <v>2854</v>
      </c>
      <c r="D122" s="673" t="s">
        <v>348</v>
      </c>
      <c r="E122" s="674" t="s">
        <v>352</v>
      </c>
      <c r="F122" s="674" t="s">
        <v>364</v>
      </c>
      <c r="G122" s="697">
        <v>2050</v>
      </c>
      <c r="H122" s="695">
        <v>12</v>
      </c>
      <c r="I122" s="698">
        <v>12.292720843386961</v>
      </c>
      <c r="J122" s="698">
        <v>1.3</v>
      </c>
      <c r="K122" s="674">
        <v>1</v>
      </c>
      <c r="L122" s="674">
        <v>0.16</v>
      </c>
      <c r="M122" s="674">
        <v>0.16</v>
      </c>
      <c r="N122" s="674">
        <v>0.16</v>
      </c>
      <c r="O122" s="674">
        <v>0.16</v>
      </c>
      <c r="P122" s="674">
        <v>0.16</v>
      </c>
      <c r="Q122" s="674"/>
      <c r="R122" s="674">
        <v>0.18</v>
      </c>
      <c r="S122" s="696"/>
      <c r="T122" s="696"/>
      <c r="U122" s="696"/>
      <c r="V122" s="696"/>
      <c r="W122" s="696"/>
      <c r="X122" s="696"/>
      <c r="Y122" s="696"/>
      <c r="Z122" s="696"/>
      <c r="AA122" s="696"/>
      <c r="AB122" s="696"/>
      <c r="AC122" s="696"/>
      <c r="AD122" s="696"/>
      <c r="AE122" s="696"/>
      <c r="AF122" s="696"/>
      <c r="AG122" s="696"/>
      <c r="AH122" s="696">
        <v>0</v>
      </c>
      <c r="AI122" s="696">
        <v>0</v>
      </c>
      <c r="AJ122" s="696">
        <v>0</v>
      </c>
      <c r="AK122" s="696">
        <v>0</v>
      </c>
      <c r="AL122" s="696">
        <v>0</v>
      </c>
      <c r="AM122" s="696">
        <v>0</v>
      </c>
      <c r="AN122" s="696">
        <v>0</v>
      </c>
      <c r="AO122" s="696">
        <v>0</v>
      </c>
      <c r="AP122" s="696"/>
      <c r="AQ122" s="696"/>
      <c r="AT122" s="696"/>
      <c r="AU122" s="674"/>
      <c r="AV122" s="674"/>
      <c r="AW122" s="674"/>
      <c r="AX122" s="674"/>
      <c r="AY122" s="674"/>
      <c r="AZ122" s="674"/>
      <c r="BA122" s="674"/>
      <c r="BB122" s="674"/>
    </row>
    <row r="123" spans="1:54">
      <c r="A123" s="674" t="s">
        <v>390</v>
      </c>
      <c r="B123" s="674" t="s">
        <v>2860</v>
      </c>
      <c r="C123" s="674" t="s">
        <v>2857</v>
      </c>
      <c r="D123" s="673" t="s">
        <v>348</v>
      </c>
      <c r="E123" s="674" t="s">
        <v>352</v>
      </c>
      <c r="F123" s="674" t="s">
        <v>364</v>
      </c>
      <c r="G123" s="697">
        <v>2050</v>
      </c>
      <c r="H123" s="695">
        <v>18</v>
      </c>
      <c r="I123" s="698">
        <v>14.07</v>
      </c>
      <c r="J123" s="698">
        <v>1.3</v>
      </c>
      <c r="K123" s="674">
        <v>1</v>
      </c>
      <c r="L123" s="674">
        <v>0.16</v>
      </c>
      <c r="M123" s="674">
        <v>0.16</v>
      </c>
      <c r="N123" s="674">
        <v>0.16</v>
      </c>
      <c r="O123" s="674">
        <v>0.16</v>
      </c>
      <c r="P123" s="674">
        <v>0.16</v>
      </c>
      <c r="Q123" s="674"/>
      <c r="R123" s="674">
        <v>0.18</v>
      </c>
      <c r="S123" s="696"/>
      <c r="T123" s="696"/>
      <c r="U123" s="696"/>
      <c r="V123" s="696"/>
      <c r="W123" s="696"/>
      <c r="X123" s="696"/>
      <c r="Y123" s="696"/>
      <c r="Z123" s="696"/>
      <c r="AA123" s="696"/>
      <c r="AB123" s="696"/>
      <c r="AC123" s="696"/>
      <c r="AD123" s="696"/>
      <c r="AE123" s="696"/>
      <c r="AF123" s="696"/>
      <c r="AG123" s="696"/>
      <c r="AH123" s="696">
        <v>0</v>
      </c>
      <c r="AI123" s="696">
        <v>0</v>
      </c>
      <c r="AJ123" s="696">
        <v>0</v>
      </c>
      <c r="AK123" s="696">
        <v>0</v>
      </c>
      <c r="AL123" s="696">
        <v>0</v>
      </c>
      <c r="AM123" s="696">
        <v>0</v>
      </c>
      <c r="AN123" s="696">
        <v>0</v>
      </c>
      <c r="AO123" s="696">
        <v>0</v>
      </c>
      <c r="AP123" s="696"/>
      <c r="AQ123" s="696"/>
      <c r="AT123" s="696"/>
      <c r="AU123" s="674"/>
      <c r="AV123" s="674"/>
      <c r="AW123" s="674"/>
      <c r="AX123" s="674"/>
      <c r="AY123" s="674"/>
      <c r="AZ123" s="674"/>
      <c r="BA123" s="674"/>
      <c r="BB123" s="674"/>
    </row>
    <row r="124" spans="1:54" ht="15.75" customHeight="1">
      <c r="A124" s="684" t="s">
        <v>399</v>
      </c>
      <c r="B124" s="682"/>
      <c r="C124" s="682"/>
      <c r="D124" s="682"/>
      <c r="E124" s="684"/>
      <c r="F124" s="684"/>
      <c r="G124" s="704"/>
      <c r="H124" s="705"/>
      <c r="I124" s="705"/>
      <c r="J124" s="706"/>
      <c r="K124" s="705"/>
      <c r="L124" s="705"/>
      <c r="M124" s="705" t="s">
        <v>729</v>
      </c>
      <c r="N124" s="705" t="s">
        <v>729</v>
      </c>
      <c r="O124" s="705" t="s">
        <v>729</v>
      </c>
      <c r="P124" s="705" t="s">
        <v>729</v>
      </c>
      <c r="Q124" s="705"/>
      <c r="R124" s="706"/>
      <c r="S124" s="707"/>
      <c r="T124" s="707"/>
      <c r="U124" s="707"/>
      <c r="V124" s="707"/>
      <c r="W124" s="707"/>
      <c r="X124" s="707"/>
      <c r="Y124" s="707"/>
      <c r="Z124" s="707"/>
      <c r="AA124" s="707"/>
      <c r="AB124" s="707"/>
      <c r="AC124" s="707"/>
      <c r="AD124" s="707"/>
      <c r="AE124" s="707"/>
      <c r="AF124" s="707"/>
      <c r="AG124" s="707"/>
      <c r="AH124" s="707"/>
      <c r="AI124" s="707"/>
      <c r="AJ124" s="707"/>
      <c r="AK124" s="707"/>
      <c r="AL124" s="707"/>
      <c r="AM124" s="707"/>
      <c r="AN124" s="707"/>
      <c r="AO124" s="707"/>
      <c r="AP124" s="707"/>
      <c r="AQ124" s="708"/>
      <c r="AT124" s="708"/>
      <c r="AU124" s="682"/>
      <c r="AV124" s="682"/>
      <c r="AW124" s="682"/>
      <c r="AX124" s="682"/>
      <c r="AY124" s="682"/>
      <c r="AZ124" s="682"/>
      <c r="BA124" s="682"/>
      <c r="BB124" s="682"/>
    </row>
    <row r="125" spans="1:54" ht="15.75" customHeight="1">
      <c r="A125" s="684" t="s">
        <v>2333</v>
      </c>
      <c r="B125" s="682"/>
      <c r="C125" s="682"/>
      <c r="D125" s="682"/>
      <c r="E125" s="684"/>
      <c r="F125" s="684"/>
      <c r="G125" s="704"/>
      <c r="H125" s="705"/>
      <c r="I125" s="705"/>
      <c r="J125" s="706"/>
      <c r="K125" s="705"/>
      <c r="L125" s="705"/>
      <c r="M125" s="705" t="s">
        <v>729</v>
      </c>
      <c r="N125" s="705" t="s">
        <v>729</v>
      </c>
      <c r="O125" s="705" t="s">
        <v>729</v>
      </c>
      <c r="P125" s="705" t="s">
        <v>729</v>
      </c>
      <c r="Q125" s="705"/>
      <c r="R125" s="706"/>
      <c r="S125" s="707"/>
      <c r="T125" s="707"/>
      <c r="U125" s="707"/>
      <c r="V125" s="707"/>
      <c r="W125" s="707"/>
      <c r="X125" s="707"/>
      <c r="Y125" s="707"/>
      <c r="Z125" s="707"/>
      <c r="AA125" s="707"/>
      <c r="AB125" s="707"/>
      <c r="AC125" s="707"/>
      <c r="AD125" s="707"/>
      <c r="AE125" s="707"/>
      <c r="AF125" s="707"/>
      <c r="AG125" s="707"/>
      <c r="AH125" s="707"/>
      <c r="AI125" s="707"/>
      <c r="AJ125" s="707"/>
      <c r="AK125" s="707"/>
      <c r="AL125" s="707"/>
      <c r="AM125" s="707"/>
      <c r="AN125" s="707"/>
      <c r="AO125" s="707"/>
      <c r="AP125" s="707"/>
      <c r="AQ125" s="708"/>
      <c r="AT125" s="708"/>
      <c r="AU125" s="682"/>
      <c r="AV125" s="682"/>
      <c r="AW125" s="682"/>
      <c r="AX125" s="682"/>
      <c r="AY125" s="682"/>
      <c r="AZ125" s="682"/>
      <c r="BA125" s="682"/>
      <c r="BB125" s="682"/>
    </row>
    <row r="126" spans="1:54">
      <c r="A126" s="674" t="s">
        <v>390</v>
      </c>
      <c r="B126" s="674" t="s">
        <v>808</v>
      </c>
      <c r="C126" s="674" t="s">
        <v>807</v>
      </c>
      <c r="D126" s="673" t="s">
        <v>348</v>
      </c>
      <c r="E126" s="674" t="s">
        <v>349</v>
      </c>
      <c r="F126" s="674" t="s">
        <v>366</v>
      </c>
      <c r="G126" s="697">
        <v>2010</v>
      </c>
      <c r="H126" s="695">
        <v>10</v>
      </c>
      <c r="I126" s="698"/>
      <c r="J126" s="698">
        <v>2.7435958263219513</v>
      </c>
      <c r="K126" s="674">
        <v>1</v>
      </c>
      <c r="L126" s="674">
        <v>0.15</v>
      </c>
      <c r="M126" s="674">
        <v>0.15</v>
      </c>
      <c r="N126" s="674">
        <v>0.15</v>
      </c>
      <c r="O126" s="674">
        <v>0.15</v>
      </c>
      <c r="P126" s="674">
        <v>0.15</v>
      </c>
      <c r="Q126" s="674"/>
      <c r="R126" s="674">
        <v>0.6</v>
      </c>
      <c r="S126" s="699"/>
      <c r="T126" s="699"/>
      <c r="U126" s="699"/>
      <c r="V126" s="699"/>
      <c r="W126" s="699"/>
      <c r="X126" s="699"/>
      <c r="Y126" s="699"/>
      <c r="Z126" s="699"/>
      <c r="AA126" s="699"/>
      <c r="AB126" s="699"/>
      <c r="AC126" s="699"/>
      <c r="AD126" s="699"/>
      <c r="AE126" s="699"/>
      <c r="AF126" s="699"/>
      <c r="AG126" s="699"/>
      <c r="AH126" s="696">
        <v>0</v>
      </c>
      <c r="AI126" s="696">
        <v>0</v>
      </c>
      <c r="AJ126" s="696">
        <v>0</v>
      </c>
      <c r="AK126" s="696">
        <v>0</v>
      </c>
      <c r="AL126" s="696">
        <v>0</v>
      </c>
      <c r="AM126" s="696">
        <v>0</v>
      </c>
      <c r="AN126" s="696">
        <v>0</v>
      </c>
      <c r="AO126" s="696">
        <v>0</v>
      </c>
      <c r="AP126" s="696">
        <v>0</v>
      </c>
      <c r="AQ126" s="696">
        <v>0</v>
      </c>
      <c r="AT126" s="696"/>
      <c r="AU126" s="674"/>
      <c r="AV126" s="674"/>
      <c r="AW126" s="674"/>
      <c r="AX126" s="674"/>
      <c r="AY126" s="674"/>
      <c r="AZ126" s="674"/>
      <c r="BA126" s="674"/>
      <c r="BB126" s="674"/>
    </row>
    <row r="127" spans="1:54">
      <c r="A127" s="674" t="s">
        <v>1528</v>
      </c>
      <c r="B127" s="674" t="s">
        <v>275</v>
      </c>
      <c r="C127" s="674" t="s">
        <v>276</v>
      </c>
      <c r="D127" s="673" t="s">
        <v>348</v>
      </c>
      <c r="E127" s="674" t="s">
        <v>349</v>
      </c>
      <c r="F127" s="674" t="s">
        <v>366</v>
      </c>
      <c r="G127" s="697" t="s">
        <v>489</v>
      </c>
      <c r="H127" s="695">
        <v>10</v>
      </c>
      <c r="I127" s="698">
        <v>3.5842305364011087</v>
      </c>
      <c r="J127" s="698">
        <v>2.74</v>
      </c>
      <c r="K127" s="674">
        <v>1</v>
      </c>
      <c r="L127" s="674">
        <v>0.15</v>
      </c>
      <c r="M127" s="674">
        <v>0.15</v>
      </c>
      <c r="N127" s="674">
        <v>0.15</v>
      </c>
      <c r="O127" s="674">
        <v>0.15</v>
      </c>
      <c r="P127" s="674">
        <v>0.15</v>
      </c>
      <c r="Q127" s="674"/>
      <c r="R127" s="674">
        <v>0.6</v>
      </c>
      <c r="S127" s="699">
        <f>Resid!V57</f>
        <v>30.095896681034745</v>
      </c>
      <c r="T127" s="699">
        <f>Resid!W57</f>
        <v>16.32883686899962</v>
      </c>
      <c r="U127" s="699">
        <f>Resid!X57</f>
        <v>18.6956262702627</v>
      </c>
      <c r="V127" s="699">
        <f>Resid!Y57</f>
        <v>5.525789834154585</v>
      </c>
      <c r="W127" s="699">
        <f>Resid!Z57</f>
        <v>26.524946511696474</v>
      </c>
      <c r="X127" s="699"/>
      <c r="Y127" s="699"/>
      <c r="Z127" s="699"/>
      <c r="AA127" s="699"/>
      <c r="AB127" s="699"/>
      <c r="AC127" s="699"/>
      <c r="AD127" s="699"/>
      <c r="AE127" s="699"/>
      <c r="AF127" s="699"/>
      <c r="AG127" s="699"/>
      <c r="AH127" s="696"/>
      <c r="AI127" s="696"/>
      <c r="AJ127" s="696"/>
      <c r="AK127" s="696"/>
      <c r="AL127" s="696"/>
      <c r="AM127" s="696"/>
      <c r="AN127" s="696"/>
      <c r="AO127" s="696"/>
      <c r="AP127" s="696"/>
      <c r="AQ127" s="696"/>
      <c r="AT127" s="696"/>
      <c r="AU127" s="674"/>
      <c r="AV127" s="674"/>
      <c r="AW127" s="674"/>
      <c r="AX127" s="674"/>
      <c r="AY127" s="674"/>
      <c r="AZ127" s="674"/>
      <c r="BA127" s="674"/>
      <c r="BB127" s="674"/>
    </row>
    <row r="128" spans="1:54">
      <c r="A128" s="674" t="s">
        <v>390</v>
      </c>
      <c r="B128" s="674" t="s">
        <v>2897</v>
      </c>
      <c r="C128" s="674" t="s">
        <v>2898</v>
      </c>
      <c r="D128" s="673" t="s">
        <v>348</v>
      </c>
      <c r="E128" s="674" t="s">
        <v>349</v>
      </c>
      <c r="F128" s="674" t="s">
        <v>366</v>
      </c>
      <c r="G128" s="697">
        <v>2015</v>
      </c>
      <c r="H128" s="695">
        <v>6</v>
      </c>
      <c r="I128" s="698">
        <v>3.5146338269564263</v>
      </c>
      <c r="J128" s="698">
        <v>3.3923979660312087</v>
      </c>
      <c r="K128" s="674">
        <v>1</v>
      </c>
      <c r="L128" s="674">
        <v>0.15</v>
      </c>
      <c r="M128" s="674">
        <v>0.15</v>
      </c>
      <c r="N128" s="674">
        <v>0.15</v>
      </c>
      <c r="O128" s="674">
        <v>0.15</v>
      </c>
      <c r="P128" s="674">
        <v>0.15</v>
      </c>
      <c r="Q128" s="674"/>
      <c r="R128" s="674">
        <v>0.6</v>
      </c>
      <c r="S128" s="699"/>
      <c r="T128" s="699"/>
      <c r="U128" s="699"/>
      <c r="V128" s="699"/>
      <c r="W128" s="699"/>
      <c r="X128" s="699"/>
      <c r="Y128" s="699"/>
      <c r="Z128" s="699"/>
      <c r="AA128" s="699"/>
      <c r="AB128" s="699"/>
      <c r="AC128" s="699"/>
      <c r="AD128" s="699"/>
      <c r="AE128" s="699"/>
      <c r="AF128" s="699"/>
      <c r="AG128" s="699"/>
      <c r="AH128" s="696">
        <v>0</v>
      </c>
      <c r="AI128" s="696"/>
      <c r="AJ128" s="696"/>
      <c r="AK128" s="696"/>
      <c r="AL128" s="696"/>
      <c r="AM128" s="696"/>
      <c r="AN128" s="696"/>
      <c r="AO128" s="696"/>
      <c r="AP128" s="696"/>
      <c r="AQ128" s="696"/>
      <c r="AT128" s="696"/>
      <c r="AU128" s="674"/>
      <c r="AV128" s="674"/>
      <c r="AW128" s="674"/>
      <c r="AX128" s="674"/>
      <c r="AY128" s="674"/>
      <c r="AZ128" s="674"/>
      <c r="BA128" s="674"/>
      <c r="BB128" s="674"/>
    </row>
    <row r="129" spans="1:54">
      <c r="A129" s="674" t="s">
        <v>390</v>
      </c>
      <c r="B129" s="674" t="s">
        <v>1024</v>
      </c>
      <c r="C129" s="674" t="s">
        <v>1025</v>
      </c>
      <c r="D129" s="673" t="s">
        <v>348</v>
      </c>
      <c r="E129" s="674" t="s">
        <v>349</v>
      </c>
      <c r="F129" s="674" t="s">
        <v>366</v>
      </c>
      <c r="G129" s="697" t="s">
        <v>490</v>
      </c>
      <c r="H129" s="695">
        <v>6</v>
      </c>
      <c r="I129" s="698">
        <v>3.7930206647351534</v>
      </c>
      <c r="J129" s="698">
        <v>3.7347500543462844</v>
      </c>
      <c r="K129" s="674">
        <v>1</v>
      </c>
      <c r="L129" s="674">
        <v>0.15</v>
      </c>
      <c r="M129" s="674">
        <v>0.15</v>
      </c>
      <c r="N129" s="674">
        <v>0.15</v>
      </c>
      <c r="O129" s="674">
        <v>0.15</v>
      </c>
      <c r="P129" s="674">
        <v>0.15</v>
      </c>
      <c r="Q129" s="674"/>
      <c r="R129" s="674">
        <v>0.6</v>
      </c>
      <c r="S129" s="699"/>
      <c r="T129" s="699"/>
      <c r="U129" s="699"/>
      <c r="V129" s="699"/>
      <c r="W129" s="699"/>
      <c r="X129" s="699"/>
      <c r="Y129" s="699"/>
      <c r="Z129" s="699"/>
      <c r="AA129" s="699"/>
      <c r="AB129" s="699"/>
      <c r="AC129" s="699"/>
      <c r="AD129" s="699"/>
      <c r="AE129" s="699"/>
      <c r="AF129" s="699"/>
      <c r="AG129" s="699"/>
      <c r="AH129" s="696">
        <v>0</v>
      </c>
      <c r="AI129" s="696"/>
      <c r="AJ129" s="696"/>
      <c r="AK129" s="696"/>
      <c r="AL129" s="696"/>
      <c r="AM129" s="696"/>
      <c r="AN129" s="696"/>
      <c r="AO129" s="696"/>
      <c r="AP129" s="696"/>
      <c r="AQ129" s="696"/>
      <c r="AT129" s="696"/>
      <c r="AU129" s="674"/>
      <c r="AV129" s="674"/>
      <c r="AW129" s="674"/>
      <c r="AX129" s="674"/>
      <c r="AY129" s="674"/>
      <c r="AZ129" s="674"/>
      <c r="BA129" s="674"/>
      <c r="BB129" s="674"/>
    </row>
    <row r="130" spans="1:54">
      <c r="A130" s="674" t="s">
        <v>390</v>
      </c>
      <c r="B130" s="674" t="s">
        <v>142</v>
      </c>
      <c r="C130" s="674" t="s">
        <v>2899</v>
      </c>
      <c r="D130" s="673" t="s">
        <v>348</v>
      </c>
      <c r="E130" s="674" t="s">
        <v>349</v>
      </c>
      <c r="F130" s="674" t="s">
        <v>366</v>
      </c>
      <c r="G130" s="697">
        <v>2020</v>
      </c>
      <c r="H130" s="695">
        <v>6</v>
      </c>
      <c r="I130" s="698">
        <v>3.7930206647351534</v>
      </c>
      <c r="J130" s="698">
        <v>3.7347500543462844</v>
      </c>
      <c r="K130" s="674">
        <v>1</v>
      </c>
      <c r="L130" s="674">
        <v>0.15</v>
      </c>
      <c r="M130" s="674">
        <v>0.15</v>
      </c>
      <c r="N130" s="674">
        <v>0.15</v>
      </c>
      <c r="O130" s="674">
        <v>0.15</v>
      </c>
      <c r="P130" s="674">
        <v>0.15</v>
      </c>
      <c r="Q130" s="674"/>
      <c r="R130" s="674">
        <v>0.6</v>
      </c>
      <c r="S130" s="699"/>
      <c r="T130" s="699"/>
      <c r="U130" s="699"/>
      <c r="V130" s="699"/>
      <c r="W130" s="699"/>
      <c r="X130" s="699"/>
      <c r="Y130" s="699"/>
      <c r="Z130" s="699"/>
      <c r="AA130" s="699"/>
      <c r="AB130" s="699"/>
      <c r="AC130" s="699"/>
      <c r="AD130" s="699"/>
      <c r="AE130" s="699"/>
      <c r="AF130" s="699"/>
      <c r="AG130" s="699"/>
      <c r="AH130" s="696">
        <v>0</v>
      </c>
      <c r="AI130" s="696"/>
      <c r="AJ130" s="696"/>
      <c r="AK130" s="696"/>
      <c r="AL130" s="696"/>
      <c r="AM130" s="696"/>
      <c r="AN130" s="696"/>
      <c r="AO130" s="696"/>
      <c r="AP130" s="696"/>
      <c r="AQ130" s="696"/>
      <c r="AT130" s="696"/>
      <c r="AU130" s="674"/>
      <c r="AV130" s="674"/>
      <c r="AW130" s="674"/>
      <c r="AX130" s="674"/>
      <c r="AY130" s="674"/>
      <c r="AZ130" s="674"/>
      <c r="BA130" s="674"/>
      <c r="BB130" s="674"/>
    </row>
    <row r="131" spans="1:54">
      <c r="A131" s="674" t="s">
        <v>390</v>
      </c>
      <c r="B131" s="674" t="s">
        <v>2900</v>
      </c>
      <c r="C131" s="674" t="s">
        <v>2901</v>
      </c>
      <c r="D131" s="673" t="s">
        <v>348</v>
      </c>
      <c r="E131" s="674" t="s">
        <v>349</v>
      </c>
      <c r="F131" s="674" t="s">
        <v>366</v>
      </c>
      <c r="G131" s="697">
        <v>2020</v>
      </c>
      <c r="H131" s="695">
        <v>6</v>
      </c>
      <c r="I131" s="698">
        <v>3.7930206647351534</v>
      </c>
      <c r="J131" s="698">
        <v>3.8903646399440461</v>
      </c>
      <c r="K131" s="674">
        <v>1</v>
      </c>
      <c r="L131" s="674">
        <v>0.15</v>
      </c>
      <c r="M131" s="674">
        <v>0.15</v>
      </c>
      <c r="N131" s="674">
        <v>0.15</v>
      </c>
      <c r="O131" s="674">
        <v>0.15</v>
      </c>
      <c r="P131" s="674">
        <v>0.15</v>
      </c>
      <c r="Q131" s="674"/>
      <c r="R131" s="674">
        <v>0.6</v>
      </c>
      <c r="S131" s="699"/>
      <c r="T131" s="699"/>
      <c r="U131" s="699"/>
      <c r="V131" s="699"/>
      <c r="W131" s="699"/>
      <c r="X131" s="699"/>
      <c r="Y131" s="699"/>
      <c r="Z131" s="699"/>
      <c r="AA131" s="699"/>
      <c r="AB131" s="699"/>
      <c r="AC131" s="699"/>
      <c r="AD131" s="699"/>
      <c r="AE131" s="699"/>
      <c r="AF131" s="699"/>
      <c r="AG131" s="699"/>
      <c r="AH131" s="696">
        <v>0</v>
      </c>
      <c r="AI131" s="696"/>
      <c r="AJ131" s="696"/>
      <c r="AK131" s="696"/>
      <c r="AL131" s="696"/>
      <c r="AM131" s="696"/>
      <c r="AN131" s="696"/>
      <c r="AO131" s="696"/>
      <c r="AP131" s="696"/>
      <c r="AQ131" s="696"/>
      <c r="AT131" s="696"/>
      <c r="AU131" s="674"/>
      <c r="AV131" s="674"/>
      <c r="AW131" s="674"/>
      <c r="AX131" s="674"/>
      <c r="AY131" s="674"/>
      <c r="AZ131" s="674"/>
      <c r="BA131" s="674"/>
      <c r="BB131" s="674"/>
    </row>
    <row r="132" spans="1:54">
      <c r="A132" s="674" t="s">
        <v>390</v>
      </c>
      <c r="B132" s="674" t="s">
        <v>2902</v>
      </c>
      <c r="C132" s="674" t="s">
        <v>2903</v>
      </c>
      <c r="D132" s="673" t="s">
        <v>348</v>
      </c>
      <c r="E132" s="674" t="s">
        <v>349</v>
      </c>
      <c r="F132" s="674" t="s">
        <v>366</v>
      </c>
      <c r="G132" s="697">
        <v>2030</v>
      </c>
      <c r="H132" s="695">
        <v>13</v>
      </c>
      <c r="I132" s="698">
        <v>4.5237861139043112</v>
      </c>
      <c r="J132" s="698">
        <v>3.8281188057049418</v>
      </c>
      <c r="K132" s="674">
        <v>1</v>
      </c>
      <c r="L132" s="674">
        <v>0.15</v>
      </c>
      <c r="M132" s="674">
        <v>0.15</v>
      </c>
      <c r="N132" s="674">
        <v>0.15</v>
      </c>
      <c r="O132" s="674">
        <v>0.15</v>
      </c>
      <c r="P132" s="674">
        <v>0.15</v>
      </c>
      <c r="Q132" s="674"/>
      <c r="R132" s="674">
        <v>0.6</v>
      </c>
      <c r="S132" s="699"/>
      <c r="T132" s="699"/>
      <c r="U132" s="699"/>
      <c r="V132" s="699"/>
      <c r="W132" s="699"/>
      <c r="X132" s="699"/>
      <c r="Y132" s="699"/>
      <c r="Z132" s="699"/>
      <c r="AA132" s="699"/>
      <c r="AB132" s="699"/>
      <c r="AC132" s="699"/>
      <c r="AD132" s="699"/>
      <c r="AE132" s="699"/>
      <c r="AF132" s="699"/>
      <c r="AG132" s="699"/>
      <c r="AH132" s="696">
        <v>0</v>
      </c>
      <c r="AI132" s="696"/>
      <c r="AJ132" s="696"/>
      <c r="AK132" s="696"/>
      <c r="AL132" s="696"/>
      <c r="AM132" s="696"/>
      <c r="AN132" s="696"/>
      <c r="AO132" s="696"/>
      <c r="AP132" s="696"/>
      <c r="AQ132" s="696"/>
      <c r="AT132" s="696"/>
      <c r="AU132" s="674"/>
      <c r="AV132" s="674"/>
      <c r="AW132" s="674"/>
      <c r="AX132" s="674"/>
      <c r="AY132" s="674"/>
      <c r="AZ132" s="674"/>
      <c r="BA132" s="674"/>
      <c r="BB132" s="674"/>
    </row>
    <row r="133" spans="1:54">
      <c r="A133" s="674" t="s">
        <v>390</v>
      </c>
      <c r="B133" s="674" t="s">
        <v>2904</v>
      </c>
      <c r="C133" s="674" t="s">
        <v>2905</v>
      </c>
      <c r="D133" s="673" t="s">
        <v>348</v>
      </c>
      <c r="E133" s="674" t="s">
        <v>349</v>
      </c>
      <c r="F133" s="674" t="s">
        <v>366</v>
      </c>
      <c r="G133" s="697">
        <v>2030</v>
      </c>
      <c r="H133" s="695">
        <v>13</v>
      </c>
      <c r="I133" s="698">
        <v>5.4285433366851734</v>
      </c>
      <c r="J133" s="698">
        <v>4.0459792255418083</v>
      </c>
      <c r="K133" s="674">
        <v>1</v>
      </c>
      <c r="L133" s="674">
        <v>0.15</v>
      </c>
      <c r="M133" s="674">
        <v>0.15</v>
      </c>
      <c r="N133" s="674">
        <v>0.15</v>
      </c>
      <c r="O133" s="674">
        <v>0.15</v>
      </c>
      <c r="P133" s="674">
        <v>0.15</v>
      </c>
      <c r="Q133" s="674"/>
      <c r="R133" s="674">
        <v>0.6</v>
      </c>
      <c r="S133" s="699"/>
      <c r="T133" s="699"/>
      <c r="U133" s="699"/>
      <c r="V133" s="699"/>
      <c r="W133" s="699"/>
      <c r="X133" s="699"/>
      <c r="Y133" s="699"/>
      <c r="Z133" s="699"/>
      <c r="AA133" s="699"/>
      <c r="AB133" s="699"/>
      <c r="AC133" s="699"/>
      <c r="AD133" s="699"/>
      <c r="AE133" s="699"/>
      <c r="AF133" s="699"/>
      <c r="AG133" s="699"/>
      <c r="AH133" s="696">
        <v>0</v>
      </c>
      <c r="AI133" s="696"/>
      <c r="AJ133" s="696"/>
      <c r="AK133" s="696"/>
      <c r="AL133" s="696"/>
      <c r="AM133" s="696"/>
      <c r="AN133" s="696"/>
      <c r="AO133" s="696"/>
      <c r="AP133" s="696"/>
      <c r="AQ133" s="696"/>
      <c r="AT133" s="696"/>
      <c r="AU133" s="674"/>
      <c r="AV133" s="674"/>
      <c r="AW133" s="674"/>
      <c r="AX133" s="674"/>
      <c r="AY133" s="674"/>
      <c r="AZ133" s="674"/>
      <c r="BA133" s="674"/>
      <c r="BB133" s="674"/>
    </row>
    <row r="134" spans="1:54">
      <c r="A134" s="674" t="s">
        <v>390</v>
      </c>
      <c r="B134" s="674" t="s">
        <v>2906</v>
      </c>
      <c r="C134" s="674" t="s">
        <v>2907</v>
      </c>
      <c r="D134" s="673" t="s">
        <v>348</v>
      </c>
      <c r="E134" s="674" t="s">
        <v>349</v>
      </c>
      <c r="F134" s="674" t="s">
        <v>366</v>
      </c>
      <c r="G134" s="697">
        <v>2040</v>
      </c>
      <c r="H134" s="695">
        <v>13</v>
      </c>
      <c r="I134" s="698">
        <v>4.5237861139043112</v>
      </c>
      <c r="J134" s="698">
        <v>3.8903646399440461</v>
      </c>
      <c r="K134" s="674">
        <v>1</v>
      </c>
      <c r="L134" s="674">
        <v>0.15</v>
      </c>
      <c r="M134" s="674">
        <v>0.15</v>
      </c>
      <c r="N134" s="674">
        <v>0.15</v>
      </c>
      <c r="O134" s="674">
        <v>0.15</v>
      </c>
      <c r="P134" s="674">
        <v>0.15</v>
      </c>
      <c r="Q134" s="674"/>
      <c r="R134" s="674">
        <v>0.6</v>
      </c>
      <c r="S134" s="699"/>
      <c r="T134" s="699"/>
      <c r="U134" s="699"/>
      <c r="V134" s="699"/>
      <c r="W134" s="699"/>
      <c r="X134" s="699"/>
      <c r="Y134" s="699"/>
      <c r="Z134" s="699"/>
      <c r="AA134" s="699"/>
      <c r="AB134" s="699"/>
      <c r="AC134" s="699"/>
      <c r="AD134" s="699"/>
      <c r="AE134" s="699"/>
      <c r="AF134" s="699"/>
      <c r="AG134" s="699"/>
      <c r="AH134" s="696">
        <v>0</v>
      </c>
      <c r="AI134" s="696"/>
      <c r="AJ134" s="696"/>
      <c r="AK134" s="696"/>
      <c r="AL134" s="696"/>
      <c r="AM134" s="696"/>
      <c r="AN134" s="696"/>
      <c r="AO134" s="696"/>
      <c r="AP134" s="696"/>
      <c r="AQ134" s="696"/>
      <c r="AT134" s="696"/>
      <c r="AU134" s="674"/>
      <c r="AV134" s="674"/>
      <c r="AW134" s="674"/>
      <c r="AX134" s="674"/>
      <c r="AY134" s="674"/>
      <c r="AZ134" s="674"/>
      <c r="BA134" s="674"/>
      <c r="BB134" s="674"/>
    </row>
    <row r="135" spans="1:54">
      <c r="A135" s="674" t="s">
        <v>390</v>
      </c>
      <c r="B135" s="674" t="s">
        <v>2908</v>
      </c>
      <c r="C135" s="674" t="s">
        <v>2909</v>
      </c>
      <c r="D135" s="673" t="s">
        <v>348</v>
      </c>
      <c r="E135" s="674" t="s">
        <v>349</v>
      </c>
      <c r="F135" s="674" t="s">
        <v>366</v>
      </c>
      <c r="G135" s="697">
        <v>2040</v>
      </c>
      <c r="H135" s="695">
        <v>13</v>
      </c>
      <c r="I135" s="698">
        <v>5.4285433366851734</v>
      </c>
      <c r="J135" s="698">
        <v>4.2015938111395705</v>
      </c>
      <c r="K135" s="674">
        <v>1</v>
      </c>
      <c r="L135" s="674">
        <v>0.15</v>
      </c>
      <c r="M135" s="674">
        <v>0.15</v>
      </c>
      <c r="N135" s="674">
        <v>0.15</v>
      </c>
      <c r="O135" s="674">
        <v>0.15</v>
      </c>
      <c r="P135" s="674">
        <v>0.15</v>
      </c>
      <c r="Q135" s="674"/>
      <c r="R135" s="674">
        <v>0.6</v>
      </c>
      <c r="S135" s="699"/>
      <c r="T135" s="699"/>
      <c r="U135" s="699"/>
      <c r="V135" s="699"/>
      <c r="W135" s="699"/>
      <c r="X135" s="699"/>
      <c r="Y135" s="699"/>
      <c r="Z135" s="699"/>
      <c r="AA135" s="699"/>
      <c r="AB135" s="699"/>
      <c r="AC135" s="699"/>
      <c r="AD135" s="699"/>
      <c r="AE135" s="699"/>
      <c r="AF135" s="699"/>
      <c r="AG135" s="699"/>
      <c r="AH135" s="696">
        <v>0</v>
      </c>
      <c r="AI135" s="696"/>
      <c r="AJ135" s="696"/>
      <c r="AK135" s="696"/>
      <c r="AL135" s="696"/>
      <c r="AM135" s="696"/>
      <c r="AN135" s="696"/>
      <c r="AO135" s="696"/>
      <c r="AP135" s="696"/>
      <c r="AQ135" s="696"/>
      <c r="AT135" s="696"/>
      <c r="AU135" s="674"/>
      <c r="AV135" s="674"/>
      <c r="AW135" s="674"/>
      <c r="AX135" s="674"/>
      <c r="AY135" s="674"/>
      <c r="AZ135" s="674"/>
      <c r="BA135" s="674"/>
      <c r="BB135" s="674"/>
    </row>
    <row r="136" spans="1:54">
      <c r="A136" s="674" t="s">
        <v>390</v>
      </c>
      <c r="B136" s="674" t="s">
        <v>825</v>
      </c>
      <c r="C136" s="674" t="s">
        <v>826</v>
      </c>
      <c r="D136" s="673" t="s">
        <v>348</v>
      </c>
      <c r="E136" s="674" t="s">
        <v>349</v>
      </c>
      <c r="F136" s="674" t="s">
        <v>366</v>
      </c>
      <c r="G136" s="697" t="s">
        <v>489</v>
      </c>
      <c r="H136" s="695">
        <v>10</v>
      </c>
      <c r="I136" s="698">
        <v>2.8519112356657748</v>
      </c>
      <c r="J136" s="698">
        <v>3.17</v>
      </c>
      <c r="K136" s="674">
        <v>1</v>
      </c>
      <c r="L136" s="674">
        <v>0.15</v>
      </c>
      <c r="M136" s="674">
        <v>0.15</v>
      </c>
      <c r="N136" s="674">
        <v>0.15</v>
      </c>
      <c r="O136" s="674">
        <v>0.15</v>
      </c>
      <c r="P136" s="674">
        <v>0.15</v>
      </c>
      <c r="Q136" s="674"/>
      <c r="R136" s="674">
        <v>0.6</v>
      </c>
      <c r="S136" s="696"/>
      <c r="T136" s="696"/>
      <c r="U136" s="696"/>
      <c r="V136" s="696"/>
      <c r="W136" s="696"/>
      <c r="X136" s="696"/>
      <c r="Y136" s="696"/>
      <c r="Z136" s="696"/>
      <c r="AA136" s="696"/>
      <c r="AB136" s="696"/>
      <c r="AC136" s="696"/>
      <c r="AD136" s="696"/>
      <c r="AE136" s="696"/>
      <c r="AF136" s="696"/>
      <c r="AG136" s="696"/>
      <c r="AH136" s="696">
        <v>0</v>
      </c>
      <c r="AI136" s="696"/>
      <c r="AJ136" s="696">
        <v>0</v>
      </c>
      <c r="AK136" s="696">
        <v>0</v>
      </c>
      <c r="AL136" s="696">
        <v>0</v>
      </c>
      <c r="AM136" s="696">
        <v>0</v>
      </c>
      <c r="AN136" s="696">
        <v>0</v>
      </c>
      <c r="AO136" s="696">
        <v>0</v>
      </c>
      <c r="AP136" s="696">
        <v>0</v>
      </c>
      <c r="AQ136" s="696">
        <v>0</v>
      </c>
      <c r="AT136" s="696"/>
      <c r="AU136" s="674"/>
      <c r="AV136" s="674"/>
      <c r="AW136" s="674"/>
      <c r="AX136" s="674"/>
      <c r="AY136" s="674"/>
      <c r="AZ136" s="674"/>
      <c r="BA136" s="674"/>
      <c r="BB136" s="674"/>
    </row>
    <row r="137" spans="1:54">
      <c r="A137" s="674" t="s">
        <v>390</v>
      </c>
      <c r="B137" s="674" t="s">
        <v>1024</v>
      </c>
      <c r="C137" s="674" t="s">
        <v>1025</v>
      </c>
      <c r="D137" s="673" t="s">
        <v>348</v>
      </c>
      <c r="E137" s="674" t="s">
        <v>349</v>
      </c>
      <c r="F137" s="674" t="s">
        <v>366</v>
      </c>
      <c r="G137" s="697" t="s">
        <v>490</v>
      </c>
      <c r="H137" s="695">
        <v>10</v>
      </c>
      <c r="I137" s="698">
        <v>2.901082119039323</v>
      </c>
      <c r="J137" s="698">
        <v>3.22</v>
      </c>
      <c r="K137" s="674">
        <v>1</v>
      </c>
      <c r="L137" s="674">
        <v>0.15</v>
      </c>
      <c r="M137" s="674">
        <v>0.15</v>
      </c>
      <c r="N137" s="674">
        <v>0.15</v>
      </c>
      <c r="O137" s="674">
        <v>0.15</v>
      </c>
      <c r="P137" s="674">
        <v>0.15</v>
      </c>
      <c r="Q137" s="674"/>
      <c r="R137" s="674">
        <v>0.6</v>
      </c>
      <c r="S137" s="696"/>
      <c r="T137" s="696"/>
      <c r="U137" s="696"/>
      <c r="V137" s="696"/>
      <c r="W137" s="696"/>
      <c r="X137" s="696"/>
      <c r="Y137" s="696"/>
      <c r="Z137" s="696"/>
      <c r="AA137" s="696"/>
      <c r="AB137" s="696"/>
      <c r="AC137" s="696"/>
      <c r="AD137" s="696"/>
      <c r="AE137" s="696"/>
      <c r="AF137" s="696"/>
      <c r="AG137" s="696"/>
      <c r="AH137" s="696">
        <v>0</v>
      </c>
      <c r="AI137" s="696"/>
      <c r="AJ137" s="696"/>
      <c r="AK137" s="696"/>
      <c r="AL137" s="696">
        <v>0</v>
      </c>
      <c r="AM137" s="696">
        <v>0</v>
      </c>
      <c r="AN137" s="696">
        <v>0</v>
      </c>
      <c r="AO137" s="696">
        <v>0</v>
      </c>
      <c r="AP137" s="696">
        <v>0</v>
      </c>
      <c r="AQ137" s="696">
        <v>0</v>
      </c>
      <c r="AT137" s="696"/>
      <c r="AU137" s="674"/>
      <c r="AV137" s="674"/>
      <c r="AW137" s="674"/>
      <c r="AX137" s="674"/>
      <c r="AY137" s="674"/>
      <c r="AZ137" s="674"/>
      <c r="BA137" s="674"/>
      <c r="BB137" s="674"/>
    </row>
    <row r="138" spans="1:54">
      <c r="A138" s="674" t="s">
        <v>390</v>
      </c>
      <c r="B138" s="674" t="s">
        <v>2713</v>
      </c>
      <c r="C138" s="674" t="s">
        <v>2714</v>
      </c>
      <c r="D138" s="673" t="s">
        <v>348</v>
      </c>
      <c r="E138" s="674" t="s">
        <v>349</v>
      </c>
      <c r="F138" s="674" t="s">
        <v>366</v>
      </c>
      <c r="G138" s="697" t="s">
        <v>2322</v>
      </c>
      <c r="H138" s="695">
        <v>10</v>
      </c>
      <c r="I138" s="698">
        <v>6.52</v>
      </c>
      <c r="J138" s="698">
        <v>3.24</v>
      </c>
      <c r="K138" s="674">
        <v>1</v>
      </c>
      <c r="L138" s="674">
        <v>0.15</v>
      </c>
      <c r="M138" s="674">
        <v>0.15</v>
      </c>
      <c r="N138" s="674">
        <v>0.15</v>
      </c>
      <c r="O138" s="674">
        <v>0.15</v>
      </c>
      <c r="P138" s="674">
        <v>0.15</v>
      </c>
      <c r="Q138" s="674"/>
      <c r="R138" s="674">
        <v>0.6</v>
      </c>
      <c r="S138" s="696"/>
      <c r="T138" s="696"/>
      <c r="U138" s="696"/>
      <c r="V138" s="696"/>
      <c r="W138" s="696"/>
      <c r="X138" s="696"/>
      <c r="Y138" s="696"/>
      <c r="Z138" s="696"/>
      <c r="AA138" s="696"/>
      <c r="AB138" s="696"/>
      <c r="AC138" s="696"/>
      <c r="AD138" s="696"/>
      <c r="AE138" s="696"/>
      <c r="AF138" s="696"/>
      <c r="AG138" s="696"/>
      <c r="AH138" s="696">
        <v>0</v>
      </c>
      <c r="AI138" s="696"/>
      <c r="AJ138" s="696"/>
      <c r="AK138" s="696"/>
      <c r="AL138" s="696"/>
      <c r="AM138" s="696"/>
      <c r="AN138" s="696"/>
      <c r="AO138" s="696"/>
      <c r="AP138" s="696"/>
      <c r="AQ138" s="696"/>
      <c r="AT138" s="696"/>
      <c r="AU138" s="674"/>
      <c r="AV138" s="674"/>
      <c r="AW138" s="674"/>
      <c r="AX138" s="674"/>
      <c r="AY138" s="674"/>
      <c r="AZ138" s="674"/>
      <c r="BA138" s="674"/>
      <c r="BB138" s="674"/>
    </row>
    <row r="139" spans="1:54">
      <c r="A139" s="674" t="s">
        <v>390</v>
      </c>
      <c r="B139" s="674" t="s">
        <v>827</v>
      </c>
      <c r="C139" s="674" t="s">
        <v>828</v>
      </c>
      <c r="D139" s="673" t="s">
        <v>348</v>
      </c>
      <c r="E139" s="674" t="s">
        <v>349</v>
      </c>
      <c r="F139" s="674" t="s">
        <v>366</v>
      </c>
      <c r="G139" s="697" t="s">
        <v>489</v>
      </c>
      <c r="H139" s="695">
        <v>10</v>
      </c>
      <c r="I139" s="698">
        <v>4.4745503869928545</v>
      </c>
      <c r="J139" s="698">
        <v>3.52</v>
      </c>
      <c r="K139" s="674">
        <v>1</v>
      </c>
      <c r="L139" s="674">
        <v>0.15</v>
      </c>
      <c r="M139" s="674">
        <v>0.15</v>
      </c>
      <c r="N139" s="674">
        <v>0.15</v>
      </c>
      <c r="O139" s="674">
        <v>0.15</v>
      </c>
      <c r="P139" s="674">
        <v>0.15</v>
      </c>
      <c r="Q139" s="674"/>
      <c r="R139" s="674">
        <v>0.6</v>
      </c>
      <c r="S139" s="696"/>
      <c r="T139" s="696"/>
      <c r="U139" s="696"/>
      <c r="V139" s="696"/>
      <c r="W139" s="696"/>
      <c r="X139" s="696"/>
      <c r="Y139" s="696"/>
      <c r="Z139" s="696"/>
      <c r="AA139" s="696"/>
      <c r="AB139" s="696"/>
      <c r="AC139" s="696"/>
      <c r="AD139" s="696"/>
      <c r="AE139" s="696"/>
      <c r="AF139" s="696"/>
      <c r="AG139" s="696"/>
      <c r="AH139" s="696">
        <v>0</v>
      </c>
      <c r="AI139" s="696"/>
      <c r="AJ139" s="696">
        <v>0</v>
      </c>
      <c r="AK139" s="696">
        <v>0</v>
      </c>
      <c r="AL139" s="696">
        <v>0</v>
      </c>
      <c r="AM139" s="696">
        <v>0</v>
      </c>
      <c r="AN139" s="696">
        <v>0</v>
      </c>
      <c r="AO139" s="696">
        <v>0</v>
      </c>
      <c r="AP139" s="696">
        <v>0</v>
      </c>
      <c r="AQ139" s="696">
        <v>0</v>
      </c>
      <c r="AT139" s="696"/>
      <c r="AU139" s="674"/>
      <c r="AV139" s="674"/>
      <c r="AW139" s="674"/>
      <c r="AX139" s="674"/>
      <c r="AY139" s="674"/>
      <c r="AZ139" s="674"/>
      <c r="BA139" s="674"/>
      <c r="BB139" s="674"/>
    </row>
    <row r="140" spans="1:54">
      <c r="A140" s="674" t="s">
        <v>390</v>
      </c>
      <c r="B140" s="674" t="s">
        <v>2715</v>
      </c>
      <c r="C140" s="674" t="s">
        <v>2716</v>
      </c>
      <c r="D140" s="673" t="s">
        <v>348</v>
      </c>
      <c r="E140" s="674" t="s">
        <v>349</v>
      </c>
      <c r="F140" s="674" t="s">
        <v>366</v>
      </c>
      <c r="G140" s="697" t="s">
        <v>847</v>
      </c>
      <c r="H140" s="695">
        <v>10</v>
      </c>
      <c r="I140" s="698">
        <v>6.52</v>
      </c>
      <c r="J140" s="698">
        <v>3.16</v>
      </c>
      <c r="K140" s="674">
        <v>1</v>
      </c>
      <c r="L140" s="674">
        <v>0.15</v>
      </c>
      <c r="M140" s="674">
        <v>0.15</v>
      </c>
      <c r="N140" s="674">
        <v>0.15</v>
      </c>
      <c r="O140" s="674">
        <v>0.15</v>
      </c>
      <c r="P140" s="674">
        <v>0.15</v>
      </c>
      <c r="Q140" s="674"/>
      <c r="R140" s="674">
        <v>0.6</v>
      </c>
      <c r="S140" s="696"/>
      <c r="T140" s="696"/>
      <c r="U140" s="696"/>
      <c r="V140" s="696"/>
      <c r="W140" s="696"/>
      <c r="X140" s="696"/>
      <c r="Y140" s="696"/>
      <c r="Z140" s="696"/>
      <c r="AA140" s="696"/>
      <c r="AB140" s="696"/>
      <c r="AC140" s="696"/>
      <c r="AD140" s="696"/>
      <c r="AE140" s="696"/>
      <c r="AF140" s="696"/>
      <c r="AG140" s="696"/>
      <c r="AH140" s="696">
        <v>0</v>
      </c>
      <c r="AI140" s="696"/>
      <c r="AJ140" s="696"/>
      <c r="AK140" s="696"/>
      <c r="AL140" s="696"/>
      <c r="AM140" s="696"/>
      <c r="AN140" s="696"/>
      <c r="AO140" s="696"/>
      <c r="AP140" s="696"/>
      <c r="AQ140" s="696"/>
      <c r="AT140" s="696"/>
      <c r="AU140" s="674"/>
      <c r="AV140" s="674"/>
      <c r="AW140" s="674"/>
      <c r="AX140" s="674"/>
      <c r="AY140" s="674"/>
      <c r="AZ140" s="674"/>
      <c r="BA140" s="674"/>
      <c r="BB140" s="674"/>
    </row>
    <row r="141" spans="1:54">
      <c r="A141" s="674" t="s">
        <v>390</v>
      </c>
      <c r="B141" s="674" t="s">
        <v>2717</v>
      </c>
      <c r="C141" s="674" t="s">
        <v>2718</v>
      </c>
      <c r="D141" s="673" t="s">
        <v>348</v>
      </c>
      <c r="E141" s="674" t="s">
        <v>349</v>
      </c>
      <c r="F141" s="674" t="s">
        <v>366</v>
      </c>
      <c r="G141" s="697">
        <v>2020</v>
      </c>
      <c r="H141" s="695">
        <v>13</v>
      </c>
      <c r="I141" s="698">
        <v>7.73</v>
      </c>
      <c r="J141" s="698">
        <v>3.29</v>
      </c>
      <c r="K141" s="674">
        <v>1</v>
      </c>
      <c r="L141" s="674">
        <v>0.15</v>
      </c>
      <c r="M141" s="674">
        <v>0.15</v>
      </c>
      <c r="N141" s="674">
        <v>0.15</v>
      </c>
      <c r="O141" s="674">
        <v>0.15</v>
      </c>
      <c r="P141" s="674">
        <v>0.15</v>
      </c>
      <c r="Q141" s="674"/>
      <c r="R141" s="674">
        <v>0.6</v>
      </c>
      <c r="S141" s="696"/>
      <c r="T141" s="696"/>
      <c r="U141" s="696"/>
      <c r="V141" s="696"/>
      <c r="W141" s="696"/>
      <c r="X141" s="696"/>
      <c r="Y141" s="696"/>
      <c r="Z141" s="696"/>
      <c r="AA141" s="696"/>
      <c r="AB141" s="696"/>
      <c r="AC141" s="696"/>
      <c r="AD141" s="696"/>
      <c r="AE141" s="696"/>
      <c r="AF141" s="696"/>
      <c r="AG141" s="696"/>
      <c r="AH141" s="696">
        <v>0</v>
      </c>
      <c r="AI141" s="696"/>
      <c r="AJ141" s="696"/>
      <c r="AK141" s="696"/>
      <c r="AL141" s="696"/>
      <c r="AM141" s="696"/>
      <c r="AN141" s="696"/>
      <c r="AO141" s="696"/>
      <c r="AP141" s="696"/>
      <c r="AQ141" s="696"/>
      <c r="AT141" s="696"/>
      <c r="AU141" s="674"/>
      <c r="AV141" s="674"/>
      <c r="AW141" s="674"/>
      <c r="AX141" s="674"/>
      <c r="AY141" s="674"/>
      <c r="AZ141" s="674"/>
      <c r="BA141" s="674"/>
      <c r="BB141" s="674"/>
    </row>
    <row r="142" spans="1:54">
      <c r="A142" s="674" t="s">
        <v>390</v>
      </c>
      <c r="B142" s="674" t="s">
        <v>1026</v>
      </c>
      <c r="C142" s="674" t="s">
        <v>1027</v>
      </c>
      <c r="D142" s="673" t="s">
        <v>348</v>
      </c>
      <c r="E142" s="674" t="s">
        <v>349</v>
      </c>
      <c r="F142" s="674" t="s">
        <v>366</v>
      </c>
      <c r="G142" s="697">
        <v>2030</v>
      </c>
      <c r="H142" s="695">
        <v>13</v>
      </c>
      <c r="I142" s="698">
        <v>7.73</v>
      </c>
      <c r="J142" s="698">
        <v>3.42</v>
      </c>
      <c r="K142" s="674">
        <v>1</v>
      </c>
      <c r="L142" s="674">
        <v>0.15</v>
      </c>
      <c r="M142" s="674">
        <v>0.15</v>
      </c>
      <c r="N142" s="674">
        <v>0.15</v>
      </c>
      <c r="O142" s="674">
        <v>0.15</v>
      </c>
      <c r="P142" s="674">
        <v>0.15</v>
      </c>
      <c r="Q142" s="674"/>
      <c r="R142" s="674">
        <v>0.6</v>
      </c>
      <c r="S142" s="696"/>
      <c r="T142" s="696"/>
      <c r="U142" s="696"/>
      <c r="V142" s="696"/>
      <c r="W142" s="696"/>
      <c r="X142" s="696"/>
      <c r="Y142" s="696"/>
      <c r="Z142" s="696"/>
      <c r="AA142" s="696"/>
      <c r="AB142" s="696"/>
      <c r="AC142" s="696"/>
      <c r="AD142" s="696"/>
      <c r="AE142" s="696"/>
      <c r="AF142" s="696"/>
      <c r="AG142" s="696"/>
      <c r="AH142" s="696">
        <v>0</v>
      </c>
      <c r="AI142" s="696"/>
      <c r="AJ142" s="696"/>
      <c r="AK142" s="696"/>
      <c r="AL142" s="696"/>
      <c r="AM142" s="696"/>
      <c r="AN142" s="696"/>
      <c r="AO142" s="696"/>
      <c r="AP142" s="696"/>
      <c r="AQ142" s="696"/>
      <c r="AT142" s="696"/>
      <c r="AU142" s="674"/>
      <c r="AV142" s="674"/>
      <c r="AW142" s="674"/>
      <c r="AX142" s="674"/>
      <c r="AY142" s="674"/>
      <c r="AZ142" s="674"/>
      <c r="BA142" s="674"/>
      <c r="BB142" s="674"/>
    </row>
    <row r="143" spans="1:54">
      <c r="A143" s="674" t="s">
        <v>390</v>
      </c>
      <c r="B143" s="674" t="s">
        <v>2719</v>
      </c>
      <c r="C143" s="674" t="s">
        <v>2721</v>
      </c>
      <c r="D143" s="673" t="s">
        <v>348</v>
      </c>
      <c r="E143" s="674" t="s">
        <v>349</v>
      </c>
      <c r="F143" s="674" t="s">
        <v>366</v>
      </c>
      <c r="G143" s="697">
        <v>2040</v>
      </c>
      <c r="H143" s="695">
        <v>13</v>
      </c>
      <c r="I143" s="698">
        <v>6.52</v>
      </c>
      <c r="J143" s="698">
        <v>3.29</v>
      </c>
      <c r="K143" s="674">
        <v>1</v>
      </c>
      <c r="L143" s="674">
        <v>0.15</v>
      </c>
      <c r="M143" s="674">
        <v>0.15</v>
      </c>
      <c r="N143" s="674">
        <v>0.15</v>
      </c>
      <c r="O143" s="674">
        <v>0.15</v>
      </c>
      <c r="P143" s="674">
        <v>0.15</v>
      </c>
      <c r="Q143" s="674"/>
      <c r="R143" s="674">
        <v>0.6</v>
      </c>
      <c r="S143" s="696"/>
      <c r="T143" s="696"/>
      <c r="U143" s="696"/>
      <c r="V143" s="696"/>
      <c r="W143" s="696"/>
      <c r="X143" s="696"/>
      <c r="Y143" s="696"/>
      <c r="Z143" s="696"/>
      <c r="AA143" s="696"/>
      <c r="AB143" s="696"/>
      <c r="AC143" s="696"/>
      <c r="AD143" s="696"/>
      <c r="AE143" s="696"/>
      <c r="AF143" s="696"/>
      <c r="AG143" s="696"/>
      <c r="AH143" s="696">
        <v>0</v>
      </c>
      <c r="AI143" s="696"/>
      <c r="AJ143" s="696"/>
      <c r="AK143" s="696"/>
      <c r="AL143" s="696"/>
      <c r="AM143" s="696"/>
      <c r="AN143" s="696"/>
      <c r="AO143" s="696"/>
      <c r="AP143" s="696"/>
      <c r="AQ143" s="696"/>
      <c r="AT143" s="696"/>
      <c r="AU143" s="674"/>
      <c r="AV143" s="674"/>
      <c r="AW143" s="674"/>
      <c r="AX143" s="674"/>
      <c r="AY143" s="674"/>
      <c r="AZ143" s="674"/>
      <c r="BA143" s="674"/>
      <c r="BB143" s="674"/>
    </row>
    <row r="144" spans="1:54">
      <c r="A144" s="674" t="s">
        <v>390</v>
      </c>
      <c r="B144" s="674" t="s">
        <v>2720</v>
      </c>
      <c r="C144" s="674" t="s">
        <v>2722</v>
      </c>
      <c r="D144" s="673" t="s">
        <v>348</v>
      </c>
      <c r="E144" s="674" t="s">
        <v>349</v>
      </c>
      <c r="F144" s="674" t="s">
        <v>366</v>
      </c>
      <c r="G144" s="697">
        <v>2040</v>
      </c>
      <c r="H144" s="695">
        <v>13</v>
      </c>
      <c r="I144" s="698">
        <v>7.73</v>
      </c>
      <c r="J144" s="698">
        <v>3.55</v>
      </c>
      <c r="K144" s="674">
        <v>1</v>
      </c>
      <c r="L144" s="674">
        <v>0.15</v>
      </c>
      <c r="M144" s="674">
        <v>0.15</v>
      </c>
      <c r="N144" s="674">
        <v>0.15</v>
      </c>
      <c r="O144" s="674">
        <v>0.15</v>
      </c>
      <c r="P144" s="674">
        <v>0.15</v>
      </c>
      <c r="Q144" s="674"/>
      <c r="R144" s="674">
        <v>0.6</v>
      </c>
      <c r="S144" s="696"/>
      <c r="T144" s="696"/>
      <c r="U144" s="696"/>
      <c r="V144" s="696"/>
      <c r="W144" s="696"/>
      <c r="X144" s="696"/>
      <c r="Y144" s="696"/>
      <c r="Z144" s="696"/>
      <c r="AA144" s="696"/>
      <c r="AB144" s="696"/>
      <c r="AC144" s="696"/>
      <c r="AD144" s="696"/>
      <c r="AE144" s="696"/>
      <c r="AF144" s="696"/>
      <c r="AG144" s="696"/>
      <c r="AH144" s="696">
        <v>0</v>
      </c>
      <c r="AI144" s="696"/>
      <c r="AJ144" s="696"/>
      <c r="AK144" s="696"/>
      <c r="AL144" s="696"/>
      <c r="AM144" s="696"/>
      <c r="AN144" s="696"/>
      <c r="AO144" s="696"/>
      <c r="AP144" s="696"/>
      <c r="AQ144" s="696"/>
      <c r="AT144" s="696"/>
      <c r="AU144" s="674"/>
      <c r="AV144" s="674"/>
      <c r="AW144" s="674"/>
      <c r="AX144" s="674"/>
      <c r="AY144" s="674"/>
      <c r="AZ144" s="674"/>
      <c r="BA144" s="674"/>
      <c r="BB144" s="674"/>
    </row>
    <row r="145" spans="1:54">
      <c r="A145" s="674" t="s">
        <v>390</v>
      </c>
      <c r="B145" s="674" t="s">
        <v>2723</v>
      </c>
      <c r="C145" s="674" t="s">
        <v>2725</v>
      </c>
      <c r="D145" s="673" t="s">
        <v>348</v>
      </c>
      <c r="E145" s="674" t="s">
        <v>349</v>
      </c>
      <c r="F145" s="674" t="s">
        <v>366</v>
      </c>
      <c r="G145" s="697">
        <v>2050</v>
      </c>
      <c r="H145" s="695">
        <v>13</v>
      </c>
      <c r="I145" s="698">
        <v>6.52</v>
      </c>
      <c r="J145" s="698">
        <v>3.29</v>
      </c>
      <c r="K145" s="674">
        <v>1</v>
      </c>
      <c r="L145" s="674">
        <v>0.15</v>
      </c>
      <c r="M145" s="674">
        <v>0.15</v>
      </c>
      <c r="N145" s="674">
        <v>0.15</v>
      </c>
      <c r="O145" s="674">
        <v>0.15</v>
      </c>
      <c r="P145" s="674">
        <v>0.15</v>
      </c>
      <c r="Q145" s="674"/>
      <c r="R145" s="674">
        <v>0.6</v>
      </c>
      <c r="S145" s="696"/>
      <c r="T145" s="696"/>
      <c r="U145" s="696"/>
      <c r="V145" s="696"/>
      <c r="W145" s="696"/>
      <c r="X145" s="696"/>
      <c r="Y145" s="696"/>
      <c r="Z145" s="696"/>
      <c r="AA145" s="696"/>
      <c r="AB145" s="696"/>
      <c r="AC145" s="696"/>
      <c r="AD145" s="696"/>
      <c r="AE145" s="696"/>
      <c r="AF145" s="696"/>
      <c r="AG145" s="696"/>
      <c r="AH145" s="696">
        <v>0</v>
      </c>
      <c r="AI145" s="696"/>
      <c r="AJ145" s="696"/>
      <c r="AK145" s="696"/>
      <c r="AL145" s="696"/>
      <c r="AM145" s="696"/>
      <c r="AN145" s="696"/>
      <c r="AO145" s="696"/>
      <c r="AP145" s="696"/>
      <c r="AQ145" s="696"/>
      <c r="AT145" s="696"/>
      <c r="AU145" s="674"/>
      <c r="AV145" s="674"/>
      <c r="AW145" s="674"/>
      <c r="AX145" s="674"/>
      <c r="AY145" s="674"/>
      <c r="AZ145" s="674"/>
      <c r="BA145" s="674"/>
      <c r="BB145" s="674"/>
    </row>
    <row r="146" spans="1:54">
      <c r="A146" s="674" t="s">
        <v>390</v>
      </c>
      <c r="B146" s="674" t="s">
        <v>2724</v>
      </c>
      <c r="C146" s="674" t="s">
        <v>2726</v>
      </c>
      <c r="D146" s="673" t="s">
        <v>348</v>
      </c>
      <c r="E146" s="674" t="s">
        <v>349</v>
      </c>
      <c r="F146" s="674" t="s">
        <v>366</v>
      </c>
      <c r="G146" s="697">
        <v>2050</v>
      </c>
      <c r="H146" s="695">
        <v>13</v>
      </c>
      <c r="I146" s="698">
        <v>7.73</v>
      </c>
      <c r="J146" s="698">
        <v>3.55</v>
      </c>
      <c r="K146" s="674">
        <v>1</v>
      </c>
      <c r="L146" s="674">
        <v>0.15</v>
      </c>
      <c r="M146" s="674">
        <v>0.15</v>
      </c>
      <c r="N146" s="674">
        <v>0.15</v>
      </c>
      <c r="O146" s="674">
        <v>0.15</v>
      </c>
      <c r="P146" s="674">
        <v>0.15</v>
      </c>
      <c r="Q146" s="674"/>
      <c r="R146" s="674">
        <v>0.6</v>
      </c>
      <c r="S146" s="696"/>
      <c r="T146" s="696"/>
      <c r="U146" s="696"/>
      <c r="V146" s="696"/>
      <c r="W146" s="696"/>
      <c r="X146" s="696"/>
      <c r="Y146" s="696"/>
      <c r="Z146" s="696"/>
      <c r="AA146" s="696"/>
      <c r="AB146" s="696"/>
      <c r="AC146" s="696"/>
      <c r="AD146" s="696"/>
      <c r="AE146" s="696"/>
      <c r="AF146" s="696"/>
      <c r="AG146" s="696"/>
      <c r="AH146" s="696">
        <v>0</v>
      </c>
      <c r="AI146" s="696"/>
      <c r="AJ146" s="696"/>
      <c r="AK146" s="696"/>
      <c r="AL146" s="696"/>
      <c r="AM146" s="696"/>
      <c r="AN146" s="696"/>
      <c r="AO146" s="696"/>
      <c r="AP146" s="696"/>
      <c r="AQ146" s="696"/>
      <c r="AT146" s="696"/>
      <c r="AU146" s="674"/>
      <c r="AV146" s="674"/>
      <c r="AW146" s="674"/>
      <c r="AX146" s="674"/>
      <c r="AY146" s="674"/>
      <c r="AZ146" s="674"/>
      <c r="BA146" s="674"/>
      <c r="BB146" s="674"/>
    </row>
    <row r="147" spans="1:54" ht="15.75" customHeight="1">
      <c r="A147" s="684" t="s">
        <v>2334</v>
      </c>
      <c r="B147" s="682"/>
      <c r="C147" s="682"/>
      <c r="D147" s="682"/>
      <c r="E147" s="684"/>
      <c r="F147" s="684"/>
      <c r="G147" s="704"/>
      <c r="H147" s="705"/>
      <c r="I147" s="705"/>
      <c r="J147" s="706"/>
      <c r="K147" s="705"/>
      <c r="L147" s="705"/>
      <c r="M147" s="705"/>
      <c r="N147" s="705"/>
      <c r="O147" s="705"/>
      <c r="P147" s="705"/>
      <c r="Q147" s="705"/>
      <c r="R147" s="706"/>
      <c r="S147" s="707"/>
      <c r="T147" s="707"/>
      <c r="U147" s="707"/>
      <c r="V147" s="707"/>
      <c r="W147" s="707"/>
      <c r="X147" s="707"/>
      <c r="Y147" s="707"/>
      <c r="Z147" s="707"/>
      <c r="AA147" s="707"/>
      <c r="AB147" s="707"/>
      <c r="AC147" s="707"/>
      <c r="AD147" s="707"/>
      <c r="AE147" s="707"/>
      <c r="AF147" s="707"/>
      <c r="AG147" s="707"/>
      <c r="AH147" s="707"/>
      <c r="AI147" s="707"/>
      <c r="AJ147" s="707"/>
      <c r="AK147" s="707"/>
      <c r="AL147" s="707"/>
      <c r="AM147" s="707"/>
      <c r="AN147" s="707"/>
      <c r="AO147" s="707"/>
      <c r="AP147" s="707"/>
      <c r="AQ147" s="708"/>
      <c r="AT147" s="708"/>
      <c r="AU147" s="682"/>
      <c r="AV147" s="682"/>
      <c r="AW147" s="682"/>
      <c r="AX147" s="682"/>
      <c r="AY147" s="682"/>
      <c r="AZ147" s="682"/>
      <c r="BA147" s="682"/>
      <c r="BB147" s="682"/>
    </row>
    <row r="148" spans="1:54">
      <c r="A148" s="674" t="s">
        <v>390</v>
      </c>
      <c r="B148" s="674" t="s">
        <v>810</v>
      </c>
      <c r="C148" s="674" t="s">
        <v>809</v>
      </c>
      <c r="D148" s="673" t="s">
        <v>348</v>
      </c>
      <c r="E148" s="674" t="s">
        <v>349</v>
      </c>
      <c r="F148" s="674" t="s">
        <v>366</v>
      </c>
      <c r="G148" s="697">
        <v>2010</v>
      </c>
      <c r="H148" s="695">
        <v>15</v>
      </c>
      <c r="I148" s="698"/>
      <c r="J148" s="698">
        <v>2.9175658769245518</v>
      </c>
      <c r="K148" s="674">
        <v>1</v>
      </c>
      <c r="L148" s="674">
        <v>0.15</v>
      </c>
      <c r="M148" s="674">
        <v>0.15</v>
      </c>
      <c r="N148" s="674">
        <v>0.15</v>
      </c>
      <c r="O148" s="674">
        <v>0.15</v>
      </c>
      <c r="P148" s="674">
        <v>0.15</v>
      </c>
      <c r="Q148" s="674"/>
      <c r="R148" s="674">
        <v>0.18</v>
      </c>
      <c r="S148" s="699"/>
      <c r="T148" s="699"/>
      <c r="U148" s="699"/>
      <c r="V148" s="699"/>
      <c r="W148" s="699"/>
      <c r="X148" s="699"/>
      <c r="Y148" s="699"/>
      <c r="Z148" s="699"/>
      <c r="AA148" s="699"/>
      <c r="AB148" s="699"/>
      <c r="AC148" s="699"/>
      <c r="AD148" s="699"/>
      <c r="AE148" s="699"/>
      <c r="AF148" s="699"/>
      <c r="AG148" s="699"/>
      <c r="AH148" s="696">
        <v>0</v>
      </c>
      <c r="AI148" s="696">
        <v>0</v>
      </c>
      <c r="AJ148" s="696">
        <v>0</v>
      </c>
      <c r="AK148" s="696">
        <v>0</v>
      </c>
      <c r="AL148" s="696">
        <v>0</v>
      </c>
      <c r="AM148" s="696">
        <v>0</v>
      </c>
      <c r="AN148" s="696">
        <v>0</v>
      </c>
      <c r="AO148" s="696">
        <v>0</v>
      </c>
      <c r="AP148" s="696">
        <v>0</v>
      </c>
      <c r="AQ148" s="696">
        <v>0</v>
      </c>
      <c r="AT148" s="696"/>
      <c r="AU148" s="674"/>
      <c r="AV148" s="674"/>
      <c r="AW148" s="674"/>
      <c r="AX148" s="674"/>
      <c r="AY148" s="674"/>
      <c r="AZ148" s="674"/>
      <c r="BA148" s="674"/>
      <c r="BB148" s="674"/>
    </row>
    <row r="149" spans="1:54">
      <c r="A149" s="674" t="s">
        <v>1528</v>
      </c>
      <c r="B149" s="674" t="s">
        <v>277</v>
      </c>
      <c r="C149" s="674" t="s">
        <v>278</v>
      </c>
      <c r="D149" s="673" t="s">
        <v>348</v>
      </c>
      <c r="E149" s="674" t="s">
        <v>349</v>
      </c>
      <c r="F149" s="674" t="s">
        <v>366</v>
      </c>
      <c r="G149" s="697" t="s">
        <v>489</v>
      </c>
      <c r="H149" s="695">
        <v>11</v>
      </c>
      <c r="I149" s="698">
        <v>5.4306523278804661</v>
      </c>
      <c r="J149" s="698">
        <v>2.92</v>
      </c>
      <c r="K149" s="674">
        <v>1</v>
      </c>
      <c r="L149" s="674">
        <v>0.15</v>
      </c>
      <c r="M149" s="674">
        <v>0.15</v>
      </c>
      <c r="N149" s="674">
        <v>0.15</v>
      </c>
      <c r="O149" s="674">
        <v>0.15</v>
      </c>
      <c r="P149" s="674">
        <v>0.15</v>
      </c>
      <c r="Q149" s="674"/>
      <c r="R149" s="674">
        <v>0.18</v>
      </c>
      <c r="S149" s="699">
        <f>Resid!V65</f>
        <v>20.568170105047702</v>
      </c>
      <c r="T149" s="699">
        <f>Resid!W65</f>
        <v>11.159471269410652</v>
      </c>
      <c r="U149" s="699">
        <f>Resid!X65</f>
        <v>12.77698502963962</v>
      </c>
      <c r="V149" s="699">
        <f>Resid!Y65</f>
        <v>3.7764412364312774</v>
      </c>
      <c r="W149" s="699">
        <f>Resid!Z65</f>
        <v>18.127707496539262</v>
      </c>
      <c r="X149" s="699"/>
      <c r="Y149" s="699"/>
      <c r="Z149" s="699"/>
      <c r="AA149" s="699"/>
      <c r="AB149" s="699"/>
      <c r="AC149" s="699"/>
      <c r="AD149" s="699"/>
      <c r="AE149" s="699"/>
      <c r="AF149" s="699"/>
      <c r="AG149" s="699"/>
      <c r="AH149" s="696">
        <v>0</v>
      </c>
      <c r="AI149" s="696"/>
      <c r="AJ149" s="696"/>
      <c r="AK149" s="696"/>
      <c r="AL149" s="696"/>
      <c r="AM149" s="696"/>
      <c r="AN149" s="696"/>
      <c r="AO149" s="696"/>
      <c r="AP149" s="696"/>
      <c r="AQ149" s="696"/>
      <c r="AT149" s="696"/>
      <c r="AU149" s="674"/>
      <c r="AV149" s="674"/>
      <c r="AW149" s="674"/>
      <c r="AX149" s="674"/>
      <c r="AY149" s="674"/>
      <c r="AZ149" s="674"/>
      <c r="BA149" s="674"/>
      <c r="BB149" s="674"/>
    </row>
    <row r="150" spans="1:54">
      <c r="A150" s="674" t="s">
        <v>390</v>
      </c>
      <c r="B150" s="674" t="s">
        <v>279</v>
      </c>
      <c r="C150" s="674" t="s">
        <v>280</v>
      </c>
      <c r="D150" s="673" t="s">
        <v>348</v>
      </c>
      <c r="E150" s="674" t="s">
        <v>349</v>
      </c>
      <c r="F150" s="674" t="s">
        <v>366</v>
      </c>
      <c r="G150" s="697" t="s">
        <v>490</v>
      </c>
      <c r="H150" s="695">
        <v>11</v>
      </c>
      <c r="I150" s="698">
        <v>7.577976590180139</v>
      </c>
      <c r="J150" s="698">
        <v>3.2017543859649122</v>
      </c>
      <c r="K150" s="674">
        <v>1</v>
      </c>
      <c r="L150" s="674">
        <v>0.15</v>
      </c>
      <c r="M150" s="674">
        <v>0.15</v>
      </c>
      <c r="N150" s="674">
        <v>0.15</v>
      </c>
      <c r="O150" s="674">
        <v>0.15</v>
      </c>
      <c r="P150" s="674">
        <v>0.15</v>
      </c>
      <c r="Q150" s="674"/>
      <c r="R150" s="674">
        <v>0.18</v>
      </c>
      <c r="S150" s="696"/>
      <c r="T150" s="696"/>
      <c r="U150" s="696"/>
      <c r="V150" s="696"/>
      <c r="W150" s="696"/>
      <c r="X150" s="696"/>
      <c r="Y150" s="696"/>
      <c r="Z150" s="696"/>
      <c r="AA150" s="696"/>
      <c r="AB150" s="696"/>
      <c r="AC150" s="696"/>
      <c r="AD150" s="696"/>
      <c r="AE150" s="696"/>
      <c r="AF150" s="696"/>
      <c r="AG150" s="696"/>
      <c r="AH150" s="696">
        <v>0</v>
      </c>
      <c r="AI150" s="696"/>
      <c r="AJ150" s="696"/>
      <c r="AK150" s="696"/>
      <c r="AL150" s="696"/>
      <c r="AM150" s="696"/>
      <c r="AN150" s="696"/>
      <c r="AO150" s="696"/>
      <c r="AP150" s="696"/>
      <c r="AQ150" s="696"/>
      <c r="AT150" s="696"/>
      <c r="AU150" s="674"/>
      <c r="AV150" s="674"/>
      <c r="AW150" s="674"/>
      <c r="AX150" s="674"/>
      <c r="AY150" s="674"/>
      <c r="AZ150" s="674"/>
      <c r="BA150" s="674"/>
      <c r="BB150" s="674"/>
    </row>
    <row r="151" spans="1:54">
      <c r="A151" s="674" t="s">
        <v>390</v>
      </c>
      <c r="B151" s="674" t="s">
        <v>2910</v>
      </c>
      <c r="C151" s="674" t="s">
        <v>2911</v>
      </c>
      <c r="D151" s="673" t="s">
        <v>348</v>
      </c>
      <c r="E151" s="674" t="s">
        <v>349</v>
      </c>
      <c r="F151" s="674" t="s">
        <v>366</v>
      </c>
      <c r="G151" s="697">
        <v>2015</v>
      </c>
      <c r="H151" s="695">
        <v>11</v>
      </c>
      <c r="I151" s="698">
        <v>9.2404211803476315</v>
      </c>
      <c r="J151" s="698">
        <v>3.8421052631578942</v>
      </c>
      <c r="K151" s="674">
        <v>1</v>
      </c>
      <c r="L151" s="674">
        <v>0.15</v>
      </c>
      <c r="M151" s="674">
        <v>0.15</v>
      </c>
      <c r="N151" s="674">
        <v>0.15</v>
      </c>
      <c r="O151" s="674">
        <v>0.15</v>
      </c>
      <c r="P151" s="674">
        <v>0.15</v>
      </c>
      <c r="Q151" s="674"/>
      <c r="R151" s="674">
        <v>0.18</v>
      </c>
      <c r="S151" s="696"/>
      <c r="T151" s="696"/>
      <c r="U151" s="696"/>
      <c r="V151" s="696"/>
      <c r="W151" s="696"/>
      <c r="X151" s="696"/>
      <c r="Y151" s="696"/>
      <c r="Z151" s="696"/>
      <c r="AA151" s="696"/>
      <c r="AB151" s="696"/>
      <c r="AC151" s="696"/>
      <c r="AD151" s="696"/>
      <c r="AE151" s="696"/>
      <c r="AF151" s="696"/>
      <c r="AG151" s="696"/>
      <c r="AH151" s="696">
        <v>0</v>
      </c>
      <c r="AI151" s="696"/>
      <c r="AJ151" s="696"/>
      <c r="AK151" s="696"/>
      <c r="AL151" s="696"/>
      <c r="AM151" s="696"/>
      <c r="AN151" s="696"/>
      <c r="AO151" s="696"/>
      <c r="AP151" s="696"/>
      <c r="AQ151" s="696"/>
      <c r="AT151" s="696"/>
      <c r="AU151" s="674"/>
      <c r="AV151" s="674"/>
      <c r="AW151" s="674"/>
      <c r="AX151" s="674"/>
      <c r="AY151" s="674"/>
      <c r="AZ151" s="674"/>
      <c r="BA151" s="674"/>
      <c r="BB151" s="674"/>
    </row>
    <row r="152" spans="1:54">
      <c r="A152" s="674" t="s">
        <v>390</v>
      </c>
      <c r="B152" s="674" t="s">
        <v>829</v>
      </c>
      <c r="C152" s="674" t="s">
        <v>830</v>
      </c>
      <c r="D152" s="673" t="s">
        <v>348</v>
      </c>
      <c r="E152" s="674" t="s">
        <v>349</v>
      </c>
      <c r="F152" s="674" t="s">
        <v>366</v>
      </c>
      <c r="G152" s="697" t="s">
        <v>847</v>
      </c>
      <c r="H152" s="695">
        <v>11</v>
      </c>
      <c r="I152" s="698">
        <v>8.4091988852638853</v>
      </c>
      <c r="J152" s="698">
        <v>3.5603508771929824</v>
      </c>
      <c r="K152" s="674">
        <v>1</v>
      </c>
      <c r="L152" s="674">
        <v>0.15</v>
      </c>
      <c r="M152" s="674">
        <v>0.15</v>
      </c>
      <c r="N152" s="674">
        <v>0.15</v>
      </c>
      <c r="O152" s="674">
        <v>0.15</v>
      </c>
      <c r="P152" s="674">
        <v>0.15</v>
      </c>
      <c r="Q152" s="674"/>
      <c r="R152" s="674">
        <v>0.18</v>
      </c>
      <c r="S152" s="696"/>
      <c r="T152" s="696"/>
      <c r="U152" s="696"/>
      <c r="V152" s="696"/>
      <c r="W152" s="696"/>
      <c r="X152" s="696"/>
      <c r="Y152" s="696"/>
      <c r="Z152" s="696"/>
      <c r="AA152" s="696"/>
      <c r="AB152" s="696"/>
      <c r="AC152" s="696"/>
      <c r="AD152" s="696"/>
      <c r="AE152" s="696"/>
      <c r="AF152" s="696"/>
      <c r="AG152" s="696"/>
      <c r="AH152" s="696">
        <v>0</v>
      </c>
      <c r="AI152" s="696"/>
      <c r="AJ152" s="696"/>
      <c r="AK152" s="696"/>
      <c r="AL152" s="696"/>
      <c r="AM152" s="696"/>
      <c r="AN152" s="696"/>
      <c r="AO152" s="696"/>
      <c r="AP152" s="696"/>
      <c r="AQ152" s="696"/>
      <c r="AT152" s="696"/>
      <c r="AU152" s="674"/>
      <c r="AV152" s="674"/>
      <c r="AW152" s="674"/>
      <c r="AX152" s="674"/>
      <c r="AY152" s="674"/>
      <c r="AZ152" s="674"/>
      <c r="BA152" s="674"/>
      <c r="BB152" s="674"/>
    </row>
    <row r="153" spans="1:54">
      <c r="A153" s="674" t="s">
        <v>390</v>
      </c>
      <c r="B153" s="674" t="s">
        <v>2912</v>
      </c>
      <c r="C153" s="674" t="s">
        <v>2913</v>
      </c>
      <c r="D153" s="673" t="s">
        <v>348</v>
      </c>
      <c r="E153" s="674" t="s">
        <v>349</v>
      </c>
      <c r="F153" s="674" t="s">
        <v>366</v>
      </c>
      <c r="G153" s="697">
        <v>2020</v>
      </c>
      <c r="H153" s="695">
        <v>11</v>
      </c>
      <c r="I153" s="698">
        <v>10.902865770515119</v>
      </c>
      <c r="J153" s="698">
        <v>4.2263157894736842</v>
      </c>
      <c r="K153" s="674">
        <v>1</v>
      </c>
      <c r="L153" s="674">
        <v>0.15</v>
      </c>
      <c r="M153" s="674">
        <v>0.15</v>
      </c>
      <c r="N153" s="674">
        <v>0.15</v>
      </c>
      <c r="O153" s="674">
        <v>0.15</v>
      </c>
      <c r="P153" s="674">
        <v>0.15</v>
      </c>
      <c r="Q153" s="674"/>
      <c r="R153" s="674">
        <v>0.18</v>
      </c>
      <c r="S153" s="696"/>
      <c r="T153" s="696"/>
      <c r="U153" s="696"/>
      <c r="V153" s="696"/>
      <c r="W153" s="696"/>
      <c r="X153" s="696"/>
      <c r="Y153" s="696"/>
      <c r="Z153" s="696"/>
      <c r="AA153" s="696"/>
      <c r="AB153" s="696"/>
      <c r="AC153" s="696"/>
      <c r="AD153" s="696"/>
      <c r="AE153" s="696"/>
      <c r="AF153" s="696"/>
      <c r="AG153" s="696"/>
      <c r="AH153" s="696">
        <v>0</v>
      </c>
      <c r="AI153" s="696"/>
      <c r="AJ153" s="696"/>
      <c r="AK153" s="696"/>
      <c r="AL153" s="696"/>
      <c r="AM153" s="696"/>
      <c r="AN153" s="696"/>
      <c r="AO153" s="696"/>
      <c r="AP153" s="696"/>
      <c r="AQ153" s="696"/>
      <c r="AT153" s="696"/>
      <c r="AU153" s="674"/>
      <c r="AV153" s="674"/>
      <c r="AW153" s="674"/>
      <c r="AX153" s="674"/>
      <c r="AY153" s="674"/>
      <c r="AZ153" s="674"/>
      <c r="BA153" s="674"/>
      <c r="BB153" s="674"/>
    </row>
    <row r="154" spans="1:54">
      <c r="A154" s="674" t="s">
        <v>390</v>
      </c>
      <c r="B154" s="674" t="s">
        <v>2914</v>
      </c>
      <c r="C154" s="674" t="s">
        <v>2915</v>
      </c>
      <c r="D154" s="673" t="s">
        <v>348</v>
      </c>
      <c r="E154" s="674" t="s">
        <v>349</v>
      </c>
      <c r="F154" s="674" t="s">
        <v>366</v>
      </c>
      <c r="G154" s="697">
        <v>2030</v>
      </c>
      <c r="H154" s="695">
        <v>25</v>
      </c>
      <c r="I154" s="698">
        <v>8.5546627869035401</v>
      </c>
      <c r="J154" s="698">
        <v>3.688421052631579</v>
      </c>
      <c r="K154" s="674">
        <v>1</v>
      </c>
      <c r="L154" s="674">
        <v>0.15</v>
      </c>
      <c r="M154" s="674">
        <v>0.15</v>
      </c>
      <c r="N154" s="674">
        <v>0.15</v>
      </c>
      <c r="O154" s="674">
        <v>0.15</v>
      </c>
      <c r="P154" s="674">
        <v>0.15</v>
      </c>
      <c r="Q154" s="674"/>
      <c r="R154" s="674">
        <v>0.18</v>
      </c>
      <c r="S154" s="696"/>
      <c r="T154" s="696"/>
      <c r="U154" s="696"/>
      <c r="V154" s="696"/>
      <c r="W154" s="696"/>
      <c r="X154" s="696"/>
      <c r="Y154" s="696"/>
      <c r="Z154" s="696"/>
      <c r="AA154" s="696"/>
      <c r="AB154" s="696"/>
      <c r="AC154" s="696"/>
      <c r="AD154" s="696"/>
      <c r="AE154" s="696"/>
      <c r="AF154" s="696"/>
      <c r="AG154" s="696"/>
      <c r="AH154" s="696">
        <v>0</v>
      </c>
      <c r="AI154" s="696"/>
      <c r="AJ154" s="696"/>
      <c r="AK154" s="696"/>
      <c r="AL154" s="696"/>
      <c r="AM154" s="696"/>
      <c r="AN154" s="696"/>
      <c r="AO154" s="696"/>
      <c r="AP154" s="696"/>
      <c r="AQ154" s="696"/>
      <c r="AT154" s="696"/>
      <c r="AU154" s="674"/>
      <c r="AV154" s="674"/>
      <c r="AW154" s="674"/>
      <c r="AX154" s="674"/>
      <c r="AY154" s="674"/>
      <c r="AZ154" s="674"/>
      <c r="BA154" s="674"/>
      <c r="BB154" s="674"/>
    </row>
    <row r="155" spans="1:54">
      <c r="A155" s="674" t="s">
        <v>390</v>
      </c>
      <c r="B155" s="674" t="s">
        <v>2916</v>
      </c>
      <c r="C155" s="674" t="s">
        <v>2917</v>
      </c>
      <c r="D155" s="673" t="s">
        <v>348</v>
      </c>
      <c r="E155" s="674" t="s">
        <v>349</v>
      </c>
      <c r="F155" s="674" t="s">
        <v>366</v>
      </c>
      <c r="G155" s="697">
        <v>2030</v>
      </c>
      <c r="H155" s="695">
        <v>25</v>
      </c>
      <c r="I155" s="698">
        <v>11.048329672154777</v>
      </c>
      <c r="J155" s="698">
        <v>4.2263157894736842</v>
      </c>
      <c r="K155" s="674">
        <v>1</v>
      </c>
      <c r="L155" s="674">
        <v>0.15</v>
      </c>
      <c r="M155" s="674">
        <v>0.15</v>
      </c>
      <c r="N155" s="674">
        <v>0.15</v>
      </c>
      <c r="O155" s="674">
        <v>0.15</v>
      </c>
      <c r="P155" s="674">
        <v>0.15</v>
      </c>
      <c r="Q155" s="674"/>
      <c r="R155" s="674">
        <v>0.18</v>
      </c>
      <c r="S155" s="696"/>
      <c r="T155" s="696"/>
      <c r="U155" s="696"/>
      <c r="V155" s="696"/>
      <c r="W155" s="696"/>
      <c r="X155" s="696"/>
      <c r="Y155" s="696"/>
      <c r="Z155" s="696"/>
      <c r="AA155" s="696"/>
      <c r="AB155" s="696"/>
      <c r="AC155" s="696"/>
      <c r="AD155" s="696"/>
      <c r="AE155" s="696"/>
      <c r="AF155" s="696"/>
      <c r="AG155" s="696"/>
      <c r="AH155" s="696">
        <v>0</v>
      </c>
      <c r="AI155" s="696"/>
      <c r="AJ155" s="696"/>
      <c r="AK155" s="696"/>
      <c r="AL155" s="696"/>
      <c r="AM155" s="696"/>
      <c r="AN155" s="696"/>
      <c r="AO155" s="696"/>
      <c r="AP155" s="696"/>
      <c r="AQ155" s="696"/>
      <c r="AT155" s="696"/>
      <c r="AU155" s="674"/>
      <c r="AV155" s="674"/>
      <c r="AW155" s="674"/>
      <c r="AX155" s="674"/>
      <c r="AY155" s="674"/>
      <c r="AZ155" s="674"/>
      <c r="BA155" s="674"/>
      <c r="BB155" s="674"/>
    </row>
    <row r="156" spans="1:54">
      <c r="A156" s="674" t="s">
        <v>390</v>
      </c>
      <c r="B156" s="674" t="s">
        <v>2918</v>
      </c>
      <c r="C156" s="674" t="s">
        <v>2919</v>
      </c>
      <c r="D156" s="673" t="s">
        <v>348</v>
      </c>
      <c r="E156" s="674" t="s">
        <v>349</v>
      </c>
      <c r="F156" s="674" t="s">
        <v>366</v>
      </c>
      <c r="G156" s="697">
        <v>2040</v>
      </c>
      <c r="H156" s="695">
        <v>25</v>
      </c>
      <c r="I156" s="698">
        <v>8.5546627869035401</v>
      </c>
      <c r="J156" s="698">
        <v>3.688421052631579</v>
      </c>
      <c r="K156" s="674">
        <v>1</v>
      </c>
      <c r="L156" s="674">
        <v>0.15</v>
      </c>
      <c r="M156" s="674">
        <v>0.15</v>
      </c>
      <c r="N156" s="674">
        <v>0.15</v>
      </c>
      <c r="O156" s="674">
        <v>0.15</v>
      </c>
      <c r="P156" s="674">
        <v>0.15</v>
      </c>
      <c r="Q156" s="674"/>
      <c r="R156" s="674">
        <v>0.18</v>
      </c>
      <c r="S156" s="696"/>
      <c r="T156" s="696"/>
      <c r="U156" s="696"/>
      <c r="V156" s="696"/>
      <c r="W156" s="696"/>
      <c r="X156" s="696"/>
      <c r="Y156" s="696"/>
      <c r="Z156" s="696"/>
      <c r="AA156" s="696"/>
      <c r="AB156" s="696"/>
      <c r="AC156" s="696"/>
      <c r="AD156" s="696"/>
      <c r="AE156" s="696"/>
      <c r="AF156" s="696"/>
      <c r="AG156" s="696"/>
      <c r="AH156" s="696">
        <v>0</v>
      </c>
      <c r="AI156" s="696"/>
      <c r="AJ156" s="696"/>
      <c r="AK156" s="696"/>
      <c r="AL156" s="696"/>
      <c r="AM156" s="696"/>
      <c r="AN156" s="696"/>
      <c r="AO156" s="696"/>
      <c r="AP156" s="696"/>
      <c r="AQ156" s="696"/>
      <c r="AT156" s="696"/>
      <c r="AU156" s="674"/>
      <c r="AV156" s="674"/>
      <c r="AW156" s="674"/>
      <c r="AX156" s="674"/>
      <c r="AY156" s="674"/>
      <c r="AZ156" s="674"/>
      <c r="BA156" s="674"/>
      <c r="BB156" s="674"/>
    </row>
    <row r="157" spans="1:54">
      <c r="A157" s="674" t="s">
        <v>390</v>
      </c>
      <c r="B157" s="674" t="s">
        <v>2920</v>
      </c>
      <c r="C157" s="674" t="s">
        <v>2921</v>
      </c>
      <c r="D157" s="673" t="s">
        <v>348</v>
      </c>
      <c r="E157" s="674" t="s">
        <v>349</v>
      </c>
      <c r="F157" s="674" t="s">
        <v>366</v>
      </c>
      <c r="G157" s="697">
        <v>2040</v>
      </c>
      <c r="H157" s="695">
        <v>25</v>
      </c>
      <c r="I157" s="698">
        <v>11.048329672154777</v>
      </c>
      <c r="J157" s="698">
        <v>4.2263157894736842</v>
      </c>
      <c r="K157" s="674">
        <v>1</v>
      </c>
      <c r="L157" s="674">
        <v>0.15</v>
      </c>
      <c r="M157" s="674">
        <v>0.15</v>
      </c>
      <c r="N157" s="674">
        <v>0.15</v>
      </c>
      <c r="O157" s="674">
        <v>0.15</v>
      </c>
      <c r="P157" s="674">
        <v>0.15</v>
      </c>
      <c r="Q157" s="674"/>
      <c r="R157" s="674">
        <v>0.18</v>
      </c>
      <c r="S157" s="696"/>
      <c r="T157" s="696"/>
      <c r="U157" s="696"/>
      <c r="V157" s="696"/>
      <c r="W157" s="696"/>
      <c r="X157" s="696"/>
      <c r="Y157" s="696"/>
      <c r="Z157" s="696"/>
      <c r="AA157" s="696"/>
      <c r="AB157" s="696"/>
      <c r="AC157" s="696"/>
      <c r="AD157" s="696"/>
      <c r="AE157" s="696"/>
      <c r="AF157" s="696"/>
      <c r="AG157" s="696"/>
      <c r="AH157" s="696">
        <v>0</v>
      </c>
      <c r="AI157" s="696"/>
      <c r="AJ157" s="696"/>
      <c r="AK157" s="696"/>
      <c r="AL157" s="696"/>
      <c r="AM157" s="696"/>
      <c r="AN157" s="696"/>
      <c r="AO157" s="696"/>
      <c r="AP157" s="696"/>
      <c r="AQ157" s="696"/>
      <c r="AT157" s="696"/>
      <c r="AU157" s="674"/>
      <c r="AV157" s="674"/>
      <c r="AW157" s="674"/>
      <c r="AX157" s="674"/>
      <c r="AY157" s="674"/>
      <c r="AZ157" s="674"/>
      <c r="BA157" s="674"/>
      <c r="BB157" s="674"/>
    </row>
    <row r="158" spans="1:54">
      <c r="A158" s="674" t="s">
        <v>390</v>
      </c>
      <c r="B158" s="674" t="s">
        <v>2699</v>
      </c>
      <c r="C158" s="674" t="s">
        <v>2700</v>
      </c>
      <c r="D158" s="673" t="s">
        <v>348</v>
      </c>
      <c r="E158" s="674" t="s">
        <v>349</v>
      </c>
      <c r="F158" s="674" t="s">
        <v>366</v>
      </c>
      <c r="G158" s="697" t="s">
        <v>847</v>
      </c>
      <c r="H158" s="695">
        <v>20</v>
      </c>
      <c r="I158" s="698">
        <v>9.44</v>
      </c>
      <c r="J158" s="698">
        <v>4.7300000000000004</v>
      </c>
      <c r="K158" s="674">
        <v>1</v>
      </c>
      <c r="L158" s="674">
        <v>0.15</v>
      </c>
      <c r="M158" s="674">
        <v>0.15</v>
      </c>
      <c r="N158" s="674">
        <v>0.15</v>
      </c>
      <c r="O158" s="674">
        <v>0.15</v>
      </c>
      <c r="P158" s="674">
        <v>0.15</v>
      </c>
      <c r="Q158" s="674"/>
      <c r="R158" s="674">
        <v>0.18</v>
      </c>
      <c r="S158" s="696"/>
      <c r="T158" s="696"/>
      <c r="U158" s="696"/>
      <c r="V158" s="696"/>
      <c r="W158" s="696"/>
      <c r="X158" s="696"/>
      <c r="Y158" s="696"/>
      <c r="Z158" s="696"/>
      <c r="AA158" s="696"/>
      <c r="AB158" s="696"/>
      <c r="AC158" s="696"/>
      <c r="AD158" s="696"/>
      <c r="AE158" s="696"/>
      <c r="AF158" s="696"/>
      <c r="AG158" s="696"/>
      <c r="AH158" s="696">
        <v>0</v>
      </c>
      <c r="AI158" s="696"/>
      <c r="AJ158" s="696"/>
      <c r="AK158" s="696"/>
      <c r="AL158" s="696"/>
      <c r="AM158" s="696"/>
      <c r="AN158" s="696"/>
      <c r="AO158" s="696"/>
      <c r="AP158" s="696"/>
      <c r="AQ158" s="696"/>
      <c r="AT158" s="696"/>
      <c r="AU158" s="674"/>
      <c r="AV158" s="674"/>
      <c r="AW158" s="674"/>
      <c r="AX158" s="674"/>
      <c r="AY158" s="674"/>
      <c r="AZ158" s="674"/>
      <c r="BA158" s="674"/>
      <c r="BB158" s="674"/>
    </row>
    <row r="159" spans="1:54">
      <c r="A159" s="674" t="s">
        <v>390</v>
      </c>
      <c r="B159" s="674" t="s">
        <v>148</v>
      </c>
      <c r="C159" s="674" t="s">
        <v>319</v>
      </c>
      <c r="D159" s="673" t="s">
        <v>348</v>
      </c>
      <c r="E159" s="674" t="s">
        <v>349</v>
      </c>
      <c r="F159" s="674" t="s">
        <v>366</v>
      </c>
      <c r="G159" s="697" t="s">
        <v>489</v>
      </c>
      <c r="H159" s="695">
        <v>15</v>
      </c>
      <c r="I159" s="698">
        <v>10.517105610453291</v>
      </c>
      <c r="J159" s="698">
        <v>4.6900000000000004</v>
      </c>
      <c r="K159" s="674">
        <v>1</v>
      </c>
      <c r="L159" s="674">
        <v>0.15</v>
      </c>
      <c r="M159" s="674">
        <v>0.15</v>
      </c>
      <c r="N159" s="674">
        <v>0.15</v>
      </c>
      <c r="O159" s="674">
        <v>0.15</v>
      </c>
      <c r="P159" s="674">
        <v>0.15</v>
      </c>
      <c r="Q159" s="674"/>
      <c r="R159" s="674">
        <v>0.18</v>
      </c>
      <c r="S159" s="696"/>
      <c r="T159" s="696"/>
      <c r="U159" s="696"/>
      <c r="V159" s="696"/>
      <c r="W159" s="696"/>
      <c r="X159" s="696"/>
      <c r="Y159" s="696"/>
      <c r="Z159" s="696"/>
      <c r="AA159" s="696"/>
      <c r="AB159" s="696"/>
      <c r="AC159" s="696"/>
      <c r="AD159" s="696"/>
      <c r="AE159" s="696"/>
      <c r="AF159" s="696"/>
      <c r="AG159" s="696"/>
      <c r="AH159" s="696">
        <v>0</v>
      </c>
      <c r="AI159" s="696"/>
      <c r="AJ159" s="696">
        <v>0</v>
      </c>
      <c r="AK159" s="696">
        <v>0</v>
      </c>
      <c r="AL159" s="696">
        <v>0</v>
      </c>
      <c r="AM159" s="696">
        <v>0</v>
      </c>
      <c r="AN159" s="696">
        <v>0</v>
      </c>
      <c r="AO159" s="696">
        <v>0</v>
      </c>
      <c r="AP159" s="696">
        <v>0</v>
      </c>
      <c r="AQ159" s="696">
        <v>0</v>
      </c>
      <c r="AT159" s="696"/>
      <c r="AU159" s="674"/>
      <c r="AV159" s="674"/>
      <c r="AW159" s="674"/>
      <c r="AX159" s="674"/>
      <c r="AY159" s="674"/>
      <c r="AZ159" s="674"/>
      <c r="BA159" s="674"/>
      <c r="BB159" s="674"/>
    </row>
    <row r="160" spans="1:54">
      <c r="A160" s="674" t="s">
        <v>390</v>
      </c>
      <c r="B160" s="674" t="s">
        <v>1028</v>
      </c>
      <c r="C160" s="674" t="s">
        <v>1029</v>
      </c>
      <c r="D160" s="673" t="s">
        <v>348</v>
      </c>
      <c r="E160" s="674" t="s">
        <v>349</v>
      </c>
      <c r="F160" s="674" t="s">
        <v>366</v>
      </c>
      <c r="G160" s="697" t="s">
        <v>847</v>
      </c>
      <c r="H160" s="695">
        <v>20</v>
      </c>
      <c r="I160" s="698">
        <v>12.03</v>
      </c>
      <c r="J160" s="698">
        <v>5.61</v>
      </c>
      <c r="K160" s="674">
        <v>1</v>
      </c>
      <c r="L160" s="674">
        <v>0.15</v>
      </c>
      <c r="M160" s="674">
        <v>0.15</v>
      </c>
      <c r="N160" s="674">
        <v>0.15</v>
      </c>
      <c r="O160" s="674">
        <v>0.15</v>
      </c>
      <c r="P160" s="674">
        <v>0.15</v>
      </c>
      <c r="Q160" s="674"/>
      <c r="R160" s="674">
        <v>0.18</v>
      </c>
      <c r="S160" s="696"/>
      <c r="T160" s="696"/>
      <c r="U160" s="696"/>
      <c r="V160" s="696"/>
      <c r="W160" s="696"/>
      <c r="X160" s="696"/>
      <c r="Y160" s="696"/>
      <c r="Z160" s="696"/>
      <c r="AA160" s="696"/>
      <c r="AB160" s="696"/>
      <c r="AC160" s="696"/>
      <c r="AD160" s="696"/>
      <c r="AE160" s="696"/>
      <c r="AF160" s="696"/>
      <c r="AG160" s="696"/>
      <c r="AH160" s="696">
        <v>0</v>
      </c>
      <c r="AI160" s="696"/>
      <c r="AJ160" s="696"/>
      <c r="AK160" s="696"/>
      <c r="AL160" s="696"/>
      <c r="AM160" s="696"/>
      <c r="AN160" s="696"/>
      <c r="AO160" s="696"/>
      <c r="AP160" s="696"/>
      <c r="AQ160" s="696"/>
      <c r="AT160" s="696"/>
      <c r="AU160" s="674"/>
      <c r="AV160" s="674"/>
      <c r="AW160" s="674"/>
      <c r="AX160" s="674"/>
      <c r="AY160" s="674"/>
      <c r="AZ160" s="674"/>
      <c r="BA160" s="674"/>
      <c r="BB160" s="674"/>
    </row>
    <row r="161" spans="1:54">
      <c r="A161" s="674" t="s">
        <v>390</v>
      </c>
      <c r="B161" s="674" t="s">
        <v>144</v>
      </c>
      <c r="C161" s="674" t="s">
        <v>281</v>
      </c>
      <c r="D161" s="673" t="s">
        <v>348</v>
      </c>
      <c r="E161" s="674" t="s">
        <v>349</v>
      </c>
      <c r="F161" s="674" t="s">
        <v>366</v>
      </c>
      <c r="G161" s="697" t="s">
        <v>489</v>
      </c>
      <c r="H161" s="695">
        <v>15</v>
      </c>
      <c r="I161" s="698">
        <v>12.292720843386961</v>
      </c>
      <c r="J161" s="698">
        <v>6.15</v>
      </c>
      <c r="K161" s="674">
        <v>1</v>
      </c>
      <c r="L161" s="674">
        <v>0.15</v>
      </c>
      <c r="M161" s="674">
        <v>0.15</v>
      </c>
      <c r="N161" s="674">
        <v>0.15</v>
      </c>
      <c r="O161" s="674">
        <v>0.15</v>
      </c>
      <c r="P161" s="674">
        <v>0.15</v>
      </c>
      <c r="Q161" s="674"/>
      <c r="R161" s="674">
        <v>0.18</v>
      </c>
      <c r="S161" s="696"/>
      <c r="T161" s="696"/>
      <c r="U161" s="696"/>
      <c r="V161" s="696"/>
      <c r="W161" s="696"/>
      <c r="X161" s="696"/>
      <c r="Y161" s="696"/>
      <c r="Z161" s="696"/>
      <c r="AA161" s="696"/>
      <c r="AB161" s="696"/>
      <c r="AC161" s="696"/>
      <c r="AD161" s="696"/>
      <c r="AE161" s="696"/>
      <c r="AF161" s="696"/>
      <c r="AG161" s="696"/>
      <c r="AH161" s="696">
        <v>0</v>
      </c>
      <c r="AI161" s="696">
        <v>0</v>
      </c>
      <c r="AJ161" s="696">
        <v>0</v>
      </c>
      <c r="AK161" s="696">
        <v>0</v>
      </c>
      <c r="AL161" s="696">
        <v>0</v>
      </c>
      <c r="AM161" s="696">
        <v>0</v>
      </c>
      <c r="AN161" s="696">
        <v>0</v>
      </c>
      <c r="AO161" s="696">
        <v>0</v>
      </c>
      <c r="AP161" s="696">
        <v>0</v>
      </c>
      <c r="AQ161" s="696">
        <v>0</v>
      </c>
      <c r="AT161" s="696"/>
      <c r="AU161" s="674"/>
      <c r="AV161" s="674"/>
      <c r="AW161" s="674"/>
      <c r="AX161" s="674"/>
      <c r="AY161" s="674"/>
      <c r="AZ161" s="674"/>
      <c r="BA161" s="674"/>
      <c r="BB161" s="674"/>
    </row>
    <row r="162" spans="1:54">
      <c r="A162" s="674" t="s">
        <v>390</v>
      </c>
      <c r="B162" s="674" t="s">
        <v>282</v>
      </c>
      <c r="C162" s="674" t="s">
        <v>283</v>
      </c>
      <c r="D162" s="673" t="s">
        <v>348</v>
      </c>
      <c r="E162" s="674" t="s">
        <v>349</v>
      </c>
      <c r="F162" s="674" t="s">
        <v>366</v>
      </c>
      <c r="G162" s="697" t="s">
        <v>490</v>
      </c>
      <c r="H162" s="695">
        <v>15</v>
      </c>
      <c r="I162" s="698">
        <v>16.390294457849279</v>
      </c>
      <c r="J162" s="698">
        <v>7.03</v>
      </c>
      <c r="K162" s="674">
        <v>1</v>
      </c>
      <c r="L162" s="674">
        <v>0.15</v>
      </c>
      <c r="M162" s="674">
        <v>0.15</v>
      </c>
      <c r="N162" s="674">
        <v>0.15</v>
      </c>
      <c r="O162" s="674">
        <v>0.15</v>
      </c>
      <c r="P162" s="674">
        <v>0.15</v>
      </c>
      <c r="Q162" s="674"/>
      <c r="R162" s="674">
        <v>0.18</v>
      </c>
      <c r="S162" s="696"/>
      <c r="T162" s="696"/>
      <c r="U162" s="696"/>
      <c r="V162" s="696"/>
      <c r="W162" s="696"/>
      <c r="X162" s="696"/>
      <c r="Y162" s="696"/>
      <c r="Z162" s="696"/>
      <c r="AA162" s="696"/>
      <c r="AB162" s="696"/>
      <c r="AC162" s="696"/>
      <c r="AD162" s="696"/>
      <c r="AE162" s="696"/>
      <c r="AF162" s="696"/>
      <c r="AG162" s="696"/>
      <c r="AH162" s="696">
        <v>0</v>
      </c>
      <c r="AI162" s="696"/>
      <c r="AJ162" s="696">
        <v>0</v>
      </c>
      <c r="AK162" s="696">
        <v>0</v>
      </c>
      <c r="AL162" s="696">
        <v>0</v>
      </c>
      <c r="AM162" s="696">
        <v>0</v>
      </c>
      <c r="AN162" s="696">
        <v>0</v>
      </c>
      <c r="AO162" s="696">
        <v>0</v>
      </c>
      <c r="AP162" s="696">
        <v>0</v>
      </c>
      <c r="AQ162" s="696">
        <v>0</v>
      </c>
      <c r="AT162" s="696"/>
      <c r="AU162" s="674"/>
      <c r="AV162" s="674"/>
      <c r="AW162" s="674"/>
      <c r="AX162" s="674"/>
      <c r="AY162" s="674"/>
      <c r="AZ162" s="674"/>
      <c r="BA162" s="674"/>
      <c r="BB162" s="674"/>
    </row>
    <row r="163" spans="1:54">
      <c r="A163" s="674" t="s">
        <v>390</v>
      </c>
      <c r="B163" s="674" t="s">
        <v>2701</v>
      </c>
      <c r="C163" s="674" t="s">
        <v>2702</v>
      </c>
      <c r="D163" s="673" t="s">
        <v>348</v>
      </c>
      <c r="E163" s="674" t="s">
        <v>349</v>
      </c>
      <c r="F163" s="674" t="s">
        <v>366</v>
      </c>
      <c r="G163" s="697">
        <v>2030</v>
      </c>
      <c r="H163" s="695">
        <v>11</v>
      </c>
      <c r="I163" s="698">
        <v>9.57</v>
      </c>
      <c r="J163" s="698">
        <v>4.93</v>
      </c>
      <c r="K163" s="674">
        <v>1</v>
      </c>
      <c r="L163" s="674">
        <v>0.15</v>
      </c>
      <c r="M163" s="674">
        <v>0.15</v>
      </c>
      <c r="N163" s="674">
        <v>0.15</v>
      </c>
      <c r="O163" s="674">
        <v>0.15</v>
      </c>
      <c r="P163" s="674">
        <v>0.15</v>
      </c>
      <c r="Q163" s="674"/>
      <c r="R163" s="674">
        <v>0.18</v>
      </c>
      <c r="S163" s="696"/>
      <c r="T163" s="696"/>
      <c r="U163" s="696"/>
      <c r="V163" s="696"/>
      <c r="W163" s="696"/>
      <c r="X163" s="696"/>
      <c r="Y163" s="696"/>
      <c r="Z163" s="696"/>
      <c r="AA163" s="696"/>
      <c r="AB163" s="696"/>
      <c r="AC163" s="696"/>
      <c r="AD163" s="696"/>
      <c r="AE163" s="696"/>
      <c r="AF163" s="696"/>
      <c r="AG163" s="696"/>
      <c r="AH163" s="696">
        <v>0</v>
      </c>
      <c r="AI163" s="696"/>
      <c r="AJ163" s="696"/>
      <c r="AK163" s="696"/>
      <c r="AL163" s="696"/>
      <c r="AM163" s="696"/>
      <c r="AN163" s="696"/>
      <c r="AO163" s="696"/>
      <c r="AP163" s="696"/>
      <c r="AQ163" s="696"/>
      <c r="AT163" s="696"/>
      <c r="AU163" s="674"/>
      <c r="AV163" s="674"/>
      <c r="AW163" s="674"/>
      <c r="AX163" s="674"/>
      <c r="AY163" s="674"/>
      <c r="AZ163" s="674"/>
      <c r="BA163" s="674"/>
      <c r="BB163" s="674"/>
    </row>
    <row r="164" spans="1:54">
      <c r="A164" s="674" t="s">
        <v>390</v>
      </c>
      <c r="B164" s="674" t="s">
        <v>2703</v>
      </c>
      <c r="C164" s="674" t="s">
        <v>2704</v>
      </c>
      <c r="D164" s="673" t="s">
        <v>348</v>
      </c>
      <c r="E164" s="674" t="s">
        <v>349</v>
      </c>
      <c r="F164" s="674" t="s">
        <v>366</v>
      </c>
      <c r="G164" s="697">
        <v>2030</v>
      </c>
      <c r="H164" s="695">
        <v>25</v>
      </c>
      <c r="I164" s="698">
        <v>12.03</v>
      </c>
      <c r="J164" s="698">
        <v>5.61</v>
      </c>
      <c r="K164" s="674">
        <v>1</v>
      </c>
      <c r="L164" s="674">
        <v>0.15</v>
      </c>
      <c r="M164" s="674">
        <v>0.15</v>
      </c>
      <c r="N164" s="674">
        <v>0.15</v>
      </c>
      <c r="O164" s="674">
        <v>0.15</v>
      </c>
      <c r="P164" s="674">
        <v>0.15</v>
      </c>
      <c r="Q164" s="674"/>
      <c r="R164" s="674">
        <v>0.18</v>
      </c>
      <c r="S164" s="696"/>
      <c r="T164" s="696"/>
      <c r="U164" s="696"/>
      <c r="V164" s="696"/>
      <c r="W164" s="696"/>
      <c r="X164" s="696"/>
      <c r="Y164" s="696"/>
      <c r="Z164" s="696"/>
      <c r="AA164" s="696"/>
      <c r="AB164" s="696"/>
      <c r="AC164" s="696"/>
      <c r="AD164" s="696"/>
      <c r="AE164" s="696"/>
      <c r="AF164" s="696"/>
      <c r="AG164" s="696"/>
      <c r="AH164" s="696">
        <v>0</v>
      </c>
      <c r="AI164" s="696"/>
      <c r="AJ164" s="696"/>
      <c r="AK164" s="696"/>
      <c r="AL164" s="696"/>
      <c r="AM164" s="696"/>
      <c r="AN164" s="696"/>
      <c r="AO164" s="696"/>
      <c r="AP164" s="696"/>
      <c r="AQ164" s="696"/>
      <c r="AT164" s="696"/>
      <c r="AU164" s="674"/>
      <c r="AV164" s="674"/>
      <c r="AW164" s="674"/>
      <c r="AX164" s="674"/>
      <c r="AY164" s="674"/>
      <c r="AZ164" s="674"/>
      <c r="BA164" s="674"/>
      <c r="BB164" s="674"/>
    </row>
    <row r="165" spans="1:54">
      <c r="A165" s="674" t="s">
        <v>390</v>
      </c>
      <c r="B165" s="674" t="s">
        <v>2705</v>
      </c>
      <c r="C165" s="674" t="s">
        <v>2707</v>
      </c>
      <c r="D165" s="673" t="s">
        <v>348</v>
      </c>
      <c r="E165" s="674" t="s">
        <v>349</v>
      </c>
      <c r="F165" s="674" t="s">
        <v>366</v>
      </c>
      <c r="G165" s="697">
        <v>2040</v>
      </c>
      <c r="H165" s="695">
        <v>11</v>
      </c>
      <c r="I165" s="698">
        <v>9.57</v>
      </c>
      <c r="J165" s="698">
        <v>4.93</v>
      </c>
      <c r="K165" s="674">
        <v>1</v>
      </c>
      <c r="L165" s="674">
        <v>0.15</v>
      </c>
      <c r="M165" s="674">
        <v>0.15</v>
      </c>
      <c r="N165" s="674">
        <v>0.15</v>
      </c>
      <c r="O165" s="674">
        <v>0.15</v>
      </c>
      <c r="P165" s="674">
        <v>0.15</v>
      </c>
      <c r="Q165" s="674"/>
      <c r="R165" s="674">
        <v>0.18</v>
      </c>
      <c r="S165" s="696"/>
      <c r="T165" s="696"/>
      <c r="U165" s="696"/>
      <c r="V165" s="696"/>
      <c r="W165" s="696"/>
      <c r="X165" s="696"/>
      <c r="Y165" s="696"/>
      <c r="Z165" s="696"/>
      <c r="AA165" s="696"/>
      <c r="AB165" s="696"/>
      <c r="AC165" s="696"/>
      <c r="AD165" s="696"/>
      <c r="AE165" s="696"/>
      <c r="AF165" s="696"/>
      <c r="AG165" s="696"/>
      <c r="AH165" s="696">
        <v>0</v>
      </c>
      <c r="AI165" s="696"/>
      <c r="AJ165" s="696"/>
      <c r="AK165" s="696"/>
      <c r="AL165" s="696"/>
      <c r="AM165" s="696"/>
      <c r="AN165" s="696"/>
      <c r="AO165" s="696"/>
      <c r="AP165" s="696"/>
      <c r="AQ165" s="696"/>
      <c r="AT165" s="696"/>
      <c r="AU165" s="674"/>
      <c r="AV165" s="674"/>
      <c r="AW165" s="674"/>
      <c r="AX165" s="674"/>
      <c r="AY165" s="674"/>
      <c r="AZ165" s="674"/>
      <c r="BA165" s="674"/>
      <c r="BB165" s="674"/>
    </row>
    <row r="166" spans="1:54">
      <c r="A166" s="674" t="s">
        <v>390</v>
      </c>
      <c r="B166" s="674" t="s">
        <v>2706</v>
      </c>
      <c r="C166" s="674" t="s">
        <v>2708</v>
      </c>
      <c r="D166" s="673" t="s">
        <v>348</v>
      </c>
      <c r="E166" s="674" t="s">
        <v>349</v>
      </c>
      <c r="F166" s="674" t="s">
        <v>366</v>
      </c>
      <c r="G166" s="697">
        <v>2040</v>
      </c>
      <c r="H166" s="695">
        <v>25</v>
      </c>
      <c r="I166" s="698">
        <v>12.03</v>
      </c>
      <c r="J166" s="698">
        <v>5.61</v>
      </c>
      <c r="K166" s="674">
        <v>1</v>
      </c>
      <c r="L166" s="674">
        <v>0.15</v>
      </c>
      <c r="M166" s="674">
        <v>0.15</v>
      </c>
      <c r="N166" s="674">
        <v>0.15</v>
      </c>
      <c r="O166" s="674">
        <v>0.15</v>
      </c>
      <c r="P166" s="674">
        <v>0.15</v>
      </c>
      <c r="Q166" s="674"/>
      <c r="R166" s="674">
        <v>0.18</v>
      </c>
      <c r="S166" s="696"/>
      <c r="T166" s="696"/>
      <c r="U166" s="696"/>
      <c r="V166" s="696"/>
      <c r="W166" s="696"/>
      <c r="X166" s="696"/>
      <c r="Y166" s="696"/>
      <c r="Z166" s="696"/>
      <c r="AA166" s="696"/>
      <c r="AB166" s="696"/>
      <c r="AC166" s="696"/>
      <c r="AD166" s="696"/>
      <c r="AE166" s="696"/>
      <c r="AF166" s="696"/>
      <c r="AG166" s="696"/>
      <c r="AH166" s="696">
        <v>0</v>
      </c>
      <c r="AI166" s="696"/>
      <c r="AJ166" s="696"/>
      <c r="AK166" s="696"/>
      <c r="AL166" s="696"/>
      <c r="AM166" s="696"/>
      <c r="AN166" s="696"/>
      <c r="AO166" s="696"/>
      <c r="AP166" s="696"/>
      <c r="AQ166" s="696"/>
      <c r="AT166" s="696"/>
      <c r="AU166" s="674"/>
      <c r="AV166" s="674"/>
      <c r="AW166" s="674"/>
      <c r="AX166" s="674"/>
      <c r="AY166" s="674"/>
      <c r="AZ166" s="674"/>
      <c r="BA166" s="674"/>
      <c r="BB166" s="674"/>
    </row>
    <row r="167" spans="1:54">
      <c r="A167" s="674" t="s">
        <v>390</v>
      </c>
      <c r="B167" s="674" t="s">
        <v>2709</v>
      </c>
      <c r="C167" s="674" t="s">
        <v>2711</v>
      </c>
      <c r="D167" s="673" t="s">
        <v>348</v>
      </c>
      <c r="E167" s="674" t="s">
        <v>349</v>
      </c>
      <c r="F167" s="674" t="s">
        <v>366</v>
      </c>
      <c r="G167" s="697">
        <v>2050</v>
      </c>
      <c r="H167" s="695">
        <v>11</v>
      </c>
      <c r="I167" s="698">
        <v>9.57</v>
      </c>
      <c r="J167" s="698">
        <v>4.93</v>
      </c>
      <c r="K167" s="674">
        <v>1</v>
      </c>
      <c r="L167" s="674">
        <v>0.15</v>
      </c>
      <c r="M167" s="674">
        <v>0.15</v>
      </c>
      <c r="N167" s="674">
        <v>0.15</v>
      </c>
      <c r="O167" s="674">
        <v>0.15</v>
      </c>
      <c r="P167" s="674">
        <v>0.15</v>
      </c>
      <c r="Q167" s="674"/>
      <c r="R167" s="674">
        <v>0.18</v>
      </c>
      <c r="S167" s="696"/>
      <c r="T167" s="696"/>
      <c r="U167" s="696"/>
      <c r="V167" s="696"/>
      <c r="W167" s="696"/>
      <c r="X167" s="696"/>
      <c r="Y167" s="696"/>
      <c r="Z167" s="696"/>
      <c r="AA167" s="696"/>
      <c r="AB167" s="696"/>
      <c r="AC167" s="696"/>
      <c r="AD167" s="696"/>
      <c r="AE167" s="696"/>
      <c r="AF167" s="696"/>
      <c r="AG167" s="696"/>
      <c r="AH167" s="696">
        <v>0</v>
      </c>
      <c r="AI167" s="696"/>
      <c r="AJ167" s="696"/>
      <c r="AK167" s="696"/>
      <c r="AL167" s="696"/>
      <c r="AM167" s="696"/>
      <c r="AN167" s="696"/>
      <c r="AO167" s="696"/>
      <c r="AP167" s="696"/>
      <c r="AQ167" s="696"/>
      <c r="AT167" s="696"/>
      <c r="AU167" s="674"/>
      <c r="AV167" s="674"/>
      <c r="AW167" s="674"/>
      <c r="AX167" s="674"/>
      <c r="AY167" s="674"/>
      <c r="AZ167" s="674"/>
      <c r="BA167" s="674"/>
      <c r="BB167" s="674"/>
    </row>
    <row r="168" spans="1:54">
      <c r="A168" s="674" t="s">
        <v>390</v>
      </c>
      <c r="B168" s="674" t="s">
        <v>2710</v>
      </c>
      <c r="C168" s="674" t="s">
        <v>2712</v>
      </c>
      <c r="D168" s="673" t="s">
        <v>348</v>
      </c>
      <c r="E168" s="674" t="s">
        <v>349</v>
      </c>
      <c r="F168" s="674" t="s">
        <v>366</v>
      </c>
      <c r="G168" s="697">
        <v>2050</v>
      </c>
      <c r="H168" s="695">
        <v>25</v>
      </c>
      <c r="I168" s="698">
        <v>12.03</v>
      </c>
      <c r="J168" s="698">
        <v>5.61</v>
      </c>
      <c r="K168" s="674">
        <v>1</v>
      </c>
      <c r="L168" s="674">
        <v>0.15</v>
      </c>
      <c r="M168" s="674">
        <v>0.15</v>
      </c>
      <c r="N168" s="674">
        <v>0.15</v>
      </c>
      <c r="O168" s="674">
        <v>0.15</v>
      </c>
      <c r="P168" s="674">
        <v>0.15</v>
      </c>
      <c r="Q168" s="674"/>
      <c r="R168" s="674">
        <v>0.18</v>
      </c>
      <c r="S168" s="696"/>
      <c r="T168" s="696"/>
      <c r="U168" s="696"/>
      <c r="V168" s="696"/>
      <c r="W168" s="696"/>
      <c r="X168" s="696"/>
      <c r="Y168" s="696"/>
      <c r="Z168" s="696"/>
      <c r="AA168" s="696"/>
      <c r="AB168" s="696"/>
      <c r="AC168" s="696"/>
      <c r="AD168" s="696"/>
      <c r="AE168" s="696"/>
      <c r="AF168" s="696"/>
      <c r="AG168" s="696"/>
      <c r="AH168" s="696">
        <v>0</v>
      </c>
      <c r="AI168" s="696"/>
      <c r="AJ168" s="696"/>
      <c r="AK168" s="696"/>
      <c r="AL168" s="696"/>
      <c r="AM168" s="696"/>
      <c r="AN168" s="696"/>
      <c r="AO168" s="696"/>
      <c r="AP168" s="696"/>
      <c r="AQ168" s="696"/>
      <c r="AT168" s="696"/>
      <c r="AU168" s="674"/>
      <c r="AV168" s="674"/>
      <c r="AW168" s="674"/>
      <c r="AX168" s="674"/>
      <c r="AY168" s="674"/>
      <c r="AZ168" s="674"/>
      <c r="BA168" s="674"/>
      <c r="BB168" s="674"/>
    </row>
    <row r="169" spans="1:54" ht="15.75" customHeight="1">
      <c r="A169" s="684" t="s">
        <v>2744</v>
      </c>
      <c r="B169" s="682"/>
      <c r="C169" s="682"/>
      <c r="D169" s="682"/>
      <c r="E169" s="684"/>
      <c r="F169" s="684"/>
      <c r="G169" s="704"/>
      <c r="H169" s="705"/>
      <c r="I169" s="705"/>
      <c r="J169" s="706"/>
      <c r="K169" s="705"/>
      <c r="L169" s="705"/>
      <c r="M169" s="705"/>
      <c r="N169" s="705"/>
      <c r="O169" s="705"/>
      <c r="P169" s="705"/>
      <c r="Q169" s="705"/>
      <c r="R169" s="706"/>
      <c r="S169" s="707"/>
      <c r="T169" s="707"/>
      <c r="U169" s="707"/>
      <c r="V169" s="707"/>
      <c r="W169" s="707"/>
      <c r="X169" s="707"/>
      <c r="Y169" s="707"/>
      <c r="Z169" s="707"/>
      <c r="AA169" s="707"/>
      <c r="AB169" s="707"/>
      <c r="AC169" s="707"/>
      <c r="AD169" s="707"/>
      <c r="AE169" s="707"/>
      <c r="AF169" s="707"/>
      <c r="AG169" s="707"/>
      <c r="AH169" s="707"/>
      <c r="AI169" s="707"/>
      <c r="AJ169" s="707"/>
      <c r="AK169" s="707"/>
      <c r="AL169" s="707"/>
      <c r="AM169" s="707"/>
      <c r="AN169" s="707"/>
      <c r="AO169" s="707"/>
      <c r="AP169" s="707"/>
      <c r="AQ169" s="708"/>
      <c r="AT169" s="708"/>
      <c r="AU169" s="682"/>
      <c r="AV169" s="682"/>
      <c r="AW169" s="682"/>
      <c r="AX169" s="682"/>
      <c r="AY169" s="682"/>
      <c r="AZ169" s="682"/>
      <c r="BA169" s="682"/>
      <c r="BB169" s="682"/>
    </row>
    <row r="170" spans="1:54">
      <c r="A170" s="674" t="s">
        <v>390</v>
      </c>
      <c r="B170" s="674" t="s">
        <v>2728</v>
      </c>
      <c r="C170" s="674" t="s">
        <v>2729</v>
      </c>
      <c r="D170" s="673" t="s">
        <v>348</v>
      </c>
      <c r="E170" s="674" t="s">
        <v>349</v>
      </c>
      <c r="F170" s="674" t="s">
        <v>366</v>
      </c>
      <c r="G170" s="697">
        <v>2020</v>
      </c>
      <c r="H170" s="695">
        <v>7</v>
      </c>
      <c r="I170" s="698">
        <v>3.4261803566311637</v>
      </c>
      <c r="J170" s="698">
        <v>1.5478985232866336</v>
      </c>
      <c r="K170" s="674">
        <v>1</v>
      </c>
      <c r="L170" s="674">
        <v>0.15</v>
      </c>
      <c r="M170" s="674">
        <v>0.15</v>
      </c>
      <c r="N170" s="674">
        <v>0.15</v>
      </c>
      <c r="O170" s="674">
        <v>0.15</v>
      </c>
      <c r="P170" s="674">
        <v>0.15</v>
      </c>
      <c r="Q170" s="674"/>
      <c r="R170" s="674">
        <v>0.18</v>
      </c>
      <c r="S170" s="696"/>
      <c r="T170" s="696"/>
      <c r="U170" s="696"/>
      <c r="V170" s="696"/>
      <c r="W170" s="696"/>
      <c r="X170" s="696"/>
      <c r="Y170" s="696"/>
      <c r="Z170" s="696"/>
      <c r="AA170" s="696"/>
      <c r="AB170" s="696"/>
      <c r="AC170" s="696"/>
      <c r="AD170" s="696"/>
      <c r="AE170" s="696"/>
      <c r="AF170" s="696"/>
      <c r="AG170" s="696"/>
      <c r="AH170" s="696">
        <v>0</v>
      </c>
      <c r="AI170" s="696">
        <v>0</v>
      </c>
      <c r="AJ170" s="696"/>
      <c r="AK170" s="696"/>
      <c r="AL170" s="696"/>
      <c r="AM170" s="696"/>
      <c r="AN170" s="696"/>
      <c r="AO170" s="696"/>
      <c r="AP170" s="696"/>
      <c r="AQ170" s="696"/>
      <c r="AT170" s="696"/>
      <c r="AU170" s="674"/>
      <c r="AV170" s="674"/>
      <c r="AW170" s="674"/>
      <c r="AX170" s="674"/>
      <c r="AY170" s="674"/>
      <c r="AZ170" s="674"/>
      <c r="BA170" s="674"/>
      <c r="BB170" s="674"/>
    </row>
    <row r="171" spans="1:54">
      <c r="A171" s="674" t="s">
        <v>390</v>
      </c>
      <c r="B171" s="674" t="s">
        <v>2731</v>
      </c>
      <c r="C171" s="674" t="s">
        <v>2738</v>
      </c>
      <c r="D171" s="673" t="s">
        <v>348</v>
      </c>
      <c r="E171" s="674" t="s">
        <v>349</v>
      </c>
      <c r="F171" s="674" t="s">
        <v>366</v>
      </c>
      <c r="G171" s="697">
        <v>2020</v>
      </c>
      <c r="H171" s="695">
        <v>7</v>
      </c>
      <c r="I171" s="698">
        <v>4.0991800695408571</v>
      </c>
      <c r="J171" s="698">
        <v>1.8519500189322227</v>
      </c>
      <c r="K171" s="674">
        <v>1</v>
      </c>
      <c r="L171" s="674">
        <v>0.15</v>
      </c>
      <c r="M171" s="674">
        <v>0.15</v>
      </c>
      <c r="N171" s="674">
        <v>0.15</v>
      </c>
      <c r="O171" s="674">
        <v>0.15</v>
      </c>
      <c r="P171" s="674">
        <v>0.15</v>
      </c>
      <c r="Q171" s="674"/>
      <c r="R171" s="674">
        <v>0.18</v>
      </c>
      <c r="S171" s="696"/>
      <c r="T171" s="696"/>
      <c r="U171" s="696"/>
      <c r="V171" s="696"/>
      <c r="W171" s="696"/>
      <c r="X171" s="696"/>
      <c r="Y171" s="696"/>
      <c r="Z171" s="696"/>
      <c r="AA171" s="696"/>
      <c r="AB171" s="696"/>
      <c r="AC171" s="696"/>
      <c r="AD171" s="696"/>
      <c r="AE171" s="696"/>
      <c r="AF171" s="696"/>
      <c r="AG171" s="696"/>
      <c r="AH171" s="696">
        <v>0</v>
      </c>
      <c r="AI171" s="696">
        <v>0</v>
      </c>
      <c r="AJ171" s="696"/>
      <c r="AK171" s="696"/>
      <c r="AL171" s="696"/>
      <c r="AM171" s="696"/>
      <c r="AN171" s="696"/>
      <c r="AO171" s="696"/>
      <c r="AP171" s="696"/>
      <c r="AQ171" s="696"/>
      <c r="AT171" s="696"/>
      <c r="AU171" s="674"/>
      <c r="AV171" s="674"/>
      <c r="AW171" s="674"/>
      <c r="AX171" s="674"/>
      <c r="AY171" s="674"/>
      <c r="AZ171" s="674"/>
      <c r="BA171" s="674"/>
      <c r="BB171" s="674"/>
    </row>
    <row r="172" spans="1:54">
      <c r="A172" s="674" t="s">
        <v>390</v>
      </c>
      <c r="B172" s="674" t="s">
        <v>2732</v>
      </c>
      <c r="C172" s="674" t="s">
        <v>2922</v>
      </c>
      <c r="D172" s="673" t="s">
        <v>348</v>
      </c>
      <c r="E172" s="674" t="s">
        <v>349</v>
      </c>
      <c r="F172" s="674" t="s">
        <v>366</v>
      </c>
      <c r="G172" s="697">
        <v>2030</v>
      </c>
      <c r="H172" s="695">
        <v>12</v>
      </c>
      <c r="I172" s="698">
        <v>3.4261803566311637</v>
      </c>
      <c r="J172" s="698">
        <v>1.5478985232866336</v>
      </c>
      <c r="K172" s="674">
        <v>1</v>
      </c>
      <c r="L172" s="674">
        <v>0.15</v>
      </c>
      <c r="M172" s="674">
        <v>0.15</v>
      </c>
      <c r="N172" s="674">
        <v>0.15</v>
      </c>
      <c r="O172" s="674">
        <v>0.15</v>
      </c>
      <c r="P172" s="674">
        <v>0.15</v>
      </c>
      <c r="Q172" s="674"/>
      <c r="R172" s="674">
        <v>0.18</v>
      </c>
      <c r="S172" s="696"/>
      <c r="T172" s="696"/>
      <c r="U172" s="696"/>
      <c r="V172" s="696"/>
      <c r="W172" s="696"/>
      <c r="X172" s="696"/>
      <c r="Y172" s="696"/>
      <c r="Z172" s="696"/>
      <c r="AA172" s="696"/>
      <c r="AB172" s="696"/>
      <c r="AC172" s="696"/>
      <c r="AD172" s="696"/>
      <c r="AE172" s="696"/>
      <c r="AF172" s="696"/>
      <c r="AG172" s="696"/>
      <c r="AH172" s="696">
        <v>0</v>
      </c>
      <c r="AI172" s="696">
        <v>0</v>
      </c>
      <c r="AJ172" s="696"/>
      <c r="AK172" s="696"/>
      <c r="AL172" s="696"/>
      <c r="AM172" s="696"/>
      <c r="AN172" s="696"/>
      <c r="AO172" s="696"/>
      <c r="AP172" s="696"/>
      <c r="AQ172" s="696"/>
      <c r="AT172" s="696"/>
      <c r="AU172" s="674"/>
      <c r="AV172" s="674"/>
      <c r="AW172" s="674"/>
      <c r="AX172" s="674"/>
      <c r="AY172" s="674"/>
      <c r="AZ172" s="674"/>
      <c r="BA172" s="674"/>
      <c r="BB172" s="674"/>
    </row>
    <row r="173" spans="1:54">
      <c r="A173" s="674" t="s">
        <v>390</v>
      </c>
      <c r="B173" s="674" t="s">
        <v>2733</v>
      </c>
      <c r="C173" s="674" t="s">
        <v>2923</v>
      </c>
      <c r="D173" s="673" t="s">
        <v>348</v>
      </c>
      <c r="E173" s="674" t="s">
        <v>349</v>
      </c>
      <c r="F173" s="674" t="s">
        <v>366</v>
      </c>
      <c r="G173" s="697">
        <v>2030</v>
      </c>
      <c r="H173" s="695">
        <v>12</v>
      </c>
      <c r="I173" s="698">
        <v>4.0991800695408571</v>
      </c>
      <c r="J173" s="698">
        <v>1.8519500189322227</v>
      </c>
      <c r="K173" s="674">
        <v>1</v>
      </c>
      <c r="L173" s="674">
        <v>0.15</v>
      </c>
      <c r="M173" s="674">
        <v>0.15</v>
      </c>
      <c r="N173" s="674">
        <v>0.15</v>
      </c>
      <c r="O173" s="674">
        <v>0.15</v>
      </c>
      <c r="P173" s="674">
        <v>0.15</v>
      </c>
      <c r="Q173" s="674"/>
      <c r="R173" s="674">
        <v>0.18</v>
      </c>
      <c r="S173" s="696"/>
      <c r="T173" s="696"/>
      <c r="U173" s="696"/>
      <c r="V173" s="696"/>
      <c r="W173" s="696"/>
      <c r="X173" s="696"/>
      <c r="Y173" s="696"/>
      <c r="Z173" s="696"/>
      <c r="AA173" s="696"/>
      <c r="AB173" s="696"/>
      <c r="AC173" s="696"/>
      <c r="AD173" s="696"/>
      <c r="AE173" s="696"/>
      <c r="AF173" s="696"/>
      <c r="AG173" s="696"/>
      <c r="AH173" s="696">
        <v>0</v>
      </c>
      <c r="AI173" s="696">
        <v>0</v>
      </c>
      <c r="AJ173" s="696"/>
      <c r="AK173" s="696"/>
      <c r="AL173" s="696"/>
      <c r="AM173" s="696"/>
      <c r="AN173" s="696"/>
      <c r="AO173" s="696"/>
      <c r="AP173" s="696"/>
      <c r="AQ173" s="696"/>
      <c r="AT173" s="696"/>
      <c r="AU173" s="674"/>
      <c r="AV173" s="674"/>
      <c r="AW173" s="674"/>
      <c r="AX173" s="674"/>
      <c r="AY173" s="674"/>
      <c r="AZ173" s="674"/>
      <c r="BA173" s="674"/>
      <c r="BB173" s="674"/>
    </row>
    <row r="174" spans="1:54">
      <c r="A174" s="674" t="s">
        <v>390</v>
      </c>
      <c r="B174" s="674" t="s">
        <v>2734</v>
      </c>
      <c r="C174" s="674" t="s">
        <v>2924</v>
      </c>
      <c r="D174" s="673" t="s">
        <v>348</v>
      </c>
      <c r="E174" s="674" t="s">
        <v>349</v>
      </c>
      <c r="F174" s="674" t="s">
        <v>366</v>
      </c>
      <c r="G174" s="697">
        <v>2040</v>
      </c>
      <c r="H174" s="695">
        <v>12</v>
      </c>
      <c r="I174" s="698">
        <v>3.4261803566311637</v>
      </c>
      <c r="J174" s="698">
        <v>1.5478985232866336</v>
      </c>
      <c r="K174" s="674">
        <v>1</v>
      </c>
      <c r="L174" s="674">
        <v>0.15</v>
      </c>
      <c r="M174" s="674">
        <v>0.15</v>
      </c>
      <c r="N174" s="674">
        <v>0.15</v>
      </c>
      <c r="O174" s="674">
        <v>0.15</v>
      </c>
      <c r="P174" s="674">
        <v>0.15</v>
      </c>
      <c r="Q174" s="674"/>
      <c r="R174" s="674">
        <v>0.18</v>
      </c>
      <c r="S174" s="696"/>
      <c r="T174" s="696"/>
      <c r="U174" s="696"/>
      <c r="V174" s="696"/>
      <c r="W174" s="696"/>
      <c r="X174" s="696"/>
      <c r="Y174" s="696"/>
      <c r="Z174" s="696"/>
      <c r="AA174" s="696"/>
      <c r="AB174" s="696"/>
      <c r="AC174" s="696"/>
      <c r="AD174" s="696"/>
      <c r="AE174" s="696"/>
      <c r="AF174" s="696"/>
      <c r="AG174" s="696"/>
      <c r="AH174" s="696">
        <v>0</v>
      </c>
      <c r="AI174" s="696">
        <v>0</v>
      </c>
      <c r="AJ174" s="696"/>
      <c r="AK174" s="696"/>
      <c r="AL174" s="696"/>
      <c r="AM174" s="696"/>
      <c r="AN174" s="696"/>
      <c r="AO174" s="696"/>
      <c r="AP174" s="696"/>
      <c r="AQ174" s="696"/>
      <c r="AT174" s="696"/>
      <c r="AU174" s="674"/>
      <c r="AV174" s="674"/>
      <c r="AW174" s="674"/>
      <c r="AX174" s="674"/>
      <c r="AY174" s="674"/>
      <c r="AZ174" s="674"/>
      <c r="BA174" s="674"/>
      <c r="BB174" s="674"/>
    </row>
    <row r="175" spans="1:54">
      <c r="A175" s="674" t="s">
        <v>390</v>
      </c>
      <c r="B175" s="674" t="s">
        <v>2735</v>
      </c>
      <c r="C175" s="674" t="s">
        <v>2925</v>
      </c>
      <c r="D175" s="673" t="s">
        <v>348</v>
      </c>
      <c r="E175" s="674" t="s">
        <v>349</v>
      </c>
      <c r="F175" s="674" t="s">
        <v>366</v>
      </c>
      <c r="G175" s="697">
        <v>2040</v>
      </c>
      <c r="H175" s="695">
        <v>12</v>
      </c>
      <c r="I175" s="698">
        <v>4.0991800695408571</v>
      </c>
      <c r="J175" s="698">
        <v>1.8519500189322227</v>
      </c>
      <c r="K175" s="674">
        <v>1</v>
      </c>
      <c r="L175" s="674">
        <v>0.15</v>
      </c>
      <c r="M175" s="674">
        <v>0.15</v>
      </c>
      <c r="N175" s="674">
        <v>0.15</v>
      </c>
      <c r="O175" s="674">
        <v>0.15</v>
      </c>
      <c r="P175" s="674">
        <v>0.15</v>
      </c>
      <c r="Q175" s="674"/>
      <c r="R175" s="674">
        <v>0.18</v>
      </c>
      <c r="S175" s="696"/>
      <c r="T175" s="696"/>
      <c r="U175" s="696"/>
      <c r="V175" s="696"/>
      <c r="W175" s="696"/>
      <c r="X175" s="696"/>
      <c r="Y175" s="696"/>
      <c r="Z175" s="696"/>
      <c r="AA175" s="696"/>
      <c r="AB175" s="696"/>
      <c r="AC175" s="696"/>
      <c r="AD175" s="696"/>
      <c r="AE175" s="696"/>
      <c r="AF175" s="696"/>
      <c r="AG175" s="696"/>
      <c r="AH175" s="696">
        <v>0</v>
      </c>
      <c r="AI175" s="696">
        <v>0</v>
      </c>
      <c r="AJ175" s="696"/>
      <c r="AK175" s="696"/>
      <c r="AL175" s="696"/>
      <c r="AM175" s="696"/>
      <c r="AN175" s="696"/>
      <c r="AO175" s="696"/>
      <c r="AP175" s="696"/>
      <c r="AQ175" s="696"/>
      <c r="AT175" s="696"/>
      <c r="AU175" s="674"/>
      <c r="AV175" s="674"/>
      <c r="AW175" s="674"/>
      <c r="AX175" s="674"/>
      <c r="AY175" s="674"/>
      <c r="AZ175" s="674"/>
      <c r="BA175" s="674"/>
      <c r="BB175" s="674"/>
    </row>
    <row r="176" spans="1:54">
      <c r="A176" s="674" t="s">
        <v>390</v>
      </c>
      <c r="B176" s="674" t="s">
        <v>2732</v>
      </c>
      <c r="C176" s="674" t="s">
        <v>2730</v>
      </c>
      <c r="D176" s="673" t="s">
        <v>348</v>
      </c>
      <c r="E176" s="674" t="s">
        <v>349</v>
      </c>
      <c r="F176" s="674" t="s">
        <v>366</v>
      </c>
      <c r="G176" s="697">
        <v>2030</v>
      </c>
      <c r="H176" s="695">
        <v>12</v>
      </c>
      <c r="I176" s="698">
        <v>6.2374921023084218</v>
      </c>
      <c r="J176" s="698">
        <v>1.4744954128440364</v>
      </c>
      <c r="K176" s="674">
        <v>1</v>
      </c>
      <c r="L176" s="674">
        <v>0.15</v>
      </c>
      <c r="M176" s="674">
        <v>0.15</v>
      </c>
      <c r="N176" s="674">
        <v>0.15</v>
      </c>
      <c r="O176" s="674">
        <v>0.15</v>
      </c>
      <c r="P176" s="674">
        <v>0.15</v>
      </c>
      <c r="Q176" s="674"/>
      <c r="R176" s="674">
        <v>0.18</v>
      </c>
      <c r="S176" s="696"/>
      <c r="T176" s="696"/>
      <c r="U176" s="696"/>
      <c r="V176" s="696"/>
      <c r="W176" s="696"/>
      <c r="X176" s="696"/>
      <c r="Y176" s="696"/>
      <c r="Z176" s="696"/>
      <c r="AA176" s="696"/>
      <c r="AB176" s="696"/>
      <c r="AC176" s="696"/>
      <c r="AD176" s="696"/>
      <c r="AE176" s="696"/>
      <c r="AF176" s="696"/>
      <c r="AG176" s="696"/>
      <c r="AH176" s="696">
        <v>0</v>
      </c>
      <c r="AI176" s="696"/>
      <c r="AJ176" s="696"/>
      <c r="AK176" s="696"/>
      <c r="AL176" s="696"/>
      <c r="AM176" s="696"/>
      <c r="AN176" s="696"/>
      <c r="AO176" s="696"/>
      <c r="AP176" s="696"/>
      <c r="AQ176" s="696"/>
      <c r="AT176" s="696"/>
      <c r="AU176" s="674"/>
      <c r="AV176" s="674"/>
      <c r="AW176" s="674"/>
      <c r="AX176" s="674"/>
      <c r="AY176" s="674"/>
      <c r="AZ176" s="674"/>
      <c r="BA176" s="674"/>
      <c r="BB176" s="674"/>
    </row>
    <row r="177" spans="1:54">
      <c r="A177" s="674" t="s">
        <v>390</v>
      </c>
      <c r="B177" s="674" t="s">
        <v>2733</v>
      </c>
      <c r="C177" s="674" t="s">
        <v>2739</v>
      </c>
      <c r="D177" s="673" t="s">
        <v>348</v>
      </c>
      <c r="E177" s="674" t="s">
        <v>349</v>
      </c>
      <c r="F177" s="674" t="s">
        <v>366</v>
      </c>
      <c r="G177" s="697">
        <v>2030</v>
      </c>
      <c r="H177" s="695">
        <v>12</v>
      </c>
      <c r="I177" s="698">
        <v>7.4477517639503548</v>
      </c>
      <c r="J177" s="698">
        <v>1.8376337920489298</v>
      </c>
      <c r="K177" s="674">
        <v>1</v>
      </c>
      <c r="L177" s="674">
        <v>0.15</v>
      </c>
      <c r="M177" s="674">
        <v>0.15</v>
      </c>
      <c r="N177" s="674">
        <v>0.15</v>
      </c>
      <c r="O177" s="674">
        <v>0.15</v>
      </c>
      <c r="P177" s="674">
        <v>0.15</v>
      </c>
      <c r="Q177" s="674"/>
      <c r="R177" s="674">
        <v>0.18</v>
      </c>
      <c r="S177" s="696"/>
      <c r="T177" s="696"/>
      <c r="U177" s="696"/>
      <c r="V177" s="696"/>
      <c r="W177" s="696"/>
      <c r="X177" s="696"/>
      <c r="Y177" s="696"/>
      <c r="Z177" s="696"/>
      <c r="AA177" s="696"/>
      <c r="AB177" s="696"/>
      <c r="AC177" s="696"/>
      <c r="AD177" s="696"/>
      <c r="AE177" s="696"/>
      <c r="AF177" s="696"/>
      <c r="AG177" s="696"/>
      <c r="AH177" s="696">
        <v>0</v>
      </c>
      <c r="AI177" s="696"/>
      <c r="AJ177" s="696"/>
      <c r="AK177" s="696"/>
      <c r="AL177" s="696"/>
      <c r="AM177" s="696"/>
      <c r="AN177" s="696"/>
      <c r="AO177" s="696"/>
      <c r="AP177" s="696"/>
      <c r="AQ177" s="696"/>
      <c r="AT177" s="696"/>
      <c r="AU177" s="674"/>
      <c r="AV177" s="674"/>
      <c r="AW177" s="674"/>
      <c r="AX177" s="674"/>
      <c r="AY177" s="674"/>
      <c r="AZ177" s="674"/>
      <c r="BA177" s="674"/>
      <c r="BB177" s="674"/>
    </row>
    <row r="178" spans="1:54">
      <c r="A178" s="674" t="s">
        <v>390</v>
      </c>
      <c r="B178" s="674" t="s">
        <v>2734</v>
      </c>
      <c r="C178" s="674" t="s">
        <v>2740</v>
      </c>
      <c r="D178" s="673" t="s">
        <v>348</v>
      </c>
      <c r="E178" s="674" t="s">
        <v>349</v>
      </c>
      <c r="F178" s="674" t="s">
        <v>366</v>
      </c>
      <c r="G178" s="697">
        <v>2040</v>
      </c>
      <c r="H178" s="695">
        <v>12</v>
      </c>
      <c r="I178" s="698">
        <v>6.2374921023084218</v>
      </c>
      <c r="J178" s="698">
        <v>1.4744954128440364</v>
      </c>
      <c r="K178" s="674">
        <v>1</v>
      </c>
      <c r="L178" s="674">
        <v>0.15</v>
      </c>
      <c r="M178" s="674">
        <v>0.15</v>
      </c>
      <c r="N178" s="674">
        <v>0.15</v>
      </c>
      <c r="O178" s="674">
        <v>0.15</v>
      </c>
      <c r="P178" s="674">
        <v>0.15</v>
      </c>
      <c r="Q178" s="674"/>
      <c r="R178" s="674">
        <v>0.18</v>
      </c>
      <c r="S178" s="696"/>
      <c r="T178" s="696"/>
      <c r="U178" s="696"/>
      <c r="V178" s="696"/>
      <c r="W178" s="696"/>
      <c r="X178" s="696"/>
      <c r="Y178" s="696"/>
      <c r="Z178" s="696"/>
      <c r="AA178" s="696"/>
      <c r="AB178" s="696"/>
      <c r="AC178" s="696"/>
      <c r="AD178" s="696"/>
      <c r="AE178" s="696"/>
      <c r="AF178" s="696"/>
      <c r="AG178" s="696"/>
      <c r="AH178" s="696">
        <v>0</v>
      </c>
      <c r="AI178" s="696"/>
      <c r="AJ178" s="696"/>
      <c r="AK178" s="696"/>
      <c r="AL178" s="696"/>
      <c r="AM178" s="696"/>
      <c r="AN178" s="696"/>
      <c r="AO178" s="696"/>
      <c r="AP178" s="696"/>
      <c r="AQ178" s="696"/>
      <c r="AT178" s="696"/>
      <c r="AU178" s="674"/>
      <c r="AV178" s="674"/>
      <c r="AW178" s="674"/>
      <c r="AX178" s="674"/>
      <c r="AY178" s="674"/>
      <c r="AZ178" s="674"/>
      <c r="BA178" s="674"/>
      <c r="BB178" s="674"/>
    </row>
    <row r="179" spans="1:54">
      <c r="A179" s="674" t="s">
        <v>390</v>
      </c>
      <c r="B179" s="674" t="s">
        <v>2735</v>
      </c>
      <c r="C179" s="674" t="s">
        <v>2741</v>
      </c>
      <c r="D179" s="673" t="s">
        <v>348</v>
      </c>
      <c r="E179" s="674" t="s">
        <v>349</v>
      </c>
      <c r="F179" s="674" t="s">
        <v>366</v>
      </c>
      <c r="G179" s="697">
        <v>2040</v>
      </c>
      <c r="H179" s="695">
        <v>12</v>
      </c>
      <c r="I179" s="698">
        <v>7.4477517639503548</v>
      </c>
      <c r="J179" s="698">
        <v>1.8376337920489298</v>
      </c>
      <c r="K179" s="674">
        <v>1</v>
      </c>
      <c r="L179" s="674">
        <v>0.15</v>
      </c>
      <c r="M179" s="674">
        <v>0.15</v>
      </c>
      <c r="N179" s="674">
        <v>0.15</v>
      </c>
      <c r="O179" s="674">
        <v>0.15</v>
      </c>
      <c r="P179" s="674">
        <v>0.15</v>
      </c>
      <c r="Q179" s="674"/>
      <c r="R179" s="674">
        <v>0.18</v>
      </c>
      <c r="S179" s="696"/>
      <c r="T179" s="696"/>
      <c r="U179" s="696"/>
      <c r="V179" s="696"/>
      <c r="W179" s="696"/>
      <c r="X179" s="696"/>
      <c r="Y179" s="696"/>
      <c r="Z179" s="696"/>
      <c r="AA179" s="696"/>
      <c r="AB179" s="696"/>
      <c r="AC179" s="696"/>
      <c r="AD179" s="696"/>
      <c r="AE179" s="696"/>
      <c r="AF179" s="696"/>
      <c r="AG179" s="696"/>
      <c r="AH179" s="696">
        <v>0</v>
      </c>
      <c r="AI179" s="696"/>
      <c r="AJ179" s="696"/>
      <c r="AK179" s="696"/>
      <c r="AL179" s="696"/>
      <c r="AM179" s="696"/>
      <c r="AN179" s="696"/>
      <c r="AO179" s="696"/>
      <c r="AP179" s="696"/>
      <c r="AQ179" s="696"/>
      <c r="AT179" s="696"/>
      <c r="AU179" s="674"/>
      <c r="AV179" s="674"/>
      <c r="AW179" s="674"/>
      <c r="AX179" s="674"/>
      <c r="AY179" s="674"/>
      <c r="AZ179" s="674"/>
      <c r="BA179" s="674"/>
      <c r="BB179" s="674"/>
    </row>
    <row r="180" spans="1:54">
      <c r="A180" s="674" t="s">
        <v>390</v>
      </c>
      <c r="B180" s="674" t="s">
        <v>2736</v>
      </c>
      <c r="C180" s="674" t="s">
        <v>2742</v>
      </c>
      <c r="D180" s="673" t="s">
        <v>348</v>
      </c>
      <c r="E180" s="674" t="s">
        <v>349</v>
      </c>
      <c r="F180" s="674" t="s">
        <v>366</v>
      </c>
      <c r="G180" s="697">
        <v>2050</v>
      </c>
      <c r="H180" s="695">
        <v>12</v>
      </c>
      <c r="I180" s="698">
        <v>6.2374921023084218</v>
      </c>
      <c r="J180" s="698">
        <v>1.4744954128440364</v>
      </c>
      <c r="K180" s="674">
        <v>1</v>
      </c>
      <c r="L180" s="674">
        <v>0.15</v>
      </c>
      <c r="M180" s="674">
        <v>0.15</v>
      </c>
      <c r="N180" s="674">
        <v>0.15</v>
      </c>
      <c r="O180" s="674">
        <v>0.15</v>
      </c>
      <c r="P180" s="674">
        <v>0.15</v>
      </c>
      <c r="Q180" s="674"/>
      <c r="R180" s="674">
        <v>0.18</v>
      </c>
      <c r="S180" s="696"/>
      <c r="T180" s="696"/>
      <c r="U180" s="696"/>
      <c r="V180" s="696"/>
      <c r="W180" s="696"/>
      <c r="X180" s="696"/>
      <c r="Y180" s="696"/>
      <c r="Z180" s="696"/>
      <c r="AA180" s="696"/>
      <c r="AB180" s="696"/>
      <c r="AC180" s="696"/>
      <c r="AD180" s="696"/>
      <c r="AE180" s="696"/>
      <c r="AF180" s="696"/>
      <c r="AG180" s="696"/>
      <c r="AH180" s="696">
        <v>0</v>
      </c>
      <c r="AI180" s="696"/>
      <c r="AJ180" s="696"/>
      <c r="AK180" s="696"/>
      <c r="AL180" s="696"/>
      <c r="AM180" s="696"/>
      <c r="AN180" s="696"/>
      <c r="AO180" s="696"/>
      <c r="AP180" s="696"/>
      <c r="AQ180" s="696"/>
      <c r="AT180" s="696"/>
      <c r="AU180" s="674"/>
      <c r="AV180" s="674"/>
      <c r="AW180" s="674"/>
      <c r="AX180" s="674"/>
      <c r="AY180" s="674"/>
      <c r="AZ180" s="674"/>
      <c r="BA180" s="674"/>
      <c r="BB180" s="674"/>
    </row>
    <row r="181" spans="1:54">
      <c r="A181" s="674" t="s">
        <v>390</v>
      </c>
      <c r="B181" s="674" t="s">
        <v>2737</v>
      </c>
      <c r="C181" s="674" t="s">
        <v>2743</v>
      </c>
      <c r="D181" s="673" t="s">
        <v>348</v>
      </c>
      <c r="E181" s="674" t="s">
        <v>349</v>
      </c>
      <c r="F181" s="674" t="s">
        <v>366</v>
      </c>
      <c r="G181" s="697">
        <v>2050</v>
      </c>
      <c r="H181" s="695">
        <v>12</v>
      </c>
      <c r="I181" s="698">
        <v>7.4477517639503548</v>
      </c>
      <c r="J181" s="698">
        <v>1.8376337920489298</v>
      </c>
      <c r="K181" s="674">
        <v>1</v>
      </c>
      <c r="L181" s="674">
        <v>0.15</v>
      </c>
      <c r="M181" s="674">
        <v>0.15</v>
      </c>
      <c r="N181" s="674">
        <v>0.15</v>
      </c>
      <c r="O181" s="674">
        <v>0.15</v>
      </c>
      <c r="P181" s="674">
        <v>0.15</v>
      </c>
      <c r="Q181" s="674"/>
      <c r="R181" s="674">
        <v>0.18</v>
      </c>
      <c r="S181" s="696"/>
      <c r="T181" s="696"/>
      <c r="U181" s="696"/>
      <c r="V181" s="696"/>
      <c r="W181" s="696"/>
      <c r="X181" s="696"/>
      <c r="Y181" s="696"/>
      <c r="Z181" s="696"/>
      <c r="AA181" s="696"/>
      <c r="AB181" s="696"/>
      <c r="AC181" s="696"/>
      <c r="AD181" s="696"/>
      <c r="AE181" s="696"/>
      <c r="AF181" s="696"/>
      <c r="AG181" s="696"/>
      <c r="AH181" s="696">
        <v>0</v>
      </c>
      <c r="AI181" s="696"/>
      <c r="AJ181" s="696"/>
      <c r="AK181" s="696"/>
      <c r="AL181" s="696"/>
      <c r="AM181" s="696"/>
      <c r="AN181" s="696"/>
      <c r="AO181" s="696"/>
      <c r="AP181" s="696"/>
      <c r="AQ181" s="696"/>
      <c r="AT181" s="696"/>
      <c r="AU181" s="674"/>
      <c r="AV181" s="674"/>
      <c r="AW181" s="674"/>
      <c r="AX181" s="674"/>
      <c r="AY181" s="674"/>
      <c r="AZ181" s="674"/>
      <c r="BA181" s="674"/>
      <c r="BB181" s="674"/>
    </row>
    <row r="182" spans="1:54" ht="15.75" customHeight="1">
      <c r="A182" s="684" t="s">
        <v>2321</v>
      </c>
      <c r="B182" s="682"/>
      <c r="C182" s="682"/>
      <c r="D182" s="682"/>
      <c r="E182" s="684"/>
      <c r="F182" s="684"/>
      <c r="G182" s="704"/>
      <c r="H182" s="705"/>
      <c r="I182" s="705"/>
      <c r="J182" s="706"/>
      <c r="K182" s="705"/>
      <c r="L182" s="705"/>
      <c r="M182" s="705"/>
      <c r="N182" s="705"/>
      <c r="O182" s="705"/>
      <c r="P182" s="705"/>
      <c r="Q182" s="705"/>
      <c r="R182" s="706"/>
      <c r="S182" s="707"/>
      <c r="T182" s="707"/>
      <c r="U182" s="707"/>
      <c r="V182" s="707"/>
      <c r="W182" s="707"/>
      <c r="X182" s="707"/>
      <c r="Y182" s="707"/>
      <c r="Z182" s="707"/>
      <c r="AA182" s="707"/>
      <c r="AB182" s="707"/>
      <c r="AC182" s="707"/>
      <c r="AD182" s="707"/>
      <c r="AE182" s="707"/>
      <c r="AF182" s="707"/>
      <c r="AG182" s="707"/>
      <c r="AH182" s="707"/>
      <c r="AI182" s="707"/>
      <c r="AJ182" s="707"/>
      <c r="AK182" s="707"/>
      <c r="AL182" s="707"/>
      <c r="AM182" s="707"/>
      <c r="AN182" s="707"/>
      <c r="AO182" s="707"/>
      <c r="AP182" s="707"/>
      <c r="AQ182" s="708"/>
      <c r="AT182" s="708"/>
      <c r="AU182" s="682"/>
      <c r="AV182" s="682"/>
      <c r="AW182" s="682"/>
      <c r="AX182" s="682"/>
      <c r="AY182" s="682"/>
      <c r="AZ182" s="682"/>
      <c r="BA182" s="682"/>
      <c r="BB182" s="682"/>
    </row>
    <row r="183" spans="1:54">
      <c r="A183" s="674" t="s">
        <v>390</v>
      </c>
      <c r="B183" s="674" t="s">
        <v>435</v>
      </c>
      <c r="C183" s="674" t="s">
        <v>811</v>
      </c>
      <c r="D183" s="673" t="s">
        <v>348</v>
      </c>
      <c r="E183" s="674" t="s">
        <v>349</v>
      </c>
      <c r="F183" s="674" t="s">
        <v>366</v>
      </c>
      <c r="G183" s="697">
        <v>2010</v>
      </c>
      <c r="H183" s="695">
        <v>15</v>
      </c>
      <c r="I183" s="698"/>
      <c r="J183" s="698">
        <v>2.9980069977321731</v>
      </c>
      <c r="K183" s="674">
        <v>1</v>
      </c>
      <c r="L183" s="674">
        <v>0.15</v>
      </c>
      <c r="M183" s="674">
        <v>0.15</v>
      </c>
      <c r="N183" s="674">
        <v>0.15</v>
      </c>
      <c r="O183" s="674">
        <v>0.15</v>
      </c>
      <c r="P183" s="674">
        <v>0.15</v>
      </c>
      <c r="Q183" s="674"/>
      <c r="R183" s="674">
        <v>0.45</v>
      </c>
      <c r="S183" s="699"/>
      <c r="T183" s="699"/>
      <c r="U183" s="699"/>
      <c r="V183" s="699"/>
      <c r="W183" s="699"/>
      <c r="X183" s="699"/>
      <c r="Y183" s="699"/>
      <c r="Z183" s="699"/>
      <c r="AA183" s="699"/>
      <c r="AB183" s="699"/>
      <c r="AC183" s="699"/>
      <c r="AD183" s="699"/>
      <c r="AE183" s="699"/>
      <c r="AF183" s="699"/>
      <c r="AG183" s="699"/>
      <c r="AH183" s="696">
        <v>0</v>
      </c>
      <c r="AI183" s="696">
        <v>0</v>
      </c>
      <c r="AJ183" s="696">
        <v>0</v>
      </c>
      <c r="AK183" s="696">
        <v>0</v>
      </c>
      <c r="AL183" s="696">
        <v>0</v>
      </c>
      <c r="AM183" s="696">
        <v>0</v>
      </c>
      <c r="AN183" s="696">
        <v>0</v>
      </c>
      <c r="AO183" s="696">
        <v>0</v>
      </c>
      <c r="AP183" s="696">
        <v>0</v>
      </c>
      <c r="AQ183" s="696">
        <v>0</v>
      </c>
      <c r="AT183" s="696"/>
      <c r="AU183" s="674"/>
      <c r="AV183" s="674"/>
      <c r="AW183" s="674"/>
      <c r="AX183" s="674"/>
      <c r="AY183" s="674"/>
      <c r="AZ183" s="674"/>
      <c r="BA183" s="674"/>
      <c r="BB183" s="674"/>
    </row>
    <row r="184" spans="1:54">
      <c r="A184" s="674" t="s">
        <v>1528</v>
      </c>
      <c r="B184" s="674" t="s">
        <v>437</v>
      </c>
      <c r="C184" s="674" t="s">
        <v>284</v>
      </c>
      <c r="D184" s="673" t="s">
        <v>348</v>
      </c>
      <c r="E184" s="674" t="s">
        <v>349</v>
      </c>
      <c r="F184" s="674" t="s">
        <v>366</v>
      </c>
      <c r="G184" s="697" t="s">
        <v>489</v>
      </c>
      <c r="H184" s="695">
        <v>15</v>
      </c>
      <c r="I184" s="698">
        <v>4.0729892459103505</v>
      </c>
      <c r="J184" s="698">
        <v>3</v>
      </c>
      <c r="K184" s="674">
        <v>1</v>
      </c>
      <c r="L184" s="674">
        <v>0.15</v>
      </c>
      <c r="M184" s="674">
        <v>0.15</v>
      </c>
      <c r="N184" s="674">
        <v>0.15</v>
      </c>
      <c r="O184" s="674">
        <v>0.15</v>
      </c>
      <c r="P184" s="674">
        <v>0.15</v>
      </c>
      <c r="Q184" s="674"/>
      <c r="R184" s="674">
        <v>0.45</v>
      </c>
      <c r="S184" s="699">
        <f>Resid!V75</f>
        <v>1.4142263867684852</v>
      </c>
      <c r="T184" s="699">
        <f>Resid!W75</f>
        <v>0.76730300512792016</v>
      </c>
      <c r="U184" s="699">
        <f>Resid!X75</f>
        <v>0.8785200277893348</v>
      </c>
      <c r="V184" s="699">
        <f>Resid!Y75</f>
        <v>0.25966057346691368</v>
      </c>
      <c r="W184" s="699">
        <f>Resid!Z75</f>
        <v>1.2464250413280629</v>
      </c>
      <c r="X184" s="699"/>
      <c r="Y184" s="699"/>
      <c r="Z184" s="699"/>
      <c r="AA184" s="699"/>
      <c r="AB184" s="699"/>
      <c r="AC184" s="699"/>
      <c r="AD184" s="699"/>
      <c r="AE184" s="699"/>
      <c r="AF184" s="699"/>
      <c r="AG184" s="699"/>
      <c r="AH184" s="696">
        <v>0</v>
      </c>
      <c r="AI184" s="696"/>
      <c r="AJ184" s="696">
        <v>0</v>
      </c>
      <c r="AK184" s="696">
        <v>0</v>
      </c>
      <c r="AL184" s="696">
        <v>0</v>
      </c>
      <c r="AM184" s="696">
        <v>0</v>
      </c>
      <c r="AN184" s="696">
        <v>0</v>
      </c>
      <c r="AO184" s="696">
        <v>0</v>
      </c>
      <c r="AP184" s="696">
        <v>0</v>
      </c>
      <c r="AQ184" s="696">
        <v>0</v>
      </c>
      <c r="AT184" s="696"/>
      <c r="AU184" s="674"/>
      <c r="AV184" s="674"/>
      <c r="AW184" s="674"/>
      <c r="AX184" s="674"/>
      <c r="AY184" s="674"/>
      <c r="AZ184" s="674"/>
      <c r="BA184" s="674"/>
      <c r="BB184" s="674"/>
    </row>
    <row r="185" spans="1:54">
      <c r="A185" s="674" t="s">
        <v>390</v>
      </c>
      <c r="B185" s="674" t="s">
        <v>439</v>
      </c>
      <c r="C185" s="674" t="s">
        <v>812</v>
      </c>
      <c r="D185" s="673" t="s">
        <v>348</v>
      </c>
      <c r="E185" s="674" t="s">
        <v>349</v>
      </c>
      <c r="F185" s="674" t="s">
        <v>366</v>
      </c>
      <c r="G185" s="697" t="s">
        <v>490</v>
      </c>
      <c r="H185" s="695">
        <v>15</v>
      </c>
      <c r="I185" s="698">
        <v>4.0729892459103505</v>
      </c>
      <c r="J185" s="698">
        <v>3.2749999999999999</v>
      </c>
      <c r="K185" s="674">
        <v>1</v>
      </c>
      <c r="L185" s="674">
        <v>0.15</v>
      </c>
      <c r="M185" s="674">
        <v>0.15</v>
      </c>
      <c r="N185" s="674">
        <v>0.15</v>
      </c>
      <c r="O185" s="674">
        <v>0.15</v>
      </c>
      <c r="P185" s="674">
        <v>0.15</v>
      </c>
      <c r="Q185" s="674"/>
      <c r="R185" s="674">
        <v>0.45</v>
      </c>
      <c r="S185" s="696"/>
      <c r="T185" s="696"/>
      <c r="U185" s="696"/>
      <c r="V185" s="696"/>
      <c r="W185" s="696"/>
      <c r="X185" s="696"/>
      <c r="Y185" s="696"/>
      <c r="Z185" s="696"/>
      <c r="AA185" s="696"/>
      <c r="AB185" s="696"/>
      <c r="AC185" s="696"/>
      <c r="AD185" s="696"/>
      <c r="AE185" s="696"/>
      <c r="AF185" s="696"/>
      <c r="AG185" s="696"/>
      <c r="AH185" s="696">
        <v>0</v>
      </c>
      <c r="AI185" s="696"/>
      <c r="AJ185" s="696"/>
      <c r="AK185" s="696"/>
      <c r="AL185" s="696"/>
      <c r="AM185" s="696"/>
      <c r="AN185" s="696"/>
      <c r="AO185" s="696"/>
      <c r="AP185" s="696"/>
      <c r="AQ185" s="696"/>
      <c r="AT185" s="696"/>
      <c r="AU185" s="674"/>
      <c r="AV185" s="674"/>
      <c r="AW185" s="674"/>
      <c r="AX185" s="674"/>
      <c r="AY185" s="674"/>
      <c r="AZ185" s="674"/>
      <c r="BA185" s="674"/>
      <c r="BB185" s="674"/>
    </row>
    <row r="186" spans="1:54">
      <c r="A186" s="674" t="s">
        <v>390</v>
      </c>
      <c r="B186" s="674" t="s">
        <v>443</v>
      </c>
      <c r="C186" s="674" t="s">
        <v>285</v>
      </c>
      <c r="D186" s="673" t="s">
        <v>348</v>
      </c>
      <c r="E186" s="674" t="s">
        <v>349</v>
      </c>
      <c r="F186" s="674" t="s">
        <v>366</v>
      </c>
      <c r="G186" s="697" t="s">
        <v>490</v>
      </c>
      <c r="H186" s="695">
        <v>15</v>
      </c>
      <c r="I186" s="698">
        <v>6.1935761064381811</v>
      </c>
      <c r="J186" s="698">
        <v>3.75</v>
      </c>
      <c r="K186" s="674">
        <v>1</v>
      </c>
      <c r="L186" s="674">
        <v>0.15</v>
      </c>
      <c r="M186" s="674">
        <v>0.15</v>
      </c>
      <c r="N186" s="674">
        <v>0.15</v>
      </c>
      <c r="O186" s="674">
        <v>0.15</v>
      </c>
      <c r="P186" s="674">
        <v>0.15</v>
      </c>
      <c r="Q186" s="674"/>
      <c r="R186" s="674">
        <v>0.45</v>
      </c>
      <c r="S186" s="696"/>
      <c r="T186" s="696"/>
      <c r="U186" s="696"/>
      <c r="V186" s="696"/>
      <c r="W186" s="696"/>
      <c r="X186" s="696"/>
      <c r="Y186" s="696"/>
      <c r="Z186" s="696"/>
      <c r="AA186" s="696"/>
      <c r="AB186" s="696"/>
      <c r="AC186" s="696"/>
      <c r="AD186" s="696"/>
      <c r="AE186" s="696"/>
      <c r="AF186" s="696"/>
      <c r="AG186" s="696"/>
      <c r="AH186" s="696">
        <v>0</v>
      </c>
      <c r="AI186" s="696"/>
      <c r="AJ186" s="696"/>
      <c r="AK186" s="696"/>
      <c r="AL186" s="696"/>
      <c r="AM186" s="696"/>
      <c r="AN186" s="696"/>
      <c r="AO186" s="696"/>
      <c r="AP186" s="696"/>
      <c r="AQ186" s="696"/>
      <c r="AT186" s="696"/>
      <c r="AU186" s="674"/>
      <c r="AV186" s="674"/>
      <c r="AW186" s="674"/>
      <c r="AX186" s="674"/>
      <c r="AY186" s="674"/>
      <c r="AZ186" s="674"/>
      <c r="BA186" s="674"/>
      <c r="BB186" s="674"/>
    </row>
    <row r="187" spans="1:54">
      <c r="A187" s="674" t="s">
        <v>390</v>
      </c>
      <c r="B187" s="674" t="s">
        <v>1194</v>
      </c>
      <c r="C187" s="674" t="s">
        <v>1195</v>
      </c>
      <c r="D187" s="673" t="s">
        <v>348</v>
      </c>
      <c r="E187" s="674" t="s">
        <v>349</v>
      </c>
      <c r="F187" s="674" t="s">
        <v>366</v>
      </c>
      <c r="G187" s="697" t="s">
        <v>847</v>
      </c>
      <c r="H187" s="695">
        <v>15</v>
      </c>
      <c r="I187" s="698">
        <v>6.3763853185526491</v>
      </c>
      <c r="J187" s="698">
        <v>3.8250000000000006</v>
      </c>
      <c r="K187" s="674">
        <v>1</v>
      </c>
      <c r="L187" s="674">
        <v>0.15</v>
      </c>
      <c r="M187" s="674">
        <v>0.15</v>
      </c>
      <c r="N187" s="674">
        <v>0.15</v>
      </c>
      <c r="O187" s="674">
        <v>0.15</v>
      </c>
      <c r="P187" s="674">
        <v>0.15</v>
      </c>
      <c r="Q187" s="674"/>
      <c r="R187" s="674">
        <v>0.45</v>
      </c>
      <c r="S187" s="696"/>
      <c r="T187" s="696"/>
      <c r="U187" s="696"/>
      <c r="V187" s="696"/>
      <c r="W187" s="696"/>
      <c r="X187" s="696"/>
      <c r="Y187" s="696"/>
      <c r="Z187" s="696"/>
      <c r="AA187" s="696"/>
      <c r="AB187" s="696"/>
      <c r="AC187" s="696"/>
      <c r="AD187" s="696"/>
      <c r="AE187" s="696"/>
      <c r="AF187" s="696"/>
      <c r="AG187" s="696"/>
      <c r="AH187" s="696">
        <v>0</v>
      </c>
      <c r="AI187" s="696"/>
      <c r="AJ187" s="696"/>
      <c r="AK187" s="696"/>
      <c r="AL187" s="696"/>
      <c r="AM187" s="696"/>
      <c r="AN187" s="696"/>
      <c r="AO187" s="696"/>
      <c r="AP187" s="696"/>
      <c r="AQ187" s="696"/>
      <c r="AT187" s="696"/>
      <c r="AU187" s="674"/>
      <c r="AV187" s="674"/>
      <c r="AW187" s="674"/>
      <c r="AX187" s="674"/>
      <c r="AY187" s="674"/>
      <c r="AZ187" s="674"/>
      <c r="BA187" s="674"/>
      <c r="BB187" s="674"/>
    </row>
    <row r="188" spans="1:54">
      <c r="A188" s="674" t="s">
        <v>390</v>
      </c>
      <c r="B188" s="674" t="s">
        <v>2926</v>
      </c>
      <c r="C188" s="674" t="s">
        <v>2927</v>
      </c>
      <c r="D188" s="673" t="s">
        <v>348</v>
      </c>
      <c r="E188" s="674" t="s">
        <v>349</v>
      </c>
      <c r="F188" s="674" t="s">
        <v>366</v>
      </c>
      <c r="G188" s="697">
        <v>2020</v>
      </c>
      <c r="H188" s="695">
        <v>15</v>
      </c>
      <c r="I188" s="698">
        <v>7.8022971730454991</v>
      </c>
      <c r="J188" s="698">
        <v>4.75</v>
      </c>
      <c r="K188" s="674">
        <v>1</v>
      </c>
      <c r="L188" s="674">
        <v>0.15</v>
      </c>
      <c r="M188" s="674">
        <v>0.15</v>
      </c>
      <c r="N188" s="674">
        <v>0.15</v>
      </c>
      <c r="O188" s="674">
        <v>0.15</v>
      </c>
      <c r="P188" s="674">
        <v>0.15</v>
      </c>
      <c r="Q188" s="674"/>
      <c r="R188" s="674">
        <v>0.45</v>
      </c>
      <c r="S188" s="696"/>
      <c r="T188" s="696"/>
      <c r="U188" s="696"/>
      <c r="V188" s="696"/>
      <c r="W188" s="696"/>
      <c r="X188" s="696"/>
      <c r="Y188" s="696"/>
      <c r="Z188" s="696"/>
      <c r="AA188" s="696"/>
      <c r="AB188" s="696"/>
      <c r="AC188" s="696"/>
      <c r="AD188" s="696"/>
      <c r="AE188" s="696"/>
      <c r="AF188" s="696"/>
      <c r="AG188" s="696"/>
      <c r="AH188" s="696">
        <v>0</v>
      </c>
      <c r="AI188" s="696"/>
      <c r="AJ188" s="696"/>
      <c r="AK188" s="696"/>
      <c r="AL188" s="696"/>
      <c r="AM188" s="696"/>
      <c r="AN188" s="696"/>
      <c r="AO188" s="696"/>
      <c r="AP188" s="696"/>
      <c r="AQ188" s="696"/>
      <c r="AT188" s="696"/>
      <c r="AU188" s="674"/>
      <c r="AV188" s="674"/>
      <c r="AW188" s="674"/>
      <c r="AX188" s="674"/>
      <c r="AY188" s="674"/>
      <c r="AZ188" s="674"/>
      <c r="BA188" s="674"/>
      <c r="BB188" s="674"/>
    </row>
    <row r="189" spans="1:54">
      <c r="A189" s="674" t="s">
        <v>390</v>
      </c>
      <c r="B189" s="674" t="s">
        <v>453</v>
      </c>
      <c r="C189" s="674" t="s">
        <v>153</v>
      </c>
      <c r="D189" s="673" t="s">
        <v>348</v>
      </c>
      <c r="E189" s="674" t="s">
        <v>349</v>
      </c>
      <c r="F189" s="674" t="s">
        <v>366</v>
      </c>
      <c r="G189" s="697">
        <v>2030</v>
      </c>
      <c r="H189" s="695">
        <v>15</v>
      </c>
      <c r="I189" s="698">
        <v>6.5628507149094064</v>
      </c>
      <c r="J189" s="698">
        <v>3.9500000000000006</v>
      </c>
      <c r="K189" s="674">
        <v>1</v>
      </c>
      <c r="L189" s="674">
        <v>0.15</v>
      </c>
      <c r="M189" s="674">
        <v>0.15</v>
      </c>
      <c r="N189" s="674">
        <v>0.15</v>
      </c>
      <c r="O189" s="674">
        <v>0.15</v>
      </c>
      <c r="P189" s="674">
        <v>0.15</v>
      </c>
      <c r="Q189" s="674"/>
      <c r="R189" s="674">
        <v>0.45</v>
      </c>
      <c r="S189" s="696"/>
      <c r="T189" s="696"/>
      <c r="U189" s="696"/>
      <c r="V189" s="696"/>
      <c r="W189" s="696"/>
      <c r="X189" s="696"/>
      <c r="Y189" s="696"/>
      <c r="Z189" s="696"/>
      <c r="AA189" s="696"/>
      <c r="AB189" s="696"/>
      <c r="AC189" s="696"/>
      <c r="AD189" s="696"/>
      <c r="AE189" s="696"/>
      <c r="AF189" s="696"/>
      <c r="AG189" s="696"/>
      <c r="AH189" s="696">
        <v>0</v>
      </c>
      <c r="AI189" s="696"/>
      <c r="AJ189" s="696"/>
      <c r="AK189" s="696"/>
      <c r="AL189" s="696"/>
      <c r="AM189" s="696"/>
      <c r="AN189" s="696"/>
      <c r="AO189" s="696"/>
      <c r="AP189" s="696"/>
      <c r="AQ189" s="696"/>
      <c r="AT189" s="696"/>
      <c r="AU189" s="674"/>
      <c r="AV189" s="674"/>
      <c r="AW189" s="674"/>
      <c r="AX189" s="674"/>
      <c r="AY189" s="674"/>
      <c r="AZ189" s="674"/>
      <c r="BA189" s="674"/>
      <c r="BB189" s="674"/>
    </row>
    <row r="190" spans="1:54">
      <c r="A190" s="674" t="s">
        <v>390</v>
      </c>
      <c r="B190" s="674" t="s">
        <v>2928</v>
      </c>
      <c r="C190" s="674" t="s">
        <v>2929</v>
      </c>
      <c r="D190" s="673" t="s">
        <v>348</v>
      </c>
      <c r="E190" s="674" t="s">
        <v>349</v>
      </c>
      <c r="F190" s="674" t="s">
        <v>366</v>
      </c>
      <c r="G190" s="697">
        <v>2030</v>
      </c>
      <c r="H190" s="695">
        <v>15</v>
      </c>
      <c r="I190" s="698">
        <v>7.8790770421335763</v>
      </c>
      <c r="J190" s="698">
        <v>4.75</v>
      </c>
      <c r="K190" s="674">
        <v>1</v>
      </c>
      <c r="L190" s="674">
        <v>0.15</v>
      </c>
      <c r="M190" s="674">
        <v>0.15</v>
      </c>
      <c r="N190" s="674">
        <v>0.15</v>
      </c>
      <c r="O190" s="674">
        <v>0.15</v>
      </c>
      <c r="P190" s="674">
        <v>0.15</v>
      </c>
      <c r="Q190" s="674"/>
      <c r="R190" s="674">
        <v>0.45</v>
      </c>
      <c r="S190" s="696"/>
      <c r="T190" s="696"/>
      <c r="U190" s="696"/>
      <c r="V190" s="696"/>
      <c r="W190" s="696"/>
      <c r="X190" s="696"/>
      <c r="Y190" s="696"/>
      <c r="Z190" s="696"/>
      <c r="AA190" s="696"/>
      <c r="AB190" s="696"/>
      <c r="AC190" s="696"/>
      <c r="AD190" s="696"/>
      <c r="AE190" s="696"/>
      <c r="AF190" s="696"/>
      <c r="AG190" s="696"/>
      <c r="AH190" s="696">
        <v>0</v>
      </c>
      <c r="AI190" s="696"/>
      <c r="AJ190" s="696"/>
      <c r="AK190" s="696"/>
      <c r="AL190" s="696"/>
      <c r="AM190" s="696"/>
      <c r="AN190" s="696"/>
      <c r="AO190" s="696"/>
      <c r="AP190" s="696"/>
      <c r="AQ190" s="696"/>
      <c r="AT190" s="696"/>
      <c r="AU190" s="674"/>
      <c r="AV190" s="674"/>
      <c r="AW190" s="674"/>
      <c r="AX190" s="674"/>
      <c r="AY190" s="674"/>
      <c r="AZ190" s="674"/>
      <c r="BA190" s="674"/>
      <c r="BB190" s="674"/>
    </row>
    <row r="191" spans="1:54">
      <c r="A191" s="674" t="s">
        <v>390</v>
      </c>
      <c r="B191" s="674" t="s">
        <v>2930</v>
      </c>
      <c r="C191" s="674" t="s">
        <v>2931</v>
      </c>
      <c r="D191" s="673" t="s">
        <v>348</v>
      </c>
      <c r="E191" s="674" t="s">
        <v>349</v>
      </c>
      <c r="F191" s="674" t="s">
        <v>366</v>
      </c>
      <c r="G191" s="697">
        <v>2040</v>
      </c>
      <c r="H191" s="695">
        <v>15</v>
      </c>
      <c r="I191" s="698">
        <v>6.5628507149094064</v>
      </c>
      <c r="J191" s="698">
        <v>3.9500000000000006</v>
      </c>
      <c r="K191" s="674">
        <v>1</v>
      </c>
      <c r="L191" s="674">
        <v>0.15</v>
      </c>
      <c r="M191" s="674">
        <v>0.15</v>
      </c>
      <c r="N191" s="674">
        <v>0.15</v>
      </c>
      <c r="O191" s="674">
        <v>0.15</v>
      </c>
      <c r="P191" s="674">
        <v>0.15</v>
      </c>
      <c r="Q191" s="674"/>
      <c r="R191" s="674">
        <v>0.45</v>
      </c>
      <c r="S191" s="696"/>
      <c r="T191" s="696"/>
      <c r="U191" s="696"/>
      <c r="V191" s="696"/>
      <c r="W191" s="696"/>
      <c r="X191" s="696"/>
      <c r="Y191" s="696"/>
      <c r="Z191" s="696"/>
      <c r="AA191" s="696"/>
      <c r="AB191" s="696"/>
      <c r="AC191" s="696"/>
      <c r="AD191" s="696"/>
      <c r="AE191" s="696"/>
      <c r="AF191" s="696"/>
      <c r="AG191" s="696"/>
      <c r="AH191" s="696">
        <v>0</v>
      </c>
      <c r="AI191" s="696"/>
      <c r="AJ191" s="696"/>
      <c r="AK191" s="696"/>
      <c r="AL191" s="696"/>
      <c r="AM191" s="696"/>
      <c r="AN191" s="696"/>
      <c r="AO191" s="696"/>
      <c r="AP191" s="696"/>
      <c r="AQ191" s="696"/>
      <c r="AT191" s="696"/>
      <c r="AU191" s="674"/>
      <c r="AV191" s="674"/>
      <c r="AW191" s="674"/>
      <c r="AX191" s="674"/>
      <c r="AY191" s="674"/>
      <c r="AZ191" s="674"/>
      <c r="BA191" s="674"/>
      <c r="BB191" s="674"/>
    </row>
    <row r="192" spans="1:54">
      <c r="A192" s="674" t="s">
        <v>390</v>
      </c>
      <c r="B192" s="674" t="s">
        <v>2932</v>
      </c>
      <c r="C192" s="674" t="s">
        <v>2933</v>
      </c>
      <c r="D192" s="673" t="s">
        <v>348</v>
      </c>
      <c r="E192" s="674" t="s">
        <v>349</v>
      </c>
      <c r="F192" s="674" t="s">
        <v>366</v>
      </c>
      <c r="G192" s="697">
        <v>2040</v>
      </c>
      <c r="H192" s="695">
        <v>15</v>
      </c>
      <c r="I192" s="698">
        <v>7.8022971730454991</v>
      </c>
      <c r="J192" s="698">
        <v>4.75</v>
      </c>
      <c r="K192" s="674">
        <v>1</v>
      </c>
      <c r="L192" s="674">
        <v>0.15</v>
      </c>
      <c r="M192" s="674">
        <v>0.15</v>
      </c>
      <c r="N192" s="674">
        <v>0.15</v>
      </c>
      <c r="O192" s="674">
        <v>0.15</v>
      </c>
      <c r="P192" s="674">
        <v>0.15</v>
      </c>
      <c r="Q192" s="674"/>
      <c r="R192" s="674">
        <v>0.45</v>
      </c>
      <c r="S192" s="696"/>
      <c r="T192" s="696"/>
      <c r="U192" s="696"/>
      <c r="V192" s="696"/>
      <c r="W192" s="696"/>
      <c r="X192" s="696"/>
      <c r="Y192" s="696"/>
      <c r="Z192" s="696"/>
      <c r="AA192" s="696"/>
      <c r="AB192" s="696"/>
      <c r="AC192" s="696"/>
      <c r="AD192" s="696"/>
      <c r="AE192" s="696"/>
      <c r="AF192" s="696"/>
      <c r="AG192" s="696"/>
      <c r="AH192" s="696">
        <v>0</v>
      </c>
      <c r="AI192" s="696"/>
      <c r="AJ192" s="696"/>
      <c r="AK192" s="696"/>
      <c r="AL192" s="696"/>
      <c r="AM192" s="696"/>
      <c r="AN192" s="696"/>
      <c r="AO192" s="696"/>
      <c r="AP192" s="696"/>
      <c r="AQ192" s="696"/>
      <c r="AT192" s="696"/>
      <c r="AU192" s="674"/>
      <c r="AV192" s="674"/>
      <c r="AW192" s="674"/>
      <c r="AX192" s="674"/>
      <c r="AY192" s="674"/>
      <c r="AZ192" s="674"/>
      <c r="BA192" s="674"/>
      <c r="BB192" s="674"/>
    </row>
    <row r="193" spans="1:54">
      <c r="A193" s="674" t="s">
        <v>390</v>
      </c>
      <c r="B193" s="674" t="s">
        <v>441</v>
      </c>
      <c r="C193" s="674" t="s">
        <v>145</v>
      </c>
      <c r="D193" s="673" t="s">
        <v>348</v>
      </c>
      <c r="E193" s="674" t="s">
        <v>349</v>
      </c>
      <c r="F193" s="674" t="s">
        <v>366</v>
      </c>
      <c r="G193" s="697" t="s">
        <v>489</v>
      </c>
      <c r="H193" s="695">
        <v>15</v>
      </c>
      <c r="I193" s="698">
        <v>9.4927122068377106</v>
      </c>
      <c r="J193" s="698">
        <v>4.4000000000000004</v>
      </c>
      <c r="K193" s="674">
        <v>1</v>
      </c>
      <c r="L193" s="674">
        <v>0.15</v>
      </c>
      <c r="M193" s="674">
        <v>0.15</v>
      </c>
      <c r="N193" s="674">
        <v>0.15</v>
      </c>
      <c r="O193" s="674">
        <v>0.15</v>
      </c>
      <c r="P193" s="674">
        <v>0.15</v>
      </c>
      <c r="Q193" s="674"/>
      <c r="R193" s="674">
        <v>0.45</v>
      </c>
      <c r="S193" s="696"/>
      <c r="T193" s="696"/>
      <c r="U193" s="696"/>
      <c r="V193" s="696"/>
      <c r="W193" s="696"/>
      <c r="X193" s="696"/>
      <c r="Y193" s="696"/>
      <c r="Z193" s="696"/>
      <c r="AA193" s="696"/>
      <c r="AB193" s="696"/>
      <c r="AC193" s="696"/>
      <c r="AD193" s="696"/>
      <c r="AE193" s="696"/>
      <c r="AF193" s="696"/>
      <c r="AG193" s="696"/>
      <c r="AH193" s="696">
        <v>0</v>
      </c>
      <c r="AI193" s="696"/>
      <c r="AJ193" s="696">
        <v>0</v>
      </c>
      <c r="AK193" s="696">
        <v>0</v>
      </c>
      <c r="AL193" s="696">
        <v>0</v>
      </c>
      <c r="AM193" s="696">
        <v>0</v>
      </c>
      <c r="AN193" s="696">
        <v>0</v>
      </c>
      <c r="AO193" s="696">
        <v>0</v>
      </c>
      <c r="AP193" s="696">
        <v>0</v>
      </c>
      <c r="AQ193" s="696">
        <v>0</v>
      </c>
      <c r="AT193" s="696"/>
      <c r="AU193" s="674"/>
      <c r="AV193" s="674"/>
      <c r="AW193" s="674"/>
      <c r="AX193" s="674"/>
      <c r="AY193" s="674"/>
      <c r="AZ193" s="674"/>
      <c r="BA193" s="674"/>
      <c r="BB193" s="674"/>
    </row>
    <row r="194" spans="1:54">
      <c r="A194" s="674" t="s">
        <v>390</v>
      </c>
      <c r="B194" s="674" t="s">
        <v>443</v>
      </c>
      <c r="C194" s="674" t="s">
        <v>285</v>
      </c>
      <c r="D194" s="673" t="s">
        <v>348</v>
      </c>
      <c r="E194" s="674" t="s">
        <v>349</v>
      </c>
      <c r="F194" s="674" t="s">
        <v>366</v>
      </c>
      <c r="G194" s="697" t="s">
        <v>490</v>
      </c>
      <c r="H194" s="695">
        <v>15</v>
      </c>
      <c r="I194" s="698">
        <v>9.4927122068377106</v>
      </c>
      <c r="J194" s="698">
        <v>4.4000000000000004</v>
      </c>
      <c r="K194" s="674">
        <v>1</v>
      </c>
      <c r="L194" s="674">
        <v>0.15</v>
      </c>
      <c r="M194" s="674">
        <v>0.15</v>
      </c>
      <c r="N194" s="674">
        <v>0.15</v>
      </c>
      <c r="O194" s="674">
        <v>0.15</v>
      </c>
      <c r="P194" s="674">
        <v>0.15</v>
      </c>
      <c r="Q194" s="674"/>
      <c r="R194" s="674">
        <v>0.45</v>
      </c>
      <c r="S194" s="696"/>
      <c r="T194" s="696"/>
      <c r="U194" s="696"/>
      <c r="V194" s="696"/>
      <c r="W194" s="696"/>
      <c r="X194" s="696"/>
      <c r="Y194" s="696"/>
      <c r="Z194" s="696"/>
      <c r="AA194" s="696"/>
      <c r="AB194" s="696"/>
      <c r="AC194" s="696"/>
      <c r="AD194" s="696"/>
      <c r="AE194" s="696"/>
      <c r="AF194" s="696"/>
      <c r="AG194" s="696"/>
      <c r="AH194" s="696">
        <v>0</v>
      </c>
      <c r="AI194" s="696"/>
      <c r="AJ194" s="696"/>
      <c r="AK194" s="696"/>
      <c r="AL194" s="696"/>
      <c r="AM194" s="696"/>
      <c r="AN194" s="696"/>
      <c r="AO194" s="696"/>
      <c r="AP194" s="696"/>
      <c r="AQ194" s="696"/>
      <c r="AT194" s="696"/>
      <c r="AU194" s="674"/>
      <c r="AV194" s="674"/>
      <c r="AW194" s="674"/>
      <c r="AX194" s="674"/>
      <c r="AY194" s="674"/>
      <c r="AZ194" s="674"/>
      <c r="BA194" s="674"/>
      <c r="BB194" s="674"/>
    </row>
    <row r="195" spans="1:54">
      <c r="A195" s="674" t="s">
        <v>390</v>
      </c>
      <c r="B195" s="674" t="s">
        <v>445</v>
      </c>
      <c r="C195" s="674" t="s">
        <v>146</v>
      </c>
      <c r="D195" s="673" t="s">
        <v>348</v>
      </c>
      <c r="E195" s="674" t="s">
        <v>349</v>
      </c>
      <c r="F195" s="674" t="s">
        <v>366</v>
      </c>
      <c r="G195" s="697" t="s">
        <v>489</v>
      </c>
      <c r="H195" s="695">
        <v>15</v>
      </c>
      <c r="I195" s="698">
        <v>9.8341766747095694</v>
      </c>
      <c r="J195" s="698">
        <v>4.6900000000000004</v>
      </c>
      <c r="K195" s="674">
        <v>1</v>
      </c>
      <c r="L195" s="674">
        <v>0.15</v>
      </c>
      <c r="M195" s="674">
        <v>0.15</v>
      </c>
      <c r="N195" s="674">
        <v>0.15</v>
      </c>
      <c r="O195" s="674">
        <v>0.15</v>
      </c>
      <c r="P195" s="674">
        <v>0.15</v>
      </c>
      <c r="Q195" s="674"/>
      <c r="R195" s="674">
        <v>0.45</v>
      </c>
      <c r="S195" s="696"/>
      <c r="T195" s="696"/>
      <c r="U195" s="696"/>
      <c r="V195" s="696"/>
      <c r="W195" s="696"/>
      <c r="X195" s="696"/>
      <c r="Y195" s="696"/>
      <c r="Z195" s="696"/>
      <c r="AA195" s="696"/>
      <c r="AB195" s="696"/>
      <c r="AC195" s="696"/>
      <c r="AD195" s="696"/>
      <c r="AE195" s="696"/>
      <c r="AF195" s="696"/>
      <c r="AG195" s="696"/>
      <c r="AH195" s="696">
        <v>0</v>
      </c>
      <c r="AI195" s="696"/>
      <c r="AJ195" s="696">
        <v>0</v>
      </c>
      <c r="AK195" s="696">
        <v>0</v>
      </c>
      <c r="AL195" s="696">
        <v>0</v>
      </c>
      <c r="AM195" s="696">
        <v>0</v>
      </c>
      <c r="AN195" s="696">
        <v>0</v>
      </c>
      <c r="AO195" s="696">
        <v>0</v>
      </c>
      <c r="AP195" s="696">
        <v>0</v>
      </c>
      <c r="AQ195" s="696">
        <v>0</v>
      </c>
      <c r="AT195" s="696"/>
      <c r="AU195" s="674"/>
      <c r="AV195" s="674"/>
      <c r="AW195" s="674"/>
      <c r="AX195" s="674"/>
      <c r="AY195" s="674"/>
      <c r="AZ195" s="674"/>
      <c r="BA195" s="674"/>
      <c r="BB195" s="674"/>
    </row>
    <row r="196" spans="1:54">
      <c r="A196" s="674" t="s">
        <v>390</v>
      </c>
      <c r="B196" s="674" t="s">
        <v>447</v>
      </c>
      <c r="C196" s="674" t="s">
        <v>286</v>
      </c>
      <c r="D196" s="673" t="s">
        <v>348</v>
      </c>
      <c r="E196" s="674" t="s">
        <v>349</v>
      </c>
      <c r="F196" s="674" t="s">
        <v>366</v>
      </c>
      <c r="G196" s="697" t="s">
        <v>490</v>
      </c>
      <c r="H196" s="695">
        <v>15</v>
      </c>
      <c r="I196" s="698">
        <v>8.6049045903708734</v>
      </c>
      <c r="J196" s="698">
        <v>4.84</v>
      </c>
      <c r="K196" s="674">
        <v>1</v>
      </c>
      <c r="L196" s="674">
        <v>0.15</v>
      </c>
      <c r="M196" s="674">
        <v>0.15</v>
      </c>
      <c r="N196" s="674">
        <v>0.15</v>
      </c>
      <c r="O196" s="674">
        <v>0.15</v>
      </c>
      <c r="P196" s="674">
        <v>0.15</v>
      </c>
      <c r="Q196" s="674"/>
      <c r="R196" s="674">
        <v>0.45</v>
      </c>
      <c r="S196" s="696"/>
      <c r="T196" s="696"/>
      <c r="U196" s="696"/>
      <c r="V196" s="696"/>
      <c r="W196" s="696"/>
      <c r="X196" s="696"/>
      <c r="Y196" s="696"/>
      <c r="Z196" s="696"/>
      <c r="AA196" s="696"/>
      <c r="AB196" s="696"/>
      <c r="AC196" s="696"/>
      <c r="AD196" s="696"/>
      <c r="AE196" s="696"/>
      <c r="AF196" s="696"/>
      <c r="AG196" s="696"/>
      <c r="AH196" s="696">
        <v>0</v>
      </c>
      <c r="AI196" s="696"/>
      <c r="AJ196" s="696"/>
      <c r="AK196" s="696">
        <v>0</v>
      </c>
      <c r="AL196" s="696">
        <v>0</v>
      </c>
      <c r="AM196" s="696">
        <v>0</v>
      </c>
      <c r="AN196" s="696">
        <v>0</v>
      </c>
      <c r="AO196" s="696">
        <v>0</v>
      </c>
      <c r="AP196" s="696">
        <v>0</v>
      </c>
      <c r="AQ196" s="696">
        <v>0</v>
      </c>
      <c r="AT196" s="696"/>
      <c r="AU196" s="674"/>
      <c r="AV196" s="674"/>
      <c r="AW196" s="674"/>
      <c r="AX196" s="674"/>
      <c r="AY196" s="674"/>
      <c r="AZ196" s="674"/>
      <c r="BA196" s="674"/>
      <c r="BB196" s="674"/>
    </row>
    <row r="197" spans="1:54">
      <c r="A197" s="674" t="s">
        <v>390</v>
      </c>
      <c r="B197" s="674" t="s">
        <v>1194</v>
      </c>
      <c r="C197" s="674" t="s">
        <v>1195</v>
      </c>
      <c r="D197" s="673" t="s">
        <v>348</v>
      </c>
      <c r="E197" s="674" t="s">
        <v>349</v>
      </c>
      <c r="F197" s="674" t="s">
        <v>366</v>
      </c>
      <c r="G197" s="697" t="s">
        <v>847</v>
      </c>
      <c r="H197" s="695">
        <v>15</v>
      </c>
      <c r="I197" s="698">
        <v>8.6049045903708734</v>
      </c>
      <c r="J197" s="698">
        <v>4.84</v>
      </c>
      <c r="K197" s="674">
        <v>1</v>
      </c>
      <c r="L197" s="674">
        <v>0.15</v>
      </c>
      <c r="M197" s="674">
        <v>0.15</v>
      </c>
      <c r="N197" s="674">
        <v>0.15</v>
      </c>
      <c r="O197" s="674">
        <v>0.15</v>
      </c>
      <c r="P197" s="674">
        <v>0.15</v>
      </c>
      <c r="Q197" s="674"/>
      <c r="R197" s="674">
        <v>0.45</v>
      </c>
      <c r="S197" s="696"/>
      <c r="T197" s="696"/>
      <c r="U197" s="696"/>
      <c r="V197" s="696"/>
      <c r="W197" s="696"/>
      <c r="X197" s="696"/>
      <c r="Y197" s="696"/>
      <c r="Z197" s="696"/>
      <c r="AA197" s="696"/>
      <c r="AB197" s="696"/>
      <c r="AC197" s="696"/>
      <c r="AD197" s="696"/>
      <c r="AE197" s="696"/>
      <c r="AF197" s="696"/>
      <c r="AG197" s="696"/>
      <c r="AH197" s="696">
        <v>0</v>
      </c>
      <c r="AI197" s="696"/>
      <c r="AJ197" s="696"/>
      <c r="AK197" s="696"/>
      <c r="AL197" s="696">
        <v>0</v>
      </c>
      <c r="AM197" s="696">
        <v>0</v>
      </c>
      <c r="AN197" s="696">
        <v>0</v>
      </c>
      <c r="AO197" s="696">
        <v>0</v>
      </c>
      <c r="AP197" s="696">
        <v>0</v>
      </c>
      <c r="AQ197" s="696">
        <v>0</v>
      </c>
      <c r="AT197" s="696"/>
      <c r="AU197" s="674"/>
      <c r="AV197" s="674"/>
      <c r="AW197" s="674"/>
      <c r="AX197" s="674"/>
      <c r="AY197" s="674"/>
      <c r="AZ197" s="674"/>
      <c r="BA197" s="674"/>
      <c r="BB197" s="674"/>
    </row>
    <row r="198" spans="1:54">
      <c r="A198" s="674" t="s">
        <v>390</v>
      </c>
      <c r="B198" s="674" t="s">
        <v>1196</v>
      </c>
      <c r="C198" s="674" t="s">
        <v>1197</v>
      </c>
      <c r="D198" s="673" t="s">
        <v>348</v>
      </c>
      <c r="E198" s="674" t="s">
        <v>349</v>
      </c>
      <c r="F198" s="674" t="s">
        <v>366</v>
      </c>
      <c r="G198" s="697" t="s">
        <v>2322</v>
      </c>
      <c r="H198" s="695">
        <v>15</v>
      </c>
      <c r="I198" s="698">
        <v>8.6049045903708734</v>
      </c>
      <c r="J198" s="698">
        <v>4.84</v>
      </c>
      <c r="K198" s="674">
        <v>1</v>
      </c>
      <c r="L198" s="674">
        <v>0.15</v>
      </c>
      <c r="M198" s="674">
        <v>0.15</v>
      </c>
      <c r="N198" s="674">
        <v>0.15</v>
      </c>
      <c r="O198" s="674">
        <v>0.15</v>
      </c>
      <c r="P198" s="674">
        <v>0.15</v>
      </c>
      <c r="Q198" s="674"/>
      <c r="R198" s="674">
        <v>0.45</v>
      </c>
      <c r="S198" s="696"/>
      <c r="T198" s="696"/>
      <c r="U198" s="696"/>
      <c r="V198" s="696"/>
      <c r="W198" s="696"/>
      <c r="X198" s="696"/>
      <c r="Y198" s="696"/>
      <c r="Z198" s="696"/>
      <c r="AA198" s="696"/>
      <c r="AB198" s="696"/>
      <c r="AC198" s="696"/>
      <c r="AD198" s="696"/>
      <c r="AE198" s="696"/>
      <c r="AF198" s="696"/>
      <c r="AG198" s="696"/>
      <c r="AH198" s="696">
        <v>0</v>
      </c>
      <c r="AI198" s="696"/>
      <c r="AJ198" s="696"/>
      <c r="AK198" s="696"/>
      <c r="AL198" s="696"/>
      <c r="AM198" s="696"/>
      <c r="AN198" s="696"/>
      <c r="AO198" s="696"/>
      <c r="AP198" s="696"/>
      <c r="AQ198" s="696"/>
      <c r="AT198" s="696"/>
      <c r="AU198" s="674"/>
      <c r="AV198" s="674"/>
      <c r="AW198" s="674"/>
      <c r="AX198" s="674"/>
      <c r="AY198" s="674"/>
      <c r="AZ198" s="674"/>
      <c r="BA198" s="674"/>
      <c r="BB198" s="674"/>
    </row>
    <row r="199" spans="1:54">
      <c r="A199" s="674" t="s">
        <v>390</v>
      </c>
      <c r="B199" s="674" t="s">
        <v>449</v>
      </c>
      <c r="C199" s="674" t="s">
        <v>152</v>
      </c>
      <c r="D199" s="673" t="s">
        <v>348</v>
      </c>
      <c r="E199" s="674" t="s">
        <v>349</v>
      </c>
      <c r="F199" s="674" t="s">
        <v>366</v>
      </c>
      <c r="G199" s="697" t="s">
        <v>489</v>
      </c>
      <c r="H199" s="695">
        <v>15</v>
      </c>
      <c r="I199" s="698">
        <v>10.858570078325149</v>
      </c>
      <c r="J199" s="698">
        <v>6.45</v>
      </c>
      <c r="K199" s="674">
        <v>1</v>
      </c>
      <c r="L199" s="674">
        <v>0.15</v>
      </c>
      <c r="M199" s="674">
        <v>0.15</v>
      </c>
      <c r="N199" s="674">
        <v>0.15</v>
      </c>
      <c r="O199" s="674">
        <v>0.15</v>
      </c>
      <c r="P199" s="674">
        <v>0.15</v>
      </c>
      <c r="Q199" s="674"/>
      <c r="R199" s="674">
        <v>0.45</v>
      </c>
      <c r="S199" s="696"/>
      <c r="T199" s="696"/>
      <c r="U199" s="696"/>
      <c r="V199" s="696"/>
      <c r="W199" s="696"/>
      <c r="X199" s="696"/>
      <c r="Y199" s="696"/>
      <c r="Z199" s="696"/>
      <c r="AA199" s="696"/>
      <c r="AB199" s="696"/>
      <c r="AC199" s="696"/>
      <c r="AD199" s="696"/>
      <c r="AE199" s="696"/>
      <c r="AF199" s="696"/>
      <c r="AG199" s="696"/>
      <c r="AH199" s="696">
        <v>0</v>
      </c>
      <c r="AI199" s="696"/>
      <c r="AJ199" s="696">
        <v>0</v>
      </c>
      <c r="AK199" s="696">
        <v>0</v>
      </c>
      <c r="AL199" s="696">
        <v>0</v>
      </c>
      <c r="AM199" s="696">
        <v>0</v>
      </c>
      <c r="AN199" s="696">
        <v>0</v>
      </c>
      <c r="AO199" s="696">
        <v>0</v>
      </c>
      <c r="AP199" s="696">
        <v>0</v>
      </c>
      <c r="AQ199" s="696">
        <v>0</v>
      </c>
      <c r="AT199" s="696"/>
      <c r="AU199" s="674"/>
      <c r="AV199" s="674"/>
      <c r="AW199" s="674"/>
      <c r="AX199" s="674"/>
      <c r="AY199" s="674"/>
      <c r="AZ199" s="674"/>
      <c r="BA199" s="674"/>
      <c r="BB199" s="674"/>
    </row>
    <row r="200" spans="1:54">
      <c r="A200" s="674" t="s">
        <v>390</v>
      </c>
      <c r="B200" s="674" t="s">
        <v>451</v>
      </c>
      <c r="C200" s="674" t="s">
        <v>833</v>
      </c>
      <c r="D200" s="673" t="s">
        <v>348</v>
      </c>
      <c r="E200" s="674" t="s">
        <v>349</v>
      </c>
      <c r="F200" s="674" t="s">
        <v>366</v>
      </c>
      <c r="G200" s="697" t="s">
        <v>847</v>
      </c>
      <c r="H200" s="695">
        <v>15</v>
      </c>
      <c r="I200" s="698">
        <v>10.995155865473894</v>
      </c>
      <c r="J200" s="698">
        <v>6.74</v>
      </c>
      <c r="K200" s="674">
        <v>1</v>
      </c>
      <c r="L200" s="674">
        <v>0.15</v>
      </c>
      <c r="M200" s="674">
        <v>0.15</v>
      </c>
      <c r="N200" s="674">
        <v>0.15</v>
      </c>
      <c r="O200" s="674">
        <v>0.15</v>
      </c>
      <c r="P200" s="674">
        <v>0.15</v>
      </c>
      <c r="Q200" s="674"/>
      <c r="R200" s="674">
        <v>0.45</v>
      </c>
      <c r="S200" s="696"/>
      <c r="T200" s="696"/>
      <c r="U200" s="696"/>
      <c r="V200" s="696"/>
      <c r="W200" s="696"/>
      <c r="X200" s="696"/>
      <c r="Y200" s="696"/>
      <c r="Z200" s="696"/>
      <c r="AA200" s="696"/>
      <c r="AB200" s="696"/>
      <c r="AC200" s="696"/>
      <c r="AD200" s="696"/>
      <c r="AE200" s="696"/>
      <c r="AF200" s="696"/>
      <c r="AG200" s="696"/>
      <c r="AH200" s="696">
        <v>0</v>
      </c>
      <c r="AI200" s="696"/>
      <c r="AJ200" s="696"/>
      <c r="AK200" s="696"/>
      <c r="AL200" s="696">
        <v>0</v>
      </c>
      <c r="AM200" s="696">
        <v>0</v>
      </c>
      <c r="AN200" s="696">
        <v>0</v>
      </c>
      <c r="AO200" s="696">
        <v>0</v>
      </c>
      <c r="AP200" s="696">
        <v>0</v>
      </c>
      <c r="AQ200" s="696">
        <v>0</v>
      </c>
      <c r="AT200" s="696"/>
      <c r="AU200" s="674"/>
      <c r="AV200" s="674"/>
      <c r="AW200" s="674"/>
      <c r="AX200" s="674"/>
      <c r="AY200" s="674"/>
      <c r="AZ200" s="674"/>
      <c r="BA200" s="674"/>
      <c r="BB200" s="674"/>
    </row>
    <row r="201" spans="1:54">
      <c r="A201" s="674" t="s">
        <v>390</v>
      </c>
      <c r="B201" s="674" t="s">
        <v>453</v>
      </c>
      <c r="C201" s="674" t="s">
        <v>153</v>
      </c>
      <c r="D201" s="673" t="s">
        <v>348</v>
      </c>
      <c r="E201" s="674" t="s">
        <v>349</v>
      </c>
      <c r="F201" s="674" t="s">
        <v>366</v>
      </c>
      <c r="G201" s="697" t="s">
        <v>2322</v>
      </c>
      <c r="H201" s="695">
        <v>15</v>
      </c>
      <c r="I201" s="698">
        <v>11.268327439771381</v>
      </c>
      <c r="J201" s="698">
        <v>7.03</v>
      </c>
      <c r="K201" s="674">
        <v>1</v>
      </c>
      <c r="L201" s="674">
        <v>0.15</v>
      </c>
      <c r="M201" s="674">
        <v>0.15</v>
      </c>
      <c r="N201" s="674">
        <v>0.15</v>
      </c>
      <c r="O201" s="674">
        <v>0.15</v>
      </c>
      <c r="P201" s="674">
        <v>0.15</v>
      </c>
      <c r="Q201" s="674"/>
      <c r="R201" s="674">
        <v>0.45</v>
      </c>
      <c r="S201" s="696"/>
      <c r="T201" s="696"/>
      <c r="U201" s="696"/>
      <c r="V201" s="696"/>
      <c r="W201" s="696"/>
      <c r="X201" s="696"/>
      <c r="Y201" s="696"/>
      <c r="Z201" s="696"/>
      <c r="AA201" s="696"/>
      <c r="AB201" s="696"/>
      <c r="AC201" s="696"/>
      <c r="AD201" s="696"/>
      <c r="AE201" s="696"/>
      <c r="AF201" s="696"/>
      <c r="AG201" s="696"/>
      <c r="AH201" s="696">
        <v>0</v>
      </c>
      <c r="AI201" s="696"/>
      <c r="AJ201" s="696"/>
      <c r="AK201" s="696"/>
      <c r="AL201" s="696"/>
      <c r="AM201" s="696">
        <v>0</v>
      </c>
      <c r="AN201" s="696">
        <v>0</v>
      </c>
      <c r="AO201" s="696">
        <v>0</v>
      </c>
      <c r="AP201" s="696">
        <v>0</v>
      </c>
      <c r="AQ201" s="696">
        <v>0</v>
      </c>
      <c r="AT201" s="696"/>
      <c r="AU201" s="674"/>
      <c r="AV201" s="674"/>
      <c r="AW201" s="674"/>
      <c r="AX201" s="674"/>
      <c r="AY201" s="674"/>
      <c r="AZ201" s="674"/>
      <c r="BA201" s="674"/>
      <c r="BB201" s="674"/>
    </row>
    <row r="202" spans="1:54">
      <c r="A202" s="674" t="s">
        <v>390</v>
      </c>
      <c r="B202" s="674" t="s">
        <v>1005</v>
      </c>
      <c r="C202" s="674" t="s">
        <v>1006</v>
      </c>
      <c r="D202" s="673" t="s">
        <v>348</v>
      </c>
      <c r="E202" s="674" t="s">
        <v>349</v>
      </c>
      <c r="F202" s="674" t="s">
        <v>366</v>
      </c>
      <c r="G202" s="697" t="s">
        <v>2323</v>
      </c>
      <c r="H202" s="695">
        <v>15</v>
      </c>
      <c r="I202" s="698">
        <v>11.268327439771381</v>
      </c>
      <c r="J202" s="698">
        <v>7.33</v>
      </c>
      <c r="K202" s="674">
        <v>1</v>
      </c>
      <c r="L202" s="674">
        <v>0.15</v>
      </c>
      <c r="M202" s="674">
        <v>0.15</v>
      </c>
      <c r="N202" s="674">
        <v>0.15</v>
      </c>
      <c r="O202" s="674">
        <v>0.15</v>
      </c>
      <c r="P202" s="674">
        <v>0.15</v>
      </c>
      <c r="Q202" s="674"/>
      <c r="R202" s="674">
        <v>0.45</v>
      </c>
      <c r="S202" s="696"/>
      <c r="T202" s="696"/>
      <c r="U202" s="696"/>
      <c r="V202" s="696"/>
      <c r="W202" s="696"/>
      <c r="X202" s="696"/>
      <c r="Y202" s="696"/>
      <c r="Z202" s="696"/>
      <c r="AA202" s="696"/>
      <c r="AB202" s="696"/>
      <c r="AC202" s="696"/>
      <c r="AD202" s="696"/>
      <c r="AE202" s="696"/>
      <c r="AF202" s="696"/>
      <c r="AG202" s="696"/>
      <c r="AH202" s="696">
        <v>0</v>
      </c>
      <c r="AI202" s="696"/>
      <c r="AJ202" s="696"/>
      <c r="AK202" s="696"/>
      <c r="AL202" s="696"/>
      <c r="AM202" s="696"/>
      <c r="AN202" s="696"/>
      <c r="AO202" s="696"/>
      <c r="AP202" s="696"/>
      <c r="AQ202" s="696"/>
      <c r="AT202" s="696"/>
      <c r="AU202" s="674"/>
      <c r="AV202" s="674"/>
      <c r="AW202" s="674"/>
      <c r="AX202" s="674"/>
      <c r="AY202" s="674"/>
      <c r="AZ202" s="674"/>
      <c r="BA202" s="674"/>
      <c r="BB202" s="674"/>
    </row>
    <row r="203" spans="1:54" ht="15.75" customHeight="1">
      <c r="A203" s="684" t="s">
        <v>2331</v>
      </c>
      <c r="B203" s="682"/>
      <c r="C203" s="682"/>
      <c r="D203" s="682"/>
      <c r="E203" s="684"/>
      <c r="F203" s="684"/>
      <c r="G203" s="704"/>
      <c r="H203" s="705"/>
      <c r="I203" s="705"/>
      <c r="J203" s="706"/>
      <c r="K203" s="705"/>
      <c r="L203" s="705"/>
      <c r="M203" s="705"/>
      <c r="N203" s="705"/>
      <c r="O203" s="705"/>
      <c r="P203" s="705"/>
      <c r="Q203" s="705"/>
      <c r="R203" s="706"/>
      <c r="S203" s="707"/>
      <c r="T203" s="707"/>
      <c r="U203" s="707"/>
      <c r="V203" s="707"/>
      <c r="W203" s="707"/>
      <c r="X203" s="707"/>
      <c r="Y203" s="707"/>
      <c r="Z203" s="707"/>
      <c r="AA203" s="707"/>
      <c r="AB203" s="707"/>
      <c r="AC203" s="707"/>
      <c r="AD203" s="707"/>
      <c r="AE203" s="707"/>
      <c r="AF203" s="707"/>
      <c r="AG203" s="707"/>
      <c r="AH203" s="707"/>
      <c r="AI203" s="707"/>
      <c r="AJ203" s="707"/>
      <c r="AK203" s="707"/>
      <c r="AL203" s="707"/>
      <c r="AM203" s="707"/>
      <c r="AN203" s="707"/>
      <c r="AO203" s="707"/>
      <c r="AP203" s="707"/>
      <c r="AQ203" s="708"/>
      <c r="AT203" s="708"/>
      <c r="AU203" s="682"/>
      <c r="AV203" s="682"/>
      <c r="AW203" s="682"/>
      <c r="AX203" s="682"/>
      <c r="AY203" s="682"/>
      <c r="AZ203" s="682"/>
      <c r="BA203" s="682"/>
      <c r="BB203" s="682"/>
    </row>
    <row r="204" spans="1:54">
      <c r="A204" s="674" t="s">
        <v>390</v>
      </c>
      <c r="B204" s="674" t="s">
        <v>455</v>
      </c>
      <c r="C204" s="674" t="s">
        <v>813</v>
      </c>
      <c r="D204" s="673" t="s">
        <v>348</v>
      </c>
      <c r="E204" s="674" t="s">
        <v>349</v>
      </c>
      <c r="F204" s="674" t="s">
        <v>366</v>
      </c>
      <c r="G204" s="697">
        <v>2010</v>
      </c>
      <c r="H204" s="695">
        <v>15</v>
      </c>
      <c r="I204" s="698"/>
      <c r="J204" s="698">
        <v>4.0433636656123353</v>
      </c>
      <c r="K204" s="674">
        <v>1</v>
      </c>
      <c r="L204" s="674">
        <v>0.15</v>
      </c>
      <c r="M204" s="674">
        <v>0.15</v>
      </c>
      <c r="N204" s="674">
        <v>0.15</v>
      </c>
      <c r="O204" s="674">
        <v>0.15</v>
      </c>
      <c r="P204" s="674">
        <v>0.15</v>
      </c>
      <c r="Q204" s="674"/>
      <c r="R204" s="674">
        <v>0.6</v>
      </c>
      <c r="S204" s="696"/>
      <c r="T204" s="696"/>
      <c r="U204" s="696"/>
      <c r="V204" s="696"/>
      <c r="W204" s="696"/>
      <c r="X204" s="696"/>
      <c r="Y204" s="696"/>
      <c r="Z204" s="696"/>
      <c r="AA204" s="696"/>
      <c r="AB204" s="696"/>
      <c r="AC204" s="696"/>
      <c r="AD204" s="696"/>
      <c r="AE204" s="696"/>
      <c r="AF204" s="696"/>
      <c r="AG204" s="696"/>
      <c r="AH204" s="696"/>
      <c r="AI204" s="696"/>
      <c r="AJ204" s="696">
        <v>0</v>
      </c>
      <c r="AK204" s="696">
        <v>0</v>
      </c>
      <c r="AL204" s="696">
        <v>0</v>
      </c>
      <c r="AM204" s="696">
        <v>0</v>
      </c>
      <c r="AN204" s="696">
        <v>0</v>
      </c>
      <c r="AO204" s="696">
        <v>0</v>
      </c>
      <c r="AP204" s="696">
        <v>0</v>
      </c>
      <c r="AQ204" s="696">
        <v>0</v>
      </c>
      <c r="AT204" s="696"/>
      <c r="AU204" s="674"/>
      <c r="AV204" s="674"/>
      <c r="AW204" s="674"/>
      <c r="AX204" s="674"/>
      <c r="AY204" s="674"/>
      <c r="AZ204" s="674"/>
      <c r="BA204" s="674"/>
      <c r="BB204" s="674"/>
    </row>
    <row r="205" spans="1:54">
      <c r="A205" s="674" t="s">
        <v>390</v>
      </c>
      <c r="B205" s="674" t="s">
        <v>457</v>
      </c>
      <c r="C205" s="674" t="s">
        <v>154</v>
      </c>
      <c r="D205" s="673" t="s">
        <v>348</v>
      </c>
      <c r="E205" s="674" t="s">
        <v>349</v>
      </c>
      <c r="F205" s="674" t="s">
        <v>366</v>
      </c>
      <c r="G205" s="697" t="s">
        <v>489</v>
      </c>
      <c r="H205" s="695">
        <v>15</v>
      </c>
      <c r="I205" s="698">
        <v>13.6585787148744</v>
      </c>
      <c r="J205" s="698">
        <v>4.1312628186346325</v>
      </c>
      <c r="K205" s="674">
        <v>1</v>
      </c>
      <c r="L205" s="674">
        <v>0.15</v>
      </c>
      <c r="M205" s="674">
        <v>0.15</v>
      </c>
      <c r="N205" s="674">
        <v>0.15</v>
      </c>
      <c r="O205" s="674">
        <v>0.15</v>
      </c>
      <c r="P205" s="674">
        <v>0.15</v>
      </c>
      <c r="Q205" s="674"/>
      <c r="R205" s="674">
        <v>0.6</v>
      </c>
      <c r="S205" s="696"/>
      <c r="T205" s="696"/>
      <c r="U205" s="696"/>
      <c r="V205" s="696"/>
      <c r="W205" s="696"/>
      <c r="X205" s="696"/>
      <c r="Y205" s="696"/>
      <c r="Z205" s="696"/>
      <c r="AA205" s="696"/>
      <c r="AB205" s="696"/>
      <c r="AC205" s="696"/>
      <c r="AD205" s="696"/>
      <c r="AE205" s="696"/>
      <c r="AF205" s="696"/>
      <c r="AG205" s="696"/>
      <c r="AH205" s="696"/>
      <c r="AI205" s="696"/>
      <c r="AJ205" s="696"/>
      <c r="AK205" s="696"/>
      <c r="AL205" s="696"/>
      <c r="AM205" s="696"/>
      <c r="AN205" s="696"/>
      <c r="AO205" s="696"/>
      <c r="AP205" s="696"/>
      <c r="AQ205" s="696"/>
      <c r="AT205" s="696"/>
      <c r="AU205" s="674"/>
      <c r="AV205" s="674"/>
      <c r="AW205" s="674"/>
      <c r="AX205" s="674"/>
      <c r="AY205" s="674"/>
      <c r="AZ205" s="674"/>
      <c r="BA205" s="674"/>
      <c r="BB205" s="674"/>
    </row>
    <row r="206" spans="1:54">
      <c r="A206" s="674" t="s">
        <v>390</v>
      </c>
      <c r="B206" s="674" t="s">
        <v>459</v>
      </c>
      <c r="C206" s="674" t="s">
        <v>814</v>
      </c>
      <c r="D206" s="673" t="s">
        <v>348</v>
      </c>
      <c r="E206" s="674" t="s">
        <v>349</v>
      </c>
      <c r="F206" s="674" t="s">
        <v>366</v>
      </c>
      <c r="G206" s="697" t="s">
        <v>489</v>
      </c>
      <c r="H206" s="695">
        <v>15</v>
      </c>
      <c r="I206" s="698">
        <v>17.756152329336725</v>
      </c>
      <c r="J206" s="698">
        <v>6.7389393495458547</v>
      </c>
      <c r="K206" s="674">
        <v>1</v>
      </c>
      <c r="L206" s="674">
        <v>0.15</v>
      </c>
      <c r="M206" s="674">
        <v>0.15</v>
      </c>
      <c r="N206" s="674">
        <v>0.15</v>
      </c>
      <c r="O206" s="674">
        <v>0.15</v>
      </c>
      <c r="P206" s="674">
        <v>0.15</v>
      </c>
      <c r="Q206" s="674"/>
      <c r="R206" s="674">
        <v>0.6</v>
      </c>
      <c r="S206" s="696"/>
      <c r="T206" s="696"/>
      <c r="U206" s="696"/>
      <c r="V206" s="696"/>
      <c r="W206" s="696"/>
      <c r="X206" s="696"/>
      <c r="Y206" s="696"/>
      <c r="Z206" s="696"/>
      <c r="AA206" s="696"/>
      <c r="AB206" s="696"/>
      <c r="AC206" s="696"/>
      <c r="AD206" s="696"/>
      <c r="AE206" s="696"/>
      <c r="AF206" s="696"/>
      <c r="AG206" s="696"/>
      <c r="AH206" s="696"/>
      <c r="AI206" s="696"/>
      <c r="AJ206" s="696">
        <v>0</v>
      </c>
      <c r="AK206" s="696">
        <v>0</v>
      </c>
      <c r="AL206" s="696">
        <v>0</v>
      </c>
      <c r="AM206" s="696">
        <v>0</v>
      </c>
      <c r="AN206" s="696">
        <v>0</v>
      </c>
      <c r="AO206" s="696">
        <v>0</v>
      </c>
      <c r="AP206" s="696">
        <v>0</v>
      </c>
      <c r="AQ206" s="696">
        <v>0</v>
      </c>
      <c r="AT206" s="696"/>
      <c r="AU206" s="674"/>
      <c r="AV206" s="674"/>
      <c r="AW206" s="674"/>
      <c r="AX206" s="674"/>
      <c r="AY206" s="674"/>
      <c r="AZ206" s="674"/>
      <c r="BA206" s="674"/>
      <c r="BB206" s="674"/>
    </row>
    <row r="207" spans="1:54">
      <c r="A207" s="674" t="s">
        <v>390</v>
      </c>
      <c r="B207" s="674" t="s">
        <v>1020</v>
      </c>
      <c r="C207" s="674" t="s">
        <v>1021</v>
      </c>
      <c r="D207" s="673" t="s">
        <v>348</v>
      </c>
      <c r="E207" s="674" t="s">
        <v>349</v>
      </c>
      <c r="F207" s="674" t="s">
        <v>366</v>
      </c>
      <c r="G207" s="697" t="s">
        <v>847</v>
      </c>
      <c r="H207" s="695">
        <v>15</v>
      </c>
      <c r="I207" s="698">
        <v>17.756152329336725</v>
      </c>
      <c r="J207" s="698">
        <v>8.7899208907119846</v>
      </c>
      <c r="K207" s="674">
        <v>1</v>
      </c>
      <c r="L207" s="674">
        <v>0.15</v>
      </c>
      <c r="M207" s="674">
        <v>0.15</v>
      </c>
      <c r="N207" s="674">
        <v>0.15</v>
      </c>
      <c r="O207" s="674">
        <v>0.15</v>
      </c>
      <c r="P207" s="674">
        <v>0.15</v>
      </c>
      <c r="Q207" s="674"/>
      <c r="R207" s="674">
        <v>0.6</v>
      </c>
      <c r="S207" s="696"/>
      <c r="T207" s="696"/>
      <c r="U207" s="696"/>
      <c r="V207" s="696"/>
      <c r="W207" s="696"/>
      <c r="X207" s="696"/>
      <c r="Y207" s="696"/>
      <c r="Z207" s="696"/>
      <c r="AA207" s="696"/>
      <c r="AB207" s="696"/>
      <c r="AC207" s="696"/>
      <c r="AD207" s="696"/>
      <c r="AE207" s="696"/>
      <c r="AF207" s="696"/>
      <c r="AG207" s="696"/>
      <c r="AH207" s="696"/>
      <c r="AI207" s="696"/>
      <c r="AJ207" s="696"/>
      <c r="AK207" s="696"/>
      <c r="AL207" s="696"/>
      <c r="AM207" s="696"/>
      <c r="AN207" s="696"/>
      <c r="AO207" s="696"/>
      <c r="AP207" s="696"/>
      <c r="AQ207" s="696"/>
      <c r="AT207" s="696"/>
      <c r="AU207" s="674"/>
      <c r="AV207" s="674"/>
      <c r="AW207" s="674"/>
      <c r="AX207" s="674"/>
      <c r="AY207" s="674"/>
      <c r="AZ207" s="674"/>
      <c r="BA207" s="674"/>
      <c r="BB207" s="674"/>
    </row>
    <row r="208" spans="1:54" ht="15.75" customHeight="1">
      <c r="A208" s="684" t="s">
        <v>2332</v>
      </c>
      <c r="B208" s="682"/>
      <c r="C208" s="682"/>
      <c r="D208" s="682"/>
      <c r="E208" s="684"/>
      <c r="F208" s="684"/>
      <c r="G208" s="704"/>
      <c r="H208" s="705"/>
      <c r="I208" s="705"/>
      <c r="J208" s="706"/>
      <c r="K208" s="705"/>
      <c r="L208" s="705"/>
      <c r="M208" s="705"/>
      <c r="N208" s="705"/>
      <c r="O208" s="705"/>
      <c r="P208" s="705"/>
      <c r="Q208" s="705"/>
      <c r="R208" s="706"/>
      <c r="S208" s="707"/>
      <c r="T208" s="707"/>
      <c r="U208" s="707"/>
      <c r="V208" s="707"/>
      <c r="W208" s="707"/>
      <c r="X208" s="707"/>
      <c r="Y208" s="707"/>
      <c r="Z208" s="707"/>
      <c r="AA208" s="707"/>
      <c r="AB208" s="707"/>
      <c r="AC208" s="707"/>
      <c r="AD208" s="707"/>
      <c r="AE208" s="707"/>
      <c r="AF208" s="707"/>
      <c r="AG208" s="707"/>
      <c r="AH208" s="707"/>
      <c r="AI208" s="707"/>
      <c r="AJ208" s="707"/>
      <c r="AK208" s="707"/>
      <c r="AL208" s="707"/>
      <c r="AM208" s="707"/>
      <c r="AN208" s="707"/>
      <c r="AO208" s="707"/>
      <c r="AP208" s="707"/>
      <c r="AQ208" s="708"/>
      <c r="AT208" s="708"/>
      <c r="AU208" s="682"/>
      <c r="AV208" s="682"/>
      <c r="AW208" s="682"/>
      <c r="AX208" s="682"/>
      <c r="AY208" s="682"/>
      <c r="AZ208" s="682"/>
      <c r="BA208" s="682"/>
      <c r="BB208" s="682"/>
    </row>
    <row r="209" spans="1:54">
      <c r="A209" s="674" t="s">
        <v>390</v>
      </c>
      <c r="B209" s="674" t="s">
        <v>461</v>
      </c>
      <c r="C209" s="674" t="s">
        <v>815</v>
      </c>
      <c r="D209" s="673" t="s">
        <v>348</v>
      </c>
      <c r="E209" s="674" t="s">
        <v>352</v>
      </c>
      <c r="F209" s="674" t="s">
        <v>366</v>
      </c>
      <c r="G209" s="697">
        <v>2010</v>
      </c>
      <c r="H209" s="695">
        <v>15</v>
      </c>
      <c r="I209" s="698">
        <v>16.938463213150978</v>
      </c>
      <c r="J209" s="698">
        <v>3.3</v>
      </c>
      <c r="K209" s="674">
        <v>1</v>
      </c>
      <c r="L209" s="674">
        <v>0.15</v>
      </c>
      <c r="M209" s="674">
        <v>0.15</v>
      </c>
      <c r="N209" s="674">
        <v>0.15</v>
      </c>
      <c r="O209" s="674">
        <v>0.15</v>
      </c>
      <c r="P209" s="674">
        <v>0.15</v>
      </c>
      <c r="Q209" s="674"/>
      <c r="R209" s="674">
        <v>0.18</v>
      </c>
      <c r="S209" s="696"/>
      <c r="T209" s="696"/>
      <c r="U209" s="696"/>
      <c r="V209" s="696"/>
      <c r="W209" s="696"/>
      <c r="X209" s="696"/>
      <c r="Y209" s="696"/>
      <c r="Z209" s="696"/>
      <c r="AA209" s="696"/>
      <c r="AB209" s="696"/>
      <c r="AC209" s="696"/>
      <c r="AD209" s="696"/>
      <c r="AE209" s="696"/>
      <c r="AF209" s="696"/>
      <c r="AG209" s="696"/>
      <c r="AH209" s="696">
        <v>0</v>
      </c>
      <c r="AI209" s="696">
        <v>0</v>
      </c>
      <c r="AJ209" s="696">
        <v>0</v>
      </c>
      <c r="AK209" s="696">
        <v>0</v>
      </c>
      <c r="AL209" s="696">
        <v>0</v>
      </c>
      <c r="AM209" s="696">
        <v>0</v>
      </c>
      <c r="AN209" s="696">
        <v>0</v>
      </c>
      <c r="AO209" s="696">
        <v>0</v>
      </c>
      <c r="AP209" s="696">
        <v>0</v>
      </c>
      <c r="AQ209" s="696">
        <v>0</v>
      </c>
      <c r="AT209" s="696"/>
      <c r="AU209" s="674"/>
      <c r="AV209" s="674"/>
      <c r="AW209" s="674"/>
      <c r="AX209" s="674"/>
      <c r="AY209" s="674"/>
      <c r="AZ209" s="674"/>
      <c r="BA209" s="674"/>
      <c r="BB209" s="674"/>
    </row>
    <row r="210" spans="1:54">
      <c r="A210" s="674" t="s">
        <v>1528</v>
      </c>
      <c r="B210" s="674" t="s">
        <v>463</v>
      </c>
      <c r="C210" s="674" t="s">
        <v>155</v>
      </c>
      <c r="D210" s="673" t="s">
        <v>348</v>
      </c>
      <c r="E210" s="674" t="s">
        <v>352</v>
      </c>
      <c r="F210" s="674" t="s">
        <v>366</v>
      </c>
      <c r="G210" s="697" t="s">
        <v>489</v>
      </c>
      <c r="H210" s="695">
        <v>15</v>
      </c>
      <c r="I210" s="698">
        <v>16.938463213150978</v>
      </c>
      <c r="J210" s="698">
        <v>3.3</v>
      </c>
      <c r="K210" s="674">
        <v>1</v>
      </c>
      <c r="L210" s="674">
        <v>0.15</v>
      </c>
      <c r="M210" s="674">
        <v>0.15</v>
      </c>
      <c r="N210" s="674">
        <v>0.15</v>
      </c>
      <c r="O210" s="674">
        <v>0.15</v>
      </c>
      <c r="P210" s="674">
        <v>0.15</v>
      </c>
      <c r="Q210" s="674"/>
      <c r="R210" s="674">
        <v>0.18</v>
      </c>
      <c r="S210" s="699">
        <f>Resid!V90</f>
        <v>1.4848277563716812</v>
      </c>
      <c r="T210" s="699">
        <f>Resid!W90</f>
        <v>0.80560850102979187</v>
      </c>
      <c r="U210" s="699">
        <f>Resid!X90</f>
        <v>0.92237772820142461</v>
      </c>
      <c r="V210" s="699">
        <f>Resid!Y90</f>
        <v>0.27262341469957163</v>
      </c>
      <c r="W210" s="699">
        <f>Resid!Z90</f>
        <v>1.3086493894584639</v>
      </c>
      <c r="X210" s="699"/>
      <c r="Y210" s="699"/>
      <c r="Z210" s="699"/>
      <c r="AA210" s="699"/>
      <c r="AB210" s="699"/>
      <c r="AC210" s="699"/>
      <c r="AD210" s="699"/>
      <c r="AE210" s="699"/>
      <c r="AF210" s="699"/>
      <c r="AG210" s="699"/>
      <c r="AH210" s="696">
        <v>0</v>
      </c>
      <c r="AI210" s="696"/>
      <c r="AJ210" s="696">
        <v>0</v>
      </c>
      <c r="AK210" s="696">
        <v>0</v>
      </c>
      <c r="AL210" s="696">
        <v>0</v>
      </c>
      <c r="AM210" s="696">
        <v>0</v>
      </c>
      <c r="AN210" s="696">
        <v>0</v>
      </c>
      <c r="AO210" s="696">
        <v>0</v>
      </c>
      <c r="AP210" s="696">
        <v>0</v>
      </c>
      <c r="AQ210" s="696">
        <v>0</v>
      </c>
      <c r="AT210" s="696"/>
      <c r="AU210" s="674"/>
      <c r="AV210" s="674"/>
      <c r="AW210" s="674"/>
      <c r="AX210" s="674"/>
      <c r="AY210" s="674"/>
      <c r="AZ210" s="674"/>
      <c r="BA210" s="674"/>
      <c r="BB210" s="674"/>
    </row>
    <row r="211" spans="1:54">
      <c r="A211" s="674" t="s">
        <v>390</v>
      </c>
      <c r="B211" s="674" t="s">
        <v>1022</v>
      </c>
      <c r="C211" s="674" t="s">
        <v>1023</v>
      </c>
      <c r="D211" s="673" t="s">
        <v>348</v>
      </c>
      <c r="E211" s="674" t="s">
        <v>352</v>
      </c>
      <c r="F211" s="674" t="s">
        <v>366</v>
      </c>
      <c r="G211" s="697" t="s">
        <v>847</v>
      </c>
      <c r="H211" s="695">
        <v>15</v>
      </c>
      <c r="I211" s="698">
        <v>16.938463213150978</v>
      </c>
      <c r="J211" s="698">
        <v>4.2075000000000005</v>
      </c>
      <c r="K211" s="674">
        <v>1</v>
      </c>
      <c r="L211" s="674">
        <v>0.15</v>
      </c>
      <c r="M211" s="674">
        <v>0.15</v>
      </c>
      <c r="N211" s="674">
        <v>0.15</v>
      </c>
      <c r="O211" s="674">
        <v>0.15</v>
      </c>
      <c r="P211" s="674">
        <v>0.15</v>
      </c>
      <c r="Q211" s="674"/>
      <c r="R211" s="674">
        <v>0.18</v>
      </c>
      <c r="S211" s="696"/>
      <c r="T211" s="696"/>
      <c r="U211" s="696"/>
      <c r="V211" s="696"/>
      <c r="W211" s="696"/>
      <c r="X211" s="696"/>
      <c r="Y211" s="696"/>
      <c r="Z211" s="696"/>
      <c r="AA211" s="696"/>
      <c r="AB211" s="696"/>
      <c r="AC211" s="696"/>
      <c r="AD211" s="696"/>
      <c r="AE211" s="696"/>
      <c r="AF211" s="696"/>
      <c r="AG211" s="696"/>
      <c r="AH211" s="696">
        <v>0</v>
      </c>
      <c r="AI211" s="696"/>
      <c r="AJ211" s="696"/>
      <c r="AK211" s="696"/>
      <c r="AL211" s="696"/>
      <c r="AM211" s="696"/>
      <c r="AN211" s="696"/>
      <c r="AO211" s="696"/>
      <c r="AP211" s="696"/>
      <c r="AQ211" s="696"/>
      <c r="AT211" s="696"/>
      <c r="AU211" s="674"/>
      <c r="AV211" s="674"/>
      <c r="AW211" s="674"/>
      <c r="AX211" s="674"/>
      <c r="AY211" s="674"/>
      <c r="AZ211" s="674"/>
      <c r="BA211" s="674"/>
      <c r="BB211" s="674"/>
    </row>
    <row r="212" spans="1:54">
      <c r="A212" s="674" t="s">
        <v>390</v>
      </c>
      <c r="B212" s="674" t="s">
        <v>2934</v>
      </c>
      <c r="C212" s="674" t="s">
        <v>2935</v>
      </c>
      <c r="D212" s="673" t="s">
        <v>348</v>
      </c>
      <c r="E212" s="674" t="s">
        <v>352</v>
      </c>
      <c r="F212" s="674" t="s">
        <v>366</v>
      </c>
      <c r="G212" s="697">
        <v>2020</v>
      </c>
      <c r="H212" s="695">
        <v>15</v>
      </c>
      <c r="I212" s="698">
        <v>19.37153355217562</v>
      </c>
      <c r="J212" s="698">
        <v>5.2249999999999996</v>
      </c>
      <c r="K212" s="674">
        <v>1</v>
      </c>
      <c r="L212" s="674">
        <v>0.15</v>
      </c>
      <c r="M212" s="674">
        <v>0.15</v>
      </c>
      <c r="N212" s="674">
        <v>0.15</v>
      </c>
      <c r="O212" s="674">
        <v>0.15</v>
      </c>
      <c r="P212" s="674">
        <v>0.15</v>
      </c>
      <c r="Q212" s="674"/>
      <c r="R212" s="674">
        <v>0.18</v>
      </c>
      <c r="S212" s="696"/>
      <c r="T212" s="696"/>
      <c r="U212" s="696"/>
      <c r="V212" s="696"/>
      <c r="W212" s="696"/>
      <c r="X212" s="696"/>
      <c r="Y212" s="696"/>
      <c r="Z212" s="696"/>
      <c r="AA212" s="696"/>
      <c r="AB212" s="696"/>
      <c r="AC212" s="696"/>
      <c r="AD212" s="696"/>
      <c r="AE212" s="696"/>
      <c r="AF212" s="696"/>
      <c r="AG212" s="696"/>
      <c r="AH212" s="696">
        <v>0</v>
      </c>
      <c r="AI212" s="696"/>
      <c r="AJ212" s="696"/>
      <c r="AK212" s="696"/>
      <c r="AL212" s="696"/>
      <c r="AM212" s="696"/>
      <c r="AN212" s="696"/>
      <c r="AO212" s="696"/>
      <c r="AP212" s="696"/>
      <c r="AQ212" s="696"/>
      <c r="AT212" s="696"/>
      <c r="AU212" s="674"/>
      <c r="AV212" s="674"/>
      <c r="AW212" s="674"/>
      <c r="AX212" s="674"/>
      <c r="AY212" s="674"/>
      <c r="AZ212" s="674"/>
      <c r="BA212" s="674"/>
      <c r="BB212" s="674"/>
    </row>
    <row r="213" spans="1:54">
      <c r="A213" s="674" t="s">
        <v>390</v>
      </c>
      <c r="B213" s="674" t="s">
        <v>2936</v>
      </c>
      <c r="C213" s="674" t="s">
        <v>2937</v>
      </c>
      <c r="D213" s="673" t="s">
        <v>348</v>
      </c>
      <c r="E213" s="674" t="s">
        <v>352</v>
      </c>
      <c r="F213" s="674" t="s">
        <v>366</v>
      </c>
      <c r="G213" s="697">
        <v>2030</v>
      </c>
      <c r="H213" s="695">
        <v>16</v>
      </c>
      <c r="I213" s="698">
        <v>16.938463213150978</v>
      </c>
      <c r="J213" s="698">
        <v>4.3449999999999998</v>
      </c>
      <c r="K213" s="674">
        <v>1</v>
      </c>
      <c r="L213" s="674">
        <v>0.15</v>
      </c>
      <c r="M213" s="674">
        <v>0.15</v>
      </c>
      <c r="N213" s="674">
        <v>0.15</v>
      </c>
      <c r="O213" s="674">
        <v>0.15</v>
      </c>
      <c r="P213" s="674">
        <v>0.15</v>
      </c>
      <c r="Q213" s="674"/>
      <c r="R213" s="674">
        <v>0.18</v>
      </c>
      <c r="S213" s="696"/>
      <c r="T213" s="696"/>
      <c r="U213" s="696"/>
      <c r="V213" s="696"/>
      <c r="W213" s="696"/>
      <c r="X213" s="696"/>
      <c r="Y213" s="696"/>
      <c r="Z213" s="696"/>
      <c r="AA213" s="696"/>
      <c r="AB213" s="696"/>
      <c r="AC213" s="696"/>
      <c r="AD213" s="696"/>
      <c r="AE213" s="696"/>
      <c r="AF213" s="696"/>
      <c r="AG213" s="696"/>
      <c r="AH213" s="696">
        <v>0</v>
      </c>
      <c r="AI213" s="696"/>
      <c r="AJ213" s="696"/>
      <c r="AK213" s="696"/>
      <c r="AL213" s="696"/>
      <c r="AM213" s="696"/>
      <c r="AN213" s="696"/>
      <c r="AO213" s="696"/>
      <c r="AP213" s="696"/>
      <c r="AQ213" s="696"/>
      <c r="AT213" s="696"/>
      <c r="AU213" s="674"/>
      <c r="AV213" s="674"/>
      <c r="AW213" s="674"/>
      <c r="AX213" s="674"/>
      <c r="AY213" s="674"/>
      <c r="AZ213" s="674"/>
      <c r="BA213" s="674"/>
      <c r="BB213" s="674"/>
    </row>
    <row r="214" spans="1:54">
      <c r="A214" s="674" t="s">
        <v>390</v>
      </c>
      <c r="B214" s="674" t="s">
        <v>2938</v>
      </c>
      <c r="C214" s="674" t="s">
        <v>2939</v>
      </c>
      <c r="D214" s="673" t="s">
        <v>348</v>
      </c>
      <c r="E214" s="674" t="s">
        <v>352</v>
      </c>
      <c r="F214" s="674" t="s">
        <v>366</v>
      </c>
      <c r="G214" s="697">
        <v>2030</v>
      </c>
      <c r="H214" s="695">
        <v>16</v>
      </c>
      <c r="I214" s="698">
        <v>19.37153355217562</v>
      </c>
      <c r="J214" s="698">
        <v>5.2249999999999996</v>
      </c>
      <c r="K214" s="674">
        <v>1</v>
      </c>
      <c r="L214" s="674">
        <v>0.15</v>
      </c>
      <c r="M214" s="674">
        <v>0.15</v>
      </c>
      <c r="N214" s="674">
        <v>0.15</v>
      </c>
      <c r="O214" s="674">
        <v>0.15</v>
      </c>
      <c r="P214" s="674">
        <v>0.15</v>
      </c>
      <c r="Q214" s="674"/>
      <c r="R214" s="674">
        <v>0.18</v>
      </c>
      <c r="S214" s="696"/>
      <c r="T214" s="696"/>
      <c r="U214" s="696"/>
      <c r="V214" s="696"/>
      <c r="W214" s="696"/>
      <c r="X214" s="696"/>
      <c r="Y214" s="696"/>
      <c r="Z214" s="696"/>
      <c r="AA214" s="696"/>
      <c r="AB214" s="696"/>
      <c r="AC214" s="696"/>
      <c r="AD214" s="696"/>
      <c r="AE214" s="696"/>
      <c r="AF214" s="696"/>
      <c r="AG214" s="696"/>
      <c r="AH214" s="696">
        <v>0</v>
      </c>
      <c r="AI214" s="696"/>
      <c r="AJ214" s="696"/>
      <c r="AK214" s="696"/>
      <c r="AL214" s="696"/>
      <c r="AM214" s="696"/>
      <c r="AN214" s="696"/>
      <c r="AO214" s="696"/>
      <c r="AP214" s="696"/>
      <c r="AQ214" s="696"/>
      <c r="AT214" s="696"/>
      <c r="AU214" s="674"/>
      <c r="AV214" s="674"/>
      <c r="AW214" s="674"/>
      <c r="AX214" s="674"/>
      <c r="AY214" s="674"/>
      <c r="AZ214" s="674"/>
      <c r="BA214" s="674"/>
      <c r="BB214" s="674"/>
    </row>
    <row r="215" spans="1:54">
      <c r="A215" s="674" t="s">
        <v>390</v>
      </c>
      <c r="B215" s="674" t="s">
        <v>2940</v>
      </c>
      <c r="C215" s="674" t="s">
        <v>2941</v>
      </c>
      <c r="D215" s="673" t="s">
        <v>348</v>
      </c>
      <c r="E215" s="674" t="s">
        <v>352</v>
      </c>
      <c r="F215" s="674" t="s">
        <v>366</v>
      </c>
      <c r="G215" s="697">
        <v>2040</v>
      </c>
      <c r="H215" s="695">
        <v>27</v>
      </c>
      <c r="I215" s="698">
        <v>16.938463213150978</v>
      </c>
      <c r="J215" s="698">
        <v>4.3449999999999998</v>
      </c>
      <c r="K215" s="674">
        <v>1</v>
      </c>
      <c r="L215" s="674">
        <v>0.15</v>
      </c>
      <c r="M215" s="674">
        <v>0.15</v>
      </c>
      <c r="N215" s="674">
        <v>0.15</v>
      </c>
      <c r="O215" s="674">
        <v>0.15</v>
      </c>
      <c r="P215" s="674">
        <v>0.15</v>
      </c>
      <c r="Q215" s="674"/>
      <c r="R215" s="674">
        <v>0.18</v>
      </c>
      <c r="S215" s="696"/>
      <c r="T215" s="696"/>
      <c r="U215" s="696"/>
      <c r="V215" s="696"/>
      <c r="W215" s="696"/>
      <c r="X215" s="696"/>
      <c r="Y215" s="696"/>
      <c r="Z215" s="696"/>
      <c r="AA215" s="696"/>
      <c r="AB215" s="696"/>
      <c r="AC215" s="696"/>
      <c r="AD215" s="696"/>
      <c r="AE215" s="696"/>
      <c r="AF215" s="696"/>
      <c r="AG215" s="696"/>
      <c r="AH215" s="696">
        <v>0</v>
      </c>
      <c r="AI215" s="696"/>
      <c r="AJ215" s="696"/>
      <c r="AK215" s="696"/>
      <c r="AL215" s="696"/>
      <c r="AM215" s="696"/>
      <c r="AN215" s="696"/>
      <c r="AO215" s="696"/>
      <c r="AP215" s="696"/>
      <c r="AQ215" s="696"/>
      <c r="AT215" s="696"/>
      <c r="AU215" s="674"/>
      <c r="AV215" s="674"/>
      <c r="AW215" s="674"/>
      <c r="AX215" s="674"/>
      <c r="AY215" s="674"/>
      <c r="AZ215" s="674"/>
      <c r="BA215" s="674"/>
      <c r="BB215" s="674"/>
    </row>
    <row r="216" spans="1:54">
      <c r="A216" s="674" t="s">
        <v>390</v>
      </c>
      <c r="B216" s="674" t="s">
        <v>2942</v>
      </c>
      <c r="C216" s="674" t="s">
        <v>2943</v>
      </c>
      <c r="D216" s="673" t="s">
        <v>348</v>
      </c>
      <c r="E216" s="674" t="s">
        <v>352</v>
      </c>
      <c r="F216" s="674" t="s">
        <v>366</v>
      </c>
      <c r="G216" s="697">
        <v>2040</v>
      </c>
      <c r="H216" s="695">
        <v>27</v>
      </c>
      <c r="I216" s="698">
        <v>19.37153355217562</v>
      </c>
      <c r="J216" s="698">
        <v>5.2249999999999996</v>
      </c>
      <c r="K216" s="674">
        <v>1</v>
      </c>
      <c r="L216" s="674">
        <v>0.15</v>
      </c>
      <c r="M216" s="674">
        <v>0.15</v>
      </c>
      <c r="N216" s="674">
        <v>0.15</v>
      </c>
      <c r="O216" s="674">
        <v>0.15</v>
      </c>
      <c r="P216" s="674">
        <v>0.15</v>
      </c>
      <c r="Q216" s="674"/>
      <c r="R216" s="674">
        <v>0.18</v>
      </c>
      <c r="S216" s="696"/>
      <c r="T216" s="696"/>
      <c r="U216" s="696"/>
      <c r="V216" s="696"/>
      <c r="W216" s="696"/>
      <c r="X216" s="696"/>
      <c r="Y216" s="696"/>
      <c r="Z216" s="696"/>
      <c r="AA216" s="696"/>
      <c r="AB216" s="696"/>
      <c r="AC216" s="696"/>
      <c r="AD216" s="696"/>
      <c r="AE216" s="696"/>
      <c r="AF216" s="696"/>
      <c r="AG216" s="696"/>
      <c r="AH216" s="696">
        <v>0</v>
      </c>
      <c r="AI216" s="696"/>
      <c r="AJ216" s="696"/>
      <c r="AK216" s="696"/>
      <c r="AL216" s="696"/>
      <c r="AM216" s="696"/>
      <c r="AN216" s="696"/>
      <c r="AO216" s="696"/>
      <c r="AP216" s="696"/>
      <c r="AQ216" s="696"/>
      <c r="AT216" s="696"/>
      <c r="AU216" s="674"/>
      <c r="AV216" s="674"/>
      <c r="AW216" s="674"/>
      <c r="AX216" s="674"/>
      <c r="AY216" s="674"/>
      <c r="AZ216" s="674"/>
      <c r="BA216" s="674"/>
      <c r="BB216" s="674"/>
    </row>
    <row r="217" spans="1:54">
      <c r="A217" s="674" t="s">
        <v>390</v>
      </c>
      <c r="B217" s="674" t="s">
        <v>2944</v>
      </c>
      <c r="C217" s="674" t="s">
        <v>2945</v>
      </c>
      <c r="D217" s="673" t="s">
        <v>348</v>
      </c>
      <c r="E217" s="674" t="s">
        <v>352</v>
      </c>
      <c r="F217" s="674" t="s">
        <v>366</v>
      </c>
      <c r="G217" s="697">
        <v>2050</v>
      </c>
      <c r="H217" s="695">
        <v>27</v>
      </c>
      <c r="I217" s="698">
        <v>16.938463213150978</v>
      </c>
      <c r="J217" s="698">
        <v>4.3449999999999998</v>
      </c>
      <c r="K217" s="674">
        <v>1</v>
      </c>
      <c r="L217" s="674">
        <v>0.15</v>
      </c>
      <c r="M217" s="674">
        <v>0.15</v>
      </c>
      <c r="N217" s="674">
        <v>0.15</v>
      </c>
      <c r="O217" s="674">
        <v>0.15</v>
      </c>
      <c r="P217" s="674">
        <v>0.15</v>
      </c>
      <c r="Q217" s="674"/>
      <c r="R217" s="674">
        <v>0.18</v>
      </c>
      <c r="S217" s="696"/>
      <c r="T217" s="696"/>
      <c r="U217" s="696"/>
      <c r="V217" s="696"/>
      <c r="W217" s="696"/>
      <c r="X217" s="696"/>
      <c r="Y217" s="696"/>
      <c r="Z217" s="696"/>
      <c r="AA217" s="696"/>
      <c r="AB217" s="696"/>
      <c r="AC217" s="696"/>
      <c r="AD217" s="696"/>
      <c r="AE217" s="696"/>
      <c r="AF217" s="696"/>
      <c r="AG217" s="696"/>
      <c r="AH217" s="696">
        <v>0</v>
      </c>
      <c r="AI217" s="696"/>
      <c r="AJ217" s="696"/>
      <c r="AK217" s="696"/>
      <c r="AL217" s="696"/>
      <c r="AM217" s="696"/>
      <c r="AN217" s="696"/>
      <c r="AO217" s="696"/>
      <c r="AP217" s="696"/>
      <c r="AQ217" s="696"/>
      <c r="AT217" s="696"/>
      <c r="AU217" s="674"/>
      <c r="AV217" s="674"/>
      <c r="AW217" s="674"/>
      <c r="AX217" s="674"/>
      <c r="AY217" s="674"/>
      <c r="AZ217" s="674"/>
      <c r="BA217" s="674"/>
      <c r="BB217" s="674"/>
    </row>
    <row r="218" spans="1:54">
      <c r="A218" s="674" t="s">
        <v>390</v>
      </c>
      <c r="B218" s="674" t="s">
        <v>2946</v>
      </c>
      <c r="C218" s="674" t="s">
        <v>2947</v>
      </c>
      <c r="D218" s="673" t="s">
        <v>348</v>
      </c>
      <c r="E218" s="674" t="s">
        <v>352</v>
      </c>
      <c r="F218" s="674" t="s">
        <v>366</v>
      </c>
      <c r="G218" s="697">
        <v>2050</v>
      </c>
      <c r="H218" s="695">
        <v>27</v>
      </c>
      <c r="I218" s="698">
        <v>19.37153355217562</v>
      </c>
      <c r="J218" s="698">
        <v>5.2249999999999996</v>
      </c>
      <c r="K218" s="674">
        <v>1</v>
      </c>
      <c r="L218" s="674">
        <v>0.15</v>
      </c>
      <c r="M218" s="674">
        <v>0.15</v>
      </c>
      <c r="N218" s="674">
        <v>0.15</v>
      </c>
      <c r="O218" s="674">
        <v>0.15</v>
      </c>
      <c r="P218" s="674">
        <v>0.15</v>
      </c>
      <c r="Q218" s="674"/>
      <c r="R218" s="674">
        <v>0.18</v>
      </c>
      <c r="S218" s="696"/>
      <c r="T218" s="696"/>
      <c r="U218" s="696"/>
      <c r="V218" s="696"/>
      <c r="W218" s="696"/>
      <c r="X218" s="696"/>
      <c r="Y218" s="696"/>
      <c r="Z218" s="696"/>
      <c r="AA218" s="696"/>
      <c r="AB218" s="696"/>
      <c r="AC218" s="696"/>
      <c r="AD218" s="696"/>
      <c r="AE218" s="696"/>
      <c r="AF218" s="696"/>
      <c r="AG218" s="696"/>
      <c r="AH218" s="696">
        <v>0</v>
      </c>
      <c r="AI218" s="696"/>
      <c r="AJ218" s="696"/>
      <c r="AK218" s="696"/>
      <c r="AL218" s="696"/>
      <c r="AM218" s="696"/>
      <c r="AN218" s="696"/>
      <c r="AO218" s="696"/>
      <c r="AP218" s="696"/>
      <c r="AQ218" s="696"/>
      <c r="AT218" s="696"/>
      <c r="AU218" s="674"/>
      <c r="AV218" s="674"/>
      <c r="AW218" s="674"/>
      <c r="AX218" s="674"/>
      <c r="AY218" s="674"/>
      <c r="AZ218" s="674"/>
      <c r="BA218" s="674"/>
      <c r="BB218" s="674"/>
    </row>
    <row r="219" spans="1:54" ht="15.75" customHeight="1">
      <c r="A219" s="684" t="s">
        <v>402</v>
      </c>
      <c r="B219" s="682"/>
      <c r="C219" s="682"/>
      <c r="D219" s="682"/>
      <c r="E219" s="684"/>
      <c r="F219" s="684"/>
      <c r="G219" s="704"/>
      <c r="H219" s="705"/>
      <c r="I219" s="705"/>
      <c r="J219" s="706"/>
      <c r="K219" s="705"/>
      <c r="L219" s="705"/>
      <c r="M219" s="705" t="s">
        <v>729</v>
      </c>
      <c r="N219" s="705" t="s">
        <v>729</v>
      </c>
      <c r="O219" s="705" t="s">
        <v>729</v>
      </c>
      <c r="P219" s="705" t="s">
        <v>729</v>
      </c>
      <c r="Q219" s="705"/>
      <c r="R219" s="706"/>
      <c r="S219" s="707"/>
      <c r="T219" s="707"/>
      <c r="U219" s="707"/>
      <c r="V219" s="707"/>
      <c r="W219" s="707"/>
      <c r="X219" s="707"/>
      <c r="Y219" s="707"/>
      <c r="Z219" s="707"/>
      <c r="AA219" s="707"/>
      <c r="AB219" s="707"/>
      <c r="AC219" s="707"/>
      <c r="AD219" s="707"/>
      <c r="AE219" s="707"/>
      <c r="AF219" s="707"/>
      <c r="AG219" s="707"/>
      <c r="AH219" s="707"/>
      <c r="AI219" s="707"/>
      <c r="AJ219" s="707"/>
      <c r="AK219" s="707"/>
      <c r="AL219" s="707"/>
      <c r="AM219" s="707"/>
      <c r="AN219" s="707"/>
      <c r="AO219" s="707"/>
      <c r="AP219" s="707"/>
      <c r="AQ219" s="708"/>
      <c r="AT219" s="708"/>
      <c r="AU219" s="682"/>
      <c r="AV219" s="682"/>
      <c r="AW219" s="682"/>
      <c r="AX219" s="682"/>
      <c r="AY219" s="682"/>
      <c r="AZ219" s="682"/>
      <c r="BA219" s="682"/>
      <c r="BB219" s="682"/>
    </row>
    <row r="220" spans="1:54" ht="15.75" customHeight="1">
      <c r="A220" s="684" t="s">
        <v>403</v>
      </c>
      <c r="B220" s="682"/>
      <c r="C220" s="682"/>
      <c r="D220" s="682"/>
      <c r="E220" s="684"/>
      <c r="F220" s="684"/>
      <c r="G220" s="704"/>
      <c r="H220" s="705"/>
      <c r="I220" s="705"/>
      <c r="J220" s="706"/>
      <c r="K220" s="705"/>
      <c r="L220" s="705"/>
      <c r="M220" s="705" t="s">
        <v>729</v>
      </c>
      <c r="N220" s="705" t="s">
        <v>729</v>
      </c>
      <c r="O220" s="705" t="s">
        <v>729</v>
      </c>
      <c r="P220" s="705" t="s">
        <v>729</v>
      </c>
      <c r="Q220" s="705"/>
      <c r="R220" s="706"/>
      <c r="S220" s="707"/>
      <c r="T220" s="707"/>
      <c r="U220" s="707"/>
      <c r="V220" s="707"/>
      <c r="W220" s="707"/>
      <c r="X220" s="707"/>
      <c r="Y220" s="707"/>
      <c r="Z220" s="707"/>
      <c r="AA220" s="707"/>
      <c r="AB220" s="707"/>
      <c r="AC220" s="707"/>
      <c r="AD220" s="707"/>
      <c r="AE220" s="707"/>
      <c r="AF220" s="707"/>
      <c r="AG220" s="707"/>
      <c r="AH220" s="707"/>
      <c r="AI220" s="707"/>
      <c r="AJ220" s="707"/>
      <c r="AK220" s="707"/>
      <c r="AL220" s="707"/>
      <c r="AM220" s="707"/>
      <c r="AN220" s="707"/>
      <c r="AO220" s="707"/>
      <c r="AP220" s="707"/>
      <c r="AQ220" s="708"/>
      <c r="AT220" s="708"/>
      <c r="AU220" s="682"/>
      <c r="AV220" s="682"/>
      <c r="AW220" s="682"/>
      <c r="AX220" s="682"/>
      <c r="AY220" s="682"/>
      <c r="AZ220" s="682"/>
      <c r="BA220" s="682"/>
      <c r="BB220" s="682"/>
    </row>
    <row r="221" spans="1:54">
      <c r="A221" s="674" t="s">
        <v>390</v>
      </c>
      <c r="B221" s="674" t="s">
        <v>817</v>
      </c>
      <c r="C221" s="674" t="s">
        <v>816</v>
      </c>
      <c r="D221" s="673" t="s">
        <v>348</v>
      </c>
      <c r="E221" s="674" t="s">
        <v>352</v>
      </c>
      <c r="F221" s="674" t="s">
        <v>368</v>
      </c>
      <c r="G221" s="697">
        <v>2010</v>
      </c>
      <c r="H221" s="695">
        <v>10</v>
      </c>
      <c r="I221" s="698"/>
      <c r="J221" s="698">
        <v>0.57569998502731301</v>
      </c>
      <c r="K221" s="674">
        <v>1</v>
      </c>
      <c r="L221" s="674">
        <v>0.1</v>
      </c>
      <c r="M221" s="674">
        <v>0.1</v>
      </c>
      <c r="N221" s="674">
        <v>0.1</v>
      </c>
      <c r="O221" s="674">
        <v>0.1</v>
      </c>
      <c r="P221" s="674">
        <v>0.1</v>
      </c>
      <c r="Q221" s="674"/>
      <c r="R221" s="674">
        <v>0.18</v>
      </c>
      <c r="S221" s="699"/>
      <c r="T221" s="699"/>
      <c r="U221" s="699"/>
      <c r="V221" s="699"/>
      <c r="W221" s="699"/>
      <c r="X221" s="699"/>
      <c r="Y221" s="699"/>
      <c r="Z221" s="699"/>
      <c r="AA221" s="699"/>
      <c r="AB221" s="699"/>
      <c r="AC221" s="699"/>
      <c r="AD221" s="699"/>
      <c r="AE221" s="699"/>
      <c r="AF221" s="699"/>
      <c r="AG221" s="699"/>
      <c r="AH221" s="696">
        <v>0</v>
      </c>
      <c r="AI221" s="696">
        <v>0</v>
      </c>
      <c r="AJ221" s="696">
        <v>0</v>
      </c>
      <c r="AK221" s="696">
        <v>0</v>
      </c>
      <c r="AL221" s="696">
        <v>0</v>
      </c>
      <c r="AM221" s="696">
        <v>0</v>
      </c>
      <c r="AN221" s="696">
        <v>0</v>
      </c>
      <c r="AO221" s="696">
        <v>0</v>
      </c>
      <c r="AP221" s="696">
        <v>0</v>
      </c>
      <c r="AQ221" s="696">
        <v>0</v>
      </c>
      <c r="AT221" s="696"/>
      <c r="AU221" s="674"/>
      <c r="AV221" s="674"/>
      <c r="AW221" s="674"/>
      <c r="AX221" s="674"/>
      <c r="AY221" s="674"/>
      <c r="AZ221" s="674"/>
      <c r="BA221" s="674"/>
      <c r="BB221" s="674"/>
    </row>
    <row r="222" spans="1:54">
      <c r="A222" s="674" t="s">
        <v>1528</v>
      </c>
      <c r="B222" s="674" t="s">
        <v>287</v>
      </c>
      <c r="C222" s="674" t="s">
        <v>288</v>
      </c>
      <c r="D222" s="673" t="s">
        <v>348</v>
      </c>
      <c r="E222" s="674" t="s">
        <v>352</v>
      </c>
      <c r="F222" s="674" t="s">
        <v>368</v>
      </c>
      <c r="G222" s="697" t="s">
        <v>489</v>
      </c>
      <c r="H222" s="695">
        <v>8</v>
      </c>
      <c r="I222" s="698">
        <v>7.9209266747522467</v>
      </c>
      <c r="J222" s="698">
        <v>0.59</v>
      </c>
      <c r="K222" s="674">
        <v>1</v>
      </c>
      <c r="L222" s="674">
        <v>0.1</v>
      </c>
      <c r="M222" s="674">
        <v>0.1</v>
      </c>
      <c r="N222" s="674">
        <v>0.1</v>
      </c>
      <c r="O222" s="674">
        <v>0.1</v>
      </c>
      <c r="P222" s="674">
        <v>0.1</v>
      </c>
      <c r="Q222" s="674"/>
      <c r="R222" s="674">
        <v>0.18</v>
      </c>
      <c r="S222" s="699">
        <f>Resid!V95</f>
        <v>84.755846486719946</v>
      </c>
      <c r="T222" s="699">
        <f>Resid!W95</f>
        <v>51.164770354125665</v>
      </c>
      <c r="U222" s="699">
        <f>Resid!X95</f>
        <v>87.715789165172183</v>
      </c>
      <c r="V222" s="699">
        <f>Resid!Y95</f>
        <v>14.286484404544781</v>
      </c>
      <c r="W222" s="699">
        <f>Resid!Z95</f>
        <v>42.358813799750784</v>
      </c>
      <c r="X222" s="699"/>
      <c r="Y222" s="699"/>
      <c r="Z222" s="699"/>
      <c r="AA222" s="699"/>
      <c r="AB222" s="699"/>
      <c r="AC222" s="699"/>
      <c r="AD222" s="699"/>
      <c r="AE222" s="699"/>
      <c r="AF222" s="699"/>
      <c r="AG222" s="699"/>
      <c r="AH222" s="696">
        <v>0</v>
      </c>
      <c r="AI222" s="696"/>
      <c r="AJ222" s="696">
        <v>0</v>
      </c>
      <c r="AK222" s="696">
        <v>0</v>
      </c>
      <c r="AL222" s="696">
        <v>0</v>
      </c>
      <c r="AM222" s="696">
        <v>0</v>
      </c>
      <c r="AN222" s="696">
        <v>0</v>
      </c>
      <c r="AO222" s="696">
        <v>0</v>
      </c>
      <c r="AP222" s="696">
        <v>0</v>
      </c>
      <c r="AQ222" s="696">
        <v>0</v>
      </c>
      <c r="AT222" s="696"/>
      <c r="AU222" s="674"/>
      <c r="AV222" s="674"/>
      <c r="AW222" s="674"/>
      <c r="AX222" s="674"/>
      <c r="AY222" s="674"/>
      <c r="AZ222" s="674"/>
      <c r="BA222" s="674"/>
      <c r="BB222" s="674"/>
    </row>
    <row r="223" spans="1:54">
      <c r="A223" s="674" t="s">
        <v>390</v>
      </c>
      <c r="B223" s="674" t="s">
        <v>1030</v>
      </c>
      <c r="C223" s="674" t="s">
        <v>1031</v>
      </c>
      <c r="D223" s="673" t="s">
        <v>348</v>
      </c>
      <c r="E223" s="674" t="s">
        <v>352</v>
      </c>
      <c r="F223" s="674" t="s">
        <v>368</v>
      </c>
      <c r="G223" s="697" t="s">
        <v>490</v>
      </c>
      <c r="H223" s="695">
        <v>8</v>
      </c>
      <c r="I223" s="698">
        <v>6.1724946997233232</v>
      </c>
      <c r="J223" s="698">
        <v>0.59</v>
      </c>
      <c r="K223" s="674">
        <v>1</v>
      </c>
      <c r="L223" s="674">
        <v>0.1</v>
      </c>
      <c r="M223" s="674">
        <v>0.1</v>
      </c>
      <c r="N223" s="674">
        <v>0.1</v>
      </c>
      <c r="O223" s="674">
        <v>0.1</v>
      </c>
      <c r="P223" s="674">
        <v>0.1</v>
      </c>
      <c r="Q223" s="674"/>
      <c r="R223" s="674">
        <v>0.18</v>
      </c>
      <c r="S223" s="696"/>
      <c r="T223" s="696"/>
      <c r="U223" s="696"/>
      <c r="V223" s="696"/>
      <c r="W223" s="696"/>
      <c r="X223" s="696"/>
      <c r="Y223" s="696"/>
      <c r="Z223" s="696"/>
      <c r="AA223" s="696"/>
      <c r="AB223" s="696"/>
      <c r="AC223" s="696"/>
      <c r="AD223" s="696"/>
      <c r="AE223" s="696"/>
      <c r="AF223" s="696"/>
      <c r="AG223" s="696"/>
      <c r="AH223" s="696">
        <v>0</v>
      </c>
      <c r="AI223" s="696">
        <v>0</v>
      </c>
      <c r="AJ223" s="696"/>
      <c r="AK223" s="696"/>
      <c r="AL223" s="696"/>
      <c r="AM223" s="696"/>
      <c r="AN223" s="696"/>
      <c r="AO223" s="696"/>
      <c r="AP223" s="696"/>
      <c r="AQ223" s="696"/>
      <c r="AT223" s="696"/>
      <c r="AU223" s="674"/>
      <c r="AV223" s="674"/>
      <c r="AW223" s="674"/>
      <c r="AX223" s="674"/>
      <c r="AY223" s="674"/>
      <c r="AZ223" s="674"/>
      <c r="BA223" s="674"/>
      <c r="BB223" s="674"/>
    </row>
    <row r="224" spans="1:54">
      <c r="A224" s="674" t="s">
        <v>390</v>
      </c>
      <c r="B224" s="674" t="s">
        <v>2948</v>
      </c>
      <c r="C224" s="674" t="s">
        <v>2949</v>
      </c>
      <c r="D224" s="673" t="s">
        <v>348</v>
      </c>
      <c r="E224" s="674" t="s">
        <v>352</v>
      </c>
      <c r="F224" s="674" t="s">
        <v>368</v>
      </c>
      <c r="G224" s="697">
        <v>2015</v>
      </c>
      <c r="H224" s="695">
        <v>8</v>
      </c>
      <c r="I224" s="698">
        <v>6.7023225709442089</v>
      </c>
      <c r="J224" s="698">
        <v>0.63370370370370366</v>
      </c>
      <c r="K224" s="674">
        <v>1</v>
      </c>
      <c r="L224" s="674">
        <v>0.1</v>
      </c>
      <c r="M224" s="674">
        <v>0.1</v>
      </c>
      <c r="N224" s="674">
        <v>0.1</v>
      </c>
      <c r="O224" s="674">
        <v>0.1</v>
      </c>
      <c r="P224" s="674">
        <v>0.1</v>
      </c>
      <c r="Q224" s="674"/>
      <c r="R224" s="674">
        <v>0.18</v>
      </c>
      <c r="S224" s="696"/>
      <c r="T224" s="696"/>
      <c r="U224" s="696"/>
      <c r="V224" s="696"/>
      <c r="W224" s="696"/>
      <c r="X224" s="696"/>
      <c r="Y224" s="696"/>
      <c r="Z224" s="696"/>
      <c r="AA224" s="696"/>
      <c r="AB224" s="696"/>
      <c r="AC224" s="696"/>
      <c r="AD224" s="696"/>
      <c r="AE224" s="696"/>
      <c r="AF224" s="696"/>
      <c r="AG224" s="696"/>
      <c r="AH224" s="696">
        <v>0</v>
      </c>
      <c r="AI224" s="696"/>
      <c r="AJ224" s="696"/>
      <c r="AK224" s="696"/>
      <c r="AL224" s="696"/>
      <c r="AM224" s="696"/>
      <c r="AN224" s="696"/>
      <c r="AO224" s="696"/>
      <c r="AP224" s="696"/>
      <c r="AQ224" s="696"/>
      <c r="AT224" s="696"/>
      <c r="AU224" s="674"/>
      <c r="AV224" s="674"/>
      <c r="AW224" s="674"/>
      <c r="AX224" s="674"/>
      <c r="AY224" s="674"/>
      <c r="AZ224" s="674"/>
      <c r="BA224" s="674"/>
      <c r="BB224" s="674"/>
    </row>
    <row r="225" spans="1:54">
      <c r="A225" s="674" t="s">
        <v>390</v>
      </c>
      <c r="B225" s="674" t="s">
        <v>836</v>
      </c>
      <c r="C225" s="674" t="s">
        <v>837</v>
      </c>
      <c r="D225" s="673" t="s">
        <v>348</v>
      </c>
      <c r="E225" s="674" t="s">
        <v>352</v>
      </c>
      <c r="F225" s="674" t="s">
        <v>368</v>
      </c>
      <c r="G225" s="697">
        <v>2020</v>
      </c>
      <c r="H225" s="695">
        <v>8</v>
      </c>
      <c r="I225" s="698">
        <v>6.9672365065546522</v>
      </c>
      <c r="J225" s="698">
        <v>0.64827160493827163</v>
      </c>
      <c r="K225" s="674">
        <v>1</v>
      </c>
      <c r="L225" s="674">
        <v>0.1</v>
      </c>
      <c r="M225" s="674">
        <v>0.1</v>
      </c>
      <c r="N225" s="674">
        <v>0.1</v>
      </c>
      <c r="O225" s="674">
        <v>0.1</v>
      </c>
      <c r="P225" s="674">
        <v>0.1</v>
      </c>
      <c r="Q225" s="674"/>
      <c r="R225" s="674">
        <v>0.18</v>
      </c>
      <c r="S225" s="696"/>
      <c r="T225" s="696"/>
      <c r="U225" s="696"/>
      <c r="V225" s="696"/>
      <c r="W225" s="696"/>
      <c r="X225" s="696"/>
      <c r="Y225" s="696"/>
      <c r="Z225" s="696"/>
      <c r="AA225" s="696"/>
      <c r="AB225" s="696"/>
      <c r="AC225" s="696"/>
      <c r="AD225" s="696"/>
      <c r="AE225" s="696"/>
      <c r="AF225" s="696"/>
      <c r="AG225" s="696"/>
      <c r="AH225" s="696">
        <v>0</v>
      </c>
      <c r="AI225" s="696"/>
      <c r="AJ225" s="696"/>
      <c r="AK225" s="696"/>
      <c r="AL225" s="696"/>
      <c r="AM225" s="696"/>
      <c r="AN225" s="696"/>
      <c r="AO225" s="696"/>
      <c r="AP225" s="696"/>
      <c r="AQ225" s="696"/>
      <c r="AT225" s="696"/>
      <c r="AU225" s="674"/>
      <c r="AV225" s="674"/>
      <c r="AW225" s="674"/>
      <c r="AX225" s="674"/>
      <c r="AY225" s="674"/>
      <c r="AZ225" s="674"/>
      <c r="BA225" s="674"/>
      <c r="BB225" s="674"/>
    </row>
    <row r="226" spans="1:54">
      <c r="A226" s="674" t="s">
        <v>390</v>
      </c>
      <c r="B226" s="674" t="s">
        <v>2950</v>
      </c>
      <c r="C226" s="674" t="s">
        <v>2951</v>
      </c>
      <c r="D226" s="673" t="s">
        <v>348</v>
      </c>
      <c r="E226" s="674" t="s">
        <v>352</v>
      </c>
      <c r="F226" s="674" t="s">
        <v>368</v>
      </c>
      <c r="G226" s="697" t="s">
        <v>847</v>
      </c>
      <c r="H226" s="695">
        <v>8</v>
      </c>
      <c r="I226" s="698">
        <v>7.3646074099703158</v>
      </c>
      <c r="J226" s="698">
        <v>0.70654320987654307</v>
      </c>
      <c r="K226" s="674">
        <v>1</v>
      </c>
      <c r="L226" s="674">
        <v>0.1</v>
      </c>
      <c r="M226" s="674">
        <v>0.1</v>
      </c>
      <c r="N226" s="674">
        <v>0.1</v>
      </c>
      <c r="O226" s="674">
        <v>0.1</v>
      </c>
      <c r="P226" s="674">
        <v>0.1</v>
      </c>
      <c r="Q226" s="674"/>
      <c r="R226" s="674">
        <v>0.18</v>
      </c>
      <c r="S226" s="696"/>
      <c r="T226" s="696"/>
      <c r="U226" s="696"/>
      <c r="V226" s="696"/>
      <c r="W226" s="696"/>
      <c r="X226" s="696"/>
      <c r="Y226" s="696"/>
      <c r="Z226" s="696"/>
      <c r="AA226" s="696"/>
      <c r="AB226" s="696"/>
      <c r="AC226" s="696"/>
      <c r="AD226" s="696"/>
      <c r="AE226" s="696"/>
      <c r="AF226" s="696"/>
      <c r="AG226" s="696"/>
      <c r="AH226" s="696">
        <v>0</v>
      </c>
      <c r="AI226" s="696"/>
      <c r="AJ226" s="696"/>
      <c r="AK226" s="696"/>
      <c r="AL226" s="696"/>
      <c r="AM226" s="696"/>
      <c r="AN226" s="696"/>
      <c r="AO226" s="696"/>
      <c r="AP226" s="696"/>
      <c r="AQ226" s="696"/>
      <c r="AT226" s="696"/>
      <c r="AU226" s="674"/>
      <c r="AV226" s="674"/>
      <c r="AW226" s="674"/>
      <c r="AX226" s="674"/>
      <c r="AY226" s="674"/>
      <c r="AZ226" s="674"/>
      <c r="BA226" s="674"/>
      <c r="BB226" s="674"/>
    </row>
    <row r="227" spans="1:54">
      <c r="A227" s="674" t="s">
        <v>390</v>
      </c>
      <c r="B227" s="674" t="s">
        <v>2952</v>
      </c>
      <c r="C227" s="674" t="s">
        <v>2953</v>
      </c>
      <c r="D227" s="673" t="s">
        <v>348</v>
      </c>
      <c r="E227" s="674" t="s">
        <v>352</v>
      </c>
      <c r="F227" s="674" t="s">
        <v>368</v>
      </c>
      <c r="G227" s="697">
        <v>2030</v>
      </c>
      <c r="H227" s="695">
        <v>30</v>
      </c>
      <c r="I227" s="698">
        <v>11.073402508516519</v>
      </c>
      <c r="J227" s="698">
        <v>0.64827160493827163</v>
      </c>
      <c r="K227" s="674">
        <v>1</v>
      </c>
      <c r="L227" s="674">
        <v>0.1</v>
      </c>
      <c r="M227" s="674">
        <v>0.1</v>
      </c>
      <c r="N227" s="674">
        <v>0.1</v>
      </c>
      <c r="O227" s="674">
        <v>0.1</v>
      </c>
      <c r="P227" s="674">
        <v>0.1</v>
      </c>
      <c r="Q227" s="674"/>
      <c r="R227" s="674">
        <v>0.18</v>
      </c>
      <c r="S227" s="696"/>
      <c r="T227" s="696"/>
      <c r="U227" s="696"/>
      <c r="V227" s="696"/>
      <c r="W227" s="696"/>
      <c r="X227" s="696"/>
      <c r="Y227" s="696"/>
      <c r="Z227" s="696"/>
      <c r="AA227" s="696"/>
      <c r="AB227" s="696"/>
      <c r="AC227" s="696"/>
      <c r="AD227" s="696"/>
      <c r="AE227" s="696"/>
      <c r="AF227" s="696"/>
      <c r="AG227" s="696"/>
      <c r="AH227" s="696">
        <v>0</v>
      </c>
      <c r="AI227" s="696"/>
      <c r="AJ227" s="696"/>
      <c r="AK227" s="696"/>
      <c r="AL227" s="696"/>
      <c r="AM227" s="696"/>
      <c r="AN227" s="696"/>
      <c r="AO227" s="696"/>
      <c r="AP227" s="696"/>
      <c r="AQ227" s="696"/>
      <c r="AT227" s="696"/>
      <c r="AU227" s="674"/>
      <c r="AV227" s="674"/>
      <c r="AW227" s="674"/>
      <c r="AX227" s="674"/>
      <c r="AY227" s="674"/>
      <c r="AZ227" s="674"/>
      <c r="BA227" s="674"/>
      <c r="BB227" s="674"/>
    </row>
    <row r="228" spans="1:54">
      <c r="A228" s="674" t="s">
        <v>390</v>
      </c>
      <c r="B228" s="674" t="s">
        <v>2954</v>
      </c>
      <c r="C228" s="674" t="s">
        <v>2955</v>
      </c>
      <c r="D228" s="673" t="s">
        <v>348</v>
      </c>
      <c r="E228" s="674" t="s">
        <v>352</v>
      </c>
      <c r="F228" s="674" t="s">
        <v>368</v>
      </c>
      <c r="G228" s="697">
        <v>2030</v>
      </c>
      <c r="H228" s="695">
        <v>30</v>
      </c>
      <c r="I228" s="698">
        <v>13.457627929010506</v>
      </c>
      <c r="J228" s="698">
        <v>0.70654320987654307</v>
      </c>
      <c r="K228" s="674">
        <v>1</v>
      </c>
      <c r="L228" s="674">
        <v>0.1</v>
      </c>
      <c r="M228" s="674">
        <v>0.1</v>
      </c>
      <c r="N228" s="674">
        <v>0.1</v>
      </c>
      <c r="O228" s="674">
        <v>0.1</v>
      </c>
      <c r="P228" s="674">
        <v>0.1</v>
      </c>
      <c r="Q228" s="674"/>
      <c r="R228" s="674">
        <v>0.18</v>
      </c>
      <c r="S228" s="696"/>
      <c r="T228" s="696"/>
      <c r="U228" s="696"/>
      <c r="V228" s="696"/>
      <c r="W228" s="696"/>
      <c r="X228" s="696"/>
      <c r="Y228" s="696"/>
      <c r="Z228" s="696"/>
      <c r="AA228" s="696"/>
      <c r="AB228" s="696"/>
      <c r="AC228" s="696"/>
      <c r="AD228" s="696"/>
      <c r="AE228" s="696"/>
      <c r="AF228" s="696"/>
      <c r="AG228" s="696"/>
      <c r="AH228" s="696">
        <v>0</v>
      </c>
      <c r="AI228" s="696"/>
      <c r="AJ228" s="696"/>
      <c r="AK228" s="696"/>
      <c r="AL228" s="696"/>
      <c r="AM228" s="696"/>
      <c r="AN228" s="696"/>
      <c r="AO228" s="696"/>
      <c r="AP228" s="696"/>
      <c r="AQ228" s="696"/>
      <c r="AT228" s="696"/>
      <c r="AU228" s="674"/>
      <c r="AV228" s="674"/>
      <c r="AW228" s="674"/>
      <c r="AX228" s="674"/>
      <c r="AY228" s="674"/>
      <c r="AZ228" s="674"/>
      <c r="BA228" s="674"/>
      <c r="BB228" s="674"/>
    </row>
    <row r="229" spans="1:54">
      <c r="A229" s="674" t="s">
        <v>390</v>
      </c>
      <c r="B229" s="674" t="s">
        <v>2956</v>
      </c>
      <c r="C229" s="674" t="s">
        <v>2957</v>
      </c>
      <c r="D229" s="673" t="s">
        <v>348</v>
      </c>
      <c r="E229" s="674" t="s">
        <v>352</v>
      </c>
      <c r="F229" s="674" t="s">
        <v>368</v>
      </c>
      <c r="G229" s="697">
        <v>2040</v>
      </c>
      <c r="H229" s="695">
        <v>30</v>
      </c>
      <c r="I229" s="698">
        <v>11.073402508516519</v>
      </c>
      <c r="J229" s="698">
        <v>0.64827160493827163</v>
      </c>
      <c r="K229" s="674">
        <v>1</v>
      </c>
      <c r="L229" s="674">
        <v>0.1</v>
      </c>
      <c r="M229" s="674">
        <v>0.1</v>
      </c>
      <c r="N229" s="674">
        <v>0.1</v>
      </c>
      <c r="O229" s="674">
        <v>0.1</v>
      </c>
      <c r="P229" s="674">
        <v>0.1</v>
      </c>
      <c r="Q229" s="674"/>
      <c r="R229" s="674">
        <v>0.18</v>
      </c>
      <c r="S229" s="696"/>
      <c r="T229" s="696"/>
      <c r="U229" s="696"/>
      <c r="V229" s="696"/>
      <c r="W229" s="696"/>
      <c r="X229" s="696"/>
      <c r="Y229" s="696"/>
      <c r="Z229" s="696"/>
      <c r="AA229" s="696"/>
      <c r="AB229" s="696"/>
      <c r="AC229" s="696"/>
      <c r="AD229" s="696"/>
      <c r="AE229" s="696"/>
      <c r="AF229" s="696"/>
      <c r="AG229" s="696"/>
      <c r="AH229" s="696">
        <v>0</v>
      </c>
      <c r="AI229" s="696"/>
      <c r="AJ229" s="696"/>
      <c r="AK229" s="696"/>
      <c r="AL229" s="696"/>
      <c r="AM229" s="696"/>
      <c r="AN229" s="696"/>
      <c r="AO229" s="696"/>
      <c r="AP229" s="696"/>
      <c r="AQ229" s="696"/>
      <c r="AT229" s="696"/>
      <c r="AU229" s="674"/>
      <c r="AV229" s="674"/>
      <c r="AW229" s="674"/>
      <c r="AX229" s="674"/>
      <c r="AY229" s="674"/>
      <c r="AZ229" s="674"/>
      <c r="BA229" s="674"/>
      <c r="BB229" s="674"/>
    </row>
    <row r="230" spans="1:54">
      <c r="A230" s="674" t="s">
        <v>390</v>
      </c>
      <c r="B230" s="674" t="s">
        <v>2958</v>
      </c>
      <c r="C230" s="674" t="s">
        <v>2959</v>
      </c>
      <c r="D230" s="673" t="s">
        <v>348</v>
      </c>
      <c r="E230" s="674" t="s">
        <v>352</v>
      </c>
      <c r="F230" s="674" t="s">
        <v>368</v>
      </c>
      <c r="G230" s="697">
        <v>2040</v>
      </c>
      <c r="H230" s="695">
        <v>30</v>
      </c>
      <c r="I230" s="698">
        <v>13.457627929010506</v>
      </c>
      <c r="J230" s="698">
        <v>0.70654320987654307</v>
      </c>
      <c r="K230" s="674">
        <v>1</v>
      </c>
      <c r="L230" s="674">
        <v>0.1</v>
      </c>
      <c r="M230" s="674">
        <v>0.1</v>
      </c>
      <c r="N230" s="674">
        <v>0.1</v>
      </c>
      <c r="O230" s="674">
        <v>0.1</v>
      </c>
      <c r="P230" s="674">
        <v>0.1</v>
      </c>
      <c r="Q230" s="674"/>
      <c r="R230" s="674">
        <v>0.18</v>
      </c>
      <c r="S230" s="696"/>
      <c r="T230" s="696"/>
      <c r="U230" s="696"/>
      <c r="V230" s="696"/>
      <c r="W230" s="696"/>
      <c r="X230" s="696"/>
      <c r="Y230" s="696"/>
      <c r="Z230" s="696"/>
      <c r="AA230" s="696"/>
      <c r="AB230" s="696"/>
      <c r="AC230" s="696"/>
      <c r="AD230" s="696"/>
      <c r="AE230" s="696"/>
      <c r="AF230" s="696"/>
      <c r="AG230" s="696"/>
      <c r="AH230" s="696">
        <v>0</v>
      </c>
      <c r="AI230" s="696"/>
      <c r="AJ230" s="696"/>
      <c r="AK230" s="696"/>
      <c r="AL230" s="696"/>
      <c r="AM230" s="696"/>
      <c r="AN230" s="696"/>
      <c r="AO230" s="696"/>
      <c r="AP230" s="696"/>
      <c r="AQ230" s="696"/>
      <c r="AT230" s="696"/>
      <c r="AU230" s="674"/>
      <c r="AV230" s="674"/>
      <c r="AW230" s="674"/>
      <c r="AX230" s="674"/>
      <c r="AY230" s="674"/>
      <c r="AZ230" s="674"/>
      <c r="BA230" s="674"/>
      <c r="BB230" s="674"/>
    </row>
    <row r="231" spans="1:54">
      <c r="A231" s="674" t="s">
        <v>390</v>
      </c>
      <c r="B231" s="674" t="s">
        <v>834</v>
      </c>
      <c r="C231" s="674" t="s">
        <v>835</v>
      </c>
      <c r="D231" s="673" t="s">
        <v>348</v>
      </c>
      <c r="E231" s="674" t="s">
        <v>352</v>
      </c>
      <c r="F231" s="674" t="s">
        <v>368</v>
      </c>
      <c r="G231" s="697" t="s">
        <v>489</v>
      </c>
      <c r="H231" s="695">
        <v>10</v>
      </c>
      <c r="I231" s="698">
        <v>10.585091039546878</v>
      </c>
      <c r="J231" s="698">
        <v>0.67</v>
      </c>
      <c r="K231" s="674">
        <v>1</v>
      </c>
      <c r="L231" s="674">
        <v>0.1</v>
      </c>
      <c r="M231" s="674">
        <v>0.1</v>
      </c>
      <c r="N231" s="674">
        <v>0.1</v>
      </c>
      <c r="O231" s="674">
        <v>0.1</v>
      </c>
      <c r="P231" s="674">
        <v>0.1</v>
      </c>
      <c r="Q231" s="674"/>
      <c r="R231" s="674">
        <v>0.18</v>
      </c>
      <c r="S231" s="696"/>
      <c r="T231" s="696"/>
      <c r="U231" s="696"/>
      <c r="V231" s="696"/>
      <c r="W231" s="696"/>
      <c r="X231" s="696"/>
      <c r="Y231" s="696"/>
      <c r="Z231" s="696"/>
      <c r="AA231" s="696"/>
      <c r="AB231" s="696"/>
      <c r="AC231" s="696"/>
      <c r="AD231" s="696"/>
      <c r="AE231" s="696"/>
      <c r="AF231" s="696"/>
      <c r="AG231" s="696"/>
      <c r="AH231" s="696">
        <v>0</v>
      </c>
      <c r="AI231" s="696"/>
      <c r="AJ231" s="696"/>
      <c r="AK231" s="696"/>
      <c r="AL231" s="696"/>
      <c r="AM231" s="696"/>
      <c r="AN231" s="696"/>
      <c r="AO231" s="696"/>
      <c r="AP231" s="696"/>
      <c r="AQ231" s="696"/>
      <c r="AT231" s="696"/>
      <c r="AU231" s="674"/>
      <c r="AV231" s="674"/>
      <c r="AW231" s="674"/>
      <c r="AX231" s="674"/>
      <c r="AY231" s="674"/>
      <c r="AZ231" s="674"/>
      <c r="BA231" s="674"/>
      <c r="BB231" s="674"/>
    </row>
    <row r="232" spans="1:54">
      <c r="A232" s="674" t="s">
        <v>390</v>
      </c>
      <c r="B232" s="674" t="s">
        <v>158</v>
      </c>
      <c r="C232" s="674" t="s">
        <v>159</v>
      </c>
      <c r="D232" s="673" t="s">
        <v>348</v>
      </c>
      <c r="E232" s="674" t="s">
        <v>352</v>
      </c>
      <c r="F232" s="674" t="s">
        <v>368</v>
      </c>
      <c r="G232" s="697" t="s">
        <v>489</v>
      </c>
      <c r="H232" s="695">
        <v>10</v>
      </c>
      <c r="I232" s="698">
        <v>18.629760229602507</v>
      </c>
      <c r="J232" s="698">
        <v>0.82</v>
      </c>
      <c r="K232" s="674">
        <v>1</v>
      </c>
      <c r="L232" s="674">
        <v>0.1</v>
      </c>
      <c r="M232" s="674">
        <v>0.1</v>
      </c>
      <c r="N232" s="674">
        <v>0.1</v>
      </c>
      <c r="O232" s="674">
        <v>0.1</v>
      </c>
      <c r="P232" s="674">
        <v>0.1</v>
      </c>
      <c r="Q232" s="674"/>
      <c r="R232" s="674">
        <v>0.18</v>
      </c>
      <c r="S232" s="696"/>
      <c r="T232" s="696"/>
      <c r="U232" s="696"/>
      <c r="V232" s="696"/>
      <c r="W232" s="696"/>
      <c r="X232" s="696"/>
      <c r="Y232" s="696"/>
      <c r="Z232" s="696"/>
      <c r="AA232" s="696"/>
      <c r="AB232" s="696"/>
      <c r="AC232" s="696"/>
      <c r="AD232" s="696"/>
      <c r="AE232" s="696"/>
      <c r="AF232" s="696"/>
      <c r="AG232" s="696"/>
      <c r="AH232" s="696">
        <v>0</v>
      </c>
      <c r="AI232" s="696"/>
      <c r="AJ232" s="696">
        <v>0</v>
      </c>
      <c r="AK232" s="696">
        <v>0</v>
      </c>
      <c r="AL232" s="696">
        <v>0</v>
      </c>
      <c r="AM232" s="696">
        <v>0</v>
      </c>
      <c r="AN232" s="696">
        <v>0</v>
      </c>
      <c r="AO232" s="696">
        <v>0</v>
      </c>
      <c r="AP232" s="696">
        <v>0</v>
      </c>
      <c r="AQ232" s="696">
        <v>0</v>
      </c>
      <c r="AT232" s="696"/>
      <c r="AU232" s="674"/>
      <c r="AV232" s="674"/>
      <c r="AW232" s="674"/>
      <c r="AX232" s="674"/>
      <c r="AY232" s="674"/>
      <c r="AZ232" s="674"/>
      <c r="BA232" s="674"/>
      <c r="BB232" s="674"/>
    </row>
    <row r="233" spans="1:54">
      <c r="A233" s="674" t="s">
        <v>390</v>
      </c>
      <c r="B233" s="674" t="s">
        <v>2643</v>
      </c>
      <c r="C233" s="674" t="s">
        <v>2644</v>
      </c>
      <c r="D233" s="673" t="s">
        <v>348</v>
      </c>
      <c r="E233" s="674" t="s">
        <v>352</v>
      </c>
      <c r="F233" s="674" t="s">
        <v>368</v>
      </c>
      <c r="G233" s="697" t="s">
        <v>847</v>
      </c>
      <c r="H233" s="695">
        <v>20</v>
      </c>
      <c r="I233" s="698">
        <v>17.782952946438755</v>
      </c>
      <c r="J233" s="698">
        <v>0.9</v>
      </c>
      <c r="K233" s="674">
        <v>1</v>
      </c>
      <c r="L233" s="674">
        <v>0.1</v>
      </c>
      <c r="M233" s="674">
        <v>0.1</v>
      </c>
      <c r="N233" s="674">
        <v>0.1</v>
      </c>
      <c r="O233" s="674">
        <v>0.1</v>
      </c>
      <c r="P233" s="674">
        <v>0.1</v>
      </c>
      <c r="Q233" s="674"/>
      <c r="R233" s="674">
        <v>0.18</v>
      </c>
      <c r="S233" s="696"/>
      <c r="T233" s="696"/>
      <c r="U233" s="696"/>
      <c r="V233" s="696"/>
      <c r="W233" s="696"/>
      <c r="X233" s="696"/>
      <c r="Y233" s="696"/>
      <c r="Z233" s="696"/>
      <c r="AA233" s="696"/>
      <c r="AB233" s="696"/>
      <c r="AC233" s="696"/>
      <c r="AD233" s="696"/>
      <c r="AE233" s="696"/>
      <c r="AF233" s="696"/>
      <c r="AG233" s="696"/>
      <c r="AH233" s="696">
        <v>0</v>
      </c>
      <c r="AI233" s="696">
        <v>0</v>
      </c>
      <c r="AJ233" s="696"/>
      <c r="AK233" s="696"/>
      <c r="AL233" s="696"/>
      <c r="AM233" s="696"/>
      <c r="AN233" s="696"/>
      <c r="AO233" s="696"/>
      <c r="AP233" s="696"/>
      <c r="AQ233" s="696"/>
      <c r="AT233" s="696"/>
      <c r="AU233" s="674"/>
      <c r="AV233" s="674"/>
      <c r="AW233" s="674"/>
      <c r="AX233" s="674"/>
      <c r="AY233" s="674"/>
      <c r="AZ233" s="674"/>
      <c r="BA233" s="674"/>
      <c r="BB233" s="674"/>
    </row>
    <row r="234" spans="1:54">
      <c r="A234" s="674" t="s">
        <v>390</v>
      </c>
      <c r="B234" s="674" t="s">
        <v>2645</v>
      </c>
      <c r="C234" s="674" t="s">
        <v>2646</v>
      </c>
      <c r="D234" s="673" t="s">
        <v>348</v>
      </c>
      <c r="E234" s="674" t="s">
        <v>352</v>
      </c>
      <c r="F234" s="674" t="s">
        <v>368</v>
      </c>
      <c r="G234" s="697">
        <v>2020</v>
      </c>
      <c r="H234" s="695">
        <v>20</v>
      </c>
      <c r="I234" s="698">
        <v>13.548916530620005</v>
      </c>
      <c r="J234" s="698">
        <v>0.85</v>
      </c>
      <c r="K234" s="674">
        <v>1</v>
      </c>
      <c r="L234" s="674">
        <v>0.1</v>
      </c>
      <c r="M234" s="674">
        <v>0.1</v>
      </c>
      <c r="N234" s="674">
        <v>0.1</v>
      </c>
      <c r="O234" s="674">
        <v>0.1</v>
      </c>
      <c r="P234" s="674">
        <v>0.1</v>
      </c>
      <c r="Q234" s="674"/>
      <c r="R234" s="674">
        <v>0.18</v>
      </c>
      <c r="S234" s="696"/>
      <c r="T234" s="696"/>
      <c r="U234" s="696"/>
      <c r="V234" s="696"/>
      <c r="W234" s="696"/>
      <c r="X234" s="696"/>
      <c r="Y234" s="696"/>
      <c r="Z234" s="696"/>
      <c r="AA234" s="696"/>
      <c r="AB234" s="696"/>
      <c r="AC234" s="696"/>
      <c r="AD234" s="696"/>
      <c r="AE234" s="696"/>
      <c r="AF234" s="696"/>
      <c r="AG234" s="696"/>
      <c r="AH234" s="696">
        <v>0</v>
      </c>
      <c r="AI234" s="696">
        <v>0</v>
      </c>
      <c r="AJ234" s="696"/>
      <c r="AK234" s="696"/>
      <c r="AL234" s="696"/>
      <c r="AM234" s="696"/>
      <c r="AN234" s="696"/>
      <c r="AO234" s="696"/>
      <c r="AP234" s="696"/>
      <c r="AQ234" s="696"/>
      <c r="AT234" s="696"/>
      <c r="AU234" s="674"/>
      <c r="AV234" s="674"/>
      <c r="AW234" s="674"/>
      <c r="AX234" s="674"/>
      <c r="AY234" s="674"/>
      <c r="AZ234" s="674"/>
      <c r="BA234" s="674"/>
      <c r="BB234" s="674"/>
    </row>
    <row r="235" spans="1:54">
      <c r="A235" s="674" t="s">
        <v>390</v>
      </c>
      <c r="B235" s="674" t="s">
        <v>2647</v>
      </c>
      <c r="C235" s="674" t="s">
        <v>2649</v>
      </c>
      <c r="D235" s="673" t="s">
        <v>348</v>
      </c>
      <c r="E235" s="674" t="s">
        <v>352</v>
      </c>
      <c r="F235" s="674" t="s">
        <v>368</v>
      </c>
      <c r="G235" s="697">
        <v>2030</v>
      </c>
      <c r="H235" s="695">
        <v>20</v>
      </c>
      <c r="I235" s="698">
        <v>25.685307713970946</v>
      </c>
      <c r="J235" s="698">
        <v>0.63</v>
      </c>
      <c r="K235" s="674">
        <v>1</v>
      </c>
      <c r="L235" s="674">
        <v>0.1</v>
      </c>
      <c r="M235" s="674">
        <v>0.1</v>
      </c>
      <c r="N235" s="674">
        <v>0.1</v>
      </c>
      <c r="O235" s="674">
        <v>0.1</v>
      </c>
      <c r="P235" s="674">
        <v>0.1</v>
      </c>
      <c r="Q235" s="674"/>
      <c r="R235" s="674">
        <v>0.18</v>
      </c>
      <c r="S235" s="696"/>
      <c r="T235" s="696"/>
      <c r="U235" s="696"/>
      <c r="V235" s="696"/>
      <c r="W235" s="696"/>
      <c r="X235" s="696"/>
      <c r="Y235" s="696"/>
      <c r="Z235" s="696"/>
      <c r="AA235" s="696"/>
      <c r="AB235" s="696"/>
      <c r="AC235" s="696"/>
      <c r="AD235" s="696"/>
      <c r="AE235" s="696"/>
      <c r="AF235" s="696"/>
      <c r="AG235" s="696"/>
      <c r="AH235" s="696">
        <v>0</v>
      </c>
      <c r="AI235" s="696">
        <v>0</v>
      </c>
      <c r="AJ235" s="696"/>
      <c r="AK235" s="696"/>
      <c r="AL235" s="696"/>
      <c r="AM235" s="696"/>
      <c r="AN235" s="696"/>
      <c r="AO235" s="696"/>
      <c r="AP235" s="696"/>
      <c r="AQ235" s="696"/>
      <c r="AT235" s="696"/>
      <c r="AU235" s="674"/>
      <c r="AV235" s="674"/>
      <c r="AW235" s="674"/>
      <c r="AX235" s="674"/>
      <c r="AY235" s="674"/>
      <c r="AZ235" s="674"/>
      <c r="BA235" s="674"/>
      <c r="BB235" s="674"/>
    </row>
    <row r="236" spans="1:54">
      <c r="A236" s="674" t="s">
        <v>390</v>
      </c>
      <c r="B236" s="674" t="s">
        <v>2648</v>
      </c>
      <c r="C236" s="674" t="s">
        <v>2650</v>
      </c>
      <c r="D236" s="673" t="s">
        <v>348</v>
      </c>
      <c r="E236" s="674" t="s">
        <v>352</v>
      </c>
      <c r="F236" s="674" t="s">
        <v>368</v>
      </c>
      <c r="G236" s="697">
        <v>2030</v>
      </c>
      <c r="H236" s="695">
        <v>20</v>
      </c>
      <c r="I236" s="698">
        <v>40.815009518090825</v>
      </c>
      <c r="J236" s="698">
        <v>0.81</v>
      </c>
      <c r="K236" s="674">
        <v>1</v>
      </c>
      <c r="L236" s="674">
        <v>0.1</v>
      </c>
      <c r="M236" s="674">
        <v>0.1</v>
      </c>
      <c r="N236" s="674">
        <v>0.1</v>
      </c>
      <c r="O236" s="674">
        <v>0.1</v>
      </c>
      <c r="P236" s="674">
        <v>0.1</v>
      </c>
      <c r="Q236" s="674"/>
      <c r="R236" s="674">
        <v>0.18</v>
      </c>
      <c r="S236" s="696"/>
      <c r="T236" s="696"/>
      <c r="U236" s="696"/>
      <c r="V236" s="696"/>
      <c r="W236" s="696"/>
      <c r="X236" s="696"/>
      <c r="Y236" s="696"/>
      <c r="Z236" s="696"/>
      <c r="AA236" s="696"/>
      <c r="AB236" s="696"/>
      <c r="AC236" s="696"/>
      <c r="AD236" s="696"/>
      <c r="AE236" s="696"/>
      <c r="AF236" s="696"/>
      <c r="AG236" s="696"/>
      <c r="AH236" s="696">
        <v>0</v>
      </c>
      <c r="AI236" s="696">
        <v>0</v>
      </c>
      <c r="AJ236" s="696"/>
      <c r="AK236" s="696"/>
      <c r="AL236" s="696"/>
      <c r="AM236" s="696"/>
      <c r="AN236" s="696"/>
      <c r="AO236" s="696"/>
      <c r="AP236" s="696"/>
      <c r="AQ236" s="696"/>
      <c r="AT236" s="696"/>
      <c r="AU236" s="674"/>
      <c r="AV236" s="674"/>
      <c r="AW236" s="674"/>
      <c r="AX236" s="674"/>
      <c r="AY236" s="674"/>
      <c r="AZ236" s="674"/>
      <c r="BA236" s="674"/>
      <c r="BB236" s="674"/>
    </row>
    <row r="237" spans="1:54">
      <c r="A237" s="674" t="s">
        <v>390</v>
      </c>
      <c r="B237" s="674" t="s">
        <v>2651</v>
      </c>
      <c r="C237" s="674" t="s">
        <v>2653</v>
      </c>
      <c r="D237" s="673" t="s">
        <v>348</v>
      </c>
      <c r="E237" s="674" t="s">
        <v>352</v>
      </c>
      <c r="F237" s="674" t="s">
        <v>368</v>
      </c>
      <c r="G237" s="697">
        <v>2040</v>
      </c>
      <c r="H237" s="695">
        <v>20</v>
      </c>
      <c r="I237" s="698">
        <v>25.685307713970946</v>
      </c>
      <c r="J237" s="698">
        <v>0.63</v>
      </c>
      <c r="K237" s="674">
        <v>1</v>
      </c>
      <c r="L237" s="674">
        <v>0.1</v>
      </c>
      <c r="M237" s="674">
        <v>0.1</v>
      </c>
      <c r="N237" s="674">
        <v>0.1</v>
      </c>
      <c r="O237" s="674">
        <v>0.1</v>
      </c>
      <c r="P237" s="674">
        <v>0.1</v>
      </c>
      <c r="Q237" s="674"/>
      <c r="R237" s="674">
        <v>0.18</v>
      </c>
      <c r="S237" s="696"/>
      <c r="T237" s="696"/>
      <c r="U237" s="696"/>
      <c r="V237" s="696"/>
      <c r="W237" s="696"/>
      <c r="X237" s="696"/>
      <c r="Y237" s="696"/>
      <c r="Z237" s="696"/>
      <c r="AA237" s="696"/>
      <c r="AB237" s="696"/>
      <c r="AC237" s="696"/>
      <c r="AD237" s="696"/>
      <c r="AE237" s="696"/>
      <c r="AF237" s="696"/>
      <c r="AG237" s="696"/>
      <c r="AH237" s="696">
        <v>0</v>
      </c>
      <c r="AI237" s="696">
        <v>0</v>
      </c>
      <c r="AJ237" s="696"/>
      <c r="AK237" s="696"/>
      <c r="AL237" s="696"/>
      <c r="AM237" s="696"/>
      <c r="AN237" s="696"/>
      <c r="AO237" s="696"/>
      <c r="AP237" s="696"/>
      <c r="AQ237" s="696"/>
      <c r="AT237" s="696"/>
      <c r="AU237" s="674"/>
      <c r="AV237" s="674"/>
      <c r="AW237" s="674"/>
      <c r="AX237" s="674"/>
      <c r="AY237" s="674"/>
      <c r="AZ237" s="674"/>
      <c r="BA237" s="674"/>
      <c r="BB237" s="674"/>
    </row>
    <row r="238" spans="1:54">
      <c r="A238" s="674" t="s">
        <v>390</v>
      </c>
      <c r="B238" s="674" t="s">
        <v>2652</v>
      </c>
      <c r="C238" s="674" t="s">
        <v>2654</v>
      </c>
      <c r="D238" s="673" t="s">
        <v>348</v>
      </c>
      <c r="E238" s="674" t="s">
        <v>352</v>
      </c>
      <c r="F238" s="674" t="s">
        <v>368</v>
      </c>
      <c r="G238" s="697">
        <v>2040</v>
      </c>
      <c r="H238" s="695">
        <v>20</v>
      </c>
      <c r="I238" s="698">
        <v>40.815009518090825</v>
      </c>
      <c r="J238" s="698">
        <v>0.81</v>
      </c>
      <c r="K238" s="674">
        <v>1</v>
      </c>
      <c r="L238" s="674">
        <v>0.1</v>
      </c>
      <c r="M238" s="674">
        <v>0.1</v>
      </c>
      <c r="N238" s="674">
        <v>0.1</v>
      </c>
      <c r="O238" s="674">
        <v>0.1</v>
      </c>
      <c r="P238" s="674">
        <v>0.1</v>
      </c>
      <c r="Q238" s="674"/>
      <c r="R238" s="674">
        <v>0.18</v>
      </c>
      <c r="S238" s="696"/>
      <c r="T238" s="696"/>
      <c r="U238" s="696"/>
      <c r="V238" s="696"/>
      <c r="W238" s="696"/>
      <c r="X238" s="696"/>
      <c r="Y238" s="696"/>
      <c r="Z238" s="696"/>
      <c r="AA238" s="696"/>
      <c r="AB238" s="696"/>
      <c r="AC238" s="696"/>
      <c r="AD238" s="696"/>
      <c r="AE238" s="696"/>
      <c r="AF238" s="696"/>
      <c r="AG238" s="696"/>
      <c r="AH238" s="696">
        <v>0</v>
      </c>
      <c r="AI238" s="696">
        <v>0</v>
      </c>
      <c r="AJ238" s="696"/>
      <c r="AK238" s="696"/>
      <c r="AL238" s="696"/>
      <c r="AM238" s="696"/>
      <c r="AN238" s="696"/>
      <c r="AO238" s="696"/>
      <c r="AP238" s="696"/>
      <c r="AQ238" s="696"/>
      <c r="AT238" s="696"/>
      <c r="AU238" s="674"/>
      <c r="AV238" s="674"/>
      <c r="AW238" s="674"/>
      <c r="AX238" s="674"/>
      <c r="AY238" s="674"/>
      <c r="AZ238" s="674"/>
      <c r="BA238" s="674"/>
      <c r="BB238" s="674"/>
    </row>
    <row r="239" spans="1:54">
      <c r="A239" s="674" t="s">
        <v>390</v>
      </c>
      <c r="B239" s="674" t="s">
        <v>2655</v>
      </c>
      <c r="C239" s="674" t="s">
        <v>2657</v>
      </c>
      <c r="D239" s="673" t="s">
        <v>348</v>
      </c>
      <c r="E239" s="674" t="s">
        <v>352</v>
      </c>
      <c r="F239" s="674" t="s">
        <v>368</v>
      </c>
      <c r="G239" s="697">
        <v>2050</v>
      </c>
      <c r="H239" s="695">
        <v>20</v>
      </c>
      <c r="I239" s="698">
        <v>25.685307713970946</v>
      </c>
      <c r="J239" s="698">
        <v>0.63</v>
      </c>
      <c r="K239" s="674">
        <v>1</v>
      </c>
      <c r="L239" s="674">
        <v>0.1</v>
      </c>
      <c r="M239" s="674">
        <v>0.1</v>
      </c>
      <c r="N239" s="674">
        <v>0.1</v>
      </c>
      <c r="O239" s="674">
        <v>0.1</v>
      </c>
      <c r="P239" s="674">
        <v>0.1</v>
      </c>
      <c r="Q239" s="674"/>
      <c r="R239" s="674">
        <v>0.18</v>
      </c>
      <c r="S239" s="696"/>
      <c r="T239" s="696"/>
      <c r="U239" s="696"/>
      <c r="V239" s="696"/>
      <c r="W239" s="696"/>
      <c r="X239" s="696"/>
      <c r="Y239" s="696"/>
      <c r="Z239" s="696"/>
      <c r="AA239" s="696"/>
      <c r="AB239" s="696"/>
      <c r="AC239" s="696"/>
      <c r="AD239" s="696"/>
      <c r="AE239" s="696"/>
      <c r="AF239" s="696"/>
      <c r="AG239" s="696"/>
      <c r="AH239" s="696">
        <v>0</v>
      </c>
      <c r="AI239" s="696">
        <v>0</v>
      </c>
      <c r="AJ239" s="696"/>
      <c r="AK239" s="696"/>
      <c r="AL239" s="696"/>
      <c r="AM239" s="696"/>
      <c r="AN239" s="696"/>
      <c r="AO239" s="696"/>
      <c r="AP239" s="696"/>
      <c r="AQ239" s="696"/>
      <c r="AT239" s="696"/>
      <c r="AU239" s="674"/>
      <c r="AV239" s="674"/>
      <c r="AW239" s="674"/>
      <c r="AX239" s="674"/>
      <c r="AY239" s="674"/>
      <c r="AZ239" s="674"/>
      <c r="BA239" s="674"/>
      <c r="BB239" s="674"/>
    </row>
    <row r="240" spans="1:54">
      <c r="A240" s="674" t="s">
        <v>390</v>
      </c>
      <c r="B240" s="674" t="s">
        <v>2656</v>
      </c>
      <c r="C240" s="674" t="s">
        <v>2658</v>
      </c>
      <c r="D240" s="673" t="s">
        <v>348</v>
      </c>
      <c r="E240" s="674" t="s">
        <v>352</v>
      </c>
      <c r="F240" s="674" t="s">
        <v>368</v>
      </c>
      <c r="G240" s="697">
        <v>2050</v>
      </c>
      <c r="H240" s="695">
        <v>20</v>
      </c>
      <c r="I240" s="698">
        <v>40.815009518090825</v>
      </c>
      <c r="J240" s="698">
        <v>0.81</v>
      </c>
      <c r="K240" s="674">
        <v>1</v>
      </c>
      <c r="L240" s="674">
        <v>0.1</v>
      </c>
      <c r="M240" s="674">
        <v>0.1</v>
      </c>
      <c r="N240" s="674">
        <v>0.1</v>
      </c>
      <c r="O240" s="674">
        <v>0.1</v>
      </c>
      <c r="P240" s="674">
        <v>0.1</v>
      </c>
      <c r="Q240" s="674"/>
      <c r="R240" s="674">
        <v>0.18</v>
      </c>
      <c r="S240" s="696"/>
      <c r="T240" s="696"/>
      <c r="U240" s="696"/>
      <c r="V240" s="696"/>
      <c r="W240" s="696"/>
      <c r="X240" s="696"/>
      <c r="Y240" s="696"/>
      <c r="Z240" s="696"/>
      <c r="AA240" s="696"/>
      <c r="AB240" s="696"/>
      <c r="AC240" s="696"/>
      <c r="AD240" s="696"/>
      <c r="AE240" s="696"/>
      <c r="AF240" s="696"/>
      <c r="AG240" s="696"/>
      <c r="AH240" s="696">
        <v>0</v>
      </c>
      <c r="AI240" s="696">
        <v>0</v>
      </c>
      <c r="AJ240" s="696"/>
      <c r="AK240" s="696"/>
      <c r="AL240" s="696"/>
      <c r="AM240" s="696"/>
      <c r="AN240" s="696"/>
      <c r="AO240" s="696"/>
      <c r="AP240" s="696"/>
      <c r="AQ240" s="696"/>
      <c r="AT240" s="696"/>
      <c r="AU240" s="674"/>
      <c r="AV240" s="674"/>
      <c r="AW240" s="674"/>
      <c r="AX240" s="674"/>
      <c r="AY240" s="674"/>
      <c r="AZ240" s="674"/>
      <c r="BA240" s="674"/>
      <c r="BB240" s="674"/>
    </row>
    <row r="241" spans="1:54" ht="15.75" customHeight="1">
      <c r="A241" s="684" t="s">
        <v>2335</v>
      </c>
      <c r="B241" s="682"/>
      <c r="C241" s="682"/>
      <c r="D241" s="682"/>
      <c r="E241" s="684"/>
      <c r="F241" s="684"/>
      <c r="G241" s="704"/>
      <c r="H241" s="705"/>
      <c r="I241" s="705"/>
      <c r="J241" s="706"/>
      <c r="K241" s="705"/>
      <c r="L241" s="705"/>
      <c r="M241" s="705"/>
      <c r="N241" s="705"/>
      <c r="O241" s="705"/>
      <c r="P241" s="705"/>
      <c r="Q241" s="705"/>
      <c r="R241" s="706"/>
      <c r="S241" s="707"/>
      <c r="T241" s="707"/>
      <c r="U241" s="707"/>
      <c r="V241" s="707"/>
      <c r="W241" s="707"/>
      <c r="X241" s="707"/>
      <c r="Y241" s="707"/>
      <c r="Z241" s="707"/>
      <c r="AA241" s="707"/>
      <c r="AB241" s="707"/>
      <c r="AC241" s="707"/>
      <c r="AD241" s="707"/>
      <c r="AE241" s="707"/>
      <c r="AF241" s="707"/>
      <c r="AG241" s="707"/>
      <c r="AH241" s="707"/>
      <c r="AI241" s="707"/>
      <c r="AJ241" s="707"/>
      <c r="AK241" s="707"/>
      <c r="AL241" s="707"/>
      <c r="AM241" s="707"/>
      <c r="AN241" s="707"/>
      <c r="AO241" s="707"/>
      <c r="AP241" s="707"/>
      <c r="AQ241" s="708"/>
      <c r="AT241" s="708"/>
      <c r="AU241" s="682"/>
      <c r="AV241" s="682"/>
      <c r="AW241" s="682"/>
      <c r="AX241" s="682"/>
      <c r="AY241" s="682"/>
      <c r="AZ241" s="682"/>
      <c r="BA241" s="682"/>
      <c r="BB241" s="682"/>
    </row>
    <row r="242" spans="1:54">
      <c r="A242" s="674" t="s">
        <v>390</v>
      </c>
      <c r="B242" s="674" t="s">
        <v>819</v>
      </c>
      <c r="C242" s="674" t="s">
        <v>818</v>
      </c>
      <c r="D242" s="673" t="s">
        <v>348</v>
      </c>
      <c r="E242" s="674" t="s">
        <v>349</v>
      </c>
      <c r="F242" s="674" t="s">
        <v>368</v>
      </c>
      <c r="G242" s="697">
        <v>2010</v>
      </c>
      <c r="H242" s="695">
        <v>6</v>
      </c>
      <c r="I242" s="698"/>
      <c r="J242" s="698">
        <v>0.88819998502731301</v>
      </c>
      <c r="K242" s="674">
        <v>1</v>
      </c>
      <c r="L242" s="674">
        <v>0.1</v>
      </c>
      <c r="M242" s="674">
        <v>0.1</v>
      </c>
      <c r="N242" s="674">
        <v>0.1</v>
      </c>
      <c r="O242" s="674">
        <v>0.1</v>
      </c>
      <c r="P242" s="674">
        <v>0.1</v>
      </c>
      <c r="Q242" s="674"/>
      <c r="R242" s="674">
        <v>0.18</v>
      </c>
      <c r="S242" s="699"/>
      <c r="T242" s="699"/>
      <c r="U242" s="699"/>
      <c r="V242" s="699"/>
      <c r="W242" s="699"/>
      <c r="X242" s="699"/>
      <c r="Y242" s="699"/>
      <c r="Z242" s="699"/>
      <c r="AA242" s="699"/>
      <c r="AB242" s="699"/>
      <c r="AC242" s="699"/>
      <c r="AD242" s="699"/>
      <c r="AE242" s="699"/>
      <c r="AF242" s="699"/>
      <c r="AG242" s="699"/>
      <c r="AH242" s="696">
        <v>0</v>
      </c>
      <c r="AI242" s="696">
        <v>0</v>
      </c>
      <c r="AJ242" s="696">
        <v>0</v>
      </c>
      <c r="AK242" s="696">
        <v>0</v>
      </c>
      <c r="AL242" s="696">
        <v>0</v>
      </c>
      <c r="AM242" s="696">
        <v>0</v>
      </c>
      <c r="AN242" s="696">
        <v>0</v>
      </c>
      <c r="AO242" s="696">
        <v>0</v>
      </c>
      <c r="AP242" s="696">
        <v>0</v>
      </c>
      <c r="AQ242" s="696">
        <v>0</v>
      </c>
      <c r="AT242" s="696"/>
      <c r="AU242" s="674"/>
      <c r="AV242" s="674"/>
      <c r="AW242" s="674"/>
      <c r="AX242" s="674"/>
      <c r="AY242" s="674"/>
      <c r="AZ242" s="674"/>
      <c r="BA242" s="674"/>
      <c r="BB242" s="674"/>
    </row>
    <row r="243" spans="1:54">
      <c r="A243" s="674" t="s">
        <v>1528</v>
      </c>
      <c r="B243" s="674" t="s">
        <v>289</v>
      </c>
      <c r="C243" s="674" t="s">
        <v>290</v>
      </c>
      <c r="D243" s="673" t="s">
        <v>348</v>
      </c>
      <c r="E243" s="674" t="s">
        <v>349</v>
      </c>
      <c r="F243" s="674" t="s">
        <v>368</v>
      </c>
      <c r="G243" s="697" t="s">
        <v>489</v>
      </c>
      <c r="H243" s="695">
        <v>6</v>
      </c>
      <c r="I243" s="698">
        <v>4.8471342338036143</v>
      </c>
      <c r="J243" s="698">
        <v>0.9</v>
      </c>
      <c r="K243" s="674">
        <v>1</v>
      </c>
      <c r="L243" s="674">
        <v>0.1</v>
      </c>
      <c r="M243" s="674">
        <v>0.1</v>
      </c>
      <c r="N243" s="674">
        <v>0.1</v>
      </c>
      <c r="O243" s="674">
        <v>0.1</v>
      </c>
      <c r="P243" s="674">
        <v>0.1</v>
      </c>
      <c r="Q243" s="674"/>
      <c r="R243" s="674">
        <v>0.18</v>
      </c>
      <c r="S243" s="699">
        <f>Resid!V103</f>
        <v>3.6839823834582881</v>
      </c>
      <c r="T243" s="699">
        <f>Resid!W103</f>
        <v>2.2239187082842906</v>
      </c>
      <c r="U243" s="699">
        <f>Resid!X103</f>
        <v>3.8126387196931333</v>
      </c>
      <c r="V243" s="699">
        <f>Resid!Y103</f>
        <v>0.62097376227775747</v>
      </c>
      <c r="W243" s="699">
        <f>Resid!Z103</f>
        <v>1.8411605840892924</v>
      </c>
      <c r="X243" s="699"/>
      <c r="Y243" s="699"/>
      <c r="Z243" s="699"/>
      <c r="AA243" s="699"/>
      <c r="AB243" s="699"/>
      <c r="AC243" s="699"/>
      <c r="AD243" s="699"/>
      <c r="AE243" s="699"/>
      <c r="AF243" s="699"/>
      <c r="AG243" s="699"/>
      <c r="AH243" s="696">
        <v>0</v>
      </c>
      <c r="AI243" s="696"/>
      <c r="AJ243" s="696"/>
      <c r="AK243" s="696"/>
      <c r="AL243" s="696"/>
      <c r="AM243" s="696"/>
      <c r="AN243" s="696"/>
      <c r="AO243" s="696"/>
      <c r="AP243" s="696"/>
      <c r="AQ243" s="696"/>
      <c r="AT243" s="696"/>
      <c r="AU243" s="674"/>
      <c r="AV243" s="674"/>
      <c r="AW243" s="674"/>
      <c r="AX243" s="674"/>
      <c r="AY243" s="674"/>
      <c r="AZ243" s="674"/>
      <c r="BA243" s="674"/>
      <c r="BB243" s="674"/>
    </row>
    <row r="244" spans="1:54">
      <c r="A244" s="674" t="s">
        <v>390</v>
      </c>
      <c r="B244" s="674" t="s">
        <v>2960</v>
      </c>
      <c r="C244" s="674" t="s">
        <v>2961</v>
      </c>
      <c r="D244" s="673" t="s">
        <v>348</v>
      </c>
      <c r="E244" s="674" t="s">
        <v>349</v>
      </c>
      <c r="F244" s="674" t="s">
        <v>368</v>
      </c>
      <c r="G244" s="697">
        <v>2015</v>
      </c>
      <c r="H244" s="695">
        <v>6</v>
      </c>
      <c r="I244" s="698">
        <v>4.0392785281696781</v>
      </c>
      <c r="J244" s="698">
        <v>0.9</v>
      </c>
      <c r="K244" s="674">
        <v>1</v>
      </c>
      <c r="L244" s="674">
        <v>0.1</v>
      </c>
      <c r="M244" s="674">
        <v>0.1</v>
      </c>
      <c r="N244" s="674">
        <v>0.1</v>
      </c>
      <c r="O244" s="674">
        <v>0.1</v>
      </c>
      <c r="P244" s="674">
        <v>0.1</v>
      </c>
      <c r="Q244" s="674"/>
      <c r="R244" s="674">
        <v>0.18</v>
      </c>
      <c r="S244" s="699"/>
      <c r="T244" s="699"/>
      <c r="U244" s="699"/>
      <c r="V244" s="699"/>
      <c r="W244" s="699"/>
      <c r="X244" s="699"/>
      <c r="Y244" s="699"/>
      <c r="Z244" s="699"/>
      <c r="AA244" s="699"/>
      <c r="AB244" s="699"/>
      <c r="AC244" s="699"/>
      <c r="AD244" s="699"/>
      <c r="AE244" s="699"/>
      <c r="AF244" s="699"/>
      <c r="AG244" s="699"/>
      <c r="AH244" s="696">
        <v>0</v>
      </c>
      <c r="AI244" s="696"/>
      <c r="AJ244" s="696"/>
      <c r="AK244" s="696"/>
      <c r="AL244" s="696"/>
      <c r="AM244" s="696"/>
      <c r="AN244" s="696"/>
      <c r="AO244" s="696"/>
      <c r="AP244" s="696"/>
      <c r="AQ244" s="696"/>
      <c r="AT244" s="696"/>
      <c r="AU244" s="674"/>
      <c r="AV244" s="674"/>
      <c r="AW244" s="674"/>
      <c r="AX244" s="674"/>
      <c r="AY244" s="674"/>
      <c r="AZ244" s="674"/>
      <c r="BA244" s="674"/>
      <c r="BB244" s="674"/>
    </row>
    <row r="245" spans="1:54">
      <c r="A245" s="674" t="s">
        <v>390</v>
      </c>
      <c r="B245" s="674" t="s">
        <v>1198</v>
      </c>
      <c r="C245" s="674" t="s">
        <v>1199</v>
      </c>
      <c r="D245" s="673" t="s">
        <v>348</v>
      </c>
      <c r="E245" s="674" t="s">
        <v>349</v>
      </c>
      <c r="F245" s="674" t="s">
        <v>368</v>
      </c>
      <c r="G245" s="697" t="s">
        <v>490</v>
      </c>
      <c r="H245" s="695">
        <v>6</v>
      </c>
      <c r="I245" s="698">
        <v>4.3085637633809899</v>
      </c>
      <c r="J245" s="698">
        <v>0.94090909090909103</v>
      </c>
      <c r="K245" s="674">
        <v>1</v>
      </c>
      <c r="L245" s="674">
        <v>0.1</v>
      </c>
      <c r="M245" s="674">
        <v>0.1</v>
      </c>
      <c r="N245" s="674">
        <v>0.1</v>
      </c>
      <c r="O245" s="674">
        <v>0.1</v>
      </c>
      <c r="P245" s="674">
        <v>0.1</v>
      </c>
      <c r="Q245" s="674"/>
      <c r="R245" s="674">
        <v>0.18</v>
      </c>
      <c r="S245" s="699"/>
      <c r="T245" s="699"/>
      <c r="U245" s="699"/>
      <c r="V245" s="699"/>
      <c r="W245" s="699"/>
      <c r="X245" s="699"/>
      <c r="Y245" s="699"/>
      <c r="Z245" s="699"/>
      <c r="AA245" s="699"/>
      <c r="AB245" s="699"/>
      <c r="AC245" s="699"/>
      <c r="AD245" s="699"/>
      <c r="AE245" s="699"/>
      <c r="AF245" s="699"/>
      <c r="AG245" s="699"/>
      <c r="AH245" s="696">
        <v>0</v>
      </c>
      <c r="AI245" s="696"/>
      <c r="AJ245" s="696"/>
      <c r="AK245" s="696"/>
      <c r="AL245" s="696"/>
      <c r="AM245" s="696"/>
      <c r="AN245" s="696"/>
      <c r="AO245" s="696"/>
      <c r="AP245" s="696"/>
      <c r="AQ245" s="696"/>
      <c r="AT245" s="696"/>
      <c r="AU245" s="674"/>
      <c r="AV245" s="674"/>
      <c r="AW245" s="674"/>
      <c r="AX245" s="674"/>
      <c r="AY245" s="674"/>
      <c r="AZ245" s="674"/>
      <c r="BA245" s="674"/>
      <c r="BB245" s="674"/>
    </row>
    <row r="246" spans="1:54">
      <c r="A246" s="674" t="s">
        <v>390</v>
      </c>
      <c r="B246" s="674" t="s">
        <v>2962</v>
      </c>
      <c r="C246" s="674" t="s">
        <v>2963</v>
      </c>
      <c r="D246" s="673" t="s">
        <v>348</v>
      </c>
      <c r="E246" s="674" t="s">
        <v>349</v>
      </c>
      <c r="F246" s="674" t="s">
        <v>368</v>
      </c>
      <c r="G246" s="697">
        <v>2020</v>
      </c>
      <c r="H246" s="695">
        <v>6</v>
      </c>
      <c r="I246" s="698">
        <v>4.8471342338036143</v>
      </c>
      <c r="J246" s="698">
        <v>0.95113636363636367</v>
      </c>
      <c r="K246" s="674">
        <v>1</v>
      </c>
      <c r="L246" s="674">
        <v>0.1</v>
      </c>
      <c r="M246" s="674">
        <v>0.1</v>
      </c>
      <c r="N246" s="674">
        <v>0.1</v>
      </c>
      <c r="O246" s="674">
        <v>0.1</v>
      </c>
      <c r="P246" s="674">
        <v>0.1</v>
      </c>
      <c r="Q246" s="674"/>
      <c r="R246" s="674">
        <v>0.18</v>
      </c>
      <c r="S246" s="699"/>
      <c r="T246" s="699"/>
      <c r="U246" s="699"/>
      <c r="V246" s="699"/>
      <c r="W246" s="699"/>
      <c r="X246" s="699"/>
      <c r="Y246" s="699"/>
      <c r="Z246" s="699"/>
      <c r="AA246" s="699"/>
      <c r="AB246" s="699"/>
      <c r="AC246" s="699"/>
      <c r="AD246" s="699"/>
      <c r="AE246" s="699"/>
      <c r="AF246" s="699"/>
      <c r="AG246" s="699"/>
      <c r="AH246" s="696">
        <v>0</v>
      </c>
      <c r="AI246" s="696"/>
      <c r="AJ246" s="696"/>
      <c r="AK246" s="696"/>
      <c r="AL246" s="696"/>
      <c r="AM246" s="696"/>
      <c r="AN246" s="696"/>
      <c r="AO246" s="696"/>
      <c r="AP246" s="696"/>
      <c r="AQ246" s="696"/>
      <c r="AT246" s="696"/>
      <c r="AU246" s="674"/>
      <c r="AV246" s="674"/>
      <c r="AW246" s="674"/>
      <c r="AX246" s="674"/>
      <c r="AY246" s="674"/>
      <c r="AZ246" s="674"/>
      <c r="BA246" s="674"/>
      <c r="BB246" s="674"/>
    </row>
    <row r="247" spans="1:54">
      <c r="A247" s="674" t="s">
        <v>390</v>
      </c>
      <c r="B247" s="674" t="s">
        <v>2964</v>
      </c>
      <c r="C247" s="674" t="s">
        <v>2965</v>
      </c>
      <c r="D247" s="673" t="s">
        <v>348</v>
      </c>
      <c r="E247" s="674" t="s">
        <v>349</v>
      </c>
      <c r="F247" s="674" t="s">
        <v>368</v>
      </c>
      <c r="G247" s="697">
        <v>2020</v>
      </c>
      <c r="H247" s="695">
        <v>6</v>
      </c>
      <c r="I247" s="698">
        <v>9.1556979971846051</v>
      </c>
      <c r="J247" s="698">
        <v>0.97159090909090906</v>
      </c>
      <c r="K247" s="674">
        <v>1</v>
      </c>
      <c r="L247" s="674">
        <v>0.1</v>
      </c>
      <c r="M247" s="674">
        <v>0.1</v>
      </c>
      <c r="N247" s="674">
        <v>0.1</v>
      </c>
      <c r="O247" s="674">
        <v>0.1</v>
      </c>
      <c r="P247" s="674">
        <v>0.1</v>
      </c>
      <c r="Q247" s="674"/>
      <c r="R247" s="674">
        <v>0.18</v>
      </c>
      <c r="S247" s="699"/>
      <c r="T247" s="699"/>
      <c r="U247" s="699"/>
      <c r="V247" s="699"/>
      <c r="W247" s="699"/>
      <c r="X247" s="699"/>
      <c r="Y247" s="699"/>
      <c r="Z247" s="699"/>
      <c r="AA247" s="699"/>
      <c r="AB247" s="699"/>
      <c r="AC247" s="699"/>
      <c r="AD247" s="699"/>
      <c r="AE247" s="699"/>
      <c r="AF247" s="699"/>
      <c r="AG247" s="699"/>
      <c r="AH247" s="696">
        <v>0</v>
      </c>
      <c r="AI247" s="696"/>
      <c r="AJ247" s="696"/>
      <c r="AK247" s="696"/>
      <c r="AL247" s="696"/>
      <c r="AM247" s="696"/>
      <c r="AN247" s="696"/>
      <c r="AO247" s="696"/>
      <c r="AP247" s="696"/>
      <c r="AQ247" s="696"/>
      <c r="AT247" s="696"/>
      <c r="AU247" s="674"/>
      <c r="AV247" s="674"/>
      <c r="AW247" s="674"/>
      <c r="AX247" s="674"/>
      <c r="AY247" s="674"/>
      <c r="AZ247" s="674"/>
      <c r="BA247" s="674"/>
      <c r="BB247" s="674"/>
    </row>
    <row r="248" spans="1:54">
      <c r="A248" s="674" t="s">
        <v>390</v>
      </c>
      <c r="B248" s="674" t="s">
        <v>2966</v>
      </c>
      <c r="C248" s="674" t="s">
        <v>2967</v>
      </c>
      <c r="D248" s="673" t="s">
        <v>348</v>
      </c>
      <c r="E248" s="674" t="s">
        <v>349</v>
      </c>
      <c r="F248" s="674" t="s">
        <v>368</v>
      </c>
      <c r="G248" s="697">
        <v>2030</v>
      </c>
      <c r="H248" s="695">
        <v>20</v>
      </c>
      <c r="I248" s="698">
        <v>8.8864127619732916</v>
      </c>
      <c r="J248" s="698">
        <v>0.95113636363636367</v>
      </c>
      <c r="K248" s="674">
        <v>1</v>
      </c>
      <c r="L248" s="674">
        <v>0.1</v>
      </c>
      <c r="M248" s="674">
        <v>0.1</v>
      </c>
      <c r="N248" s="674">
        <v>0.1</v>
      </c>
      <c r="O248" s="674">
        <v>0.1</v>
      </c>
      <c r="P248" s="674">
        <v>0.1</v>
      </c>
      <c r="Q248" s="674"/>
      <c r="R248" s="674">
        <v>0.18</v>
      </c>
      <c r="S248" s="699"/>
      <c r="T248" s="699"/>
      <c r="U248" s="699"/>
      <c r="V248" s="699"/>
      <c r="W248" s="699"/>
      <c r="X248" s="699"/>
      <c r="Y248" s="699"/>
      <c r="Z248" s="699"/>
      <c r="AA248" s="699"/>
      <c r="AB248" s="699"/>
      <c r="AC248" s="699"/>
      <c r="AD248" s="699"/>
      <c r="AE248" s="699"/>
      <c r="AF248" s="699"/>
      <c r="AG248" s="699"/>
      <c r="AH248" s="696">
        <v>0</v>
      </c>
      <c r="AI248" s="696"/>
      <c r="AJ248" s="696"/>
      <c r="AK248" s="696"/>
      <c r="AL248" s="696"/>
      <c r="AM248" s="696"/>
      <c r="AN248" s="696"/>
      <c r="AO248" s="696"/>
      <c r="AP248" s="696"/>
      <c r="AQ248" s="696"/>
      <c r="AT248" s="696"/>
      <c r="AU248" s="674"/>
      <c r="AV248" s="674"/>
      <c r="AW248" s="674"/>
      <c r="AX248" s="674"/>
      <c r="AY248" s="674"/>
      <c r="AZ248" s="674"/>
      <c r="BA248" s="674"/>
      <c r="BB248" s="674"/>
    </row>
    <row r="249" spans="1:54">
      <c r="A249" s="674" t="s">
        <v>390</v>
      </c>
      <c r="B249" s="674" t="s">
        <v>2968</v>
      </c>
      <c r="C249" s="674" t="s">
        <v>2969</v>
      </c>
      <c r="D249" s="673" t="s">
        <v>348</v>
      </c>
      <c r="E249" s="674" t="s">
        <v>349</v>
      </c>
      <c r="F249" s="674" t="s">
        <v>368</v>
      </c>
      <c r="G249" s="697">
        <v>2030</v>
      </c>
      <c r="H249" s="695">
        <v>20</v>
      </c>
      <c r="I249" s="698">
        <v>12.656406054931656</v>
      </c>
      <c r="J249" s="698">
        <v>0.97159090909090906</v>
      </c>
      <c r="K249" s="674">
        <v>1</v>
      </c>
      <c r="L249" s="674">
        <v>0.1</v>
      </c>
      <c r="M249" s="674">
        <v>0.1</v>
      </c>
      <c r="N249" s="674">
        <v>0.1</v>
      </c>
      <c r="O249" s="674">
        <v>0.1</v>
      </c>
      <c r="P249" s="674">
        <v>0.1</v>
      </c>
      <c r="Q249" s="674"/>
      <c r="R249" s="674">
        <v>0.18</v>
      </c>
      <c r="S249" s="699"/>
      <c r="T249" s="699"/>
      <c r="U249" s="699"/>
      <c r="V249" s="699"/>
      <c r="W249" s="699"/>
      <c r="X249" s="699"/>
      <c r="Y249" s="699"/>
      <c r="Z249" s="699"/>
      <c r="AA249" s="699"/>
      <c r="AB249" s="699"/>
      <c r="AC249" s="699"/>
      <c r="AD249" s="699"/>
      <c r="AE249" s="699"/>
      <c r="AF249" s="699"/>
      <c r="AG249" s="699"/>
      <c r="AH249" s="696">
        <v>0</v>
      </c>
      <c r="AI249" s="696"/>
      <c r="AJ249" s="696"/>
      <c r="AK249" s="696"/>
      <c r="AL249" s="696"/>
      <c r="AM249" s="696"/>
      <c r="AN249" s="696"/>
      <c r="AO249" s="696"/>
      <c r="AP249" s="696"/>
      <c r="AQ249" s="696"/>
      <c r="AT249" s="696"/>
      <c r="AU249" s="674"/>
      <c r="AV249" s="674"/>
      <c r="AW249" s="674"/>
      <c r="AX249" s="674"/>
      <c r="AY249" s="674"/>
      <c r="AZ249" s="674"/>
      <c r="BA249" s="674"/>
      <c r="BB249" s="674"/>
    </row>
    <row r="250" spans="1:54">
      <c r="A250" s="674" t="s">
        <v>390</v>
      </c>
      <c r="B250" s="674" t="s">
        <v>2970</v>
      </c>
      <c r="C250" s="674" t="s">
        <v>2971</v>
      </c>
      <c r="D250" s="673" t="s">
        <v>348</v>
      </c>
      <c r="E250" s="674" t="s">
        <v>349</v>
      </c>
      <c r="F250" s="674" t="s">
        <v>368</v>
      </c>
      <c r="G250" s="697">
        <v>2040</v>
      </c>
      <c r="H250" s="695">
        <v>20</v>
      </c>
      <c r="I250" s="698">
        <v>8.8864127619732916</v>
      </c>
      <c r="J250" s="698">
        <v>0.95113636363636367</v>
      </c>
      <c r="K250" s="674">
        <v>1</v>
      </c>
      <c r="L250" s="674">
        <v>0.1</v>
      </c>
      <c r="M250" s="674">
        <v>0.1</v>
      </c>
      <c r="N250" s="674">
        <v>0.1</v>
      </c>
      <c r="O250" s="674">
        <v>0.1</v>
      </c>
      <c r="P250" s="674">
        <v>0.1</v>
      </c>
      <c r="Q250" s="674"/>
      <c r="R250" s="674">
        <v>0.18</v>
      </c>
      <c r="S250" s="699"/>
      <c r="T250" s="699"/>
      <c r="U250" s="699"/>
      <c r="V250" s="699"/>
      <c r="W250" s="699"/>
      <c r="X250" s="699"/>
      <c r="Y250" s="699"/>
      <c r="Z250" s="699"/>
      <c r="AA250" s="699"/>
      <c r="AB250" s="699"/>
      <c r="AC250" s="699"/>
      <c r="AD250" s="699"/>
      <c r="AE250" s="699"/>
      <c r="AF250" s="699"/>
      <c r="AG250" s="699"/>
      <c r="AH250" s="696">
        <v>0</v>
      </c>
      <c r="AI250" s="696"/>
      <c r="AJ250" s="696"/>
      <c r="AK250" s="696"/>
      <c r="AL250" s="696"/>
      <c r="AM250" s="696"/>
      <c r="AN250" s="696"/>
      <c r="AO250" s="696"/>
      <c r="AP250" s="696"/>
      <c r="AQ250" s="696"/>
      <c r="AT250" s="696"/>
      <c r="AU250" s="674"/>
      <c r="AV250" s="674"/>
      <c r="AW250" s="674"/>
      <c r="AX250" s="674"/>
      <c r="AY250" s="674"/>
      <c r="AZ250" s="674"/>
      <c r="BA250" s="674"/>
      <c r="BB250" s="674"/>
    </row>
    <row r="251" spans="1:54">
      <c r="A251" s="674" t="s">
        <v>390</v>
      </c>
      <c r="B251" s="674" t="s">
        <v>2972</v>
      </c>
      <c r="C251" s="674" t="s">
        <v>2973</v>
      </c>
      <c r="D251" s="673" t="s">
        <v>348</v>
      </c>
      <c r="E251" s="674" t="s">
        <v>349</v>
      </c>
      <c r="F251" s="674" t="s">
        <v>368</v>
      </c>
      <c r="G251" s="697">
        <v>2040</v>
      </c>
      <c r="H251" s="695">
        <v>20</v>
      </c>
      <c r="I251" s="698">
        <v>12.656406054931656</v>
      </c>
      <c r="J251" s="698">
        <v>0.97159090909090906</v>
      </c>
      <c r="K251" s="674">
        <v>1</v>
      </c>
      <c r="L251" s="674">
        <v>0.1</v>
      </c>
      <c r="M251" s="674">
        <v>0.1</v>
      </c>
      <c r="N251" s="674">
        <v>0.1</v>
      </c>
      <c r="O251" s="674">
        <v>0.1</v>
      </c>
      <c r="P251" s="674">
        <v>0.1</v>
      </c>
      <c r="Q251" s="674"/>
      <c r="R251" s="674">
        <v>0.18</v>
      </c>
      <c r="S251" s="699"/>
      <c r="T251" s="699"/>
      <c r="U251" s="699"/>
      <c r="V251" s="699"/>
      <c r="W251" s="699"/>
      <c r="X251" s="699"/>
      <c r="Y251" s="699"/>
      <c r="Z251" s="699"/>
      <c r="AA251" s="699"/>
      <c r="AB251" s="699"/>
      <c r="AC251" s="699"/>
      <c r="AD251" s="699"/>
      <c r="AE251" s="699"/>
      <c r="AF251" s="699"/>
      <c r="AG251" s="699"/>
      <c r="AH251" s="696">
        <v>0</v>
      </c>
      <c r="AI251" s="696"/>
      <c r="AJ251" s="696"/>
      <c r="AK251" s="696"/>
      <c r="AL251" s="696"/>
      <c r="AM251" s="696"/>
      <c r="AN251" s="696"/>
      <c r="AO251" s="696"/>
      <c r="AP251" s="696"/>
      <c r="AQ251" s="696"/>
      <c r="AT251" s="696"/>
      <c r="AU251" s="674"/>
      <c r="AV251" s="674"/>
      <c r="AW251" s="674"/>
      <c r="AX251" s="674"/>
      <c r="AY251" s="674"/>
      <c r="AZ251" s="674"/>
      <c r="BA251" s="674"/>
      <c r="BB251" s="674"/>
    </row>
    <row r="252" spans="1:54">
      <c r="A252" s="674" t="s">
        <v>390</v>
      </c>
      <c r="B252" s="674" t="s">
        <v>291</v>
      </c>
      <c r="C252" s="674" t="s">
        <v>292</v>
      </c>
      <c r="D252" s="673" t="s">
        <v>348</v>
      </c>
      <c r="E252" s="674" t="s">
        <v>349</v>
      </c>
      <c r="F252" s="674" t="s">
        <v>368</v>
      </c>
      <c r="G252" s="697" t="s">
        <v>489</v>
      </c>
      <c r="H252" s="695">
        <v>15</v>
      </c>
      <c r="I252" s="698">
        <v>5.292545519773439</v>
      </c>
      <c r="J252" s="698">
        <v>0.91</v>
      </c>
      <c r="K252" s="674">
        <v>1</v>
      </c>
      <c r="L252" s="674">
        <v>0.1</v>
      </c>
      <c r="M252" s="674">
        <v>0.1</v>
      </c>
      <c r="N252" s="674">
        <v>0.1</v>
      </c>
      <c r="O252" s="674">
        <v>0.1</v>
      </c>
      <c r="P252" s="674">
        <v>0.1</v>
      </c>
      <c r="Q252" s="674"/>
      <c r="R252" s="674">
        <v>0.18</v>
      </c>
      <c r="S252" s="696"/>
      <c r="T252" s="696"/>
      <c r="U252" s="696"/>
      <c r="V252" s="696"/>
      <c r="W252" s="696"/>
      <c r="X252" s="696"/>
      <c r="Y252" s="696"/>
      <c r="Z252" s="696"/>
      <c r="AA252" s="696"/>
      <c r="AB252" s="696"/>
      <c r="AC252" s="696"/>
      <c r="AD252" s="696"/>
      <c r="AE252" s="696"/>
      <c r="AF252" s="696"/>
      <c r="AG252" s="696"/>
      <c r="AH252" s="696">
        <v>0</v>
      </c>
      <c r="AI252" s="696"/>
      <c r="AJ252" s="696">
        <v>0</v>
      </c>
      <c r="AK252" s="696">
        <v>0</v>
      </c>
      <c r="AL252" s="696">
        <v>0</v>
      </c>
      <c r="AM252" s="696">
        <v>0</v>
      </c>
      <c r="AN252" s="696">
        <v>0</v>
      </c>
      <c r="AO252" s="696">
        <v>0</v>
      </c>
      <c r="AP252" s="696">
        <v>0</v>
      </c>
      <c r="AQ252" s="696">
        <v>0</v>
      </c>
      <c r="AT252" s="696"/>
      <c r="AU252" s="674"/>
      <c r="AV252" s="674"/>
      <c r="AW252" s="674"/>
      <c r="AX252" s="674"/>
      <c r="AY252" s="674"/>
      <c r="AZ252" s="674"/>
      <c r="BA252" s="674"/>
      <c r="BB252" s="674"/>
    </row>
    <row r="253" spans="1:54">
      <c r="A253" s="674" t="s">
        <v>390</v>
      </c>
      <c r="B253" s="674" t="s">
        <v>1198</v>
      </c>
      <c r="C253" s="674" t="s">
        <v>1199</v>
      </c>
      <c r="D253" s="673" t="s">
        <v>348</v>
      </c>
      <c r="E253" s="674" t="s">
        <v>349</v>
      </c>
      <c r="F253" s="674" t="s">
        <v>368</v>
      </c>
      <c r="G253" s="697" t="s">
        <v>490</v>
      </c>
      <c r="H253" s="695">
        <v>15</v>
      </c>
      <c r="I253" s="698">
        <v>5.7159491613553151</v>
      </c>
      <c r="J253" s="698">
        <v>0.95</v>
      </c>
      <c r="K253" s="674">
        <v>1</v>
      </c>
      <c r="L253" s="674">
        <v>0.1</v>
      </c>
      <c r="M253" s="674">
        <v>0.1</v>
      </c>
      <c r="N253" s="674">
        <v>0.1</v>
      </c>
      <c r="O253" s="674">
        <v>0.1</v>
      </c>
      <c r="P253" s="674">
        <v>0.1</v>
      </c>
      <c r="Q253" s="674"/>
      <c r="R253" s="674">
        <v>0.18</v>
      </c>
      <c r="S253" s="696"/>
      <c r="T253" s="696"/>
      <c r="U253" s="696"/>
      <c r="V253" s="696"/>
      <c r="W253" s="696"/>
      <c r="X253" s="696"/>
      <c r="Y253" s="696"/>
      <c r="Z253" s="696"/>
      <c r="AA253" s="696"/>
      <c r="AB253" s="696"/>
      <c r="AC253" s="696"/>
      <c r="AD253" s="696"/>
      <c r="AE253" s="696"/>
      <c r="AF253" s="696"/>
      <c r="AG253" s="696"/>
      <c r="AH253" s="696">
        <v>0</v>
      </c>
      <c r="AI253" s="696"/>
      <c r="AJ253" s="696"/>
      <c r="AK253" s="696"/>
      <c r="AL253" s="696"/>
      <c r="AM253" s="696"/>
      <c r="AN253" s="696"/>
      <c r="AO253" s="696"/>
      <c r="AP253" s="696"/>
      <c r="AQ253" s="696"/>
      <c r="AT253" s="696"/>
      <c r="AU253" s="674"/>
      <c r="AV253" s="674"/>
      <c r="AW253" s="674"/>
      <c r="AX253" s="674"/>
      <c r="AY253" s="674"/>
      <c r="AZ253" s="674"/>
      <c r="BA253" s="674"/>
      <c r="BB253" s="674"/>
    </row>
    <row r="254" spans="1:54">
      <c r="A254" s="674" t="s">
        <v>390</v>
      </c>
      <c r="B254" s="674" t="s">
        <v>838</v>
      </c>
      <c r="C254" s="674" t="s">
        <v>839</v>
      </c>
      <c r="D254" s="673" t="s">
        <v>348</v>
      </c>
      <c r="E254" s="674" t="s">
        <v>349</v>
      </c>
      <c r="F254" s="674" t="s">
        <v>368</v>
      </c>
      <c r="G254" s="697" t="s">
        <v>489</v>
      </c>
      <c r="H254" s="695">
        <v>15</v>
      </c>
      <c r="I254" s="698">
        <v>6.1393528029371884</v>
      </c>
      <c r="J254" s="698">
        <v>0.96</v>
      </c>
      <c r="K254" s="674">
        <v>1</v>
      </c>
      <c r="L254" s="674">
        <v>0.1</v>
      </c>
      <c r="M254" s="674">
        <v>0.1</v>
      </c>
      <c r="N254" s="674">
        <v>0.1</v>
      </c>
      <c r="O254" s="674">
        <v>0.1</v>
      </c>
      <c r="P254" s="674">
        <v>0.1</v>
      </c>
      <c r="Q254" s="674"/>
      <c r="R254" s="674">
        <v>0.18</v>
      </c>
      <c r="S254" s="696"/>
      <c r="T254" s="696"/>
      <c r="U254" s="696"/>
      <c r="V254" s="696"/>
      <c r="W254" s="696"/>
      <c r="X254" s="696"/>
      <c r="Y254" s="696"/>
      <c r="Z254" s="696"/>
      <c r="AA254" s="696"/>
      <c r="AB254" s="696"/>
      <c r="AC254" s="696"/>
      <c r="AD254" s="696"/>
      <c r="AE254" s="696"/>
      <c r="AF254" s="696"/>
      <c r="AG254" s="696"/>
      <c r="AH254" s="696">
        <v>0</v>
      </c>
      <c r="AI254" s="696"/>
      <c r="AJ254" s="696"/>
      <c r="AK254" s="696"/>
      <c r="AL254" s="696"/>
      <c r="AM254" s="696"/>
      <c r="AN254" s="696"/>
      <c r="AO254" s="696"/>
      <c r="AP254" s="696"/>
      <c r="AQ254" s="696"/>
      <c r="AT254" s="696"/>
      <c r="AU254" s="674"/>
      <c r="AV254" s="674"/>
      <c r="AW254" s="674"/>
      <c r="AX254" s="674"/>
      <c r="AY254" s="674"/>
      <c r="AZ254" s="674"/>
      <c r="BA254" s="674"/>
      <c r="BB254" s="674"/>
    </row>
    <row r="255" spans="1:54">
      <c r="A255" s="674" t="s">
        <v>390</v>
      </c>
      <c r="B255" s="674" t="s">
        <v>840</v>
      </c>
      <c r="C255" s="674" t="s">
        <v>841</v>
      </c>
      <c r="D255" s="673" t="s">
        <v>348</v>
      </c>
      <c r="E255" s="674" t="s">
        <v>349</v>
      </c>
      <c r="F255" s="674" t="s">
        <v>368</v>
      </c>
      <c r="G255" s="697" t="s">
        <v>489</v>
      </c>
      <c r="H255" s="695">
        <v>15</v>
      </c>
      <c r="I255" s="698">
        <v>15.66593473852938</v>
      </c>
      <c r="J255" s="698">
        <v>2</v>
      </c>
      <c r="K255" s="674">
        <v>1</v>
      </c>
      <c r="L255" s="674">
        <v>0.1</v>
      </c>
      <c r="M255" s="674">
        <v>0.1</v>
      </c>
      <c r="N255" s="674">
        <v>0.1</v>
      </c>
      <c r="O255" s="674">
        <v>0.1</v>
      </c>
      <c r="P255" s="674">
        <v>0.1</v>
      </c>
      <c r="Q255" s="674"/>
      <c r="R255" s="674">
        <v>0.18</v>
      </c>
      <c r="S255" s="696"/>
      <c r="T255" s="696"/>
      <c r="U255" s="696"/>
      <c r="V255" s="696"/>
      <c r="W255" s="696"/>
      <c r="X255" s="696"/>
      <c r="Y255" s="696"/>
      <c r="Z255" s="696"/>
      <c r="AA255" s="696"/>
      <c r="AB255" s="696"/>
      <c r="AC255" s="696"/>
      <c r="AD255" s="696"/>
      <c r="AE255" s="696"/>
      <c r="AF255" s="696"/>
      <c r="AG255" s="696"/>
      <c r="AH255" s="696">
        <v>0</v>
      </c>
      <c r="AI255" s="696">
        <v>0</v>
      </c>
      <c r="AJ255" s="696">
        <v>0</v>
      </c>
      <c r="AK255" s="696">
        <v>0</v>
      </c>
      <c r="AL255" s="696">
        <v>0</v>
      </c>
      <c r="AM255" s="696">
        <v>0</v>
      </c>
      <c r="AN255" s="696">
        <v>0</v>
      </c>
      <c r="AO255" s="696">
        <v>0</v>
      </c>
      <c r="AP255" s="696">
        <v>0</v>
      </c>
      <c r="AQ255" s="696">
        <v>0</v>
      </c>
      <c r="AT255" s="696"/>
      <c r="AU255" s="674"/>
      <c r="AV255" s="674"/>
      <c r="AW255" s="674"/>
      <c r="AX255" s="674"/>
      <c r="AY255" s="674"/>
      <c r="AZ255" s="674"/>
      <c r="BA255" s="674"/>
      <c r="BB255" s="674"/>
    </row>
    <row r="256" spans="1:54">
      <c r="A256" s="674" t="s">
        <v>390</v>
      </c>
      <c r="B256" s="674" t="s">
        <v>149</v>
      </c>
      <c r="C256" s="674" t="s">
        <v>164</v>
      </c>
      <c r="D256" s="673" t="s">
        <v>348</v>
      </c>
      <c r="E256" s="674" t="s">
        <v>349</v>
      </c>
      <c r="F256" s="674" t="s">
        <v>368</v>
      </c>
      <c r="G256" s="697" t="s">
        <v>489</v>
      </c>
      <c r="H256" s="695">
        <v>15</v>
      </c>
      <c r="I256" s="698">
        <v>17.359549304856881</v>
      </c>
      <c r="J256" s="698">
        <v>2.35</v>
      </c>
      <c r="K256" s="674">
        <v>1</v>
      </c>
      <c r="L256" s="674">
        <v>0.1</v>
      </c>
      <c r="M256" s="674">
        <v>0.1</v>
      </c>
      <c r="N256" s="674">
        <v>0.1</v>
      </c>
      <c r="O256" s="674">
        <v>0.1</v>
      </c>
      <c r="P256" s="674">
        <v>0.1</v>
      </c>
      <c r="Q256" s="674"/>
      <c r="R256" s="674">
        <v>0.18</v>
      </c>
      <c r="S256" s="696"/>
      <c r="T256" s="696"/>
      <c r="U256" s="696"/>
      <c r="V256" s="696"/>
      <c r="W256" s="696"/>
      <c r="X256" s="696"/>
      <c r="Y256" s="696"/>
      <c r="Z256" s="696"/>
      <c r="AA256" s="696"/>
      <c r="AB256" s="696"/>
      <c r="AC256" s="696"/>
      <c r="AD256" s="696"/>
      <c r="AE256" s="696"/>
      <c r="AF256" s="696"/>
      <c r="AG256" s="696"/>
      <c r="AH256" s="696">
        <v>0</v>
      </c>
      <c r="AI256" s="696">
        <v>0</v>
      </c>
      <c r="AJ256" s="696"/>
      <c r="AK256" s="696"/>
      <c r="AL256" s="696"/>
      <c r="AM256" s="696"/>
      <c r="AN256" s="696"/>
      <c r="AO256" s="696"/>
      <c r="AP256" s="696"/>
      <c r="AQ256" s="696"/>
      <c r="AT256" s="696"/>
      <c r="AU256" s="674"/>
      <c r="AV256" s="674"/>
      <c r="AW256" s="674"/>
      <c r="AX256" s="674"/>
      <c r="AY256" s="674"/>
      <c r="AZ256" s="674"/>
      <c r="BA256" s="674"/>
      <c r="BB256" s="674"/>
    </row>
    <row r="257" spans="1:54">
      <c r="A257" s="674" t="s">
        <v>390</v>
      </c>
      <c r="B257" s="674" t="s">
        <v>2659</v>
      </c>
      <c r="C257" s="674" t="s">
        <v>2660</v>
      </c>
      <c r="D257" s="673" t="s">
        <v>348</v>
      </c>
      <c r="E257" s="674" t="s">
        <v>349</v>
      </c>
      <c r="F257" s="674" t="s">
        <v>368</v>
      </c>
      <c r="G257" s="697">
        <v>2020</v>
      </c>
      <c r="H257" s="695">
        <v>15</v>
      </c>
      <c r="I257" s="698">
        <v>15.129701804119874</v>
      </c>
      <c r="J257" s="698">
        <v>0.93</v>
      </c>
      <c r="K257" s="674">
        <v>1</v>
      </c>
      <c r="L257" s="674">
        <v>0.1</v>
      </c>
      <c r="M257" s="674">
        <v>0.1</v>
      </c>
      <c r="N257" s="674">
        <v>0.1</v>
      </c>
      <c r="O257" s="674">
        <v>0.1</v>
      </c>
      <c r="P257" s="674">
        <v>0.1</v>
      </c>
      <c r="Q257" s="674"/>
      <c r="R257" s="674">
        <v>0.18</v>
      </c>
      <c r="S257" s="696"/>
      <c r="T257" s="696"/>
      <c r="U257" s="696"/>
      <c r="V257" s="696"/>
      <c r="W257" s="696"/>
      <c r="X257" s="696"/>
      <c r="Y257" s="696"/>
      <c r="Z257" s="696"/>
      <c r="AA257" s="696"/>
      <c r="AB257" s="696"/>
      <c r="AC257" s="696"/>
      <c r="AD257" s="696"/>
      <c r="AE257" s="696"/>
      <c r="AF257" s="696"/>
      <c r="AG257" s="696"/>
      <c r="AH257" s="696">
        <v>0</v>
      </c>
      <c r="AI257" s="696">
        <v>0</v>
      </c>
      <c r="AJ257" s="696"/>
      <c r="AK257" s="696"/>
      <c r="AL257" s="696"/>
      <c r="AM257" s="696"/>
      <c r="AN257" s="696"/>
      <c r="AO257" s="696"/>
      <c r="AP257" s="696"/>
      <c r="AQ257" s="696"/>
      <c r="AT257" s="696"/>
      <c r="AU257" s="674"/>
      <c r="AV257" s="674"/>
      <c r="AW257" s="674"/>
      <c r="AX257" s="674"/>
      <c r="AY257" s="674"/>
      <c r="AZ257" s="674"/>
      <c r="BA257" s="674"/>
      <c r="BB257" s="674"/>
    </row>
    <row r="258" spans="1:54">
      <c r="A258" s="674" t="s">
        <v>390</v>
      </c>
      <c r="B258" s="674" t="s">
        <v>2661</v>
      </c>
      <c r="C258" s="674" t="s">
        <v>2662</v>
      </c>
      <c r="D258" s="673" t="s">
        <v>348</v>
      </c>
      <c r="E258" s="674" t="s">
        <v>349</v>
      </c>
      <c r="F258" s="674" t="s">
        <v>368</v>
      </c>
      <c r="G258" s="697">
        <v>2020</v>
      </c>
      <c r="H258" s="695">
        <v>15</v>
      </c>
      <c r="I258" s="698">
        <v>30.259403608239747</v>
      </c>
      <c r="J258" s="698">
        <v>0.95</v>
      </c>
      <c r="K258" s="674">
        <v>1</v>
      </c>
      <c r="L258" s="674">
        <v>0.1</v>
      </c>
      <c r="M258" s="674">
        <v>0.1</v>
      </c>
      <c r="N258" s="674">
        <v>0.1</v>
      </c>
      <c r="O258" s="674">
        <v>0.1</v>
      </c>
      <c r="P258" s="674">
        <v>0.1</v>
      </c>
      <c r="Q258" s="674"/>
      <c r="R258" s="674">
        <v>0.18</v>
      </c>
      <c r="S258" s="696"/>
      <c r="T258" s="696"/>
      <c r="U258" s="696"/>
      <c r="V258" s="696"/>
      <c r="W258" s="696"/>
      <c r="X258" s="696"/>
      <c r="Y258" s="696"/>
      <c r="Z258" s="696"/>
      <c r="AA258" s="696"/>
      <c r="AB258" s="696"/>
      <c r="AC258" s="696"/>
      <c r="AD258" s="696"/>
      <c r="AE258" s="696"/>
      <c r="AF258" s="696"/>
      <c r="AG258" s="696"/>
      <c r="AH258" s="696">
        <v>0</v>
      </c>
      <c r="AI258" s="696">
        <v>0</v>
      </c>
      <c r="AJ258" s="696"/>
      <c r="AK258" s="696"/>
      <c r="AL258" s="696"/>
      <c r="AM258" s="696"/>
      <c r="AN258" s="696"/>
      <c r="AO258" s="696"/>
      <c r="AP258" s="696"/>
      <c r="AQ258" s="696"/>
      <c r="AT258" s="696"/>
      <c r="AU258" s="674"/>
      <c r="AV258" s="674"/>
      <c r="AW258" s="674"/>
      <c r="AX258" s="674"/>
      <c r="AY258" s="674"/>
      <c r="AZ258" s="674"/>
      <c r="BA258" s="674"/>
      <c r="BB258" s="674"/>
    </row>
    <row r="259" spans="1:54">
      <c r="A259" s="674" t="s">
        <v>390</v>
      </c>
      <c r="B259" s="674" t="s">
        <v>2663</v>
      </c>
      <c r="C259" s="674" t="s">
        <v>2665</v>
      </c>
      <c r="D259" s="673" t="s">
        <v>348</v>
      </c>
      <c r="E259" s="674" t="s">
        <v>349</v>
      </c>
      <c r="F259" s="674" t="s">
        <v>368</v>
      </c>
      <c r="G259" s="697">
        <v>2030</v>
      </c>
      <c r="H259" s="695">
        <v>15</v>
      </c>
      <c r="I259" s="698">
        <v>15.129701804119874</v>
      </c>
      <c r="J259" s="698">
        <v>0.93</v>
      </c>
      <c r="K259" s="674">
        <v>1</v>
      </c>
      <c r="L259" s="674">
        <v>0.1</v>
      </c>
      <c r="M259" s="674">
        <v>0.1</v>
      </c>
      <c r="N259" s="674">
        <v>0.1</v>
      </c>
      <c r="O259" s="674">
        <v>0.1</v>
      </c>
      <c r="P259" s="674">
        <v>0.1</v>
      </c>
      <c r="Q259" s="674"/>
      <c r="R259" s="674">
        <v>0.18</v>
      </c>
      <c r="S259" s="696"/>
      <c r="T259" s="696"/>
      <c r="U259" s="696"/>
      <c r="V259" s="696"/>
      <c r="W259" s="696"/>
      <c r="X259" s="696"/>
      <c r="Y259" s="696"/>
      <c r="Z259" s="696"/>
      <c r="AA259" s="696"/>
      <c r="AB259" s="696"/>
      <c r="AC259" s="696"/>
      <c r="AD259" s="696"/>
      <c r="AE259" s="696"/>
      <c r="AF259" s="696"/>
      <c r="AG259" s="696"/>
      <c r="AH259" s="696">
        <v>0</v>
      </c>
      <c r="AI259" s="696">
        <v>0</v>
      </c>
      <c r="AJ259" s="696"/>
      <c r="AK259" s="696"/>
      <c r="AL259" s="696"/>
      <c r="AM259" s="696"/>
      <c r="AN259" s="696"/>
      <c r="AO259" s="696"/>
      <c r="AP259" s="696"/>
      <c r="AQ259" s="696"/>
      <c r="AT259" s="696"/>
      <c r="AU259" s="674"/>
      <c r="AV259" s="674"/>
      <c r="AW259" s="674"/>
      <c r="AX259" s="674"/>
      <c r="AY259" s="674"/>
      <c r="AZ259" s="674"/>
      <c r="BA259" s="674"/>
      <c r="BB259" s="674"/>
    </row>
    <row r="260" spans="1:54">
      <c r="A260" s="674" t="s">
        <v>390</v>
      </c>
      <c r="B260" s="674" t="s">
        <v>2664</v>
      </c>
      <c r="C260" s="674" t="s">
        <v>2666</v>
      </c>
      <c r="D260" s="673" t="s">
        <v>348</v>
      </c>
      <c r="E260" s="674" t="s">
        <v>349</v>
      </c>
      <c r="F260" s="674" t="s">
        <v>368</v>
      </c>
      <c r="G260" s="697">
        <v>2030</v>
      </c>
      <c r="H260" s="695">
        <v>15</v>
      </c>
      <c r="I260" s="698">
        <v>30.259403608239747</v>
      </c>
      <c r="J260" s="698">
        <v>0.95</v>
      </c>
      <c r="K260" s="674">
        <v>1</v>
      </c>
      <c r="L260" s="674">
        <v>0.1</v>
      </c>
      <c r="M260" s="674">
        <v>0.1</v>
      </c>
      <c r="N260" s="674">
        <v>0.1</v>
      </c>
      <c r="O260" s="674">
        <v>0.1</v>
      </c>
      <c r="P260" s="674">
        <v>0.1</v>
      </c>
      <c r="Q260" s="674"/>
      <c r="R260" s="674">
        <v>0.18</v>
      </c>
      <c r="S260" s="696"/>
      <c r="T260" s="696"/>
      <c r="U260" s="696"/>
      <c r="V260" s="696"/>
      <c r="W260" s="696"/>
      <c r="X260" s="696"/>
      <c r="Y260" s="696"/>
      <c r="Z260" s="696"/>
      <c r="AA260" s="696"/>
      <c r="AB260" s="696"/>
      <c r="AC260" s="696"/>
      <c r="AD260" s="696"/>
      <c r="AE260" s="696"/>
      <c r="AF260" s="696"/>
      <c r="AG260" s="696"/>
      <c r="AH260" s="696">
        <v>0</v>
      </c>
      <c r="AI260" s="696">
        <v>0</v>
      </c>
      <c r="AJ260" s="696"/>
      <c r="AK260" s="696"/>
      <c r="AL260" s="696"/>
      <c r="AM260" s="696"/>
      <c r="AN260" s="696"/>
      <c r="AO260" s="696"/>
      <c r="AP260" s="696"/>
      <c r="AQ260" s="696"/>
      <c r="AT260" s="696"/>
      <c r="AU260" s="674"/>
      <c r="AV260" s="674"/>
      <c r="AW260" s="674"/>
      <c r="AX260" s="674"/>
      <c r="AY260" s="674"/>
      <c r="AZ260" s="674"/>
      <c r="BA260" s="674"/>
      <c r="BB260" s="674"/>
    </row>
    <row r="261" spans="1:54">
      <c r="A261" s="674" t="s">
        <v>390</v>
      </c>
      <c r="B261" s="674" t="s">
        <v>2667</v>
      </c>
      <c r="C261" s="674" t="s">
        <v>2674</v>
      </c>
      <c r="D261" s="673" t="s">
        <v>348</v>
      </c>
      <c r="E261" s="674" t="s">
        <v>349</v>
      </c>
      <c r="F261" s="674" t="s">
        <v>368</v>
      </c>
      <c r="G261" s="697">
        <v>2040</v>
      </c>
      <c r="H261" s="695">
        <v>15</v>
      </c>
      <c r="I261" s="698">
        <v>15.129701804119874</v>
      </c>
      <c r="J261" s="698">
        <v>0.93</v>
      </c>
      <c r="K261" s="674">
        <v>1</v>
      </c>
      <c r="L261" s="674">
        <v>0.1</v>
      </c>
      <c r="M261" s="674">
        <v>0.1</v>
      </c>
      <c r="N261" s="674">
        <v>0.1</v>
      </c>
      <c r="O261" s="674">
        <v>0.1</v>
      </c>
      <c r="P261" s="674">
        <v>0.1</v>
      </c>
      <c r="Q261" s="674"/>
      <c r="R261" s="674">
        <v>0.18</v>
      </c>
      <c r="S261" s="696"/>
      <c r="T261" s="696"/>
      <c r="U261" s="696"/>
      <c r="V261" s="696"/>
      <c r="W261" s="696"/>
      <c r="X261" s="696"/>
      <c r="Y261" s="696"/>
      <c r="Z261" s="696"/>
      <c r="AA261" s="696"/>
      <c r="AB261" s="696"/>
      <c r="AC261" s="696"/>
      <c r="AD261" s="696"/>
      <c r="AE261" s="696"/>
      <c r="AF261" s="696"/>
      <c r="AG261" s="696"/>
      <c r="AH261" s="696">
        <v>0</v>
      </c>
      <c r="AI261" s="696">
        <v>0</v>
      </c>
      <c r="AJ261" s="696"/>
      <c r="AK261" s="696"/>
      <c r="AL261" s="696"/>
      <c r="AM261" s="696"/>
      <c r="AN261" s="696"/>
      <c r="AO261" s="696"/>
      <c r="AP261" s="696"/>
      <c r="AQ261" s="696"/>
      <c r="AT261" s="696"/>
      <c r="AU261" s="674"/>
      <c r="AV261" s="674"/>
      <c r="AW261" s="674"/>
      <c r="AX261" s="674"/>
      <c r="AY261" s="674"/>
      <c r="AZ261" s="674"/>
      <c r="BA261" s="674"/>
      <c r="BB261" s="674"/>
    </row>
    <row r="262" spans="1:54">
      <c r="A262" s="674" t="s">
        <v>390</v>
      </c>
      <c r="B262" s="674" t="s">
        <v>2668</v>
      </c>
      <c r="C262" s="674" t="s">
        <v>2673</v>
      </c>
      <c r="D262" s="673" t="s">
        <v>348</v>
      </c>
      <c r="E262" s="674" t="s">
        <v>349</v>
      </c>
      <c r="F262" s="674" t="s">
        <v>368</v>
      </c>
      <c r="G262" s="697">
        <v>2040</v>
      </c>
      <c r="H262" s="695">
        <v>15</v>
      </c>
      <c r="I262" s="698">
        <v>30.259403608239747</v>
      </c>
      <c r="J262" s="698">
        <v>0.95</v>
      </c>
      <c r="K262" s="674">
        <v>1</v>
      </c>
      <c r="L262" s="674">
        <v>0.1</v>
      </c>
      <c r="M262" s="674">
        <v>0.1</v>
      </c>
      <c r="N262" s="674">
        <v>0.1</v>
      </c>
      <c r="O262" s="674">
        <v>0.1</v>
      </c>
      <c r="P262" s="674">
        <v>0.1</v>
      </c>
      <c r="Q262" s="674"/>
      <c r="R262" s="674">
        <v>0.18</v>
      </c>
      <c r="S262" s="696"/>
      <c r="T262" s="696"/>
      <c r="U262" s="696"/>
      <c r="V262" s="696"/>
      <c r="W262" s="696"/>
      <c r="X262" s="696"/>
      <c r="Y262" s="696"/>
      <c r="Z262" s="696"/>
      <c r="AA262" s="696"/>
      <c r="AB262" s="696"/>
      <c r="AC262" s="696"/>
      <c r="AD262" s="696"/>
      <c r="AE262" s="696"/>
      <c r="AF262" s="696"/>
      <c r="AG262" s="696"/>
      <c r="AH262" s="696">
        <v>0</v>
      </c>
      <c r="AI262" s="696">
        <v>0</v>
      </c>
      <c r="AJ262" s="696"/>
      <c r="AK262" s="696"/>
      <c r="AL262" s="696"/>
      <c r="AM262" s="696"/>
      <c r="AN262" s="696"/>
      <c r="AO262" s="696"/>
      <c r="AP262" s="696"/>
      <c r="AQ262" s="696"/>
      <c r="AT262" s="696"/>
      <c r="AU262" s="674"/>
      <c r="AV262" s="674"/>
      <c r="AW262" s="674"/>
      <c r="AX262" s="674"/>
      <c r="AY262" s="674"/>
      <c r="AZ262" s="674"/>
      <c r="BA262" s="674"/>
      <c r="BB262" s="674"/>
    </row>
    <row r="263" spans="1:54">
      <c r="A263" s="674" t="s">
        <v>390</v>
      </c>
      <c r="B263" s="674" t="s">
        <v>2669</v>
      </c>
      <c r="C263" s="674" t="s">
        <v>2671</v>
      </c>
      <c r="D263" s="673" t="s">
        <v>348</v>
      </c>
      <c r="E263" s="674" t="s">
        <v>349</v>
      </c>
      <c r="F263" s="674" t="s">
        <v>368</v>
      </c>
      <c r="G263" s="697">
        <v>2050</v>
      </c>
      <c r="H263" s="695">
        <v>15</v>
      </c>
      <c r="I263" s="698">
        <v>15.129701804119874</v>
      </c>
      <c r="J263" s="698">
        <v>0.93</v>
      </c>
      <c r="K263" s="674">
        <v>1</v>
      </c>
      <c r="L263" s="674">
        <v>0.1</v>
      </c>
      <c r="M263" s="674">
        <v>0.1</v>
      </c>
      <c r="N263" s="674">
        <v>0.1</v>
      </c>
      <c r="O263" s="674">
        <v>0.1</v>
      </c>
      <c r="P263" s="674">
        <v>0.1</v>
      </c>
      <c r="Q263" s="674"/>
      <c r="R263" s="674">
        <v>0.18</v>
      </c>
      <c r="S263" s="696"/>
      <c r="T263" s="696"/>
      <c r="U263" s="696"/>
      <c r="V263" s="696"/>
      <c r="W263" s="696"/>
      <c r="X263" s="696"/>
      <c r="Y263" s="696"/>
      <c r="Z263" s="696"/>
      <c r="AA263" s="696"/>
      <c r="AB263" s="696"/>
      <c r="AC263" s="696"/>
      <c r="AD263" s="696"/>
      <c r="AE263" s="696"/>
      <c r="AF263" s="696"/>
      <c r="AG263" s="696"/>
      <c r="AH263" s="696">
        <v>0</v>
      </c>
      <c r="AI263" s="696">
        <v>0</v>
      </c>
      <c r="AJ263" s="696"/>
      <c r="AK263" s="696"/>
      <c r="AL263" s="696"/>
      <c r="AM263" s="696"/>
      <c r="AN263" s="696"/>
      <c r="AO263" s="696"/>
      <c r="AP263" s="696"/>
      <c r="AQ263" s="696"/>
      <c r="AT263" s="696"/>
      <c r="AU263" s="674"/>
      <c r="AV263" s="674"/>
      <c r="AW263" s="674"/>
      <c r="AX263" s="674"/>
      <c r="AY263" s="674"/>
      <c r="AZ263" s="674"/>
      <c r="BA263" s="674"/>
      <c r="BB263" s="674"/>
    </row>
    <row r="264" spans="1:54">
      <c r="A264" s="674" t="s">
        <v>390</v>
      </c>
      <c r="B264" s="674" t="s">
        <v>2670</v>
      </c>
      <c r="C264" s="674" t="s">
        <v>2672</v>
      </c>
      <c r="D264" s="673" t="s">
        <v>348</v>
      </c>
      <c r="E264" s="674" t="s">
        <v>349</v>
      </c>
      <c r="F264" s="674" t="s">
        <v>368</v>
      </c>
      <c r="G264" s="697">
        <v>2050</v>
      </c>
      <c r="H264" s="695">
        <v>15</v>
      </c>
      <c r="I264" s="698">
        <v>30.259403608239747</v>
      </c>
      <c r="J264" s="698">
        <v>0.95</v>
      </c>
      <c r="K264" s="674">
        <v>1</v>
      </c>
      <c r="L264" s="674">
        <v>0.1</v>
      </c>
      <c r="M264" s="674">
        <v>0.1</v>
      </c>
      <c r="N264" s="674">
        <v>0.1</v>
      </c>
      <c r="O264" s="674">
        <v>0.1</v>
      </c>
      <c r="P264" s="674">
        <v>0.1</v>
      </c>
      <c r="Q264" s="674"/>
      <c r="R264" s="674">
        <v>0.18</v>
      </c>
      <c r="S264" s="696"/>
      <c r="T264" s="696"/>
      <c r="U264" s="696"/>
      <c r="V264" s="696"/>
      <c r="W264" s="696"/>
      <c r="X264" s="696"/>
      <c r="Y264" s="696"/>
      <c r="Z264" s="696"/>
      <c r="AA264" s="696"/>
      <c r="AB264" s="696"/>
      <c r="AC264" s="696"/>
      <c r="AD264" s="696"/>
      <c r="AE264" s="696"/>
      <c r="AF264" s="696"/>
      <c r="AG264" s="696"/>
      <c r="AH264" s="696">
        <v>0</v>
      </c>
      <c r="AI264" s="696">
        <v>0</v>
      </c>
      <c r="AJ264" s="696"/>
      <c r="AK264" s="696"/>
      <c r="AL264" s="696"/>
      <c r="AM264" s="696"/>
      <c r="AN264" s="696"/>
      <c r="AO264" s="696"/>
      <c r="AP264" s="696"/>
      <c r="AQ264" s="696"/>
      <c r="AT264" s="696"/>
      <c r="AU264" s="674"/>
      <c r="AV264" s="674"/>
      <c r="AW264" s="674"/>
      <c r="AX264" s="674"/>
      <c r="AY264" s="674"/>
      <c r="AZ264" s="674"/>
      <c r="BA264" s="674"/>
      <c r="BB264" s="674"/>
    </row>
    <row r="265" spans="1:54" ht="15.75" customHeight="1">
      <c r="A265" s="684" t="s">
        <v>2336</v>
      </c>
      <c r="B265" s="682"/>
      <c r="C265" s="682"/>
      <c r="D265" s="682"/>
      <c r="E265" s="684"/>
      <c r="F265" s="684"/>
      <c r="G265" s="704"/>
      <c r="H265" s="705"/>
      <c r="I265" s="705"/>
      <c r="J265" s="706"/>
      <c r="K265" s="705"/>
      <c r="L265" s="705"/>
      <c r="M265" s="705"/>
      <c r="N265" s="705"/>
      <c r="O265" s="705"/>
      <c r="P265" s="705"/>
      <c r="Q265" s="705"/>
      <c r="R265" s="706"/>
      <c r="S265" s="707"/>
      <c r="T265" s="707"/>
      <c r="U265" s="707"/>
      <c r="V265" s="707"/>
      <c r="W265" s="707"/>
      <c r="X265" s="707"/>
      <c r="Y265" s="707"/>
      <c r="Z265" s="707"/>
      <c r="AA265" s="707"/>
      <c r="AB265" s="707"/>
      <c r="AC265" s="707"/>
      <c r="AD265" s="707"/>
      <c r="AE265" s="707"/>
      <c r="AF265" s="707"/>
      <c r="AG265" s="707"/>
      <c r="AH265" s="707"/>
      <c r="AI265" s="707"/>
      <c r="AJ265" s="707"/>
      <c r="AK265" s="707"/>
      <c r="AL265" s="707"/>
      <c r="AM265" s="707"/>
      <c r="AN265" s="707"/>
      <c r="AO265" s="707"/>
      <c r="AP265" s="707"/>
      <c r="AQ265" s="708"/>
      <c r="AT265" s="708"/>
      <c r="AU265" s="682"/>
      <c r="AV265" s="682"/>
      <c r="AW265" s="682"/>
      <c r="AX265" s="682"/>
      <c r="AY265" s="682"/>
      <c r="AZ265" s="682"/>
      <c r="BA265" s="682"/>
      <c r="BB265" s="682"/>
    </row>
    <row r="266" spans="1:54">
      <c r="A266" s="674" t="s">
        <v>1528</v>
      </c>
      <c r="B266" s="674" t="s">
        <v>821</v>
      </c>
      <c r="C266" s="674" t="s">
        <v>820</v>
      </c>
      <c r="D266" s="673" t="s">
        <v>348</v>
      </c>
      <c r="E266" s="674" t="s">
        <v>354</v>
      </c>
      <c r="F266" s="674" t="s">
        <v>368</v>
      </c>
      <c r="G266" s="697">
        <v>2010</v>
      </c>
      <c r="H266" s="695">
        <v>10</v>
      </c>
      <c r="I266" s="698"/>
      <c r="J266" s="698">
        <v>0.54500001668930098</v>
      </c>
      <c r="K266" s="674">
        <v>1</v>
      </c>
      <c r="L266" s="674">
        <v>0.1</v>
      </c>
      <c r="M266" s="674">
        <v>0.1</v>
      </c>
      <c r="N266" s="674">
        <v>0.1</v>
      </c>
      <c r="O266" s="674">
        <v>0.1</v>
      </c>
      <c r="P266" s="674">
        <v>0.1</v>
      </c>
      <c r="Q266" s="674"/>
      <c r="R266" s="674">
        <v>0.18</v>
      </c>
      <c r="S266" s="699"/>
      <c r="T266" s="699"/>
      <c r="U266" s="699"/>
      <c r="V266" s="699"/>
      <c r="W266" s="699"/>
      <c r="X266" s="699"/>
      <c r="Y266" s="699"/>
      <c r="Z266" s="699"/>
      <c r="AA266" s="699"/>
      <c r="AB266" s="699"/>
      <c r="AC266" s="699"/>
      <c r="AD266" s="699"/>
      <c r="AE266" s="699"/>
      <c r="AF266" s="699"/>
      <c r="AG266" s="699"/>
      <c r="AH266" s="696">
        <v>0</v>
      </c>
      <c r="AI266" s="696">
        <v>0</v>
      </c>
      <c r="AJ266" s="696">
        <v>0</v>
      </c>
      <c r="AK266" s="696">
        <v>0</v>
      </c>
      <c r="AL266" s="696">
        <v>0</v>
      </c>
      <c r="AM266" s="696">
        <v>0</v>
      </c>
      <c r="AN266" s="696">
        <v>0</v>
      </c>
      <c r="AO266" s="696">
        <v>0</v>
      </c>
      <c r="AP266" s="696">
        <v>0</v>
      </c>
      <c r="AQ266" s="696">
        <v>0</v>
      </c>
      <c r="AT266" s="696">
        <v>1.1000000000000001</v>
      </c>
      <c r="AU266" s="696">
        <v>1.1000000000000001</v>
      </c>
      <c r="AV266" s="696">
        <v>1.1000000000000001</v>
      </c>
      <c r="AW266" s="696">
        <v>1.1000000000000001</v>
      </c>
      <c r="AX266" s="696">
        <v>1.1000000000000001</v>
      </c>
      <c r="AY266" s="696">
        <v>1.1000000000000001</v>
      </c>
      <c r="AZ266" s="696">
        <v>1.1000000000000001</v>
      </c>
      <c r="BA266" s="696">
        <v>1.1000000000000001</v>
      </c>
      <c r="BB266" s="696">
        <v>1.1000000000000001</v>
      </c>
    </row>
    <row r="267" spans="1:54">
      <c r="A267" s="674" t="s">
        <v>1528</v>
      </c>
      <c r="B267" s="674" t="s">
        <v>293</v>
      </c>
      <c r="C267" s="674" t="s">
        <v>294</v>
      </c>
      <c r="D267" s="673" t="s">
        <v>348</v>
      </c>
      <c r="E267" s="674" t="s">
        <v>354</v>
      </c>
      <c r="F267" s="674" t="s">
        <v>368</v>
      </c>
      <c r="G267" s="697" t="s">
        <v>489</v>
      </c>
      <c r="H267" s="695">
        <v>10</v>
      </c>
      <c r="I267" s="698">
        <v>16.089338380111254</v>
      </c>
      <c r="J267" s="698">
        <v>0.53</v>
      </c>
      <c r="K267" s="674">
        <v>1</v>
      </c>
      <c r="L267" s="674">
        <v>0.1</v>
      </c>
      <c r="M267" s="674">
        <v>0.1</v>
      </c>
      <c r="N267" s="674">
        <v>0.1</v>
      </c>
      <c r="O267" s="674">
        <v>0.1</v>
      </c>
      <c r="P267" s="674">
        <v>0.1</v>
      </c>
      <c r="Q267" s="674"/>
      <c r="R267" s="674">
        <v>0.18</v>
      </c>
      <c r="S267" s="699">
        <f>Resid!V112</f>
        <v>37.653609297740921</v>
      </c>
      <c r="T267" s="699">
        <f>Resid!W112</f>
        <v>22.730446955358374</v>
      </c>
      <c r="U267" s="699">
        <f>Resid!X112</f>
        <v>38.96859262665631</v>
      </c>
      <c r="V267" s="699">
        <f>Resid!Y112</f>
        <v>6.3469096741460209</v>
      </c>
      <c r="W267" s="699">
        <f>Resid!Z112</f>
        <v>18.818315092652405</v>
      </c>
      <c r="X267" s="699"/>
      <c r="Y267" s="699"/>
      <c r="Z267" s="699"/>
      <c r="AA267" s="699"/>
      <c r="AB267" s="699"/>
      <c r="AC267" s="699"/>
      <c r="AD267" s="699"/>
      <c r="AE267" s="699"/>
      <c r="AF267" s="699"/>
      <c r="AG267" s="699"/>
      <c r="AH267" s="696">
        <v>0</v>
      </c>
      <c r="AI267" s="696"/>
      <c r="AJ267" s="696"/>
      <c r="AK267" s="696"/>
      <c r="AL267" s="696"/>
      <c r="AM267" s="696"/>
      <c r="AN267" s="696"/>
      <c r="AO267" s="696"/>
      <c r="AP267" s="696"/>
      <c r="AQ267" s="696"/>
      <c r="AT267" s="696">
        <v>1.1000000000000001</v>
      </c>
      <c r="AU267" s="696">
        <v>1.1000000000000001</v>
      </c>
      <c r="AV267" s="696">
        <v>1.1000000000000001</v>
      </c>
      <c r="AW267" s="696">
        <v>1.1000000000000001</v>
      </c>
      <c r="AX267" s="696">
        <v>1.1000000000000001</v>
      </c>
      <c r="AY267" s="696">
        <v>1.1000000000000001</v>
      </c>
      <c r="AZ267" s="696">
        <v>1.1000000000000001</v>
      </c>
      <c r="BA267" s="696">
        <v>1.1000000000000001</v>
      </c>
      <c r="BB267" s="696">
        <v>1.1000000000000001</v>
      </c>
    </row>
    <row r="268" spans="1:54">
      <c r="A268" s="674" t="s">
        <v>1528</v>
      </c>
      <c r="B268" s="674" t="s">
        <v>295</v>
      </c>
      <c r="C268" s="674" t="s">
        <v>296</v>
      </c>
      <c r="D268" s="673" t="s">
        <v>348</v>
      </c>
      <c r="E268" s="674" t="s">
        <v>354</v>
      </c>
      <c r="F268" s="674" t="s">
        <v>368</v>
      </c>
      <c r="G268" s="697" t="s">
        <v>489</v>
      </c>
      <c r="H268" s="695">
        <v>10</v>
      </c>
      <c r="I268" s="698">
        <v>17.782952946438755</v>
      </c>
      <c r="J268" s="698">
        <v>0.62</v>
      </c>
      <c r="K268" s="674">
        <v>1</v>
      </c>
      <c r="L268" s="674">
        <v>0.1</v>
      </c>
      <c r="M268" s="674">
        <v>0.1</v>
      </c>
      <c r="N268" s="674">
        <v>0.1</v>
      </c>
      <c r="O268" s="674">
        <v>0.1</v>
      </c>
      <c r="P268" s="674">
        <v>0.1</v>
      </c>
      <c r="Q268" s="674"/>
      <c r="R268" s="674">
        <v>0.18</v>
      </c>
      <c r="S268" s="696"/>
      <c r="T268" s="696"/>
      <c r="U268" s="696"/>
      <c r="V268" s="696"/>
      <c r="W268" s="696"/>
      <c r="X268" s="696"/>
      <c r="Y268" s="696"/>
      <c r="Z268" s="696"/>
      <c r="AA268" s="696"/>
      <c r="AB268" s="696"/>
      <c r="AC268" s="696"/>
      <c r="AD268" s="696"/>
      <c r="AE268" s="696"/>
      <c r="AF268" s="696"/>
      <c r="AG268" s="696"/>
      <c r="AH268" s="696">
        <v>0</v>
      </c>
      <c r="AI268" s="696"/>
      <c r="AJ268" s="696"/>
      <c r="AK268" s="696"/>
      <c r="AL268" s="696"/>
      <c r="AM268" s="696"/>
      <c r="AN268" s="696"/>
      <c r="AO268" s="696"/>
      <c r="AP268" s="696"/>
      <c r="AQ268" s="696"/>
      <c r="AT268" s="696">
        <v>1.1000000000000001</v>
      </c>
      <c r="AU268" s="696">
        <v>1.1000000000000001</v>
      </c>
      <c r="AV268" s="696">
        <v>1.1000000000000001</v>
      </c>
      <c r="AW268" s="696">
        <v>1.1000000000000001</v>
      </c>
      <c r="AX268" s="696">
        <v>1.1000000000000001</v>
      </c>
      <c r="AY268" s="696">
        <v>1.1000000000000001</v>
      </c>
      <c r="AZ268" s="696">
        <v>1.1000000000000001</v>
      </c>
      <c r="BA268" s="696">
        <v>1.1000000000000001</v>
      </c>
      <c r="BB268" s="696">
        <v>1.1000000000000001</v>
      </c>
    </row>
    <row r="269" spans="1:54">
      <c r="A269" s="674" t="s">
        <v>1528</v>
      </c>
      <c r="B269" s="674" t="s">
        <v>156</v>
      </c>
      <c r="C269" s="674" t="s">
        <v>157</v>
      </c>
      <c r="D269" s="673" t="s">
        <v>348</v>
      </c>
      <c r="E269" s="674" t="s">
        <v>354</v>
      </c>
      <c r="F269" s="674" t="s">
        <v>368</v>
      </c>
      <c r="G269" s="697" t="s">
        <v>489</v>
      </c>
      <c r="H269" s="695">
        <v>10</v>
      </c>
      <c r="I269" s="698">
        <v>19.053163871184381</v>
      </c>
      <c r="J269" s="698">
        <v>0.68</v>
      </c>
      <c r="K269" s="674">
        <v>1</v>
      </c>
      <c r="L269" s="674">
        <v>0.1</v>
      </c>
      <c r="M269" s="674">
        <v>0.1</v>
      </c>
      <c r="N269" s="674">
        <v>0.1</v>
      </c>
      <c r="O269" s="674">
        <v>0.1</v>
      </c>
      <c r="P269" s="674">
        <v>0.1</v>
      </c>
      <c r="Q269" s="674"/>
      <c r="R269" s="674">
        <v>0.18</v>
      </c>
      <c r="S269" s="696"/>
      <c r="T269" s="696"/>
      <c r="U269" s="696"/>
      <c r="V269" s="696"/>
      <c r="W269" s="696"/>
      <c r="X269" s="696"/>
      <c r="Y269" s="696"/>
      <c r="Z269" s="696"/>
      <c r="AA269" s="696"/>
      <c r="AB269" s="696"/>
      <c r="AC269" s="696"/>
      <c r="AD269" s="696"/>
      <c r="AE269" s="696"/>
      <c r="AF269" s="696"/>
      <c r="AG269" s="696"/>
      <c r="AH269" s="696">
        <v>0</v>
      </c>
      <c r="AI269" s="696"/>
      <c r="AJ269" s="696"/>
      <c r="AK269" s="696"/>
      <c r="AL269" s="696"/>
      <c r="AM269" s="696"/>
      <c r="AN269" s="696"/>
      <c r="AO269" s="696"/>
      <c r="AP269" s="696"/>
      <c r="AQ269" s="696"/>
      <c r="AT269" s="696">
        <v>1.1000000000000001</v>
      </c>
      <c r="AU269" s="696">
        <v>1.1000000000000001</v>
      </c>
      <c r="AV269" s="696">
        <v>1.1000000000000001</v>
      </c>
      <c r="AW269" s="696">
        <v>1.1000000000000001</v>
      </c>
      <c r="AX269" s="696">
        <v>1.1000000000000001</v>
      </c>
      <c r="AY269" s="696">
        <v>1.1000000000000001</v>
      </c>
      <c r="AZ269" s="696">
        <v>1.1000000000000001</v>
      </c>
      <c r="BA269" s="696">
        <v>1.1000000000000001</v>
      </c>
      <c r="BB269" s="696">
        <v>1.1000000000000001</v>
      </c>
    </row>
    <row r="270" spans="1:54" ht="15.75" customHeight="1">
      <c r="A270" s="684" t="s">
        <v>2337</v>
      </c>
      <c r="B270" s="682"/>
      <c r="C270" s="682"/>
      <c r="D270" s="682"/>
      <c r="E270" s="684"/>
      <c r="F270" s="684"/>
      <c r="G270" s="704"/>
      <c r="H270" s="705"/>
      <c r="I270" s="705"/>
      <c r="J270" s="706"/>
      <c r="K270" s="705"/>
      <c r="L270" s="705"/>
      <c r="M270" s="705"/>
      <c r="N270" s="705"/>
      <c r="O270" s="705"/>
      <c r="P270" s="705"/>
      <c r="Q270" s="705"/>
      <c r="R270" s="706"/>
      <c r="S270" s="707"/>
      <c r="T270" s="707"/>
      <c r="U270" s="707"/>
      <c r="V270" s="707"/>
      <c r="W270" s="707"/>
      <c r="X270" s="707"/>
      <c r="Y270" s="707"/>
      <c r="Z270" s="707"/>
      <c r="AA270" s="707"/>
      <c r="AB270" s="707"/>
      <c r="AC270" s="707"/>
      <c r="AD270" s="707"/>
      <c r="AE270" s="707"/>
      <c r="AF270" s="707"/>
      <c r="AG270" s="707"/>
      <c r="AH270" s="707"/>
      <c r="AI270" s="707"/>
      <c r="AJ270" s="707"/>
      <c r="AK270" s="707"/>
      <c r="AL270" s="707"/>
      <c r="AM270" s="707"/>
      <c r="AN270" s="707"/>
      <c r="AO270" s="707"/>
      <c r="AP270" s="707"/>
      <c r="AQ270" s="708"/>
      <c r="AT270" s="708"/>
      <c r="AU270" s="682"/>
      <c r="AV270" s="682"/>
      <c r="AW270" s="682"/>
      <c r="AX270" s="682"/>
      <c r="AY270" s="682"/>
      <c r="AZ270" s="682"/>
      <c r="BA270" s="682"/>
      <c r="BB270" s="682"/>
    </row>
    <row r="271" spans="1:54">
      <c r="A271" s="674" t="s">
        <v>390</v>
      </c>
      <c r="B271" s="674" t="s">
        <v>1035</v>
      </c>
      <c r="C271" s="674" t="s">
        <v>822</v>
      </c>
      <c r="D271" s="673" t="s">
        <v>348</v>
      </c>
      <c r="E271" s="674" t="s">
        <v>358</v>
      </c>
      <c r="F271" s="674" t="s">
        <v>368</v>
      </c>
      <c r="G271" s="697">
        <v>2010</v>
      </c>
      <c r="H271" s="695">
        <v>10</v>
      </c>
      <c r="I271" s="698"/>
      <c r="J271" s="698">
        <v>0.57480001449585005</v>
      </c>
      <c r="K271" s="674">
        <v>1</v>
      </c>
      <c r="L271" s="674">
        <v>0.1</v>
      </c>
      <c r="M271" s="674">
        <v>0.1</v>
      </c>
      <c r="N271" s="674">
        <v>0.1</v>
      </c>
      <c r="O271" s="674">
        <v>0.1</v>
      </c>
      <c r="P271" s="674">
        <v>0.1</v>
      </c>
      <c r="Q271" s="674"/>
      <c r="R271" s="674">
        <v>0.45</v>
      </c>
      <c r="S271" s="699"/>
      <c r="T271" s="699"/>
      <c r="U271" s="699"/>
      <c r="V271" s="699"/>
      <c r="W271" s="699"/>
      <c r="X271" s="699"/>
      <c r="Y271" s="699"/>
      <c r="Z271" s="699"/>
      <c r="AA271" s="699"/>
      <c r="AB271" s="699"/>
      <c r="AC271" s="699"/>
      <c r="AD271" s="699"/>
      <c r="AE271" s="699"/>
      <c r="AF271" s="699"/>
      <c r="AG271" s="699"/>
      <c r="AH271" s="696">
        <v>0</v>
      </c>
      <c r="AI271" s="696">
        <v>0</v>
      </c>
      <c r="AJ271" s="696">
        <v>0</v>
      </c>
      <c r="AK271" s="696">
        <v>0</v>
      </c>
      <c r="AL271" s="696">
        <v>0</v>
      </c>
      <c r="AM271" s="696">
        <v>0</v>
      </c>
      <c r="AN271" s="696">
        <v>0</v>
      </c>
      <c r="AO271" s="696">
        <v>0</v>
      </c>
      <c r="AP271" s="696">
        <v>0</v>
      </c>
      <c r="AQ271" s="696">
        <v>0</v>
      </c>
      <c r="AT271" s="696"/>
      <c r="AU271" s="674"/>
      <c r="AV271" s="674"/>
      <c r="AW271" s="674"/>
      <c r="AX271" s="674"/>
      <c r="AY271" s="674"/>
      <c r="AZ271" s="674"/>
      <c r="BA271" s="674"/>
      <c r="BB271" s="674"/>
    </row>
    <row r="272" spans="1:54">
      <c r="A272" s="674" t="s">
        <v>390</v>
      </c>
      <c r="B272" s="674" t="s">
        <v>297</v>
      </c>
      <c r="C272" s="674" t="s">
        <v>298</v>
      </c>
      <c r="D272" s="673" t="s">
        <v>348</v>
      </c>
      <c r="E272" s="674" t="s">
        <v>358</v>
      </c>
      <c r="F272" s="674" t="s">
        <v>368</v>
      </c>
      <c r="G272" s="697" t="s">
        <v>489</v>
      </c>
      <c r="H272" s="695">
        <v>10</v>
      </c>
      <c r="I272" s="698">
        <v>7.6212655484737528</v>
      </c>
      <c r="J272" s="698">
        <v>0.59</v>
      </c>
      <c r="K272" s="674">
        <v>1</v>
      </c>
      <c r="L272" s="674">
        <v>0.1</v>
      </c>
      <c r="M272" s="674">
        <v>0.1</v>
      </c>
      <c r="N272" s="674">
        <v>0.1</v>
      </c>
      <c r="O272" s="674">
        <v>0.1</v>
      </c>
      <c r="P272" s="674">
        <v>0.1</v>
      </c>
      <c r="Q272" s="674"/>
      <c r="R272" s="674">
        <v>0.45</v>
      </c>
      <c r="S272" s="696"/>
      <c r="T272" s="696"/>
      <c r="U272" s="696"/>
      <c r="V272" s="696"/>
      <c r="W272" s="696"/>
      <c r="X272" s="696"/>
      <c r="Y272" s="696"/>
      <c r="Z272" s="696"/>
      <c r="AA272" s="696"/>
      <c r="AB272" s="696"/>
      <c r="AC272" s="696"/>
      <c r="AD272" s="696"/>
      <c r="AE272" s="696"/>
      <c r="AF272" s="696"/>
      <c r="AG272" s="696"/>
      <c r="AH272" s="696"/>
      <c r="AI272" s="696"/>
      <c r="AJ272" s="696">
        <v>0</v>
      </c>
      <c r="AK272" s="696">
        <v>0</v>
      </c>
      <c r="AL272" s="696">
        <v>0</v>
      </c>
      <c r="AM272" s="696">
        <v>0</v>
      </c>
      <c r="AN272" s="696">
        <v>0</v>
      </c>
      <c r="AO272" s="696">
        <v>0</v>
      </c>
      <c r="AP272" s="696">
        <v>0</v>
      </c>
      <c r="AQ272" s="696">
        <v>0</v>
      </c>
      <c r="AT272" s="696"/>
      <c r="AU272" s="674"/>
      <c r="AV272" s="674"/>
      <c r="AW272" s="674"/>
      <c r="AX272" s="674"/>
      <c r="AY272" s="674"/>
      <c r="AZ272" s="674"/>
      <c r="BA272" s="674"/>
      <c r="BB272" s="674"/>
    </row>
    <row r="273" spans="1:54">
      <c r="A273" s="674" t="s">
        <v>390</v>
      </c>
      <c r="B273" s="674" t="s">
        <v>1032</v>
      </c>
      <c r="C273" s="674" t="s">
        <v>1033</v>
      </c>
      <c r="D273" s="673" t="s">
        <v>348</v>
      </c>
      <c r="E273" s="674" t="s">
        <v>358</v>
      </c>
      <c r="F273" s="674" t="s">
        <v>368</v>
      </c>
      <c r="G273" s="697" t="s">
        <v>490</v>
      </c>
      <c r="H273" s="695">
        <v>10</v>
      </c>
      <c r="I273" s="698">
        <v>7.7906270051065025</v>
      </c>
      <c r="J273" s="698">
        <v>0.62</v>
      </c>
      <c r="K273" s="674">
        <v>1</v>
      </c>
      <c r="L273" s="674">
        <v>0.1</v>
      </c>
      <c r="M273" s="674">
        <v>0.1</v>
      </c>
      <c r="N273" s="674">
        <v>0.1</v>
      </c>
      <c r="O273" s="674">
        <v>0.1</v>
      </c>
      <c r="P273" s="674">
        <v>0.1</v>
      </c>
      <c r="Q273" s="674"/>
      <c r="R273" s="674">
        <v>0.45</v>
      </c>
      <c r="S273" s="696"/>
      <c r="T273" s="696"/>
      <c r="U273" s="696"/>
      <c r="V273" s="696"/>
      <c r="W273" s="696"/>
      <c r="X273" s="696"/>
      <c r="Y273" s="696"/>
      <c r="Z273" s="696"/>
      <c r="AA273" s="696"/>
      <c r="AB273" s="696"/>
      <c r="AC273" s="696"/>
      <c r="AD273" s="696"/>
      <c r="AE273" s="696"/>
      <c r="AF273" s="696"/>
      <c r="AG273" s="696"/>
      <c r="AH273" s="696"/>
      <c r="AI273" s="696"/>
      <c r="AJ273" s="696"/>
      <c r="AK273" s="696"/>
      <c r="AL273" s="696"/>
      <c r="AM273" s="696"/>
      <c r="AN273" s="696"/>
      <c r="AO273" s="696"/>
      <c r="AP273" s="696"/>
      <c r="AQ273" s="696"/>
      <c r="AT273" s="696"/>
      <c r="AU273" s="674"/>
      <c r="AV273" s="674"/>
      <c r="AW273" s="674"/>
      <c r="AX273" s="674"/>
      <c r="AY273" s="674"/>
      <c r="AZ273" s="674"/>
      <c r="BA273" s="674"/>
      <c r="BB273" s="674"/>
    </row>
    <row r="274" spans="1:54">
      <c r="A274" s="674" t="s">
        <v>390</v>
      </c>
      <c r="B274" s="674" t="s">
        <v>165</v>
      </c>
      <c r="C274" s="674" t="s">
        <v>166</v>
      </c>
      <c r="D274" s="673" t="s">
        <v>348</v>
      </c>
      <c r="E274" s="674" t="s">
        <v>358</v>
      </c>
      <c r="F274" s="674" t="s">
        <v>368</v>
      </c>
      <c r="G274" s="697" t="s">
        <v>489</v>
      </c>
      <c r="H274" s="695">
        <v>10</v>
      </c>
      <c r="I274" s="698">
        <v>10.585091039546878</v>
      </c>
      <c r="J274" s="698">
        <v>0.67</v>
      </c>
      <c r="K274" s="674">
        <v>1</v>
      </c>
      <c r="L274" s="674">
        <v>0.1</v>
      </c>
      <c r="M274" s="674">
        <v>0.1</v>
      </c>
      <c r="N274" s="674">
        <v>0.1</v>
      </c>
      <c r="O274" s="674">
        <v>0.1</v>
      </c>
      <c r="P274" s="674">
        <v>0.1</v>
      </c>
      <c r="Q274" s="674"/>
      <c r="R274" s="674">
        <v>0.45</v>
      </c>
      <c r="S274" s="696"/>
      <c r="T274" s="696"/>
      <c r="U274" s="696"/>
      <c r="V274" s="696"/>
      <c r="W274" s="696"/>
      <c r="X274" s="696"/>
      <c r="Y274" s="696"/>
      <c r="Z274" s="696"/>
      <c r="AA274" s="696"/>
      <c r="AB274" s="696"/>
      <c r="AC274" s="696"/>
      <c r="AD274" s="696"/>
      <c r="AE274" s="696"/>
      <c r="AF274" s="696"/>
      <c r="AG274" s="696"/>
      <c r="AH274" s="696"/>
      <c r="AI274" s="696"/>
      <c r="AJ274" s="696"/>
      <c r="AK274" s="696"/>
      <c r="AL274" s="696"/>
      <c r="AM274" s="696"/>
      <c r="AN274" s="696"/>
      <c r="AO274" s="696"/>
      <c r="AP274" s="696"/>
      <c r="AQ274" s="696"/>
      <c r="AT274" s="696"/>
      <c r="AU274" s="674"/>
      <c r="AV274" s="674"/>
      <c r="AW274" s="674"/>
      <c r="AX274" s="674"/>
      <c r="AY274" s="674"/>
      <c r="AZ274" s="674"/>
      <c r="BA274" s="674"/>
      <c r="BB274" s="674"/>
    </row>
    <row r="275" spans="1:54">
      <c r="A275" s="674" t="s">
        <v>390</v>
      </c>
      <c r="B275" s="674" t="s">
        <v>167</v>
      </c>
      <c r="C275" s="674" t="s">
        <v>168</v>
      </c>
      <c r="D275" s="673" t="s">
        <v>348</v>
      </c>
      <c r="E275" s="674" t="s">
        <v>358</v>
      </c>
      <c r="F275" s="674" t="s">
        <v>368</v>
      </c>
      <c r="G275" s="697" t="s">
        <v>489</v>
      </c>
      <c r="H275" s="695">
        <v>10</v>
      </c>
      <c r="I275" s="698">
        <v>18.629760229602507</v>
      </c>
      <c r="J275" s="698">
        <v>0.82</v>
      </c>
      <c r="K275" s="674">
        <v>1</v>
      </c>
      <c r="L275" s="674">
        <v>0.1</v>
      </c>
      <c r="M275" s="674">
        <v>0.1</v>
      </c>
      <c r="N275" s="674">
        <v>0.1</v>
      </c>
      <c r="O275" s="674">
        <v>0.1</v>
      </c>
      <c r="P275" s="674">
        <v>0.1</v>
      </c>
      <c r="Q275" s="674"/>
      <c r="R275" s="674">
        <v>0.6</v>
      </c>
      <c r="S275" s="696"/>
      <c r="T275" s="696"/>
      <c r="U275" s="696"/>
      <c r="V275" s="696"/>
      <c r="W275" s="696"/>
      <c r="X275" s="696"/>
      <c r="Y275" s="696"/>
      <c r="Z275" s="696"/>
      <c r="AA275" s="696"/>
      <c r="AB275" s="696"/>
      <c r="AC275" s="696"/>
      <c r="AD275" s="696"/>
      <c r="AE275" s="696"/>
      <c r="AF275" s="696"/>
      <c r="AG275" s="696"/>
      <c r="AH275" s="696"/>
      <c r="AI275" s="696"/>
      <c r="AJ275" s="696">
        <v>0</v>
      </c>
      <c r="AK275" s="696">
        <v>0</v>
      </c>
      <c r="AL275" s="696">
        <v>0</v>
      </c>
      <c r="AM275" s="696">
        <v>0</v>
      </c>
      <c r="AN275" s="696">
        <v>0</v>
      </c>
      <c r="AO275" s="696">
        <v>0</v>
      </c>
      <c r="AP275" s="696">
        <v>0</v>
      </c>
      <c r="AQ275" s="696">
        <v>0</v>
      </c>
      <c r="AT275" s="696"/>
      <c r="AU275" s="674"/>
      <c r="AV275" s="674"/>
      <c r="AW275" s="674"/>
      <c r="AX275" s="674"/>
      <c r="AY275" s="674"/>
      <c r="AZ275" s="674"/>
      <c r="BA275" s="674"/>
      <c r="BB275" s="674"/>
    </row>
    <row r="276" spans="1:54">
      <c r="A276" s="674" t="s">
        <v>390</v>
      </c>
      <c r="B276" s="674" t="s">
        <v>1200</v>
      </c>
      <c r="C276" s="674" t="s">
        <v>1201</v>
      </c>
      <c r="D276" s="673" t="s">
        <v>348</v>
      </c>
      <c r="E276" s="674" t="s">
        <v>358</v>
      </c>
      <c r="F276" s="674" t="s">
        <v>368</v>
      </c>
      <c r="G276" s="697" t="s">
        <v>847</v>
      </c>
      <c r="H276" s="695">
        <v>10</v>
      </c>
      <c r="I276" s="698">
        <v>17.782952946438755</v>
      </c>
      <c r="J276" s="698">
        <v>0.9</v>
      </c>
      <c r="K276" s="674">
        <v>1</v>
      </c>
      <c r="L276" s="674">
        <v>0.1</v>
      </c>
      <c r="M276" s="674">
        <v>0.1</v>
      </c>
      <c r="N276" s="674">
        <v>0.1</v>
      </c>
      <c r="O276" s="674">
        <v>0.1</v>
      </c>
      <c r="P276" s="674">
        <v>0.1</v>
      </c>
      <c r="Q276" s="674"/>
      <c r="R276" s="674">
        <v>0.6</v>
      </c>
      <c r="S276" s="696"/>
      <c r="T276" s="696"/>
      <c r="U276" s="696"/>
      <c r="V276" s="696"/>
      <c r="W276" s="696"/>
      <c r="X276" s="696"/>
      <c r="Y276" s="696"/>
      <c r="Z276" s="696"/>
      <c r="AA276" s="696"/>
      <c r="AB276" s="696"/>
      <c r="AC276" s="696"/>
      <c r="AD276" s="696"/>
      <c r="AE276" s="696"/>
      <c r="AF276" s="696"/>
      <c r="AG276" s="696"/>
      <c r="AH276" s="696"/>
      <c r="AI276" s="696"/>
      <c r="AJ276" s="696"/>
      <c r="AK276" s="696"/>
      <c r="AL276" s="696"/>
      <c r="AM276" s="696"/>
      <c r="AN276" s="696"/>
      <c r="AO276" s="696"/>
      <c r="AP276" s="696"/>
      <c r="AQ276" s="696"/>
      <c r="AT276" s="696"/>
      <c r="AU276" s="674"/>
      <c r="AV276" s="674"/>
      <c r="AW276" s="674"/>
      <c r="AX276" s="674"/>
      <c r="AY276" s="674"/>
      <c r="AZ276" s="674"/>
      <c r="BA276" s="674"/>
      <c r="BB276" s="674"/>
    </row>
    <row r="277" spans="1:54">
      <c r="A277" s="674" t="s">
        <v>390</v>
      </c>
      <c r="B277" s="674" t="s">
        <v>169</v>
      </c>
      <c r="C277" s="674" t="s">
        <v>320</v>
      </c>
      <c r="D277" s="673" t="s">
        <v>348</v>
      </c>
      <c r="E277" s="674" t="s">
        <v>358</v>
      </c>
      <c r="F277" s="674" t="s">
        <v>368</v>
      </c>
      <c r="G277" s="697" t="s">
        <v>489</v>
      </c>
      <c r="H277" s="695">
        <v>10</v>
      </c>
      <c r="I277" s="698">
        <v>13.548916530620005</v>
      </c>
      <c r="J277" s="698">
        <v>0.85</v>
      </c>
      <c r="K277" s="674">
        <v>1</v>
      </c>
      <c r="L277" s="674">
        <v>0.1</v>
      </c>
      <c r="M277" s="674">
        <v>0.1</v>
      </c>
      <c r="N277" s="674">
        <v>0.1</v>
      </c>
      <c r="O277" s="674">
        <v>0.1</v>
      </c>
      <c r="P277" s="674">
        <v>0.1</v>
      </c>
      <c r="Q277" s="674"/>
      <c r="R277" s="674">
        <v>0.6</v>
      </c>
      <c r="S277" s="696"/>
      <c r="T277" s="696"/>
      <c r="U277" s="696"/>
      <c r="V277" s="696"/>
      <c r="W277" s="696"/>
      <c r="X277" s="696"/>
      <c r="Y277" s="696"/>
      <c r="Z277" s="696"/>
      <c r="AA277" s="696"/>
      <c r="AB277" s="696"/>
      <c r="AC277" s="696"/>
      <c r="AD277" s="696"/>
      <c r="AE277" s="696"/>
      <c r="AF277" s="696"/>
      <c r="AG277" s="696"/>
      <c r="AH277" s="696"/>
      <c r="AI277" s="696">
        <v>0</v>
      </c>
      <c r="AJ277" s="696">
        <v>0</v>
      </c>
      <c r="AK277" s="696">
        <v>0</v>
      </c>
      <c r="AL277" s="696">
        <v>0</v>
      </c>
      <c r="AM277" s="696">
        <v>0</v>
      </c>
      <c r="AN277" s="696">
        <v>0</v>
      </c>
      <c r="AO277" s="696">
        <v>0</v>
      </c>
      <c r="AP277" s="696">
        <v>0</v>
      </c>
      <c r="AQ277" s="696">
        <v>0</v>
      </c>
      <c r="AT277" s="696"/>
      <c r="AU277" s="674"/>
      <c r="AV277" s="674"/>
      <c r="AW277" s="674"/>
      <c r="AX277" s="674"/>
      <c r="AY277" s="674"/>
      <c r="AZ277" s="674"/>
      <c r="BA277" s="674"/>
      <c r="BB277" s="674"/>
    </row>
    <row r="278" spans="1:54">
      <c r="A278" s="674" t="s">
        <v>390</v>
      </c>
      <c r="B278" s="674" t="s">
        <v>170</v>
      </c>
      <c r="C278" s="674" t="s">
        <v>171</v>
      </c>
      <c r="D278" s="673" t="s">
        <v>348</v>
      </c>
      <c r="E278" s="674" t="s">
        <v>358</v>
      </c>
      <c r="F278" s="674" t="s">
        <v>368</v>
      </c>
      <c r="G278" s="697" t="s">
        <v>847</v>
      </c>
      <c r="H278" s="695">
        <v>10</v>
      </c>
      <c r="I278" s="698">
        <v>18.206356588020633</v>
      </c>
      <c r="J278" s="698">
        <v>0.85</v>
      </c>
      <c r="K278" s="674">
        <v>1</v>
      </c>
      <c r="L278" s="674">
        <v>0.1</v>
      </c>
      <c r="M278" s="674">
        <v>0.1</v>
      </c>
      <c r="N278" s="674">
        <v>0.1</v>
      </c>
      <c r="O278" s="674">
        <v>0.1</v>
      </c>
      <c r="P278" s="674">
        <v>0.1</v>
      </c>
      <c r="Q278" s="674"/>
      <c r="R278" s="674">
        <v>0.6</v>
      </c>
      <c r="S278" s="696"/>
      <c r="T278" s="696"/>
      <c r="U278" s="696"/>
      <c r="V278" s="696"/>
      <c r="W278" s="696"/>
      <c r="X278" s="696"/>
      <c r="Y278" s="696"/>
      <c r="Z278" s="696"/>
      <c r="AA278" s="696"/>
      <c r="AB278" s="696"/>
      <c r="AC278" s="696"/>
      <c r="AD278" s="696"/>
      <c r="AE278" s="696"/>
      <c r="AF278" s="696"/>
      <c r="AG278" s="696"/>
      <c r="AH278" s="696"/>
      <c r="AI278" s="696"/>
      <c r="AJ278" s="696"/>
      <c r="AK278" s="696"/>
      <c r="AL278" s="696"/>
      <c r="AM278" s="696"/>
      <c r="AN278" s="696"/>
      <c r="AO278" s="696"/>
      <c r="AP278" s="696"/>
      <c r="AQ278" s="696"/>
      <c r="AT278" s="696"/>
      <c r="AU278" s="674"/>
      <c r="AV278" s="674"/>
      <c r="AW278" s="674"/>
      <c r="AX278" s="674"/>
      <c r="AY278" s="674"/>
      <c r="AZ278" s="674"/>
      <c r="BA278" s="674"/>
      <c r="BB278" s="674"/>
    </row>
    <row r="279" spans="1:54" ht="15.75" customHeight="1">
      <c r="A279" s="684" t="s">
        <v>407</v>
      </c>
      <c r="B279" s="682"/>
      <c r="C279" s="682"/>
      <c r="D279" s="682"/>
      <c r="E279" s="684"/>
      <c r="F279" s="684"/>
      <c r="G279" s="704"/>
      <c r="H279" s="705"/>
      <c r="I279" s="705"/>
      <c r="J279" s="706"/>
      <c r="K279" s="705"/>
      <c r="L279" s="705"/>
      <c r="M279" s="705"/>
      <c r="N279" s="705"/>
      <c r="O279" s="705"/>
      <c r="P279" s="705"/>
      <c r="Q279" s="705"/>
      <c r="R279" s="706"/>
      <c r="S279" s="707"/>
      <c r="T279" s="707"/>
      <c r="U279" s="707"/>
      <c r="V279" s="707"/>
      <c r="W279" s="707"/>
      <c r="X279" s="707"/>
      <c r="Y279" s="707"/>
      <c r="Z279" s="707"/>
      <c r="AA279" s="707"/>
      <c r="AB279" s="707"/>
      <c r="AC279" s="707"/>
      <c r="AD279" s="707"/>
      <c r="AE279" s="707"/>
      <c r="AF279" s="707"/>
      <c r="AG279" s="707"/>
      <c r="AH279" s="707"/>
      <c r="AI279" s="707"/>
      <c r="AJ279" s="707"/>
      <c r="AK279" s="707"/>
      <c r="AL279" s="707"/>
      <c r="AM279" s="707"/>
      <c r="AN279" s="707"/>
      <c r="AO279" s="707"/>
      <c r="AP279" s="707"/>
      <c r="AQ279" s="708"/>
      <c r="AT279" s="708"/>
      <c r="AU279" s="682"/>
      <c r="AV279" s="682"/>
      <c r="AW279" s="682"/>
      <c r="AX279" s="682"/>
      <c r="AY279" s="682"/>
      <c r="AZ279" s="682"/>
      <c r="BA279" s="682"/>
      <c r="BB279" s="682"/>
    </row>
    <row r="280" spans="1:54">
      <c r="A280" s="674" t="s">
        <v>1528</v>
      </c>
      <c r="B280" s="674" t="s">
        <v>299</v>
      </c>
      <c r="C280" s="674" t="s">
        <v>300</v>
      </c>
      <c r="D280" s="673" t="s">
        <v>348</v>
      </c>
      <c r="E280" s="674" t="s">
        <v>349</v>
      </c>
      <c r="F280" s="674"/>
      <c r="G280" s="697" t="s">
        <v>489</v>
      </c>
      <c r="H280" s="695">
        <v>15</v>
      </c>
      <c r="I280" s="698">
        <v>61.79</v>
      </c>
      <c r="J280" s="698">
        <v>1</v>
      </c>
      <c r="K280" s="674">
        <v>0.5</v>
      </c>
      <c r="L280" s="698">
        <v>0.1</v>
      </c>
      <c r="M280" s="698">
        <v>0.1</v>
      </c>
      <c r="N280" s="698">
        <v>0.1</v>
      </c>
      <c r="O280" s="698">
        <v>0.1</v>
      </c>
      <c r="P280" s="698">
        <v>0.1</v>
      </c>
      <c r="Q280" s="674"/>
      <c r="R280" s="674">
        <v>0.45</v>
      </c>
      <c r="S280" s="696"/>
      <c r="T280" s="696"/>
      <c r="U280" s="696"/>
      <c r="V280" s="696"/>
      <c r="W280" s="696"/>
      <c r="X280" s="696"/>
      <c r="Y280" s="696"/>
      <c r="Z280" s="696"/>
      <c r="AA280" s="696"/>
      <c r="AB280" s="696"/>
      <c r="AC280" s="696"/>
      <c r="AD280" s="696"/>
      <c r="AE280" s="696"/>
      <c r="AF280" s="696"/>
      <c r="AG280" s="696"/>
      <c r="AH280" s="696"/>
      <c r="AI280" s="696"/>
      <c r="AJ280" s="696">
        <v>0</v>
      </c>
      <c r="AK280" s="696">
        <v>0</v>
      </c>
      <c r="AL280" s="696">
        <v>0</v>
      </c>
      <c r="AM280" s="696">
        <v>0</v>
      </c>
      <c r="AN280" s="696">
        <v>0</v>
      </c>
      <c r="AO280" s="696">
        <v>0</v>
      </c>
      <c r="AP280" s="696">
        <v>0</v>
      </c>
      <c r="AQ280" s="696">
        <v>0</v>
      </c>
      <c r="AT280" s="696"/>
      <c r="AU280" s="674"/>
      <c r="AV280" s="674"/>
      <c r="AW280" s="674"/>
      <c r="AX280" s="674"/>
      <c r="AY280" s="674"/>
      <c r="AZ280" s="674"/>
      <c r="BA280" s="674"/>
      <c r="BB280" s="674"/>
    </row>
    <row r="281" spans="1:54">
      <c r="A281" s="674" t="s">
        <v>390</v>
      </c>
      <c r="B281" s="674"/>
      <c r="C281" s="674"/>
      <c r="D281" s="673"/>
      <c r="E281" s="674" t="s">
        <v>863</v>
      </c>
      <c r="F281" s="674"/>
      <c r="G281" s="697"/>
      <c r="H281" s="695"/>
      <c r="I281" s="698"/>
      <c r="J281" s="698"/>
      <c r="K281" s="674">
        <v>0.5</v>
      </c>
      <c r="L281" s="698"/>
      <c r="M281" s="698"/>
      <c r="N281" s="698"/>
      <c r="O281" s="698"/>
      <c r="P281" s="698"/>
      <c r="Q281" s="674"/>
      <c r="R281" s="674"/>
      <c r="S281" s="696"/>
      <c r="T281" s="696"/>
      <c r="U281" s="696"/>
      <c r="V281" s="696"/>
      <c r="W281" s="696"/>
      <c r="X281" s="696"/>
      <c r="Y281" s="696"/>
      <c r="Z281" s="696"/>
      <c r="AA281" s="696"/>
      <c r="AB281" s="696"/>
      <c r="AC281" s="696"/>
      <c r="AD281" s="696"/>
      <c r="AE281" s="696"/>
      <c r="AF281" s="696"/>
      <c r="AG281" s="696"/>
      <c r="AH281" s="696"/>
      <c r="AI281" s="696"/>
      <c r="AJ281" s="696"/>
      <c r="AK281" s="696"/>
      <c r="AL281" s="696"/>
      <c r="AM281" s="696"/>
      <c r="AN281" s="696"/>
      <c r="AO281" s="696"/>
      <c r="AP281" s="696"/>
      <c r="AQ281" s="696"/>
      <c r="AT281" s="696"/>
      <c r="AU281" s="674"/>
      <c r="AV281" s="674"/>
      <c r="AW281" s="674"/>
      <c r="AX281" s="674"/>
      <c r="AY281" s="674"/>
      <c r="AZ281" s="674"/>
      <c r="BA281" s="674"/>
      <c r="BB281" s="674"/>
    </row>
    <row r="282" spans="1:54">
      <c r="A282" s="674" t="s">
        <v>390</v>
      </c>
      <c r="B282" s="674"/>
      <c r="C282" s="674"/>
      <c r="D282" s="673"/>
      <c r="E282" s="674"/>
      <c r="F282" s="674" t="s">
        <v>368</v>
      </c>
      <c r="G282" s="697"/>
      <c r="H282" s="695"/>
      <c r="I282" s="698"/>
      <c r="J282" s="698"/>
      <c r="K282" s="674"/>
      <c r="L282" s="698"/>
      <c r="M282" s="698"/>
      <c r="N282" s="698"/>
      <c r="O282" s="698"/>
      <c r="P282" s="698"/>
      <c r="Q282" s="674"/>
      <c r="R282" s="674"/>
      <c r="S282" s="696"/>
      <c r="T282" s="696"/>
      <c r="U282" s="696"/>
      <c r="V282" s="696"/>
      <c r="W282" s="696"/>
      <c r="X282" s="696"/>
      <c r="Y282" s="696"/>
      <c r="Z282" s="696"/>
      <c r="AA282" s="696"/>
      <c r="AB282" s="696"/>
      <c r="AC282" s="696"/>
      <c r="AD282" s="696"/>
      <c r="AE282" s="696"/>
      <c r="AF282" s="696"/>
      <c r="AG282" s="696"/>
      <c r="AH282" s="696"/>
      <c r="AI282" s="696"/>
      <c r="AJ282" s="696"/>
      <c r="AK282" s="696"/>
      <c r="AL282" s="696"/>
      <c r="AM282" s="696"/>
      <c r="AN282" s="696"/>
      <c r="AO282" s="696"/>
      <c r="AP282" s="696"/>
      <c r="AQ282" s="696"/>
      <c r="AT282" s="696"/>
      <c r="AU282" s="674"/>
      <c r="AV282" s="674"/>
      <c r="AW282" s="674"/>
      <c r="AX282" s="674"/>
      <c r="AY282" s="674"/>
      <c r="AZ282" s="674"/>
      <c r="BA282" s="674"/>
      <c r="BB282" s="674"/>
    </row>
    <row r="283" spans="1:54">
      <c r="A283" s="674" t="s">
        <v>390</v>
      </c>
      <c r="B283" s="674" t="s">
        <v>2974</v>
      </c>
      <c r="C283" s="674" t="s">
        <v>2975</v>
      </c>
      <c r="D283" s="673" t="s">
        <v>348</v>
      </c>
      <c r="E283" s="674" t="s">
        <v>349</v>
      </c>
      <c r="F283" s="674"/>
      <c r="G283" s="697">
        <v>2015</v>
      </c>
      <c r="H283" s="695">
        <v>15</v>
      </c>
      <c r="I283" s="698">
        <v>61.79</v>
      </c>
      <c r="J283" s="698">
        <v>1</v>
      </c>
      <c r="K283" s="674">
        <v>0.44</v>
      </c>
      <c r="L283" s="698">
        <v>0.1</v>
      </c>
      <c r="M283" s="698">
        <v>0.1</v>
      </c>
      <c r="N283" s="698">
        <v>0.1</v>
      </c>
      <c r="O283" s="698">
        <v>0.1</v>
      </c>
      <c r="P283" s="698">
        <v>0.1</v>
      </c>
      <c r="Q283" s="674"/>
      <c r="R283" s="674">
        <v>0.45</v>
      </c>
      <c r="S283" s="696"/>
      <c r="T283" s="696"/>
      <c r="U283" s="696"/>
      <c r="V283" s="696"/>
      <c r="W283" s="696"/>
      <c r="X283" s="696"/>
      <c r="Y283" s="696"/>
      <c r="Z283" s="696"/>
      <c r="AA283" s="696"/>
      <c r="AB283" s="696"/>
      <c r="AC283" s="696"/>
      <c r="AD283" s="696"/>
      <c r="AE283" s="696"/>
      <c r="AF283" s="696"/>
      <c r="AG283" s="696"/>
      <c r="AH283" s="696"/>
      <c r="AI283" s="696"/>
      <c r="AJ283" s="696"/>
      <c r="AK283" s="696"/>
      <c r="AL283" s="696"/>
      <c r="AM283" s="696"/>
      <c r="AN283" s="696"/>
      <c r="AO283" s="696"/>
      <c r="AP283" s="696"/>
      <c r="AQ283" s="696"/>
      <c r="AT283" s="696"/>
      <c r="AU283" s="674"/>
      <c r="AV283" s="674"/>
      <c r="AW283" s="674"/>
      <c r="AX283" s="674"/>
      <c r="AY283" s="674"/>
      <c r="AZ283" s="674"/>
      <c r="BA283" s="674"/>
      <c r="BB283" s="674"/>
    </row>
    <row r="284" spans="1:54">
      <c r="A284" s="674" t="s">
        <v>390</v>
      </c>
      <c r="B284" s="674"/>
      <c r="C284" s="674"/>
      <c r="D284" s="673"/>
      <c r="E284" s="674" t="s">
        <v>863</v>
      </c>
      <c r="F284" s="674"/>
      <c r="G284" s="697"/>
      <c r="H284" s="695"/>
      <c r="I284" s="698"/>
      <c r="J284" s="698"/>
      <c r="K284" s="674">
        <v>0.56000000000000005</v>
      </c>
      <c r="L284" s="698"/>
      <c r="M284" s="698"/>
      <c r="N284" s="698"/>
      <c r="O284" s="698"/>
      <c r="P284" s="698"/>
      <c r="Q284" s="674"/>
      <c r="R284" s="674"/>
      <c r="S284" s="696"/>
      <c r="T284" s="696"/>
      <c r="U284" s="696"/>
      <c r="V284" s="696"/>
      <c r="W284" s="696"/>
      <c r="X284" s="696"/>
      <c r="Y284" s="696"/>
      <c r="Z284" s="696"/>
      <c r="AA284" s="696"/>
      <c r="AB284" s="696"/>
      <c r="AC284" s="696"/>
      <c r="AD284" s="696"/>
      <c r="AE284" s="696"/>
      <c r="AF284" s="696"/>
      <c r="AG284" s="696"/>
      <c r="AH284" s="696"/>
      <c r="AI284" s="696"/>
      <c r="AJ284" s="696"/>
      <c r="AK284" s="696"/>
      <c r="AL284" s="696"/>
      <c r="AM284" s="696"/>
      <c r="AN284" s="696"/>
      <c r="AO284" s="696"/>
      <c r="AP284" s="696"/>
      <c r="AQ284" s="696"/>
      <c r="AT284" s="696"/>
      <c r="AU284" s="674"/>
      <c r="AV284" s="674"/>
      <c r="AW284" s="674"/>
      <c r="AX284" s="674"/>
      <c r="AY284" s="674"/>
      <c r="AZ284" s="674"/>
      <c r="BA284" s="674"/>
      <c r="BB284" s="674"/>
    </row>
    <row r="285" spans="1:54">
      <c r="A285" s="674" t="s">
        <v>390</v>
      </c>
      <c r="B285" s="674"/>
      <c r="C285" s="674"/>
      <c r="D285" s="673"/>
      <c r="E285" s="674"/>
      <c r="F285" s="674" t="s">
        <v>368</v>
      </c>
      <c r="G285" s="697"/>
      <c r="H285" s="695"/>
      <c r="I285" s="698"/>
      <c r="J285" s="698"/>
      <c r="K285" s="674"/>
      <c r="L285" s="698"/>
      <c r="M285" s="698"/>
      <c r="N285" s="698"/>
      <c r="O285" s="698"/>
      <c r="P285" s="698"/>
      <c r="Q285" s="674"/>
      <c r="R285" s="674"/>
      <c r="S285" s="696"/>
      <c r="T285" s="696"/>
      <c r="U285" s="696"/>
      <c r="V285" s="696"/>
      <c r="W285" s="696"/>
      <c r="X285" s="696"/>
      <c r="Y285" s="696"/>
      <c r="Z285" s="696"/>
      <c r="AA285" s="696"/>
      <c r="AB285" s="696"/>
      <c r="AC285" s="696"/>
      <c r="AD285" s="696"/>
      <c r="AE285" s="696"/>
      <c r="AF285" s="696"/>
      <c r="AG285" s="696"/>
      <c r="AH285" s="696"/>
      <c r="AI285" s="696"/>
      <c r="AJ285" s="696"/>
      <c r="AK285" s="696"/>
      <c r="AL285" s="696"/>
      <c r="AM285" s="696"/>
      <c r="AN285" s="696"/>
      <c r="AO285" s="696"/>
      <c r="AP285" s="696"/>
      <c r="AQ285" s="696"/>
      <c r="AT285" s="696"/>
      <c r="AU285" s="674"/>
      <c r="AV285" s="674"/>
      <c r="AW285" s="674"/>
      <c r="AX285" s="674"/>
      <c r="AY285" s="674"/>
      <c r="AZ285" s="674"/>
      <c r="BA285" s="674"/>
      <c r="BB285" s="674"/>
    </row>
    <row r="286" spans="1:54">
      <c r="A286" s="674" t="s">
        <v>390</v>
      </c>
      <c r="B286" s="674" t="s">
        <v>2689</v>
      </c>
      <c r="C286" s="674" t="s">
        <v>2688</v>
      </c>
      <c r="D286" s="673" t="s">
        <v>348</v>
      </c>
      <c r="E286" s="674" t="s">
        <v>349</v>
      </c>
      <c r="F286" s="674"/>
      <c r="G286" s="697">
        <v>2020</v>
      </c>
      <c r="H286" s="695">
        <v>15</v>
      </c>
      <c r="I286" s="698">
        <v>66.73</v>
      </c>
      <c r="J286" s="698">
        <v>1</v>
      </c>
      <c r="K286" s="674">
        <v>0.44</v>
      </c>
      <c r="L286" s="698">
        <v>0.1</v>
      </c>
      <c r="M286" s="698">
        <v>0.1</v>
      </c>
      <c r="N286" s="698">
        <v>0.1</v>
      </c>
      <c r="O286" s="698">
        <v>0.1</v>
      </c>
      <c r="P286" s="698">
        <v>0.1</v>
      </c>
      <c r="Q286" s="674"/>
      <c r="R286" s="674">
        <v>0.45</v>
      </c>
      <c r="S286" s="696"/>
      <c r="T286" s="696"/>
      <c r="U286" s="696"/>
      <c r="V286" s="696"/>
      <c r="W286" s="696"/>
      <c r="X286" s="696"/>
      <c r="Y286" s="696"/>
      <c r="Z286" s="696"/>
      <c r="AA286" s="696"/>
      <c r="AB286" s="696"/>
      <c r="AC286" s="696"/>
      <c r="AD286" s="696"/>
      <c r="AE286" s="696"/>
      <c r="AF286" s="696"/>
      <c r="AG286" s="696"/>
      <c r="AH286" s="696"/>
      <c r="AI286" s="696"/>
      <c r="AJ286" s="696"/>
      <c r="AK286" s="696"/>
      <c r="AL286" s="696"/>
      <c r="AM286" s="696"/>
      <c r="AN286" s="696"/>
      <c r="AO286" s="696"/>
      <c r="AP286" s="696"/>
      <c r="AQ286" s="696"/>
      <c r="AT286" s="696"/>
      <c r="AU286" s="674"/>
      <c r="AV286" s="674"/>
      <c r="AW286" s="674"/>
      <c r="AX286" s="674"/>
      <c r="AY286" s="674"/>
      <c r="AZ286" s="674"/>
      <c r="BA286" s="674"/>
      <c r="BB286" s="674"/>
    </row>
    <row r="287" spans="1:54">
      <c r="A287" s="674" t="s">
        <v>390</v>
      </c>
      <c r="B287" s="674"/>
      <c r="C287" s="674"/>
      <c r="D287" s="673"/>
      <c r="E287" s="674" t="s">
        <v>863</v>
      </c>
      <c r="F287" s="674"/>
      <c r="G287" s="697"/>
      <c r="H287" s="695"/>
      <c r="I287" s="698"/>
      <c r="J287" s="698"/>
      <c r="K287" s="674">
        <v>0.56000000000000005</v>
      </c>
      <c r="L287" s="698"/>
      <c r="M287" s="698"/>
      <c r="N287" s="698"/>
      <c r="O287" s="698"/>
      <c r="P287" s="698"/>
      <c r="Q287" s="674"/>
      <c r="R287" s="674"/>
      <c r="S287" s="696"/>
      <c r="T287" s="696"/>
      <c r="U287" s="696"/>
      <c r="V287" s="696"/>
      <c r="W287" s="696"/>
      <c r="X287" s="696"/>
      <c r="Y287" s="696"/>
      <c r="Z287" s="696"/>
      <c r="AA287" s="696"/>
      <c r="AB287" s="696"/>
      <c r="AC287" s="696"/>
      <c r="AD287" s="696"/>
      <c r="AE287" s="696"/>
      <c r="AF287" s="696"/>
      <c r="AG287" s="696"/>
      <c r="AH287" s="696"/>
      <c r="AI287" s="696"/>
      <c r="AJ287" s="696"/>
      <c r="AK287" s="696"/>
      <c r="AL287" s="696"/>
      <c r="AM287" s="696"/>
      <c r="AN287" s="696"/>
      <c r="AO287" s="696"/>
      <c r="AP287" s="696"/>
      <c r="AQ287" s="696"/>
      <c r="AT287" s="696"/>
      <c r="AU287" s="674"/>
      <c r="AV287" s="674"/>
      <c r="AW287" s="674"/>
      <c r="AX287" s="674"/>
      <c r="AY287" s="674"/>
      <c r="AZ287" s="674"/>
      <c r="BA287" s="674"/>
      <c r="BB287" s="674"/>
    </row>
    <row r="288" spans="1:54">
      <c r="A288" s="674" t="s">
        <v>390</v>
      </c>
      <c r="B288" s="674"/>
      <c r="C288" s="674"/>
      <c r="D288" s="673"/>
      <c r="E288" s="674"/>
      <c r="F288" s="674" t="s">
        <v>368</v>
      </c>
      <c r="G288" s="697"/>
      <c r="H288" s="695"/>
      <c r="I288" s="698"/>
      <c r="J288" s="698"/>
      <c r="K288" s="674"/>
      <c r="L288" s="698"/>
      <c r="M288" s="698"/>
      <c r="N288" s="698"/>
      <c r="O288" s="698"/>
      <c r="P288" s="698"/>
      <c r="Q288" s="674"/>
      <c r="R288" s="674"/>
      <c r="S288" s="696"/>
      <c r="T288" s="696"/>
      <c r="U288" s="696"/>
      <c r="V288" s="696"/>
      <c r="W288" s="696"/>
      <c r="X288" s="696"/>
      <c r="Y288" s="696"/>
      <c r="Z288" s="696"/>
      <c r="AA288" s="696"/>
      <c r="AB288" s="696"/>
      <c r="AC288" s="696"/>
      <c r="AD288" s="696"/>
      <c r="AE288" s="696"/>
      <c r="AF288" s="696"/>
      <c r="AG288" s="696"/>
      <c r="AH288" s="696"/>
      <c r="AI288" s="696"/>
      <c r="AJ288" s="696"/>
      <c r="AK288" s="696"/>
      <c r="AL288" s="696"/>
      <c r="AM288" s="696"/>
      <c r="AN288" s="696"/>
      <c r="AO288" s="696"/>
      <c r="AP288" s="696"/>
      <c r="AQ288" s="696"/>
      <c r="AT288" s="696"/>
      <c r="AU288" s="674"/>
      <c r="AV288" s="674"/>
      <c r="AW288" s="674"/>
      <c r="AX288" s="674"/>
      <c r="AY288" s="674"/>
      <c r="AZ288" s="674"/>
      <c r="BA288" s="674"/>
      <c r="BB288" s="674"/>
    </row>
    <row r="289" spans="1:54">
      <c r="A289" s="674" t="s">
        <v>390</v>
      </c>
      <c r="B289" s="674" t="s">
        <v>2976</v>
      </c>
      <c r="C289" s="674" t="s">
        <v>2977</v>
      </c>
      <c r="D289" s="673" t="s">
        <v>348</v>
      </c>
      <c r="E289" s="674" t="s">
        <v>349</v>
      </c>
      <c r="F289" s="674"/>
      <c r="G289" s="697">
        <v>2030</v>
      </c>
      <c r="H289" s="695">
        <v>15</v>
      </c>
      <c r="I289" s="698">
        <v>66.73</v>
      </c>
      <c r="J289" s="698">
        <v>1</v>
      </c>
      <c r="K289" s="674">
        <v>0.44</v>
      </c>
      <c r="L289" s="698">
        <v>0.1</v>
      </c>
      <c r="M289" s="698">
        <v>0.1</v>
      </c>
      <c r="N289" s="698">
        <v>0.1</v>
      </c>
      <c r="O289" s="698">
        <v>0.1</v>
      </c>
      <c r="P289" s="698">
        <v>0.1</v>
      </c>
      <c r="Q289" s="674"/>
      <c r="R289" s="674">
        <v>0.45</v>
      </c>
      <c r="S289" s="696"/>
      <c r="T289" s="696"/>
      <c r="U289" s="696"/>
      <c r="V289" s="696"/>
      <c r="W289" s="696"/>
      <c r="X289" s="696"/>
      <c r="Y289" s="696"/>
      <c r="Z289" s="696"/>
      <c r="AA289" s="696"/>
      <c r="AB289" s="696"/>
      <c r="AC289" s="696"/>
      <c r="AD289" s="696"/>
      <c r="AE289" s="696"/>
      <c r="AF289" s="696"/>
      <c r="AG289" s="696"/>
      <c r="AH289" s="696"/>
      <c r="AI289" s="696"/>
      <c r="AJ289" s="696"/>
      <c r="AK289" s="696"/>
      <c r="AL289" s="696"/>
      <c r="AM289" s="696"/>
      <c r="AN289" s="696"/>
      <c r="AO289" s="696"/>
      <c r="AP289" s="696"/>
      <c r="AQ289" s="696"/>
      <c r="AT289" s="696"/>
      <c r="AU289" s="674"/>
      <c r="AV289" s="674"/>
      <c r="AW289" s="674"/>
      <c r="AX289" s="674"/>
      <c r="AY289" s="674"/>
      <c r="AZ289" s="674"/>
      <c r="BA289" s="674"/>
      <c r="BB289" s="674"/>
    </row>
    <row r="290" spans="1:54">
      <c r="A290" s="674" t="s">
        <v>390</v>
      </c>
      <c r="B290" s="674"/>
      <c r="C290" s="674"/>
      <c r="D290" s="673"/>
      <c r="E290" s="674" t="s">
        <v>863</v>
      </c>
      <c r="F290" s="674"/>
      <c r="G290" s="697"/>
      <c r="H290" s="695"/>
      <c r="I290" s="698"/>
      <c r="J290" s="698"/>
      <c r="K290" s="674">
        <v>0.56000000000000005</v>
      </c>
      <c r="L290" s="698"/>
      <c r="M290" s="698"/>
      <c r="N290" s="698"/>
      <c r="O290" s="698"/>
      <c r="P290" s="698"/>
      <c r="Q290" s="674"/>
      <c r="R290" s="674"/>
      <c r="S290" s="696"/>
      <c r="T290" s="696"/>
      <c r="U290" s="696"/>
      <c r="V290" s="696"/>
      <c r="W290" s="696"/>
      <c r="X290" s="696"/>
      <c r="Y290" s="696"/>
      <c r="Z290" s="696"/>
      <c r="AA290" s="696"/>
      <c r="AB290" s="696"/>
      <c r="AC290" s="696"/>
      <c r="AD290" s="696"/>
      <c r="AE290" s="696"/>
      <c r="AF290" s="696"/>
      <c r="AG290" s="696"/>
      <c r="AH290" s="696"/>
      <c r="AI290" s="696"/>
      <c r="AJ290" s="696"/>
      <c r="AK290" s="696"/>
      <c r="AL290" s="696"/>
      <c r="AM290" s="696"/>
      <c r="AN290" s="696"/>
      <c r="AO290" s="696"/>
      <c r="AP290" s="696"/>
      <c r="AQ290" s="696"/>
      <c r="AT290" s="696"/>
      <c r="AU290" s="674"/>
      <c r="AV290" s="674"/>
      <c r="AW290" s="674"/>
      <c r="AX290" s="674"/>
      <c r="AY290" s="674"/>
      <c r="AZ290" s="674"/>
      <c r="BA290" s="674"/>
      <c r="BB290" s="674"/>
    </row>
    <row r="291" spans="1:54">
      <c r="A291" s="674" t="s">
        <v>390</v>
      </c>
      <c r="B291" s="674"/>
      <c r="C291" s="674"/>
      <c r="D291" s="673"/>
      <c r="E291" s="674"/>
      <c r="F291" s="674" t="s">
        <v>368</v>
      </c>
      <c r="G291" s="697"/>
      <c r="H291" s="695"/>
      <c r="I291" s="698"/>
      <c r="J291" s="698"/>
      <c r="K291" s="674"/>
      <c r="L291" s="698"/>
      <c r="M291" s="698"/>
      <c r="N291" s="698"/>
      <c r="O291" s="698"/>
      <c r="P291" s="698"/>
      <c r="Q291" s="674"/>
      <c r="R291" s="674"/>
      <c r="S291" s="696"/>
      <c r="T291" s="696"/>
      <c r="U291" s="696"/>
      <c r="V291" s="696"/>
      <c r="W291" s="696"/>
      <c r="X291" s="696"/>
      <c r="Y291" s="696"/>
      <c r="Z291" s="696"/>
      <c r="AA291" s="696"/>
      <c r="AB291" s="696"/>
      <c r="AC291" s="696"/>
      <c r="AD291" s="696"/>
      <c r="AE291" s="696"/>
      <c r="AF291" s="696"/>
      <c r="AG291" s="696"/>
      <c r="AH291" s="696"/>
      <c r="AI291" s="696"/>
      <c r="AJ291" s="696"/>
      <c r="AK291" s="696"/>
      <c r="AL291" s="696"/>
      <c r="AM291" s="696"/>
      <c r="AN291" s="696"/>
      <c r="AO291" s="696"/>
      <c r="AP291" s="696"/>
      <c r="AQ291" s="696"/>
      <c r="AT291" s="696"/>
      <c r="AU291" s="674"/>
      <c r="AV291" s="674"/>
      <c r="AW291" s="674"/>
      <c r="AX291" s="674"/>
      <c r="AY291" s="674"/>
      <c r="AZ291" s="674"/>
      <c r="BA291" s="674"/>
      <c r="BB291" s="674"/>
    </row>
    <row r="292" spans="1:54">
      <c r="A292" s="674" t="s">
        <v>390</v>
      </c>
      <c r="B292" s="674" t="s">
        <v>2978</v>
      </c>
      <c r="C292" s="674" t="s">
        <v>2979</v>
      </c>
      <c r="D292" s="673" t="s">
        <v>348</v>
      </c>
      <c r="E292" s="674" t="s">
        <v>349</v>
      </c>
      <c r="F292" s="674"/>
      <c r="G292" s="697">
        <v>2030</v>
      </c>
      <c r="H292" s="695">
        <v>30</v>
      </c>
      <c r="I292" s="698">
        <v>66.73</v>
      </c>
      <c r="J292" s="698">
        <v>1</v>
      </c>
      <c r="K292" s="674">
        <v>0.44</v>
      </c>
      <c r="L292" s="698">
        <v>0.1</v>
      </c>
      <c r="M292" s="698">
        <v>0.1</v>
      </c>
      <c r="N292" s="698">
        <v>0.1</v>
      </c>
      <c r="O292" s="698">
        <v>0.1</v>
      </c>
      <c r="P292" s="698">
        <v>0.1</v>
      </c>
      <c r="Q292" s="674"/>
      <c r="R292" s="674">
        <v>0.45</v>
      </c>
      <c r="S292" s="696"/>
      <c r="T292" s="696"/>
      <c r="U292" s="696"/>
      <c r="V292" s="696"/>
      <c r="W292" s="696"/>
      <c r="X292" s="696"/>
      <c r="Y292" s="696"/>
      <c r="Z292" s="696"/>
      <c r="AA292" s="696"/>
      <c r="AB292" s="696"/>
      <c r="AC292" s="696"/>
      <c r="AD292" s="696"/>
      <c r="AE292" s="696"/>
      <c r="AF292" s="696"/>
      <c r="AG292" s="696"/>
      <c r="AH292" s="696"/>
      <c r="AI292" s="696"/>
      <c r="AJ292" s="696"/>
      <c r="AK292" s="696"/>
      <c r="AL292" s="696"/>
      <c r="AM292" s="696"/>
      <c r="AN292" s="696"/>
      <c r="AO292" s="696"/>
      <c r="AP292" s="696"/>
      <c r="AQ292" s="696"/>
      <c r="AT292" s="696"/>
      <c r="AU292" s="674"/>
      <c r="AV292" s="674"/>
      <c r="AW292" s="674"/>
      <c r="AX292" s="674"/>
      <c r="AY292" s="674"/>
      <c r="AZ292" s="674"/>
      <c r="BA292" s="674"/>
      <c r="BB292" s="674"/>
    </row>
    <row r="293" spans="1:54">
      <c r="A293" s="674" t="s">
        <v>390</v>
      </c>
      <c r="B293" s="674"/>
      <c r="C293" s="674"/>
      <c r="D293" s="673"/>
      <c r="E293" s="674" t="s">
        <v>863</v>
      </c>
      <c r="F293" s="674"/>
      <c r="G293" s="697"/>
      <c r="H293" s="695"/>
      <c r="I293" s="698"/>
      <c r="J293" s="698"/>
      <c r="K293" s="674">
        <v>0.56000000000000005</v>
      </c>
      <c r="L293" s="698"/>
      <c r="M293" s="698"/>
      <c r="N293" s="698"/>
      <c r="O293" s="698"/>
      <c r="P293" s="698"/>
      <c r="Q293" s="674"/>
      <c r="R293" s="674"/>
      <c r="S293" s="696"/>
      <c r="T293" s="696"/>
      <c r="U293" s="696"/>
      <c r="V293" s="696"/>
      <c r="W293" s="696"/>
      <c r="X293" s="696"/>
      <c r="Y293" s="696"/>
      <c r="Z293" s="696"/>
      <c r="AA293" s="696"/>
      <c r="AB293" s="696"/>
      <c r="AC293" s="696"/>
      <c r="AD293" s="696"/>
      <c r="AE293" s="696"/>
      <c r="AF293" s="696"/>
      <c r="AG293" s="696"/>
      <c r="AH293" s="696"/>
      <c r="AI293" s="696"/>
      <c r="AJ293" s="696"/>
      <c r="AK293" s="696"/>
      <c r="AL293" s="696"/>
      <c r="AM293" s="696"/>
      <c r="AN293" s="696"/>
      <c r="AO293" s="696"/>
      <c r="AP293" s="696"/>
      <c r="AQ293" s="696"/>
      <c r="AT293" s="696"/>
      <c r="AU293" s="674"/>
      <c r="AV293" s="674"/>
      <c r="AW293" s="674"/>
      <c r="AX293" s="674"/>
      <c r="AY293" s="674"/>
      <c r="AZ293" s="674"/>
      <c r="BA293" s="674"/>
      <c r="BB293" s="674"/>
    </row>
    <row r="294" spans="1:54">
      <c r="A294" s="674" t="s">
        <v>390</v>
      </c>
      <c r="B294" s="674"/>
      <c r="C294" s="674"/>
      <c r="D294" s="673"/>
      <c r="E294" s="674"/>
      <c r="F294" s="674" t="s">
        <v>368</v>
      </c>
      <c r="G294" s="697"/>
      <c r="H294" s="695"/>
      <c r="I294" s="698"/>
      <c r="J294" s="698"/>
      <c r="K294" s="674"/>
      <c r="L294" s="698"/>
      <c r="M294" s="698"/>
      <c r="N294" s="698"/>
      <c r="O294" s="698"/>
      <c r="P294" s="698"/>
      <c r="Q294" s="674"/>
      <c r="R294" s="674"/>
      <c r="S294" s="696"/>
      <c r="T294" s="696"/>
      <c r="U294" s="696"/>
      <c r="V294" s="696"/>
      <c r="W294" s="696"/>
      <c r="X294" s="696"/>
      <c r="Y294" s="696"/>
      <c r="Z294" s="696"/>
      <c r="AA294" s="696"/>
      <c r="AB294" s="696"/>
      <c r="AC294" s="696"/>
      <c r="AD294" s="696"/>
      <c r="AE294" s="696"/>
      <c r="AF294" s="696"/>
      <c r="AG294" s="696"/>
      <c r="AH294" s="696"/>
      <c r="AI294" s="696"/>
      <c r="AJ294" s="696"/>
      <c r="AK294" s="696"/>
      <c r="AL294" s="696"/>
      <c r="AM294" s="696"/>
      <c r="AN294" s="696"/>
      <c r="AO294" s="696"/>
      <c r="AP294" s="696"/>
      <c r="AQ294" s="696"/>
      <c r="AT294" s="696"/>
      <c r="AU294" s="674"/>
      <c r="AV294" s="674"/>
      <c r="AW294" s="674"/>
      <c r="AX294" s="674"/>
      <c r="AY294" s="674"/>
      <c r="AZ294" s="674"/>
      <c r="BA294" s="674"/>
      <c r="BB294" s="674"/>
    </row>
    <row r="295" spans="1:54">
      <c r="A295" s="674" t="s">
        <v>390</v>
      </c>
      <c r="B295" s="674" t="s">
        <v>2980</v>
      </c>
      <c r="C295" s="674" t="s">
        <v>2981</v>
      </c>
      <c r="D295" s="673" t="s">
        <v>348</v>
      </c>
      <c r="E295" s="674" t="s">
        <v>349</v>
      </c>
      <c r="F295" s="674"/>
      <c r="G295" s="697">
        <v>2040</v>
      </c>
      <c r="H295" s="695">
        <v>15</v>
      </c>
      <c r="I295" s="698">
        <v>66.73</v>
      </c>
      <c r="J295" s="698">
        <v>1</v>
      </c>
      <c r="K295" s="674">
        <v>0.44</v>
      </c>
      <c r="L295" s="698">
        <v>0.1</v>
      </c>
      <c r="M295" s="698">
        <v>0.1</v>
      </c>
      <c r="N295" s="698">
        <v>0.1</v>
      </c>
      <c r="O295" s="698">
        <v>0.1</v>
      </c>
      <c r="P295" s="698">
        <v>0.1</v>
      </c>
      <c r="Q295" s="674"/>
      <c r="R295" s="674">
        <v>0.45</v>
      </c>
      <c r="S295" s="696"/>
      <c r="T295" s="696"/>
      <c r="U295" s="696"/>
      <c r="V295" s="696"/>
      <c r="W295" s="696"/>
      <c r="X295" s="696"/>
      <c r="Y295" s="696"/>
      <c r="Z295" s="696"/>
      <c r="AA295" s="696"/>
      <c r="AB295" s="696"/>
      <c r="AC295" s="696"/>
      <c r="AD295" s="696"/>
      <c r="AE295" s="696"/>
      <c r="AF295" s="696"/>
      <c r="AG295" s="696"/>
      <c r="AH295" s="696"/>
      <c r="AI295" s="696"/>
      <c r="AJ295" s="696"/>
      <c r="AK295" s="696"/>
      <c r="AL295" s="696"/>
      <c r="AM295" s="696"/>
      <c r="AN295" s="696"/>
      <c r="AO295" s="696"/>
      <c r="AP295" s="696"/>
      <c r="AQ295" s="696"/>
      <c r="AT295" s="696"/>
      <c r="AU295" s="674"/>
      <c r="AV295" s="674"/>
      <c r="AW295" s="674"/>
      <c r="AX295" s="674"/>
      <c r="AY295" s="674"/>
      <c r="AZ295" s="674"/>
      <c r="BA295" s="674"/>
      <c r="BB295" s="674"/>
    </row>
    <row r="296" spans="1:54">
      <c r="A296" s="674" t="s">
        <v>390</v>
      </c>
      <c r="B296" s="674"/>
      <c r="C296" s="674"/>
      <c r="D296" s="673"/>
      <c r="E296" s="674" t="s">
        <v>863</v>
      </c>
      <c r="F296" s="674"/>
      <c r="G296" s="697"/>
      <c r="H296" s="695"/>
      <c r="I296" s="698"/>
      <c r="J296" s="698"/>
      <c r="K296" s="674">
        <v>0.56000000000000005</v>
      </c>
      <c r="L296" s="698"/>
      <c r="M296" s="698"/>
      <c r="N296" s="698"/>
      <c r="O296" s="698"/>
      <c r="P296" s="698"/>
      <c r="Q296" s="674"/>
      <c r="R296" s="674"/>
      <c r="S296" s="696"/>
      <c r="T296" s="696"/>
      <c r="U296" s="696"/>
      <c r="V296" s="696"/>
      <c r="W296" s="696"/>
      <c r="X296" s="696"/>
      <c r="Y296" s="696"/>
      <c r="Z296" s="696"/>
      <c r="AA296" s="696"/>
      <c r="AB296" s="696"/>
      <c r="AC296" s="696"/>
      <c r="AD296" s="696"/>
      <c r="AE296" s="696"/>
      <c r="AF296" s="696"/>
      <c r="AG296" s="696"/>
      <c r="AH296" s="696"/>
      <c r="AI296" s="696"/>
      <c r="AJ296" s="696"/>
      <c r="AK296" s="696"/>
      <c r="AL296" s="696"/>
      <c r="AM296" s="696"/>
      <c r="AN296" s="696"/>
      <c r="AO296" s="696"/>
      <c r="AP296" s="696"/>
      <c r="AQ296" s="696"/>
      <c r="AT296" s="696"/>
      <c r="AU296" s="674"/>
      <c r="AV296" s="674"/>
      <c r="AW296" s="674"/>
      <c r="AX296" s="674"/>
      <c r="AY296" s="674"/>
      <c r="AZ296" s="674"/>
      <c r="BA296" s="674"/>
      <c r="BB296" s="674"/>
    </row>
    <row r="297" spans="1:54">
      <c r="A297" s="674" t="s">
        <v>390</v>
      </c>
      <c r="B297" s="674"/>
      <c r="C297" s="674"/>
      <c r="D297" s="673"/>
      <c r="E297" s="674"/>
      <c r="F297" s="674" t="s">
        <v>368</v>
      </c>
      <c r="G297" s="697"/>
      <c r="H297" s="695"/>
      <c r="I297" s="698"/>
      <c r="J297" s="698"/>
      <c r="K297" s="674"/>
      <c r="L297" s="698"/>
      <c r="M297" s="698"/>
      <c r="N297" s="698"/>
      <c r="O297" s="698"/>
      <c r="P297" s="698"/>
      <c r="Q297" s="674"/>
      <c r="R297" s="674"/>
      <c r="S297" s="696"/>
      <c r="T297" s="696"/>
      <c r="U297" s="696"/>
      <c r="V297" s="696"/>
      <c r="W297" s="696"/>
      <c r="X297" s="696"/>
      <c r="Y297" s="696"/>
      <c r="Z297" s="696"/>
      <c r="AA297" s="696"/>
      <c r="AB297" s="696"/>
      <c r="AC297" s="696"/>
      <c r="AD297" s="696"/>
      <c r="AE297" s="696"/>
      <c r="AF297" s="696"/>
      <c r="AG297" s="696"/>
      <c r="AH297" s="696"/>
      <c r="AI297" s="696"/>
      <c r="AJ297" s="696"/>
      <c r="AK297" s="696"/>
      <c r="AL297" s="696"/>
      <c r="AM297" s="696"/>
      <c r="AN297" s="696"/>
      <c r="AO297" s="696"/>
      <c r="AP297" s="696"/>
      <c r="AQ297" s="696"/>
      <c r="AT297" s="696"/>
      <c r="AU297" s="674"/>
      <c r="AV297" s="674"/>
      <c r="AW297" s="674"/>
      <c r="AX297" s="674"/>
      <c r="AY297" s="674"/>
      <c r="AZ297" s="674"/>
      <c r="BA297" s="674"/>
      <c r="BB297" s="674"/>
    </row>
    <row r="298" spans="1:54">
      <c r="A298" s="674" t="s">
        <v>390</v>
      </c>
      <c r="B298" s="674" t="s">
        <v>2982</v>
      </c>
      <c r="C298" s="674" t="s">
        <v>2983</v>
      </c>
      <c r="D298" s="673" t="s">
        <v>348</v>
      </c>
      <c r="E298" s="674" t="s">
        <v>349</v>
      </c>
      <c r="F298" s="674"/>
      <c r="G298" s="697">
        <v>2040</v>
      </c>
      <c r="H298" s="695">
        <v>30</v>
      </c>
      <c r="I298" s="698">
        <v>66.73</v>
      </c>
      <c r="J298" s="698">
        <v>1</v>
      </c>
      <c r="K298" s="674">
        <v>0.44</v>
      </c>
      <c r="L298" s="698">
        <v>0.1</v>
      </c>
      <c r="M298" s="698">
        <v>0.1</v>
      </c>
      <c r="N298" s="698">
        <v>0.1</v>
      </c>
      <c r="O298" s="698">
        <v>0.1</v>
      </c>
      <c r="P298" s="698">
        <v>0.1</v>
      </c>
      <c r="Q298" s="674"/>
      <c r="R298" s="674">
        <v>0.45</v>
      </c>
      <c r="S298" s="696"/>
      <c r="T298" s="696"/>
      <c r="U298" s="696"/>
      <c r="V298" s="696"/>
      <c r="W298" s="696"/>
      <c r="X298" s="696"/>
      <c r="Y298" s="696"/>
      <c r="Z298" s="696"/>
      <c r="AA298" s="696"/>
      <c r="AB298" s="696"/>
      <c r="AC298" s="696"/>
      <c r="AD298" s="696"/>
      <c r="AE298" s="696"/>
      <c r="AF298" s="696"/>
      <c r="AG298" s="696"/>
      <c r="AH298" s="696"/>
      <c r="AI298" s="696"/>
      <c r="AJ298" s="696"/>
      <c r="AK298" s="696"/>
      <c r="AL298" s="696"/>
      <c r="AM298" s="696"/>
      <c r="AN298" s="696"/>
      <c r="AO298" s="696"/>
      <c r="AP298" s="696"/>
      <c r="AQ298" s="696"/>
      <c r="AT298" s="696"/>
      <c r="AU298" s="674"/>
      <c r="AV298" s="674"/>
      <c r="AW298" s="674"/>
      <c r="AX298" s="674"/>
      <c r="AY298" s="674"/>
      <c r="AZ298" s="674"/>
      <c r="BA298" s="674"/>
      <c r="BB298" s="674"/>
    </row>
    <row r="299" spans="1:54">
      <c r="A299" s="674" t="s">
        <v>390</v>
      </c>
      <c r="B299" s="674"/>
      <c r="C299" s="674"/>
      <c r="D299" s="673"/>
      <c r="E299" s="674" t="s">
        <v>863</v>
      </c>
      <c r="F299" s="674"/>
      <c r="G299" s="697"/>
      <c r="H299" s="695"/>
      <c r="I299" s="698"/>
      <c r="J299" s="698"/>
      <c r="K299" s="674">
        <v>0.56000000000000005</v>
      </c>
      <c r="L299" s="698"/>
      <c r="M299" s="698"/>
      <c r="N299" s="698"/>
      <c r="O299" s="698"/>
      <c r="P299" s="698"/>
      <c r="Q299" s="674"/>
      <c r="R299" s="674"/>
      <c r="S299" s="696"/>
      <c r="T299" s="696"/>
      <c r="U299" s="696"/>
      <c r="V299" s="696"/>
      <c r="W299" s="696"/>
      <c r="X299" s="696"/>
      <c r="Y299" s="696"/>
      <c r="Z299" s="696"/>
      <c r="AA299" s="696"/>
      <c r="AB299" s="696"/>
      <c r="AC299" s="696"/>
      <c r="AD299" s="696"/>
      <c r="AE299" s="696"/>
      <c r="AF299" s="696"/>
      <c r="AG299" s="696"/>
      <c r="AH299" s="696"/>
      <c r="AI299" s="696"/>
      <c r="AJ299" s="696"/>
      <c r="AK299" s="696"/>
      <c r="AL299" s="696"/>
      <c r="AM299" s="696"/>
      <c r="AN299" s="696"/>
      <c r="AO299" s="696"/>
      <c r="AP299" s="696"/>
      <c r="AQ299" s="696"/>
      <c r="AT299" s="696"/>
      <c r="AU299" s="674"/>
      <c r="AV299" s="674"/>
      <c r="AW299" s="674"/>
      <c r="AX299" s="674"/>
      <c r="AY299" s="674"/>
      <c r="AZ299" s="674"/>
      <c r="BA299" s="674"/>
      <c r="BB299" s="674"/>
    </row>
    <row r="300" spans="1:54">
      <c r="A300" s="674" t="s">
        <v>390</v>
      </c>
      <c r="B300" s="674"/>
      <c r="C300" s="674"/>
      <c r="D300" s="673"/>
      <c r="E300" s="674"/>
      <c r="F300" s="674" t="s">
        <v>368</v>
      </c>
      <c r="G300" s="697"/>
      <c r="H300" s="695"/>
      <c r="I300" s="698"/>
      <c r="J300" s="698"/>
      <c r="K300" s="674"/>
      <c r="L300" s="698"/>
      <c r="M300" s="698"/>
      <c r="N300" s="698"/>
      <c r="O300" s="698"/>
      <c r="P300" s="698"/>
      <c r="Q300" s="674"/>
      <c r="R300" s="674"/>
      <c r="S300" s="696"/>
      <c r="T300" s="696"/>
      <c r="U300" s="696"/>
      <c r="V300" s="696"/>
      <c r="W300" s="696"/>
      <c r="X300" s="696"/>
      <c r="Y300" s="696"/>
      <c r="Z300" s="696"/>
      <c r="AA300" s="696"/>
      <c r="AB300" s="696"/>
      <c r="AC300" s="696"/>
      <c r="AD300" s="696"/>
      <c r="AE300" s="696"/>
      <c r="AF300" s="696"/>
      <c r="AG300" s="696"/>
      <c r="AH300" s="696"/>
      <c r="AI300" s="696"/>
      <c r="AJ300" s="696"/>
      <c r="AK300" s="696"/>
      <c r="AL300" s="696"/>
      <c r="AM300" s="696"/>
      <c r="AN300" s="696"/>
      <c r="AO300" s="696"/>
      <c r="AP300" s="696"/>
      <c r="AQ300" s="696"/>
      <c r="AT300" s="696"/>
      <c r="AU300" s="674"/>
      <c r="AV300" s="674"/>
      <c r="AW300" s="674"/>
      <c r="AX300" s="674"/>
      <c r="AY300" s="674"/>
      <c r="AZ300" s="674"/>
      <c r="BA300" s="674"/>
      <c r="BB300" s="674"/>
    </row>
    <row r="301" spans="1:54">
      <c r="A301" s="674" t="s">
        <v>390</v>
      </c>
      <c r="B301" s="674" t="s">
        <v>842</v>
      </c>
      <c r="C301" s="674" t="s">
        <v>843</v>
      </c>
      <c r="D301" s="673" t="s">
        <v>348</v>
      </c>
      <c r="E301" s="674" t="s">
        <v>349</v>
      </c>
      <c r="F301" s="674"/>
      <c r="G301" s="697" t="s">
        <v>847</v>
      </c>
      <c r="H301" s="695">
        <v>15</v>
      </c>
      <c r="I301" s="698">
        <v>55.96</v>
      </c>
      <c r="J301" s="698">
        <v>1</v>
      </c>
      <c r="K301" s="674">
        <v>0.44</v>
      </c>
      <c r="L301" s="698">
        <v>0.1</v>
      </c>
      <c r="M301" s="698">
        <v>0.1</v>
      </c>
      <c r="N301" s="698">
        <v>0.1</v>
      </c>
      <c r="O301" s="698">
        <v>0.1</v>
      </c>
      <c r="P301" s="698">
        <v>0.1</v>
      </c>
      <c r="Q301" s="674"/>
      <c r="R301" s="674">
        <v>0.45</v>
      </c>
      <c r="S301" s="696"/>
      <c r="T301" s="696"/>
      <c r="U301" s="696"/>
      <c r="V301" s="696"/>
      <c r="W301" s="696"/>
      <c r="X301" s="696"/>
      <c r="Y301" s="696"/>
      <c r="Z301" s="696"/>
      <c r="AA301" s="696"/>
      <c r="AB301" s="696"/>
      <c r="AC301" s="696"/>
      <c r="AD301" s="696"/>
      <c r="AE301" s="696"/>
      <c r="AF301" s="696"/>
      <c r="AG301" s="696"/>
      <c r="AH301" s="696"/>
      <c r="AI301" s="696"/>
      <c r="AJ301" s="696"/>
      <c r="AK301" s="696"/>
      <c r="AL301" s="696">
        <v>0</v>
      </c>
      <c r="AM301" s="696">
        <v>0</v>
      </c>
      <c r="AN301" s="696">
        <v>0</v>
      </c>
      <c r="AO301" s="696">
        <v>0</v>
      </c>
      <c r="AP301" s="696">
        <v>0</v>
      </c>
      <c r="AQ301" s="696">
        <v>0</v>
      </c>
      <c r="AT301" s="696"/>
      <c r="AU301" s="674"/>
      <c r="AV301" s="674"/>
      <c r="AW301" s="674"/>
      <c r="AX301" s="674"/>
      <c r="AY301" s="674"/>
      <c r="AZ301" s="674"/>
      <c r="BA301" s="674"/>
      <c r="BB301" s="674"/>
    </row>
    <row r="302" spans="1:54">
      <c r="A302" s="674" t="s">
        <v>390</v>
      </c>
      <c r="B302" s="674"/>
      <c r="C302" s="674"/>
      <c r="D302" s="673"/>
      <c r="E302" s="674" t="s">
        <v>863</v>
      </c>
      <c r="F302" s="674"/>
      <c r="G302" s="697"/>
      <c r="H302" s="695"/>
      <c r="I302" s="698"/>
      <c r="J302" s="698"/>
      <c r="K302" s="674">
        <v>0.56000000000000005</v>
      </c>
      <c r="L302" s="698"/>
      <c r="M302" s="698"/>
      <c r="N302" s="698"/>
      <c r="O302" s="698"/>
      <c r="P302" s="698"/>
      <c r="Q302" s="674"/>
      <c r="R302" s="674"/>
      <c r="S302" s="696"/>
      <c r="T302" s="696"/>
      <c r="U302" s="696"/>
      <c r="V302" s="696"/>
      <c r="W302" s="696"/>
      <c r="X302" s="696"/>
      <c r="Y302" s="696"/>
      <c r="Z302" s="696"/>
      <c r="AA302" s="696"/>
      <c r="AB302" s="696"/>
      <c r="AC302" s="696"/>
      <c r="AD302" s="696"/>
      <c r="AE302" s="696"/>
      <c r="AF302" s="696"/>
      <c r="AG302" s="696"/>
      <c r="AH302" s="696"/>
      <c r="AI302" s="696"/>
      <c r="AJ302" s="696"/>
      <c r="AK302" s="696"/>
      <c r="AL302" s="696"/>
      <c r="AM302" s="696"/>
      <c r="AN302" s="696"/>
      <c r="AO302" s="696"/>
      <c r="AP302" s="696"/>
      <c r="AQ302" s="696"/>
      <c r="AT302" s="696"/>
      <c r="AU302" s="674"/>
      <c r="AV302" s="674"/>
      <c r="AW302" s="674"/>
      <c r="AX302" s="674"/>
      <c r="AY302" s="674"/>
      <c r="AZ302" s="674"/>
      <c r="BA302" s="674"/>
      <c r="BB302" s="674"/>
    </row>
    <row r="303" spans="1:54">
      <c r="A303" s="674" t="s">
        <v>390</v>
      </c>
      <c r="B303" s="674"/>
      <c r="C303" s="674"/>
      <c r="D303" s="673"/>
      <c r="E303" s="674"/>
      <c r="F303" s="674" t="s">
        <v>368</v>
      </c>
      <c r="G303" s="697"/>
      <c r="H303" s="695"/>
      <c r="I303" s="698"/>
      <c r="J303" s="698"/>
      <c r="K303" s="674"/>
      <c r="L303" s="698"/>
      <c r="M303" s="698"/>
      <c r="N303" s="698"/>
      <c r="O303" s="698"/>
      <c r="P303" s="698"/>
      <c r="Q303" s="674"/>
      <c r="R303" s="674"/>
      <c r="S303" s="696"/>
      <c r="T303" s="696"/>
      <c r="U303" s="696"/>
      <c r="V303" s="696"/>
      <c r="W303" s="696"/>
      <c r="X303" s="696"/>
      <c r="Y303" s="696"/>
      <c r="Z303" s="696"/>
      <c r="AA303" s="696"/>
      <c r="AB303" s="696"/>
      <c r="AC303" s="696"/>
      <c r="AD303" s="696"/>
      <c r="AE303" s="696"/>
      <c r="AF303" s="696"/>
      <c r="AG303" s="696"/>
      <c r="AH303" s="696"/>
      <c r="AI303" s="696"/>
      <c r="AJ303" s="696"/>
      <c r="AK303" s="696"/>
      <c r="AL303" s="696"/>
      <c r="AM303" s="696"/>
      <c r="AN303" s="696"/>
      <c r="AO303" s="696"/>
      <c r="AP303" s="696"/>
      <c r="AQ303" s="696"/>
      <c r="AT303" s="696"/>
      <c r="AU303" s="674"/>
      <c r="AV303" s="674"/>
      <c r="AW303" s="674"/>
      <c r="AX303" s="674"/>
      <c r="AY303" s="674"/>
      <c r="AZ303" s="674"/>
      <c r="BA303" s="674"/>
      <c r="BB303" s="674"/>
    </row>
    <row r="304" spans="1:54">
      <c r="A304" s="674" t="s">
        <v>390</v>
      </c>
      <c r="B304" s="674" t="s">
        <v>823</v>
      </c>
      <c r="C304" s="674" t="s">
        <v>824</v>
      </c>
      <c r="D304" s="673" t="s">
        <v>348</v>
      </c>
      <c r="E304" s="674" t="s">
        <v>349</v>
      </c>
      <c r="F304" s="674"/>
      <c r="G304" s="697" t="s">
        <v>2322</v>
      </c>
      <c r="H304" s="695">
        <v>15</v>
      </c>
      <c r="I304" s="698">
        <v>55.96</v>
      </c>
      <c r="J304" s="698">
        <v>1</v>
      </c>
      <c r="K304" s="674">
        <v>0.44</v>
      </c>
      <c r="L304" s="698">
        <v>0.1</v>
      </c>
      <c r="M304" s="698">
        <v>0.1</v>
      </c>
      <c r="N304" s="698">
        <v>0.1</v>
      </c>
      <c r="O304" s="698">
        <v>0.1</v>
      </c>
      <c r="P304" s="698">
        <v>0.1</v>
      </c>
      <c r="Q304" s="674"/>
      <c r="R304" s="674">
        <v>0.45</v>
      </c>
      <c r="S304" s="696"/>
      <c r="T304" s="696"/>
      <c r="U304" s="696"/>
      <c r="V304" s="696"/>
      <c r="W304" s="696"/>
      <c r="X304" s="696"/>
      <c r="Y304" s="696"/>
      <c r="Z304" s="696"/>
      <c r="AA304" s="696"/>
      <c r="AB304" s="696"/>
      <c r="AC304" s="696"/>
      <c r="AD304" s="696"/>
      <c r="AE304" s="696"/>
      <c r="AF304" s="696"/>
      <c r="AG304" s="696"/>
      <c r="AH304" s="696"/>
      <c r="AI304" s="696"/>
      <c r="AJ304" s="696"/>
      <c r="AK304" s="696"/>
      <c r="AL304" s="696"/>
      <c r="AM304" s="696"/>
      <c r="AN304" s="696"/>
      <c r="AO304" s="696"/>
      <c r="AP304" s="696"/>
      <c r="AQ304" s="696"/>
      <c r="AT304" s="696"/>
      <c r="AU304" s="674"/>
      <c r="AV304" s="674"/>
      <c r="AW304" s="674"/>
      <c r="AX304" s="674"/>
      <c r="AY304" s="674"/>
      <c r="AZ304" s="674"/>
      <c r="BA304" s="674"/>
      <c r="BB304" s="674"/>
    </row>
    <row r="305" spans="1:54">
      <c r="A305" s="674" t="s">
        <v>390</v>
      </c>
      <c r="B305" s="674"/>
      <c r="C305" s="674"/>
      <c r="D305" s="673"/>
      <c r="E305" s="674" t="s">
        <v>863</v>
      </c>
      <c r="F305" s="674"/>
      <c r="G305" s="697"/>
      <c r="H305" s="695"/>
      <c r="I305" s="698"/>
      <c r="J305" s="698"/>
      <c r="K305" s="674">
        <v>0.56000000000000005</v>
      </c>
      <c r="L305" s="698"/>
      <c r="M305" s="698"/>
      <c r="N305" s="698" t="s">
        <v>729</v>
      </c>
      <c r="O305" s="698" t="s">
        <v>729</v>
      </c>
      <c r="P305" s="698" t="s">
        <v>729</v>
      </c>
      <c r="Q305" s="674"/>
      <c r="R305" s="674"/>
      <c r="S305" s="696"/>
      <c r="T305" s="696"/>
      <c r="U305" s="696"/>
      <c r="V305" s="696"/>
      <c r="W305" s="696"/>
      <c r="X305" s="696"/>
      <c r="Y305" s="696"/>
      <c r="Z305" s="696"/>
      <c r="AA305" s="696"/>
      <c r="AB305" s="696"/>
      <c r="AC305" s="696"/>
      <c r="AD305" s="696"/>
      <c r="AE305" s="696"/>
      <c r="AF305" s="696"/>
      <c r="AG305" s="696"/>
      <c r="AH305" s="696"/>
      <c r="AI305" s="696"/>
      <c r="AJ305" s="696"/>
      <c r="AK305" s="696"/>
      <c r="AL305" s="696"/>
      <c r="AM305" s="696"/>
      <c r="AN305" s="696"/>
      <c r="AO305" s="696"/>
      <c r="AP305" s="696"/>
      <c r="AQ305" s="696"/>
      <c r="AT305" s="696"/>
      <c r="AU305" s="674"/>
      <c r="AV305" s="674"/>
      <c r="AW305" s="674"/>
      <c r="AX305" s="674"/>
      <c r="AY305" s="674"/>
      <c r="AZ305" s="674"/>
      <c r="BA305" s="674"/>
      <c r="BB305" s="674"/>
    </row>
    <row r="306" spans="1:54">
      <c r="A306" s="674" t="s">
        <v>390</v>
      </c>
      <c r="B306" s="674"/>
      <c r="C306" s="674"/>
      <c r="D306" s="673"/>
      <c r="E306" s="674"/>
      <c r="F306" s="674" t="s">
        <v>368</v>
      </c>
      <c r="G306" s="697"/>
      <c r="H306" s="695"/>
      <c r="I306" s="698"/>
      <c r="J306" s="698"/>
      <c r="K306" s="674"/>
      <c r="L306" s="698"/>
      <c r="M306" s="698"/>
      <c r="N306" s="698"/>
      <c r="O306" s="698"/>
      <c r="P306" s="698"/>
      <c r="Q306" s="674"/>
      <c r="R306" s="674"/>
      <c r="S306" s="696"/>
      <c r="T306" s="696"/>
      <c r="U306" s="696"/>
      <c r="V306" s="696"/>
      <c r="W306" s="696"/>
      <c r="X306" s="696"/>
      <c r="Y306" s="696"/>
      <c r="Z306" s="696"/>
      <c r="AA306" s="696"/>
      <c r="AB306" s="696"/>
      <c r="AC306" s="696"/>
      <c r="AD306" s="696"/>
      <c r="AE306" s="696"/>
      <c r="AF306" s="696"/>
      <c r="AG306" s="696"/>
      <c r="AH306" s="696"/>
      <c r="AI306" s="696"/>
      <c r="AJ306" s="696"/>
      <c r="AK306" s="696"/>
      <c r="AL306" s="696"/>
      <c r="AM306" s="696"/>
      <c r="AN306" s="696"/>
      <c r="AO306" s="696"/>
      <c r="AP306" s="696"/>
      <c r="AQ306" s="696"/>
      <c r="AT306" s="696"/>
      <c r="AU306" s="674"/>
      <c r="AV306" s="674"/>
      <c r="AW306" s="674"/>
      <c r="AX306" s="674"/>
      <c r="AY306" s="674"/>
      <c r="AZ306" s="674"/>
      <c r="BA306" s="674"/>
      <c r="BB306" s="674"/>
    </row>
    <row r="307" spans="1:54">
      <c r="A307" s="674" t="s">
        <v>390</v>
      </c>
      <c r="B307" s="674" t="s">
        <v>2689</v>
      </c>
      <c r="C307" s="674" t="s">
        <v>2688</v>
      </c>
      <c r="D307" s="673" t="s">
        <v>348</v>
      </c>
      <c r="E307" s="674" t="s">
        <v>349</v>
      </c>
      <c r="F307" s="674"/>
      <c r="G307" s="697">
        <v>2020</v>
      </c>
      <c r="H307" s="695">
        <v>30</v>
      </c>
      <c r="I307" s="698">
        <v>86.7</v>
      </c>
      <c r="J307" s="698">
        <v>1</v>
      </c>
      <c r="K307" s="674">
        <v>0.44</v>
      </c>
      <c r="L307" s="698">
        <v>0.1</v>
      </c>
      <c r="M307" s="698">
        <v>0.1</v>
      </c>
      <c r="N307" s="698">
        <v>0.1</v>
      </c>
      <c r="O307" s="698">
        <v>0.1</v>
      </c>
      <c r="P307" s="698">
        <v>0.1</v>
      </c>
      <c r="Q307" s="674"/>
      <c r="R307" s="674">
        <v>0.45</v>
      </c>
      <c r="S307" s="696"/>
      <c r="T307" s="696"/>
      <c r="U307" s="696"/>
      <c r="V307" s="696"/>
      <c r="W307" s="696"/>
      <c r="X307" s="696"/>
      <c r="Y307" s="696"/>
      <c r="Z307" s="696"/>
      <c r="AA307" s="696"/>
      <c r="AB307" s="696"/>
      <c r="AC307" s="696"/>
      <c r="AD307" s="696"/>
      <c r="AE307" s="696"/>
      <c r="AF307" s="696"/>
      <c r="AG307" s="696"/>
      <c r="AH307" s="696"/>
      <c r="AI307" s="696"/>
      <c r="AJ307" s="696"/>
      <c r="AK307" s="696"/>
      <c r="AL307" s="696"/>
      <c r="AM307" s="696"/>
      <c r="AN307" s="696"/>
      <c r="AO307" s="696"/>
      <c r="AP307" s="696"/>
      <c r="AQ307" s="696"/>
      <c r="AT307" s="696"/>
      <c r="AU307" s="674"/>
      <c r="AV307" s="674"/>
      <c r="AW307" s="674"/>
      <c r="AX307" s="674"/>
      <c r="AY307" s="674"/>
      <c r="AZ307" s="674"/>
      <c r="BA307" s="674"/>
      <c r="BB307" s="674"/>
    </row>
    <row r="308" spans="1:54">
      <c r="A308" s="674" t="s">
        <v>390</v>
      </c>
      <c r="B308" s="674"/>
      <c r="C308" s="674"/>
      <c r="D308" s="673"/>
      <c r="E308" s="674" t="s">
        <v>863</v>
      </c>
      <c r="F308" s="674"/>
      <c r="G308" s="697"/>
      <c r="H308" s="695"/>
      <c r="I308" s="698"/>
      <c r="J308" s="698"/>
      <c r="K308" s="674">
        <v>0.56000000000000005</v>
      </c>
      <c r="L308" s="698"/>
      <c r="M308" s="698"/>
      <c r="N308" s="698"/>
      <c r="O308" s="698"/>
      <c r="P308" s="698"/>
      <c r="Q308" s="674"/>
      <c r="R308" s="674"/>
      <c r="S308" s="696"/>
      <c r="T308" s="696"/>
      <c r="U308" s="696"/>
      <c r="V308" s="696"/>
      <c r="W308" s="696"/>
      <c r="X308" s="696"/>
      <c r="Y308" s="696"/>
      <c r="Z308" s="696"/>
      <c r="AA308" s="696"/>
      <c r="AB308" s="696"/>
      <c r="AC308" s="696"/>
      <c r="AD308" s="696"/>
      <c r="AE308" s="696"/>
      <c r="AF308" s="696"/>
      <c r="AG308" s="696"/>
      <c r="AH308" s="696"/>
      <c r="AI308" s="696"/>
      <c r="AJ308" s="696"/>
      <c r="AK308" s="696"/>
      <c r="AL308" s="696"/>
      <c r="AM308" s="696"/>
      <c r="AN308" s="696"/>
      <c r="AO308" s="696"/>
      <c r="AP308" s="696"/>
      <c r="AQ308" s="696"/>
      <c r="AT308" s="696"/>
      <c r="AU308" s="674"/>
      <c r="AV308" s="674"/>
      <c r="AW308" s="674"/>
      <c r="AX308" s="674"/>
      <c r="AY308" s="674"/>
      <c r="AZ308" s="674"/>
      <c r="BA308" s="674"/>
      <c r="BB308" s="674"/>
    </row>
    <row r="309" spans="1:54">
      <c r="A309" s="674" t="s">
        <v>390</v>
      </c>
      <c r="B309" s="674"/>
      <c r="C309" s="674"/>
      <c r="D309" s="673"/>
      <c r="E309" s="674"/>
      <c r="F309" s="674" t="s">
        <v>368</v>
      </c>
      <c r="G309" s="697"/>
      <c r="H309" s="695"/>
      <c r="I309" s="698"/>
      <c r="J309" s="698"/>
      <c r="K309" s="674"/>
      <c r="L309" s="698"/>
      <c r="M309" s="698"/>
      <c r="N309" s="698"/>
      <c r="O309" s="698"/>
      <c r="P309" s="698"/>
      <c r="Q309" s="674"/>
      <c r="R309" s="674"/>
      <c r="S309" s="696"/>
      <c r="T309" s="696"/>
      <c r="U309" s="696"/>
      <c r="V309" s="696"/>
      <c r="W309" s="696"/>
      <c r="X309" s="696"/>
      <c r="Y309" s="696"/>
      <c r="Z309" s="696"/>
      <c r="AA309" s="696"/>
      <c r="AB309" s="696"/>
      <c r="AC309" s="696"/>
      <c r="AD309" s="696"/>
      <c r="AE309" s="696"/>
      <c r="AF309" s="696"/>
      <c r="AG309" s="696"/>
      <c r="AH309" s="696"/>
      <c r="AI309" s="696"/>
      <c r="AJ309" s="696"/>
      <c r="AK309" s="696"/>
      <c r="AL309" s="696"/>
      <c r="AM309" s="696"/>
      <c r="AN309" s="696"/>
      <c r="AO309" s="696"/>
      <c r="AP309" s="696"/>
      <c r="AQ309" s="696"/>
      <c r="AT309" s="696"/>
      <c r="AU309" s="674"/>
      <c r="AV309" s="674"/>
      <c r="AW309" s="674"/>
      <c r="AX309" s="674"/>
      <c r="AY309" s="674"/>
      <c r="AZ309" s="674"/>
      <c r="BA309" s="674"/>
      <c r="BB309" s="674"/>
    </row>
    <row r="310" spans="1:54">
      <c r="A310" s="674" t="s">
        <v>390</v>
      </c>
      <c r="B310" s="674" t="s">
        <v>2691</v>
      </c>
      <c r="C310" s="674" t="s">
        <v>2690</v>
      </c>
      <c r="D310" s="673" t="s">
        <v>348</v>
      </c>
      <c r="E310" s="674" t="s">
        <v>349</v>
      </c>
      <c r="F310" s="674"/>
      <c r="G310" s="697">
        <v>2030</v>
      </c>
      <c r="H310" s="695">
        <v>30</v>
      </c>
      <c r="I310" s="698">
        <v>86.7</v>
      </c>
      <c r="J310" s="698">
        <v>1</v>
      </c>
      <c r="K310" s="674">
        <v>0.44</v>
      </c>
      <c r="L310" s="698">
        <v>0.1</v>
      </c>
      <c r="M310" s="698">
        <v>0.1</v>
      </c>
      <c r="N310" s="698">
        <v>0.1</v>
      </c>
      <c r="O310" s="698">
        <v>0.1</v>
      </c>
      <c r="P310" s="698">
        <v>0.1</v>
      </c>
      <c r="Q310" s="674"/>
      <c r="R310" s="674">
        <v>0.45</v>
      </c>
      <c r="S310" s="696"/>
      <c r="T310" s="696"/>
      <c r="U310" s="696"/>
      <c r="V310" s="696"/>
      <c r="W310" s="696"/>
      <c r="X310" s="696"/>
      <c r="Y310" s="696"/>
      <c r="Z310" s="696"/>
      <c r="AA310" s="696"/>
      <c r="AB310" s="696"/>
      <c r="AC310" s="696"/>
      <c r="AD310" s="696"/>
      <c r="AE310" s="696"/>
      <c r="AF310" s="696"/>
      <c r="AG310" s="696"/>
      <c r="AH310" s="696"/>
      <c r="AI310" s="696"/>
      <c r="AJ310" s="696"/>
      <c r="AK310" s="696"/>
      <c r="AL310" s="696"/>
      <c r="AM310" s="696"/>
      <c r="AN310" s="696"/>
      <c r="AO310" s="696"/>
      <c r="AP310" s="696"/>
      <c r="AQ310" s="696"/>
      <c r="AT310" s="696"/>
      <c r="AU310" s="674"/>
      <c r="AV310" s="674"/>
      <c r="AW310" s="674"/>
      <c r="AX310" s="674"/>
      <c r="AY310" s="674"/>
      <c r="AZ310" s="674"/>
      <c r="BA310" s="674"/>
      <c r="BB310" s="674"/>
    </row>
    <row r="311" spans="1:54">
      <c r="A311" s="674" t="s">
        <v>390</v>
      </c>
      <c r="B311" s="674"/>
      <c r="C311" s="674"/>
      <c r="D311" s="673"/>
      <c r="E311" s="674" t="s">
        <v>863</v>
      </c>
      <c r="F311" s="674"/>
      <c r="G311" s="697"/>
      <c r="H311" s="695"/>
      <c r="I311" s="698"/>
      <c r="J311" s="698"/>
      <c r="K311" s="674">
        <v>0.56000000000000005</v>
      </c>
      <c r="L311" s="698"/>
      <c r="M311" s="698"/>
      <c r="N311" s="698"/>
      <c r="O311" s="698"/>
      <c r="P311" s="698"/>
      <c r="Q311" s="674"/>
      <c r="R311" s="674"/>
      <c r="S311" s="696"/>
      <c r="T311" s="696"/>
      <c r="U311" s="696"/>
      <c r="V311" s="696"/>
      <c r="W311" s="696"/>
      <c r="X311" s="696"/>
      <c r="Y311" s="696"/>
      <c r="Z311" s="696"/>
      <c r="AA311" s="696"/>
      <c r="AB311" s="696"/>
      <c r="AC311" s="696"/>
      <c r="AD311" s="696"/>
      <c r="AE311" s="696"/>
      <c r="AF311" s="696"/>
      <c r="AG311" s="696"/>
      <c r="AH311" s="696"/>
      <c r="AI311" s="696"/>
      <c r="AJ311" s="696"/>
      <c r="AK311" s="696"/>
      <c r="AL311" s="696"/>
      <c r="AM311" s="696"/>
      <c r="AN311" s="696"/>
      <c r="AO311" s="696"/>
      <c r="AP311" s="696"/>
      <c r="AQ311" s="696"/>
      <c r="AT311" s="696"/>
      <c r="AU311" s="674"/>
      <c r="AV311" s="674"/>
      <c r="AW311" s="674"/>
      <c r="AX311" s="674"/>
      <c r="AY311" s="674"/>
      <c r="AZ311" s="674"/>
      <c r="BA311" s="674"/>
      <c r="BB311" s="674"/>
    </row>
    <row r="312" spans="1:54">
      <c r="A312" s="674" t="s">
        <v>390</v>
      </c>
      <c r="B312" s="674"/>
      <c r="C312" s="674"/>
      <c r="D312" s="673"/>
      <c r="E312" s="674"/>
      <c r="F312" s="674" t="s">
        <v>368</v>
      </c>
      <c r="G312" s="697"/>
      <c r="H312" s="695"/>
      <c r="I312" s="698"/>
      <c r="J312" s="698"/>
      <c r="K312" s="674"/>
      <c r="L312" s="698"/>
      <c r="M312" s="698"/>
      <c r="N312" s="698"/>
      <c r="O312" s="698"/>
      <c r="P312" s="698"/>
      <c r="Q312" s="674"/>
      <c r="R312" s="674"/>
      <c r="S312" s="696"/>
      <c r="T312" s="696"/>
      <c r="U312" s="696"/>
      <c r="V312" s="696"/>
      <c r="W312" s="696"/>
      <c r="X312" s="696"/>
      <c r="Y312" s="696"/>
      <c r="Z312" s="696"/>
      <c r="AA312" s="696"/>
      <c r="AB312" s="696"/>
      <c r="AC312" s="696"/>
      <c r="AD312" s="696"/>
      <c r="AE312" s="696"/>
      <c r="AF312" s="696"/>
      <c r="AG312" s="696"/>
      <c r="AH312" s="696"/>
      <c r="AI312" s="696"/>
      <c r="AJ312" s="696"/>
      <c r="AK312" s="696"/>
      <c r="AL312" s="696"/>
      <c r="AM312" s="696"/>
      <c r="AN312" s="696"/>
      <c r="AO312" s="696"/>
      <c r="AP312" s="696"/>
      <c r="AQ312" s="696"/>
      <c r="AT312" s="696"/>
      <c r="AU312" s="674"/>
      <c r="AV312" s="674"/>
      <c r="AW312" s="674"/>
      <c r="AX312" s="674"/>
      <c r="AY312" s="674"/>
      <c r="AZ312" s="674"/>
      <c r="BA312" s="674"/>
      <c r="BB312" s="674"/>
    </row>
    <row r="313" spans="1:54">
      <c r="A313" s="674" t="s">
        <v>390</v>
      </c>
      <c r="B313" s="674" t="s">
        <v>2695</v>
      </c>
      <c r="C313" s="674" t="s">
        <v>2692</v>
      </c>
      <c r="D313" s="673" t="s">
        <v>348</v>
      </c>
      <c r="E313" s="674" t="s">
        <v>349</v>
      </c>
      <c r="F313" s="674"/>
      <c r="G313" s="697">
        <v>2040</v>
      </c>
      <c r="H313" s="695">
        <v>15</v>
      </c>
      <c r="I313" s="698">
        <v>55.96</v>
      </c>
      <c r="J313" s="698">
        <v>1</v>
      </c>
      <c r="K313" s="674">
        <v>0.44</v>
      </c>
      <c r="L313" s="698">
        <v>0.1</v>
      </c>
      <c r="M313" s="698">
        <v>0.1</v>
      </c>
      <c r="N313" s="698">
        <v>0.1</v>
      </c>
      <c r="O313" s="698">
        <v>0.1</v>
      </c>
      <c r="P313" s="698">
        <v>0.1</v>
      </c>
      <c r="Q313" s="674"/>
      <c r="R313" s="674">
        <v>0.45</v>
      </c>
      <c r="S313" s="696"/>
      <c r="T313" s="696"/>
      <c r="U313" s="696"/>
      <c r="V313" s="696"/>
      <c r="W313" s="696"/>
      <c r="X313" s="696"/>
      <c r="Y313" s="696"/>
      <c r="Z313" s="696"/>
      <c r="AA313" s="696"/>
      <c r="AB313" s="696"/>
      <c r="AC313" s="696"/>
      <c r="AD313" s="696"/>
      <c r="AE313" s="696"/>
      <c r="AF313" s="696"/>
      <c r="AG313" s="696"/>
      <c r="AH313" s="696"/>
      <c r="AI313" s="696"/>
      <c r="AJ313" s="696"/>
      <c r="AK313" s="696"/>
      <c r="AL313" s="696"/>
      <c r="AM313" s="696"/>
      <c r="AN313" s="696"/>
      <c r="AO313" s="696"/>
      <c r="AP313" s="696"/>
      <c r="AQ313" s="696"/>
      <c r="AT313" s="696"/>
      <c r="AU313" s="674"/>
      <c r="AV313" s="674"/>
      <c r="AW313" s="674"/>
      <c r="AX313" s="674"/>
      <c r="AY313" s="674"/>
      <c r="AZ313" s="674"/>
      <c r="BA313" s="674"/>
      <c r="BB313" s="674"/>
    </row>
    <row r="314" spans="1:54">
      <c r="A314" s="674" t="s">
        <v>390</v>
      </c>
      <c r="B314" s="674"/>
      <c r="C314" s="674"/>
      <c r="D314" s="673"/>
      <c r="E314" s="674" t="s">
        <v>863</v>
      </c>
      <c r="F314" s="674"/>
      <c r="G314" s="697"/>
      <c r="H314" s="695"/>
      <c r="I314" s="698"/>
      <c r="J314" s="698"/>
      <c r="K314" s="674">
        <v>0.56000000000000005</v>
      </c>
      <c r="L314" s="698"/>
      <c r="M314" s="698"/>
      <c r="N314" s="698"/>
      <c r="O314" s="698"/>
      <c r="P314" s="698"/>
      <c r="Q314" s="674"/>
      <c r="R314" s="674"/>
      <c r="S314" s="696"/>
      <c r="T314" s="696"/>
      <c r="U314" s="696"/>
      <c r="V314" s="696"/>
      <c r="W314" s="696"/>
      <c r="X314" s="696"/>
      <c r="Y314" s="696"/>
      <c r="Z314" s="696"/>
      <c r="AA314" s="696"/>
      <c r="AB314" s="696"/>
      <c r="AC314" s="696"/>
      <c r="AD314" s="696"/>
      <c r="AE314" s="696"/>
      <c r="AF314" s="696"/>
      <c r="AG314" s="696"/>
      <c r="AH314" s="696"/>
      <c r="AI314" s="696"/>
      <c r="AJ314" s="696"/>
      <c r="AK314" s="696"/>
      <c r="AL314" s="696"/>
      <c r="AM314" s="696"/>
      <c r="AN314" s="696"/>
      <c r="AO314" s="696"/>
      <c r="AP314" s="696"/>
      <c r="AQ314" s="696"/>
      <c r="AT314" s="696"/>
      <c r="AU314" s="674"/>
      <c r="AV314" s="674"/>
      <c r="AW314" s="674"/>
      <c r="AX314" s="674"/>
      <c r="AY314" s="674"/>
      <c r="AZ314" s="674"/>
      <c r="BA314" s="674"/>
      <c r="BB314" s="674"/>
    </row>
    <row r="315" spans="1:54">
      <c r="A315" s="674" t="s">
        <v>390</v>
      </c>
      <c r="B315" s="674"/>
      <c r="C315" s="674"/>
      <c r="D315" s="673"/>
      <c r="E315" s="674"/>
      <c r="F315" s="674" t="s">
        <v>368</v>
      </c>
      <c r="G315" s="697"/>
      <c r="H315" s="695"/>
      <c r="I315" s="698"/>
      <c r="J315" s="698"/>
      <c r="K315" s="674"/>
      <c r="L315" s="698"/>
      <c r="M315" s="698"/>
      <c r="N315" s="698"/>
      <c r="O315" s="698"/>
      <c r="P315" s="698"/>
      <c r="Q315" s="674"/>
      <c r="R315" s="674"/>
      <c r="S315" s="696"/>
      <c r="T315" s="696"/>
      <c r="U315" s="696"/>
      <c r="V315" s="696"/>
      <c r="W315" s="696"/>
      <c r="X315" s="696"/>
      <c r="Y315" s="696"/>
      <c r="Z315" s="696"/>
      <c r="AA315" s="696"/>
      <c r="AB315" s="696"/>
      <c r="AC315" s="696"/>
      <c r="AD315" s="696"/>
      <c r="AE315" s="696"/>
      <c r="AF315" s="696"/>
      <c r="AG315" s="696"/>
      <c r="AH315" s="696"/>
      <c r="AI315" s="696"/>
      <c r="AJ315" s="696"/>
      <c r="AK315" s="696"/>
      <c r="AL315" s="696"/>
      <c r="AM315" s="696"/>
      <c r="AN315" s="696"/>
      <c r="AO315" s="696"/>
      <c r="AP315" s="696"/>
      <c r="AQ315" s="696"/>
      <c r="AT315" s="696"/>
      <c r="AU315" s="674"/>
      <c r="AV315" s="674"/>
      <c r="AW315" s="674"/>
      <c r="AX315" s="674"/>
      <c r="AY315" s="674"/>
      <c r="AZ315" s="674"/>
      <c r="BA315" s="674"/>
      <c r="BB315" s="674"/>
    </row>
    <row r="316" spans="1:54">
      <c r="A316" s="674" t="s">
        <v>390</v>
      </c>
      <c r="B316" s="674" t="s">
        <v>2694</v>
      </c>
      <c r="C316" s="674" t="s">
        <v>2693</v>
      </c>
      <c r="D316" s="673" t="s">
        <v>348</v>
      </c>
      <c r="E316" s="674" t="s">
        <v>349</v>
      </c>
      <c r="F316" s="674"/>
      <c r="G316" s="697">
        <v>2040</v>
      </c>
      <c r="H316" s="695">
        <v>30</v>
      </c>
      <c r="I316" s="698">
        <v>86.7</v>
      </c>
      <c r="J316" s="698">
        <v>1</v>
      </c>
      <c r="K316" s="674">
        <v>0.44</v>
      </c>
      <c r="L316" s="698">
        <v>0.1</v>
      </c>
      <c r="M316" s="698">
        <v>0.1</v>
      </c>
      <c r="N316" s="698">
        <v>0.1</v>
      </c>
      <c r="O316" s="698">
        <v>0.1</v>
      </c>
      <c r="P316" s="698">
        <v>0.1</v>
      </c>
      <c r="Q316" s="674"/>
      <c r="R316" s="674">
        <v>0.45</v>
      </c>
      <c r="S316" s="696"/>
      <c r="T316" s="696"/>
      <c r="U316" s="696"/>
      <c r="V316" s="696"/>
      <c r="W316" s="696"/>
      <c r="X316" s="696"/>
      <c r="Y316" s="696"/>
      <c r="Z316" s="696"/>
      <c r="AA316" s="696"/>
      <c r="AB316" s="696"/>
      <c r="AC316" s="696"/>
      <c r="AD316" s="696"/>
      <c r="AE316" s="696"/>
      <c r="AF316" s="696"/>
      <c r="AG316" s="696"/>
      <c r="AH316" s="696"/>
      <c r="AI316" s="696"/>
      <c r="AJ316" s="696"/>
      <c r="AK316" s="696"/>
      <c r="AL316" s="696"/>
      <c r="AM316" s="696"/>
      <c r="AN316" s="696"/>
      <c r="AO316" s="696"/>
      <c r="AP316" s="696"/>
      <c r="AQ316" s="696"/>
      <c r="AT316" s="696"/>
      <c r="AU316" s="674"/>
      <c r="AV316" s="674"/>
      <c r="AW316" s="674"/>
      <c r="AX316" s="674"/>
      <c r="AY316" s="674"/>
      <c r="AZ316" s="674"/>
      <c r="BA316" s="674"/>
      <c r="BB316" s="674"/>
    </row>
    <row r="317" spans="1:54">
      <c r="A317" s="674" t="s">
        <v>390</v>
      </c>
      <c r="B317" s="674"/>
      <c r="C317" s="674"/>
      <c r="D317" s="673"/>
      <c r="E317" s="674" t="s">
        <v>863</v>
      </c>
      <c r="F317" s="674"/>
      <c r="G317" s="697"/>
      <c r="H317" s="695"/>
      <c r="I317" s="698"/>
      <c r="J317" s="698"/>
      <c r="K317" s="674">
        <v>0.56000000000000005</v>
      </c>
      <c r="L317" s="698"/>
      <c r="M317" s="698"/>
      <c r="N317" s="698"/>
      <c r="O317" s="698"/>
      <c r="P317" s="698"/>
      <c r="Q317" s="674"/>
      <c r="R317" s="674"/>
      <c r="S317" s="696"/>
      <c r="T317" s="696"/>
      <c r="U317" s="696"/>
      <c r="V317" s="696"/>
      <c r="W317" s="696"/>
      <c r="X317" s="696"/>
      <c r="Y317" s="696"/>
      <c r="Z317" s="696"/>
      <c r="AA317" s="696"/>
      <c r="AB317" s="696"/>
      <c r="AC317" s="696"/>
      <c r="AD317" s="696"/>
      <c r="AE317" s="696"/>
      <c r="AF317" s="696"/>
      <c r="AG317" s="696"/>
      <c r="AH317" s="696"/>
      <c r="AI317" s="696"/>
      <c r="AJ317" s="696"/>
      <c r="AK317" s="696"/>
      <c r="AL317" s="696"/>
      <c r="AM317" s="696"/>
      <c r="AN317" s="696"/>
      <c r="AO317" s="696"/>
      <c r="AP317" s="696"/>
      <c r="AQ317" s="696"/>
      <c r="AT317" s="696"/>
      <c r="AU317" s="674"/>
      <c r="AV317" s="674"/>
      <c r="AW317" s="674"/>
      <c r="AX317" s="674"/>
      <c r="AY317" s="674"/>
      <c r="AZ317" s="674"/>
      <c r="BA317" s="674"/>
      <c r="BB317" s="674"/>
    </row>
    <row r="318" spans="1:54">
      <c r="A318" s="674" t="s">
        <v>390</v>
      </c>
      <c r="B318" s="674"/>
      <c r="C318" s="674"/>
      <c r="D318" s="673"/>
      <c r="E318" s="674"/>
      <c r="F318" s="674" t="s">
        <v>368</v>
      </c>
      <c r="G318" s="697"/>
      <c r="H318" s="695"/>
      <c r="I318" s="698"/>
      <c r="J318" s="698"/>
      <c r="K318" s="674"/>
      <c r="L318" s="698"/>
      <c r="M318" s="698"/>
      <c r="N318" s="698"/>
      <c r="O318" s="698"/>
      <c r="P318" s="698"/>
      <c r="Q318" s="674"/>
      <c r="R318" s="674"/>
      <c r="S318" s="696"/>
      <c r="T318" s="696"/>
      <c r="U318" s="696"/>
      <c r="V318" s="696"/>
      <c r="W318" s="696"/>
      <c r="X318" s="696"/>
      <c r="Y318" s="696"/>
      <c r="Z318" s="696"/>
      <c r="AA318" s="696"/>
      <c r="AB318" s="696"/>
      <c r="AC318" s="696"/>
      <c r="AD318" s="696"/>
      <c r="AE318" s="696"/>
      <c r="AF318" s="696"/>
      <c r="AG318" s="696"/>
      <c r="AH318" s="696"/>
      <c r="AI318" s="696"/>
      <c r="AJ318" s="696"/>
      <c r="AK318" s="696"/>
      <c r="AL318" s="696"/>
      <c r="AM318" s="696"/>
      <c r="AN318" s="696"/>
      <c r="AO318" s="696"/>
      <c r="AP318" s="696"/>
      <c r="AQ318" s="696"/>
      <c r="AT318" s="696"/>
      <c r="AU318" s="674"/>
      <c r="AV318" s="674"/>
      <c r="AW318" s="674"/>
      <c r="AX318" s="674"/>
      <c r="AY318" s="674"/>
      <c r="AZ318" s="674"/>
      <c r="BA318" s="674"/>
      <c r="BB318" s="674"/>
    </row>
    <row r="319" spans="1:54">
      <c r="A319" s="674" t="s">
        <v>390</v>
      </c>
      <c r="B319" s="674" t="s">
        <v>2698</v>
      </c>
      <c r="C319" s="674" t="s">
        <v>2696</v>
      </c>
      <c r="D319" s="673" t="s">
        <v>348</v>
      </c>
      <c r="E319" s="674" t="s">
        <v>349</v>
      </c>
      <c r="F319" s="674"/>
      <c r="G319" s="697">
        <v>2050</v>
      </c>
      <c r="H319" s="695">
        <v>15</v>
      </c>
      <c r="I319" s="698">
        <v>55.96</v>
      </c>
      <c r="J319" s="698">
        <v>1</v>
      </c>
      <c r="K319" s="674">
        <v>0.44</v>
      </c>
      <c r="L319" s="698">
        <v>0.1</v>
      </c>
      <c r="M319" s="698">
        <v>0.1</v>
      </c>
      <c r="N319" s="698">
        <v>0.1</v>
      </c>
      <c r="O319" s="698">
        <v>0.1</v>
      </c>
      <c r="P319" s="698">
        <v>0.1</v>
      </c>
      <c r="Q319" s="674"/>
      <c r="R319" s="674">
        <v>0.45</v>
      </c>
      <c r="S319" s="696"/>
      <c r="T319" s="696"/>
      <c r="U319" s="696"/>
      <c r="V319" s="696"/>
      <c r="W319" s="696"/>
      <c r="X319" s="696"/>
      <c r="Y319" s="696"/>
      <c r="Z319" s="696"/>
      <c r="AA319" s="696"/>
      <c r="AB319" s="696"/>
      <c r="AC319" s="696"/>
      <c r="AD319" s="696"/>
      <c r="AE319" s="696"/>
      <c r="AF319" s="696"/>
      <c r="AG319" s="696"/>
      <c r="AH319" s="696"/>
      <c r="AI319" s="696"/>
      <c r="AJ319" s="696"/>
      <c r="AK319" s="696"/>
      <c r="AL319" s="696"/>
      <c r="AM319" s="696"/>
      <c r="AN319" s="696"/>
      <c r="AO319" s="696"/>
      <c r="AP319" s="696"/>
      <c r="AQ319" s="696"/>
      <c r="AT319" s="696"/>
      <c r="AU319" s="674"/>
      <c r="AV319" s="674"/>
      <c r="AW319" s="674"/>
      <c r="AX319" s="674"/>
      <c r="AY319" s="674"/>
      <c r="AZ319" s="674"/>
      <c r="BA319" s="674"/>
      <c r="BB319" s="674"/>
    </row>
    <row r="320" spans="1:54">
      <c r="A320" s="674" t="s">
        <v>390</v>
      </c>
      <c r="B320" s="674"/>
      <c r="C320" s="674"/>
      <c r="D320" s="673"/>
      <c r="E320" s="674" t="s">
        <v>863</v>
      </c>
      <c r="F320" s="674"/>
      <c r="G320" s="697"/>
      <c r="H320" s="695"/>
      <c r="I320" s="698"/>
      <c r="J320" s="698"/>
      <c r="K320" s="674">
        <v>0.56000000000000005</v>
      </c>
      <c r="L320" s="698"/>
      <c r="M320" s="698"/>
      <c r="N320" s="698"/>
      <c r="O320" s="698"/>
      <c r="P320" s="698"/>
      <c r="Q320" s="674"/>
      <c r="R320" s="674"/>
      <c r="S320" s="696"/>
      <c r="T320" s="696"/>
      <c r="U320" s="696"/>
      <c r="V320" s="696"/>
      <c r="W320" s="696"/>
      <c r="X320" s="696"/>
      <c r="Y320" s="696"/>
      <c r="Z320" s="696"/>
      <c r="AA320" s="696"/>
      <c r="AB320" s="696"/>
      <c r="AC320" s="696"/>
      <c r="AD320" s="696"/>
      <c r="AE320" s="696"/>
      <c r="AF320" s="696"/>
      <c r="AG320" s="696"/>
      <c r="AH320" s="696"/>
      <c r="AI320" s="696"/>
      <c r="AJ320" s="696"/>
      <c r="AK320" s="696"/>
      <c r="AL320" s="696"/>
      <c r="AM320" s="696"/>
      <c r="AN320" s="696"/>
      <c r="AO320" s="696"/>
      <c r="AP320" s="696"/>
      <c r="AQ320" s="696"/>
      <c r="AT320" s="696"/>
      <c r="AU320" s="674"/>
      <c r="AV320" s="674"/>
      <c r="AW320" s="674"/>
      <c r="AX320" s="674"/>
      <c r="AY320" s="674"/>
      <c r="AZ320" s="674"/>
      <c r="BA320" s="674"/>
      <c r="BB320" s="674"/>
    </row>
    <row r="321" spans="1:54">
      <c r="A321" s="674" t="s">
        <v>390</v>
      </c>
      <c r="B321" s="674"/>
      <c r="C321" s="674"/>
      <c r="D321" s="673"/>
      <c r="E321" s="674"/>
      <c r="F321" s="674" t="s">
        <v>368</v>
      </c>
      <c r="G321" s="697"/>
      <c r="H321" s="695"/>
      <c r="I321" s="698"/>
      <c r="J321" s="698"/>
      <c r="K321" s="674"/>
      <c r="L321" s="698"/>
      <c r="M321" s="698"/>
      <c r="N321" s="698"/>
      <c r="O321" s="698"/>
      <c r="P321" s="698"/>
      <c r="Q321" s="674"/>
      <c r="R321" s="674"/>
      <c r="S321" s="696"/>
      <c r="T321" s="696"/>
      <c r="U321" s="696"/>
      <c r="V321" s="696"/>
      <c r="W321" s="696"/>
      <c r="X321" s="696"/>
      <c r="Y321" s="696"/>
      <c r="Z321" s="696"/>
      <c r="AA321" s="696"/>
      <c r="AB321" s="696"/>
      <c r="AC321" s="696"/>
      <c r="AD321" s="696"/>
      <c r="AE321" s="696"/>
      <c r="AF321" s="696"/>
      <c r="AG321" s="696"/>
      <c r="AH321" s="696"/>
      <c r="AI321" s="696"/>
      <c r="AJ321" s="696"/>
      <c r="AK321" s="696"/>
      <c r="AL321" s="696"/>
      <c r="AM321" s="696"/>
      <c r="AN321" s="696"/>
      <c r="AO321" s="696"/>
      <c r="AP321" s="696"/>
      <c r="AQ321" s="696"/>
      <c r="AT321" s="696"/>
      <c r="AU321" s="674"/>
      <c r="AV321" s="674"/>
      <c r="AW321" s="674"/>
      <c r="AX321" s="674"/>
      <c r="AY321" s="674"/>
      <c r="AZ321" s="674"/>
      <c r="BA321" s="674"/>
      <c r="BB321" s="674"/>
    </row>
    <row r="322" spans="1:54">
      <c r="A322" s="674" t="s">
        <v>390</v>
      </c>
      <c r="B322" s="674" t="s">
        <v>2697</v>
      </c>
      <c r="C322" s="674" t="s">
        <v>2696</v>
      </c>
      <c r="D322" s="673" t="s">
        <v>348</v>
      </c>
      <c r="E322" s="674" t="s">
        <v>349</v>
      </c>
      <c r="F322" s="674"/>
      <c r="G322" s="697">
        <v>2050</v>
      </c>
      <c r="H322" s="695">
        <v>30</v>
      </c>
      <c r="I322" s="698">
        <v>86.7</v>
      </c>
      <c r="J322" s="698">
        <v>1</v>
      </c>
      <c r="K322" s="674">
        <v>0.44</v>
      </c>
      <c r="L322" s="698">
        <v>0.1</v>
      </c>
      <c r="M322" s="698">
        <v>0.1</v>
      </c>
      <c r="N322" s="698">
        <v>0.1</v>
      </c>
      <c r="O322" s="698">
        <v>0.1</v>
      </c>
      <c r="P322" s="698">
        <v>0.1</v>
      </c>
      <c r="Q322" s="674"/>
      <c r="R322" s="674">
        <v>0.45</v>
      </c>
      <c r="S322" s="696"/>
      <c r="T322" s="696"/>
      <c r="U322" s="696"/>
      <c r="V322" s="696"/>
      <c r="W322" s="696"/>
      <c r="X322" s="696"/>
      <c r="Y322" s="696"/>
      <c r="Z322" s="696"/>
      <c r="AA322" s="696"/>
      <c r="AB322" s="696"/>
      <c r="AC322" s="696"/>
      <c r="AD322" s="696"/>
      <c r="AE322" s="696"/>
      <c r="AF322" s="696"/>
      <c r="AG322" s="696"/>
      <c r="AH322" s="696"/>
      <c r="AI322" s="696"/>
      <c r="AJ322" s="696"/>
      <c r="AK322" s="696"/>
      <c r="AL322" s="696"/>
      <c r="AM322" s="696"/>
      <c r="AN322" s="696"/>
      <c r="AO322" s="696"/>
      <c r="AP322" s="696"/>
      <c r="AQ322" s="696"/>
      <c r="AT322" s="696"/>
      <c r="AU322" s="674"/>
      <c r="AV322" s="674"/>
      <c r="AW322" s="674"/>
      <c r="AX322" s="674"/>
      <c r="AY322" s="674"/>
      <c r="AZ322" s="674"/>
      <c r="BA322" s="674"/>
      <c r="BB322" s="674"/>
    </row>
    <row r="323" spans="1:54">
      <c r="A323" s="674" t="s">
        <v>390</v>
      </c>
      <c r="B323" s="674"/>
      <c r="C323" s="674"/>
      <c r="D323" s="673"/>
      <c r="E323" s="674" t="s">
        <v>863</v>
      </c>
      <c r="F323" s="674"/>
      <c r="G323" s="697"/>
      <c r="H323" s="695"/>
      <c r="I323" s="698"/>
      <c r="J323" s="698"/>
      <c r="K323" s="674">
        <v>0.56000000000000005</v>
      </c>
      <c r="L323" s="698"/>
      <c r="M323" s="698"/>
      <c r="N323" s="698"/>
      <c r="O323" s="698"/>
      <c r="P323" s="698"/>
      <c r="Q323" s="674"/>
      <c r="R323" s="674"/>
      <c r="S323" s="696"/>
      <c r="T323" s="696"/>
      <c r="U323" s="696"/>
      <c r="V323" s="696"/>
      <c r="W323" s="696"/>
      <c r="X323" s="696"/>
      <c r="Y323" s="696"/>
      <c r="Z323" s="696"/>
      <c r="AA323" s="696"/>
      <c r="AB323" s="696"/>
      <c r="AC323" s="696"/>
      <c r="AD323" s="696"/>
      <c r="AE323" s="696"/>
      <c r="AF323" s="696"/>
      <c r="AG323" s="696"/>
      <c r="AH323" s="696"/>
      <c r="AI323" s="696"/>
      <c r="AJ323" s="696"/>
      <c r="AK323" s="696"/>
      <c r="AL323" s="696"/>
      <c r="AM323" s="696"/>
      <c r="AN323" s="696"/>
      <c r="AO323" s="696"/>
      <c r="AP323" s="696"/>
      <c r="AQ323" s="696"/>
      <c r="AT323" s="696"/>
      <c r="AU323" s="674"/>
      <c r="AV323" s="674"/>
      <c r="AW323" s="674"/>
      <c r="AX323" s="674"/>
      <c r="AY323" s="674"/>
      <c r="AZ323" s="674"/>
      <c r="BA323" s="674"/>
      <c r="BB323" s="674"/>
    </row>
    <row r="324" spans="1:54">
      <c r="A324" s="674" t="s">
        <v>390</v>
      </c>
      <c r="B324" s="674"/>
      <c r="C324" s="674"/>
      <c r="D324" s="673"/>
      <c r="E324" s="674"/>
      <c r="F324" s="674" t="s">
        <v>368</v>
      </c>
      <c r="G324" s="697"/>
      <c r="H324" s="695"/>
      <c r="I324" s="698"/>
      <c r="J324" s="698"/>
      <c r="K324" s="674"/>
      <c r="L324" s="698"/>
      <c r="M324" s="698"/>
      <c r="N324" s="698"/>
      <c r="O324" s="698"/>
      <c r="P324" s="698"/>
      <c r="Q324" s="674"/>
      <c r="R324" s="674"/>
      <c r="S324" s="696"/>
      <c r="T324" s="696"/>
      <c r="U324" s="696"/>
      <c r="V324" s="696"/>
      <c r="W324" s="696"/>
      <c r="X324" s="696"/>
      <c r="Y324" s="696"/>
      <c r="Z324" s="696"/>
      <c r="AA324" s="696"/>
      <c r="AB324" s="696"/>
      <c r="AC324" s="696"/>
      <c r="AD324" s="696"/>
      <c r="AE324" s="696"/>
      <c r="AF324" s="696"/>
      <c r="AG324" s="696"/>
      <c r="AH324" s="696"/>
      <c r="AI324" s="696"/>
      <c r="AJ324" s="696"/>
      <c r="AK324" s="696"/>
      <c r="AL324" s="696"/>
      <c r="AM324" s="696"/>
      <c r="AN324" s="696"/>
      <c r="AO324" s="696"/>
      <c r="AP324" s="696"/>
      <c r="AQ324" s="696"/>
      <c r="AT324" s="696"/>
      <c r="AU324" s="674"/>
      <c r="AV324" s="674"/>
      <c r="AW324" s="674"/>
      <c r="AX324" s="674"/>
      <c r="AY324" s="674"/>
      <c r="AZ324" s="674"/>
      <c r="BA324" s="674"/>
      <c r="BB324" s="674"/>
    </row>
    <row r="325" spans="1:54" ht="15.75" customHeight="1">
      <c r="A325" s="684" t="s">
        <v>408</v>
      </c>
      <c r="B325" s="682"/>
      <c r="C325" s="682"/>
      <c r="D325" s="682"/>
      <c r="E325" s="684"/>
      <c r="F325" s="684"/>
      <c r="G325" s="704"/>
      <c r="H325" s="705"/>
      <c r="I325" s="705"/>
      <c r="J325" s="706"/>
      <c r="K325" s="705"/>
      <c r="L325" s="705"/>
      <c r="M325" s="705"/>
      <c r="N325" s="705"/>
      <c r="O325" s="705"/>
      <c r="P325" s="705"/>
      <c r="Q325" s="705"/>
      <c r="R325" s="706"/>
      <c r="S325" s="707"/>
      <c r="T325" s="707"/>
      <c r="U325" s="707"/>
      <c r="V325" s="707"/>
      <c r="W325" s="707"/>
      <c r="X325" s="707"/>
      <c r="Y325" s="707"/>
      <c r="Z325" s="707"/>
      <c r="AA325" s="707"/>
      <c r="AB325" s="707"/>
      <c r="AC325" s="707"/>
      <c r="AD325" s="707"/>
      <c r="AE325" s="707"/>
      <c r="AF325" s="707"/>
      <c r="AG325" s="707"/>
      <c r="AH325" s="707"/>
      <c r="AI325" s="707"/>
      <c r="AJ325" s="707"/>
      <c r="AK325" s="707"/>
      <c r="AL325" s="707"/>
      <c r="AM325" s="707"/>
      <c r="AN325" s="707"/>
      <c r="AO325" s="707"/>
      <c r="AP325" s="707"/>
      <c r="AQ325" s="708"/>
      <c r="AT325" s="708"/>
      <c r="AU325" s="682"/>
      <c r="AV325" s="682"/>
      <c r="AW325" s="682"/>
      <c r="AX325" s="682"/>
      <c r="AY325" s="682"/>
      <c r="AZ325" s="682"/>
      <c r="BA325" s="682"/>
      <c r="BB325" s="682"/>
    </row>
    <row r="326" spans="1:54">
      <c r="A326" s="674" t="s">
        <v>390</v>
      </c>
      <c r="B326" s="674" t="s">
        <v>1034</v>
      </c>
      <c r="C326" s="674" t="s">
        <v>1050</v>
      </c>
      <c r="D326" s="673" t="s">
        <v>348</v>
      </c>
      <c r="E326" s="674" t="str">
        <f>Commodities!$D$19</f>
        <v>RESELC</v>
      </c>
      <c r="F326" s="674" t="str">
        <f>Commodities!$D$16</f>
        <v>RRF</v>
      </c>
      <c r="G326" s="697">
        <v>2010</v>
      </c>
      <c r="H326" s="695">
        <v>15</v>
      </c>
      <c r="I326" s="698"/>
      <c r="J326" s="698">
        <f>'RTEKTY Conv'!H149</f>
        <v>0.41274057243344064</v>
      </c>
      <c r="K326" s="674">
        <v>1</v>
      </c>
      <c r="L326" s="698">
        <v>0</v>
      </c>
      <c r="M326" s="698">
        <v>0</v>
      </c>
      <c r="N326" s="698">
        <v>0</v>
      </c>
      <c r="O326" s="698">
        <v>0</v>
      </c>
      <c r="P326" s="698">
        <v>0</v>
      </c>
      <c r="Q326" s="674"/>
      <c r="R326" s="674">
        <v>0.18</v>
      </c>
      <c r="S326" s="700">
        <v>14.709046623791854</v>
      </c>
      <c r="T326" s="700">
        <v>7.9805438383817879</v>
      </c>
      <c r="U326" s="700">
        <v>9.1372867665236512</v>
      </c>
      <c r="V326" s="700">
        <v>2.7006704988814558</v>
      </c>
      <c r="W326" s="700">
        <v>12.963783038901443</v>
      </c>
      <c r="X326" s="700"/>
      <c r="Y326" s="700"/>
      <c r="Z326" s="700"/>
      <c r="AA326" s="700"/>
      <c r="AB326" s="700"/>
      <c r="AC326" s="700"/>
      <c r="AD326" s="700"/>
      <c r="AE326" s="700"/>
      <c r="AF326" s="700"/>
      <c r="AG326" s="700"/>
      <c r="AH326" s="696">
        <v>0</v>
      </c>
      <c r="AI326" s="696">
        <v>0</v>
      </c>
      <c r="AJ326" s="696">
        <v>0</v>
      </c>
      <c r="AK326" s="696">
        <v>0</v>
      </c>
      <c r="AL326" s="696">
        <v>0</v>
      </c>
      <c r="AM326" s="696">
        <v>0</v>
      </c>
      <c r="AN326" s="696">
        <v>0</v>
      </c>
      <c r="AO326" s="696">
        <v>0</v>
      </c>
      <c r="AP326" s="696">
        <v>0</v>
      </c>
      <c r="AQ326" s="696">
        <v>0</v>
      </c>
      <c r="AT326" s="696"/>
      <c r="AU326" s="674"/>
      <c r="AV326" s="674"/>
      <c r="AW326" s="674"/>
      <c r="AX326" s="674"/>
      <c r="AY326" s="674"/>
      <c r="AZ326" s="674"/>
      <c r="BA326" s="674"/>
      <c r="BB326" s="674"/>
    </row>
    <row r="327" spans="1:54">
      <c r="A327" s="674" t="s">
        <v>390</v>
      </c>
      <c r="B327" s="674" t="s">
        <v>1037</v>
      </c>
      <c r="C327" s="674" t="s">
        <v>1049</v>
      </c>
      <c r="D327" s="673" t="s">
        <v>348</v>
      </c>
      <c r="E327" s="674" t="str">
        <f>Commodities!$D$19</f>
        <v>RESELC</v>
      </c>
      <c r="F327" s="674" t="str">
        <f>Commodities!$D$16</f>
        <v>RRF</v>
      </c>
      <c r="G327" s="697" t="str">
        <f t="shared" ref="G327:G357" si="7">IF(RIGHT(B327,2)="TI",2010,CONCATENATE(20,RIGHT(B327,2)))</f>
        <v>2010</v>
      </c>
      <c r="H327" s="695">
        <v>15</v>
      </c>
      <c r="I327" s="698">
        <f>'RTEKTY Conv'!K150</f>
        <v>454.45159123020221</v>
      </c>
      <c r="J327" s="698">
        <f>'RTEKTY Conv'!H150</f>
        <v>0.54363992172211362</v>
      </c>
      <c r="K327" s="674">
        <v>1</v>
      </c>
      <c r="L327" s="698">
        <v>0</v>
      </c>
      <c r="M327" s="698">
        <v>0</v>
      </c>
      <c r="N327" s="698">
        <v>0</v>
      </c>
      <c r="O327" s="698">
        <v>0</v>
      </c>
      <c r="P327" s="698">
        <v>0</v>
      </c>
      <c r="Q327" s="674"/>
      <c r="R327" s="674">
        <v>0.18</v>
      </c>
      <c r="S327" s="696"/>
      <c r="T327" s="696"/>
      <c r="U327" s="696"/>
      <c r="V327" s="696"/>
      <c r="W327" s="696"/>
      <c r="X327" s="696"/>
      <c r="Y327" s="696"/>
      <c r="Z327" s="696"/>
      <c r="AA327" s="696"/>
      <c r="AB327" s="696"/>
      <c r="AC327" s="696"/>
      <c r="AD327" s="696"/>
      <c r="AE327" s="696"/>
      <c r="AF327" s="696"/>
      <c r="AG327" s="696"/>
      <c r="AH327" s="696"/>
      <c r="AI327" s="696"/>
      <c r="AJ327" s="696">
        <v>0</v>
      </c>
      <c r="AK327" s="696">
        <v>0</v>
      </c>
      <c r="AL327" s="696">
        <v>0</v>
      </c>
      <c r="AM327" s="696">
        <v>0</v>
      </c>
      <c r="AN327" s="696">
        <v>0</v>
      </c>
      <c r="AO327" s="696">
        <v>0</v>
      </c>
      <c r="AP327" s="696">
        <v>0</v>
      </c>
      <c r="AQ327" s="696">
        <v>0</v>
      </c>
      <c r="AT327" s="696"/>
      <c r="AU327" s="674"/>
      <c r="AV327" s="674"/>
      <c r="AW327" s="674"/>
      <c r="AX327" s="674"/>
      <c r="AY327" s="674"/>
      <c r="AZ327" s="674"/>
      <c r="BA327" s="674"/>
      <c r="BB327" s="674"/>
    </row>
    <row r="328" spans="1:54">
      <c r="A328" s="674" t="s">
        <v>390</v>
      </c>
      <c r="B328" s="674" t="s">
        <v>1038</v>
      </c>
      <c r="C328" s="674" t="s">
        <v>1051</v>
      </c>
      <c r="D328" s="673" t="s">
        <v>348</v>
      </c>
      <c r="E328" s="674" t="str">
        <f>Commodities!$D$19</f>
        <v>RESELC</v>
      </c>
      <c r="F328" s="674" t="str">
        <f>Commodities!$D$16</f>
        <v>RRF</v>
      </c>
      <c r="G328" s="697" t="str">
        <f t="shared" ref="G328:G333" si="8">IF(RIGHT(B328,2)="TI",2010,CONCATENATE(20,RIGHT(B328,2)))</f>
        <v>2015</v>
      </c>
      <c r="H328" s="695">
        <v>15</v>
      </c>
      <c r="I328" s="698">
        <f>'RTEKTY Conv'!K151</f>
        <v>477.17417079171236</v>
      </c>
      <c r="J328" s="698">
        <f>'RTEKTY Conv'!H151</f>
        <v>0.68088235294117649</v>
      </c>
      <c r="K328" s="674">
        <v>1</v>
      </c>
      <c r="L328" s="698">
        <v>0</v>
      </c>
      <c r="M328" s="698">
        <v>0</v>
      </c>
      <c r="N328" s="698">
        <v>0</v>
      </c>
      <c r="O328" s="698">
        <v>0</v>
      </c>
      <c r="P328" s="698">
        <v>0</v>
      </c>
      <c r="Q328" s="674"/>
      <c r="R328" s="674">
        <v>0.18</v>
      </c>
      <c r="S328" s="696"/>
      <c r="T328" s="696"/>
      <c r="U328" s="696"/>
      <c r="V328" s="696"/>
      <c r="W328" s="696"/>
      <c r="X328" s="696"/>
      <c r="Y328" s="696"/>
      <c r="Z328" s="696"/>
      <c r="AA328" s="696"/>
      <c r="AB328" s="696"/>
      <c r="AC328" s="696"/>
      <c r="AD328" s="696"/>
      <c r="AE328" s="696"/>
      <c r="AF328" s="696"/>
      <c r="AG328" s="696"/>
      <c r="AH328" s="696"/>
      <c r="AI328" s="696"/>
      <c r="AJ328" s="696"/>
      <c r="AK328" s="696"/>
      <c r="AL328" s="696"/>
      <c r="AM328" s="696"/>
      <c r="AN328" s="696"/>
      <c r="AO328" s="696"/>
      <c r="AP328" s="696"/>
      <c r="AQ328" s="696"/>
      <c r="AT328" s="696"/>
      <c r="AU328" s="674"/>
      <c r="AV328" s="674"/>
      <c r="AW328" s="674"/>
      <c r="AX328" s="674"/>
      <c r="AY328" s="674"/>
      <c r="AZ328" s="674"/>
      <c r="BA328" s="674"/>
      <c r="BB328" s="674"/>
    </row>
    <row r="329" spans="1:54">
      <c r="A329" s="674" t="s">
        <v>390</v>
      </c>
      <c r="B329" s="674" t="s">
        <v>1040</v>
      </c>
      <c r="C329" s="674" t="s">
        <v>1052</v>
      </c>
      <c r="D329" s="673" t="s">
        <v>348</v>
      </c>
      <c r="E329" s="674" t="str">
        <f>Commodities!$D$19</f>
        <v>RESELC</v>
      </c>
      <c r="F329" s="674" t="str">
        <f>Commodities!$D$16</f>
        <v>RRF</v>
      </c>
      <c r="G329" s="697" t="str">
        <f t="shared" si="8"/>
        <v>2010</v>
      </c>
      <c r="H329" s="695">
        <v>15</v>
      </c>
      <c r="I329" s="698">
        <f>'RTEKTY Conv'!K152</f>
        <v>522.61932991473259</v>
      </c>
      <c r="J329" s="698">
        <f>'RTEKTY Conv'!H152</f>
        <v>0.68088235294117649</v>
      </c>
      <c r="K329" s="674">
        <v>1</v>
      </c>
      <c r="L329" s="698">
        <v>0</v>
      </c>
      <c r="M329" s="698">
        <v>0</v>
      </c>
      <c r="N329" s="698">
        <v>0</v>
      </c>
      <c r="O329" s="698">
        <v>0</v>
      </c>
      <c r="P329" s="698">
        <v>0</v>
      </c>
      <c r="Q329" s="674"/>
      <c r="R329" s="674">
        <v>0.18</v>
      </c>
      <c r="S329" s="696"/>
      <c r="T329" s="696"/>
      <c r="U329" s="696"/>
      <c r="V329" s="696"/>
      <c r="W329" s="696"/>
      <c r="X329" s="696"/>
      <c r="Y329" s="696"/>
      <c r="Z329" s="696"/>
      <c r="AA329" s="696"/>
      <c r="AB329" s="696"/>
      <c r="AC329" s="696"/>
      <c r="AD329" s="696"/>
      <c r="AE329" s="696"/>
      <c r="AF329" s="696"/>
      <c r="AG329" s="696"/>
      <c r="AH329" s="696"/>
      <c r="AI329" s="696"/>
      <c r="AJ329" s="696">
        <v>0</v>
      </c>
      <c r="AK329" s="696">
        <v>0</v>
      </c>
      <c r="AL329" s="696">
        <v>0</v>
      </c>
      <c r="AM329" s="696">
        <v>0</v>
      </c>
      <c r="AN329" s="696">
        <v>0</v>
      </c>
      <c r="AO329" s="696">
        <v>0</v>
      </c>
      <c r="AP329" s="696">
        <v>0</v>
      </c>
      <c r="AQ329" s="696">
        <v>0</v>
      </c>
      <c r="AT329" s="696"/>
      <c r="AU329" s="674"/>
      <c r="AV329" s="674"/>
      <c r="AW329" s="674"/>
      <c r="AX329" s="674"/>
      <c r="AY329" s="674"/>
      <c r="AZ329" s="674"/>
      <c r="BA329" s="674"/>
      <c r="BB329" s="674"/>
    </row>
    <row r="330" spans="1:54">
      <c r="A330" s="674" t="s">
        <v>390</v>
      </c>
      <c r="B330" s="674" t="s">
        <v>1041</v>
      </c>
      <c r="C330" s="674" t="s">
        <v>1053</v>
      </c>
      <c r="D330" s="673" t="s">
        <v>348</v>
      </c>
      <c r="E330" s="674" t="str">
        <f>Commodities!$D$19</f>
        <v>RESELC</v>
      </c>
      <c r="F330" s="674" t="str">
        <f>Commodities!$D$16</f>
        <v>RRF</v>
      </c>
      <c r="G330" s="697" t="str">
        <f t="shared" si="8"/>
        <v>2015</v>
      </c>
      <c r="H330" s="695">
        <v>15</v>
      </c>
      <c r="I330" s="698">
        <f>'RTEKTY Conv'!K153</f>
        <v>545.34190947624268</v>
      </c>
      <c r="J330" s="698">
        <f>'RTEKTY Conv'!H153</f>
        <v>0.81228070175438594</v>
      </c>
      <c r="K330" s="674">
        <v>1</v>
      </c>
      <c r="L330" s="698">
        <v>0</v>
      </c>
      <c r="M330" s="698">
        <v>0</v>
      </c>
      <c r="N330" s="698">
        <v>0</v>
      </c>
      <c r="O330" s="698">
        <v>0</v>
      </c>
      <c r="P330" s="698">
        <v>0</v>
      </c>
      <c r="Q330" s="674"/>
      <c r="R330" s="674">
        <v>0.18</v>
      </c>
      <c r="S330" s="696"/>
      <c r="T330" s="696"/>
      <c r="U330" s="696"/>
      <c r="V330" s="696"/>
      <c r="W330" s="696"/>
      <c r="X330" s="696"/>
      <c r="Y330" s="696"/>
      <c r="Z330" s="696"/>
      <c r="AA330" s="696"/>
      <c r="AB330" s="696"/>
      <c r="AC330" s="696"/>
      <c r="AD330" s="696"/>
      <c r="AE330" s="696"/>
      <c r="AF330" s="696"/>
      <c r="AG330" s="696"/>
      <c r="AH330" s="696"/>
      <c r="AI330" s="696"/>
      <c r="AJ330" s="696"/>
      <c r="AK330" s="696"/>
      <c r="AL330" s="696"/>
      <c r="AM330" s="696"/>
      <c r="AN330" s="696"/>
      <c r="AO330" s="696"/>
      <c r="AP330" s="696"/>
      <c r="AQ330" s="696"/>
      <c r="AT330" s="696"/>
      <c r="AU330" s="674"/>
      <c r="AV330" s="674"/>
      <c r="AW330" s="674"/>
      <c r="AX330" s="674"/>
      <c r="AY330" s="674"/>
      <c r="AZ330" s="674"/>
      <c r="BA330" s="674"/>
      <c r="BB330" s="674"/>
    </row>
    <row r="331" spans="1:54">
      <c r="A331" s="674" t="s">
        <v>390</v>
      </c>
      <c r="B331" s="674" t="s">
        <v>1046</v>
      </c>
      <c r="C331" s="674" t="s">
        <v>1054</v>
      </c>
      <c r="D331" s="673" t="s">
        <v>348</v>
      </c>
      <c r="E331" s="674" t="str">
        <f>Commodities!$D$19</f>
        <v>RESELC</v>
      </c>
      <c r="F331" s="674" t="str">
        <f>Commodities!$D$16</f>
        <v>RRF</v>
      </c>
      <c r="G331" s="697" t="str">
        <f t="shared" si="8"/>
        <v>2010</v>
      </c>
      <c r="H331" s="695">
        <v>15</v>
      </c>
      <c r="I331" s="698">
        <f>'RTEKTY Conv'!K154</f>
        <v>954.34834158342471</v>
      </c>
      <c r="J331" s="698">
        <f>'RTEKTY Conv'!H154</f>
        <v>0.81228070175438594</v>
      </c>
      <c r="K331" s="674">
        <v>1</v>
      </c>
      <c r="L331" s="698">
        <v>0</v>
      </c>
      <c r="M331" s="698">
        <v>0</v>
      </c>
      <c r="N331" s="698">
        <v>0</v>
      </c>
      <c r="O331" s="698">
        <v>0</v>
      </c>
      <c r="P331" s="698">
        <v>0</v>
      </c>
      <c r="Q331" s="674"/>
      <c r="R331" s="674">
        <v>0.18</v>
      </c>
      <c r="S331" s="696"/>
      <c r="T331" s="696"/>
      <c r="U331" s="696"/>
      <c r="V331" s="696"/>
      <c r="W331" s="696"/>
      <c r="X331" s="696"/>
      <c r="Y331" s="696"/>
      <c r="Z331" s="696"/>
      <c r="AA331" s="696"/>
      <c r="AB331" s="696"/>
      <c r="AC331" s="696"/>
      <c r="AD331" s="696"/>
      <c r="AE331" s="696"/>
      <c r="AF331" s="696"/>
      <c r="AG331" s="696"/>
      <c r="AH331" s="696"/>
      <c r="AI331" s="696"/>
      <c r="AJ331" s="696">
        <v>0</v>
      </c>
      <c r="AK331" s="696">
        <v>0</v>
      </c>
      <c r="AL331" s="696">
        <v>0</v>
      </c>
      <c r="AM331" s="696">
        <v>0</v>
      </c>
      <c r="AN331" s="696">
        <v>0</v>
      </c>
      <c r="AO331" s="696">
        <v>0</v>
      </c>
      <c r="AP331" s="696">
        <v>0</v>
      </c>
      <c r="AQ331" s="696">
        <v>0</v>
      </c>
      <c r="AT331" s="696"/>
      <c r="AU331" s="674"/>
      <c r="AV331" s="674"/>
      <c r="AW331" s="674"/>
      <c r="AX331" s="674"/>
      <c r="AY331" s="674"/>
      <c r="AZ331" s="674"/>
      <c r="BA331" s="674"/>
      <c r="BB331" s="674"/>
    </row>
    <row r="332" spans="1:54">
      <c r="A332" s="674" t="s">
        <v>390</v>
      </c>
      <c r="B332" s="674" t="s">
        <v>1047</v>
      </c>
      <c r="C332" s="674" t="s">
        <v>1055</v>
      </c>
      <c r="D332" s="673" t="s">
        <v>348</v>
      </c>
      <c r="E332" s="674" t="str">
        <f>Commodities!$D$19</f>
        <v>RESELC</v>
      </c>
      <c r="F332" s="674" t="str">
        <f>Commodities!$D$16</f>
        <v>RRF</v>
      </c>
      <c r="G332" s="697" t="str">
        <f t="shared" si="8"/>
        <v>2015</v>
      </c>
      <c r="H332" s="695">
        <v>15</v>
      </c>
      <c r="I332" s="698">
        <f>'RTEKTY Conv'!K155</f>
        <v>1136.1289780755055</v>
      </c>
      <c r="J332" s="698">
        <f>'RTEKTY Conv'!H155</f>
        <v>0.84954128440366972</v>
      </c>
      <c r="K332" s="674">
        <v>1</v>
      </c>
      <c r="L332" s="698">
        <v>0</v>
      </c>
      <c r="M332" s="698">
        <v>0</v>
      </c>
      <c r="N332" s="698">
        <v>0</v>
      </c>
      <c r="O332" s="698">
        <v>0</v>
      </c>
      <c r="P332" s="698">
        <v>0</v>
      </c>
      <c r="Q332" s="674"/>
      <c r="R332" s="674">
        <v>0.18</v>
      </c>
      <c r="S332" s="696"/>
      <c r="T332" s="696"/>
      <c r="U332" s="696"/>
      <c r="V332" s="696"/>
      <c r="W332" s="696"/>
      <c r="X332" s="696"/>
      <c r="Y332" s="696"/>
      <c r="Z332" s="696"/>
      <c r="AA332" s="696"/>
      <c r="AB332" s="696"/>
      <c r="AC332" s="696"/>
      <c r="AD332" s="696"/>
      <c r="AE332" s="696"/>
      <c r="AF332" s="696"/>
      <c r="AG332" s="696"/>
      <c r="AH332" s="696"/>
      <c r="AI332" s="696"/>
      <c r="AJ332" s="696"/>
      <c r="AK332" s="696"/>
      <c r="AL332" s="696"/>
      <c r="AM332" s="696"/>
      <c r="AN332" s="696"/>
      <c r="AO332" s="696"/>
      <c r="AP332" s="696"/>
      <c r="AQ332" s="696"/>
      <c r="AT332" s="696"/>
      <c r="AU332" s="674"/>
      <c r="AV332" s="674"/>
      <c r="AW332" s="674"/>
      <c r="AX332" s="674"/>
      <c r="AY332" s="674"/>
      <c r="AZ332" s="674"/>
      <c r="BA332" s="674"/>
      <c r="BB332" s="674"/>
    </row>
    <row r="333" spans="1:54">
      <c r="A333" s="674" t="s">
        <v>390</v>
      </c>
      <c r="B333" s="674" t="s">
        <v>1039</v>
      </c>
      <c r="C333" s="674" t="s">
        <v>1056</v>
      </c>
      <c r="D333" s="673" t="s">
        <v>348</v>
      </c>
      <c r="E333" s="674" t="str">
        <f>Commodities!$D$19</f>
        <v>RESELC</v>
      </c>
      <c r="F333" s="674" t="str">
        <f>Commodities!$D$16</f>
        <v>RRF</v>
      </c>
      <c r="G333" s="697" t="str">
        <f t="shared" si="8"/>
        <v>2010</v>
      </c>
      <c r="H333" s="695">
        <v>15</v>
      </c>
      <c r="I333" s="698">
        <f>'RTEKTY Conv'!K156</f>
        <v>1317.9096145675865</v>
      </c>
      <c r="J333" s="698">
        <f>'RTEKTY Conv'!H156</f>
        <v>0.34169741697416978</v>
      </c>
      <c r="K333" s="674">
        <v>1</v>
      </c>
      <c r="L333" s="698">
        <v>0</v>
      </c>
      <c r="M333" s="698">
        <v>0</v>
      </c>
      <c r="N333" s="698">
        <v>0</v>
      </c>
      <c r="O333" s="698">
        <v>0</v>
      </c>
      <c r="P333" s="698">
        <v>0</v>
      </c>
      <c r="Q333" s="674"/>
      <c r="R333" s="674">
        <v>0.18</v>
      </c>
      <c r="S333" s="696"/>
      <c r="T333" s="696"/>
      <c r="U333" s="696"/>
      <c r="V333" s="696"/>
      <c r="W333" s="696"/>
      <c r="X333" s="696"/>
      <c r="Y333" s="696"/>
      <c r="Z333" s="696"/>
      <c r="AA333" s="696"/>
      <c r="AB333" s="696"/>
      <c r="AC333" s="696"/>
      <c r="AD333" s="696"/>
      <c r="AE333" s="696"/>
      <c r="AF333" s="696"/>
      <c r="AG333" s="696"/>
      <c r="AH333" s="696"/>
      <c r="AI333" s="696"/>
      <c r="AJ333" s="696"/>
      <c r="AK333" s="696"/>
      <c r="AL333" s="696"/>
      <c r="AM333" s="696"/>
      <c r="AN333" s="696"/>
      <c r="AO333" s="696"/>
      <c r="AP333" s="696"/>
      <c r="AQ333" s="696"/>
      <c r="AT333" s="696"/>
      <c r="AU333" s="674"/>
      <c r="AV333" s="674"/>
      <c r="AW333" s="674"/>
      <c r="AX333" s="674"/>
      <c r="AY333" s="674"/>
      <c r="AZ333" s="674"/>
      <c r="BA333" s="674"/>
      <c r="BB333" s="674"/>
    </row>
    <row r="334" spans="1:54">
      <c r="A334" s="674" t="s">
        <v>390</v>
      </c>
      <c r="B334" s="674" t="s">
        <v>1042</v>
      </c>
      <c r="C334" s="674" t="s">
        <v>1057</v>
      </c>
      <c r="D334" s="673" t="s">
        <v>348</v>
      </c>
      <c r="E334" s="674" t="str">
        <f>Commodities!$D$19</f>
        <v>RESELC</v>
      </c>
      <c r="F334" s="674" t="str">
        <f>Commodities!$D$16</f>
        <v>RRF</v>
      </c>
      <c r="G334" s="697" t="str">
        <f t="shared" si="7"/>
        <v>2010</v>
      </c>
      <c r="H334" s="695">
        <v>15</v>
      </c>
      <c r="I334" s="698">
        <f>'RTEKTY Conv'!K157</f>
        <v>1499.6902510596674</v>
      </c>
      <c r="J334" s="698">
        <f>'RTEKTY Conv'!H157</f>
        <v>0.38798882681564245</v>
      </c>
      <c r="K334" s="674">
        <v>1</v>
      </c>
      <c r="L334" s="698">
        <v>0</v>
      </c>
      <c r="M334" s="698">
        <v>0</v>
      </c>
      <c r="N334" s="698">
        <v>0</v>
      </c>
      <c r="O334" s="698">
        <v>0</v>
      </c>
      <c r="P334" s="698">
        <v>0</v>
      </c>
      <c r="Q334" s="674"/>
      <c r="R334" s="674">
        <v>0.18</v>
      </c>
      <c r="S334" s="696"/>
      <c r="T334" s="696"/>
      <c r="U334" s="696"/>
      <c r="V334" s="696"/>
      <c r="W334" s="696"/>
      <c r="X334" s="696"/>
      <c r="Y334" s="696"/>
      <c r="Z334" s="696"/>
      <c r="AA334" s="696"/>
      <c r="AB334" s="696"/>
      <c r="AC334" s="696"/>
      <c r="AD334" s="696"/>
      <c r="AE334" s="696"/>
      <c r="AF334" s="696"/>
      <c r="AG334" s="696"/>
      <c r="AH334" s="696"/>
      <c r="AI334" s="696"/>
      <c r="AJ334" s="696">
        <v>0</v>
      </c>
      <c r="AK334" s="696">
        <v>0</v>
      </c>
      <c r="AL334" s="696">
        <v>0</v>
      </c>
      <c r="AM334" s="696">
        <v>0</v>
      </c>
      <c r="AN334" s="696">
        <v>0</v>
      </c>
      <c r="AO334" s="696">
        <v>0</v>
      </c>
      <c r="AP334" s="696">
        <v>0</v>
      </c>
      <c r="AQ334" s="696">
        <v>0</v>
      </c>
      <c r="AT334" s="696"/>
      <c r="AU334" s="674"/>
      <c r="AV334" s="674"/>
      <c r="AW334" s="674"/>
      <c r="AX334" s="674"/>
      <c r="AY334" s="674"/>
      <c r="AZ334" s="674"/>
      <c r="BA334" s="674"/>
      <c r="BB334" s="674"/>
    </row>
    <row r="335" spans="1:54">
      <c r="A335" s="674" t="s">
        <v>390</v>
      </c>
      <c r="B335" s="674" t="s">
        <v>1043</v>
      </c>
      <c r="C335" s="674" t="s">
        <v>1058</v>
      </c>
      <c r="D335" s="673" t="s">
        <v>348</v>
      </c>
      <c r="E335" s="674" t="str">
        <f>Commodities!$D$19</f>
        <v>RESELC</v>
      </c>
      <c r="F335" s="674" t="str">
        <f>Commodities!$D$16</f>
        <v>RRF</v>
      </c>
      <c r="G335" s="697" t="str">
        <f t="shared" si="7"/>
        <v>2015</v>
      </c>
      <c r="H335" s="695">
        <v>15</v>
      </c>
      <c r="I335" s="698">
        <f>'RTEKTY Conv'!K158</f>
        <v>1567.8579897441978</v>
      </c>
      <c r="J335" s="698">
        <f>'RTEKTY Conv'!H158</f>
        <v>0.43069767441860468</v>
      </c>
      <c r="K335" s="674">
        <v>1</v>
      </c>
      <c r="L335" s="698">
        <v>0</v>
      </c>
      <c r="M335" s="698">
        <v>0</v>
      </c>
      <c r="N335" s="698">
        <v>0</v>
      </c>
      <c r="O335" s="698">
        <v>0</v>
      </c>
      <c r="P335" s="698">
        <v>0</v>
      </c>
      <c r="Q335" s="674"/>
      <c r="R335" s="674">
        <v>0.18</v>
      </c>
      <c r="S335" s="696"/>
      <c r="T335" s="696"/>
      <c r="U335" s="696"/>
      <c r="V335" s="696"/>
      <c r="W335" s="696"/>
      <c r="X335" s="696"/>
      <c r="Y335" s="696"/>
      <c r="Z335" s="696"/>
      <c r="AA335" s="696"/>
      <c r="AB335" s="696"/>
      <c r="AC335" s="696"/>
      <c r="AD335" s="696"/>
      <c r="AE335" s="696"/>
      <c r="AF335" s="696"/>
      <c r="AG335" s="696"/>
      <c r="AH335" s="696"/>
      <c r="AI335" s="696"/>
      <c r="AJ335" s="696"/>
      <c r="AK335" s="696"/>
      <c r="AL335" s="696"/>
      <c r="AM335" s="696"/>
      <c r="AN335" s="696"/>
      <c r="AO335" s="696"/>
      <c r="AP335" s="696"/>
      <c r="AQ335" s="696"/>
      <c r="AT335" s="696"/>
      <c r="AU335" s="674"/>
      <c r="AV335" s="674"/>
      <c r="AW335" s="674"/>
      <c r="AX335" s="674"/>
      <c r="AY335" s="674"/>
      <c r="AZ335" s="674"/>
      <c r="BA335" s="674"/>
      <c r="BB335" s="674"/>
    </row>
    <row r="336" spans="1:54">
      <c r="A336" s="674" t="s">
        <v>390</v>
      </c>
      <c r="B336" s="674" t="s">
        <v>1048</v>
      </c>
      <c r="C336" s="674" t="s">
        <v>1059</v>
      </c>
      <c r="D336" s="673" t="s">
        <v>348</v>
      </c>
      <c r="E336" s="674" t="str">
        <f>Commodities!$D$19</f>
        <v>RESELC</v>
      </c>
      <c r="F336" s="674" t="str">
        <f>Commodities!$D$16</f>
        <v>RRF</v>
      </c>
      <c r="G336" s="697" t="str">
        <f t="shared" si="7"/>
        <v>2010</v>
      </c>
      <c r="H336" s="695">
        <v>15</v>
      </c>
      <c r="I336" s="698">
        <f>'RTEKTY Conv'!K159</f>
        <v>1317.9096145675865</v>
      </c>
      <c r="J336" s="698">
        <f>'RTEKTY Conv'!H159</f>
        <v>0.40852941176470592</v>
      </c>
      <c r="K336" s="674">
        <v>1</v>
      </c>
      <c r="L336" s="698">
        <v>0</v>
      </c>
      <c r="M336" s="698">
        <v>0</v>
      </c>
      <c r="N336" s="698">
        <v>0</v>
      </c>
      <c r="O336" s="698">
        <v>0</v>
      </c>
      <c r="P336" s="698">
        <v>0</v>
      </c>
      <c r="Q336" s="674"/>
      <c r="R336" s="674">
        <v>0.18</v>
      </c>
      <c r="S336" s="696"/>
      <c r="T336" s="696"/>
      <c r="U336" s="696"/>
      <c r="V336" s="696"/>
      <c r="W336" s="696"/>
      <c r="X336" s="696"/>
      <c r="Y336" s="696"/>
      <c r="Z336" s="696"/>
      <c r="AA336" s="696"/>
      <c r="AB336" s="696"/>
      <c r="AC336" s="696"/>
      <c r="AD336" s="696"/>
      <c r="AE336" s="696"/>
      <c r="AF336" s="696"/>
      <c r="AG336" s="696"/>
      <c r="AH336" s="696"/>
      <c r="AI336" s="696"/>
      <c r="AJ336" s="696"/>
      <c r="AK336" s="696"/>
      <c r="AL336" s="696"/>
      <c r="AM336" s="696"/>
      <c r="AN336" s="696"/>
      <c r="AO336" s="696"/>
      <c r="AP336" s="696"/>
      <c r="AQ336" s="696"/>
      <c r="AT336" s="696"/>
      <c r="AU336" s="674"/>
      <c r="AV336" s="674"/>
      <c r="AW336" s="674"/>
      <c r="AX336" s="674"/>
      <c r="AY336" s="674"/>
      <c r="AZ336" s="674"/>
      <c r="BA336" s="674"/>
      <c r="BB336" s="674"/>
    </row>
    <row r="337" spans="1:54">
      <c r="A337" s="674" t="s">
        <v>390</v>
      </c>
      <c r="B337" s="674" t="s">
        <v>1044</v>
      </c>
      <c r="C337" s="674" t="s">
        <v>1060</v>
      </c>
      <c r="D337" s="673" t="s">
        <v>348</v>
      </c>
      <c r="E337" s="674" t="str">
        <f>Commodities!$D$19</f>
        <v>RESELC</v>
      </c>
      <c r="F337" s="674" t="str">
        <f>Commodities!$D$16</f>
        <v>RRF</v>
      </c>
      <c r="G337" s="697" t="str">
        <f t="shared" si="7"/>
        <v>2010</v>
      </c>
      <c r="H337" s="695">
        <v>15</v>
      </c>
      <c r="I337" s="698">
        <f>'RTEKTY Conv'!K160</f>
        <v>1681.4708875517483</v>
      </c>
      <c r="J337" s="698">
        <f>'RTEKTY Conv'!H160</f>
        <v>0.41339285714285717</v>
      </c>
      <c r="K337" s="674">
        <v>1</v>
      </c>
      <c r="L337" s="698">
        <v>0</v>
      </c>
      <c r="M337" s="698">
        <v>0</v>
      </c>
      <c r="N337" s="698">
        <v>0</v>
      </c>
      <c r="O337" s="698">
        <v>0</v>
      </c>
      <c r="P337" s="698">
        <v>0</v>
      </c>
      <c r="Q337" s="674"/>
      <c r="R337" s="674">
        <v>0.18</v>
      </c>
      <c r="S337" s="696"/>
      <c r="T337" s="696"/>
      <c r="U337" s="696"/>
      <c r="V337" s="696"/>
      <c r="W337" s="696"/>
      <c r="X337" s="696"/>
      <c r="Y337" s="696"/>
      <c r="Z337" s="696"/>
      <c r="AA337" s="696"/>
      <c r="AB337" s="696"/>
      <c r="AC337" s="696"/>
      <c r="AD337" s="696"/>
      <c r="AE337" s="696"/>
      <c r="AF337" s="696"/>
      <c r="AG337" s="696"/>
      <c r="AH337" s="696"/>
      <c r="AI337" s="696"/>
      <c r="AJ337" s="696">
        <v>0</v>
      </c>
      <c r="AK337" s="696">
        <v>0</v>
      </c>
      <c r="AL337" s="696">
        <v>0</v>
      </c>
      <c r="AM337" s="696">
        <v>0</v>
      </c>
      <c r="AN337" s="696">
        <v>0</v>
      </c>
      <c r="AO337" s="696">
        <v>0</v>
      </c>
      <c r="AP337" s="696">
        <v>0</v>
      </c>
      <c r="AQ337" s="696">
        <v>0</v>
      </c>
      <c r="AT337" s="696"/>
      <c r="AU337" s="674"/>
      <c r="AV337" s="674"/>
      <c r="AW337" s="674"/>
      <c r="AX337" s="674"/>
      <c r="AY337" s="674"/>
      <c r="AZ337" s="674"/>
      <c r="BA337" s="674"/>
      <c r="BB337" s="674"/>
    </row>
    <row r="338" spans="1:54">
      <c r="A338" s="674" t="s">
        <v>390</v>
      </c>
      <c r="B338" s="674" t="s">
        <v>1045</v>
      </c>
      <c r="C338" s="674" t="s">
        <v>1061</v>
      </c>
      <c r="D338" s="673" t="s">
        <v>348</v>
      </c>
      <c r="E338" s="674" t="str">
        <f>Commodities!$D$19</f>
        <v>RESELC</v>
      </c>
      <c r="F338" s="674" t="str">
        <f>Commodities!$D$16</f>
        <v>RRF</v>
      </c>
      <c r="G338" s="697" t="str">
        <f t="shared" si="7"/>
        <v>2015</v>
      </c>
      <c r="H338" s="695">
        <v>15</v>
      </c>
      <c r="I338" s="698">
        <f>'RTEKTY Conv'!K161</f>
        <v>1749.6386262362787</v>
      </c>
      <c r="J338" s="698">
        <f>'RTEKTY Conv'!H161</f>
        <v>0.45917355371900831</v>
      </c>
      <c r="K338" s="674">
        <v>1</v>
      </c>
      <c r="L338" s="698">
        <f>'RTEKTY Conv'!M161</f>
        <v>1</v>
      </c>
      <c r="M338" s="698"/>
      <c r="N338" s="698"/>
      <c r="O338" s="698"/>
      <c r="P338" s="698"/>
      <c r="Q338" s="674"/>
      <c r="R338" s="674">
        <v>0.18</v>
      </c>
      <c r="S338" s="696"/>
      <c r="T338" s="696"/>
      <c r="U338" s="696"/>
      <c r="V338" s="696"/>
      <c r="W338" s="696"/>
      <c r="X338" s="696"/>
      <c r="Y338" s="696"/>
      <c r="Z338" s="696"/>
      <c r="AA338" s="696"/>
      <c r="AB338" s="696"/>
      <c r="AC338" s="696"/>
      <c r="AD338" s="696"/>
      <c r="AE338" s="696"/>
      <c r="AF338" s="696"/>
      <c r="AG338" s="696"/>
      <c r="AH338" s="696"/>
      <c r="AI338" s="696"/>
      <c r="AJ338" s="696"/>
      <c r="AK338" s="696"/>
      <c r="AL338" s="696"/>
      <c r="AM338" s="696"/>
      <c r="AN338" s="696"/>
      <c r="AO338" s="696"/>
      <c r="AP338" s="696"/>
      <c r="AQ338" s="696"/>
      <c r="AT338" s="696"/>
      <c r="AU338" s="674"/>
      <c r="AV338" s="674"/>
      <c r="AW338" s="674"/>
      <c r="AX338" s="674"/>
      <c r="AY338" s="674"/>
      <c r="AZ338" s="674"/>
      <c r="BA338" s="674"/>
      <c r="BB338" s="674"/>
    </row>
    <row r="339" spans="1:54" ht="15.75" customHeight="1">
      <c r="A339" s="684" t="s">
        <v>477</v>
      </c>
      <c r="B339" s="682"/>
      <c r="C339" s="682"/>
      <c r="D339" s="682"/>
      <c r="E339" s="684"/>
      <c r="F339" s="684"/>
      <c r="G339" s="704"/>
      <c r="H339" s="705"/>
      <c r="I339" s="705"/>
      <c r="J339" s="706"/>
      <c r="K339" s="705"/>
      <c r="L339" s="705"/>
      <c r="M339" s="705"/>
      <c r="N339" s="705"/>
      <c r="O339" s="705"/>
      <c r="P339" s="705"/>
      <c r="Q339" s="705"/>
      <c r="R339" s="706"/>
      <c r="S339" s="707"/>
      <c r="T339" s="707"/>
      <c r="U339" s="707"/>
      <c r="V339" s="707"/>
      <c r="W339" s="707"/>
      <c r="X339" s="707"/>
      <c r="Y339" s="707"/>
      <c r="Z339" s="707"/>
      <c r="AA339" s="707"/>
      <c r="AB339" s="707"/>
      <c r="AC339" s="707"/>
      <c r="AD339" s="707"/>
      <c r="AE339" s="707"/>
      <c r="AF339" s="707"/>
      <c r="AG339" s="707"/>
      <c r="AH339" s="707"/>
      <c r="AI339" s="707"/>
      <c r="AJ339" s="707"/>
      <c r="AK339" s="707"/>
      <c r="AL339" s="707"/>
      <c r="AM339" s="707"/>
      <c r="AN339" s="707"/>
      <c r="AO339" s="707"/>
      <c r="AP339" s="707"/>
      <c r="AQ339" s="708"/>
      <c r="AT339" s="708"/>
      <c r="AU339" s="682"/>
      <c r="AV339" s="682"/>
      <c r="AW339" s="682"/>
      <c r="AX339" s="682"/>
      <c r="AY339" s="682"/>
      <c r="AZ339" s="682"/>
      <c r="BA339" s="682"/>
      <c r="BB339" s="682"/>
    </row>
    <row r="340" spans="1:54">
      <c r="A340" s="674" t="s">
        <v>390</v>
      </c>
      <c r="B340" s="674" t="s">
        <v>1036</v>
      </c>
      <c r="C340" s="674" t="s">
        <v>1062</v>
      </c>
      <c r="D340" s="673" t="s">
        <v>348</v>
      </c>
      <c r="E340" s="674" t="str">
        <f>Commodities!$D$19</f>
        <v>RESELC</v>
      </c>
      <c r="F340" s="674" t="str">
        <f>Commodities!$D$10</f>
        <v>RFZ</v>
      </c>
      <c r="G340" s="697">
        <v>2010</v>
      </c>
      <c r="H340" s="695">
        <v>15</v>
      </c>
      <c r="I340" s="674"/>
      <c r="J340" s="698">
        <f>'RTEKTY Conv'!H163</f>
        <v>0.57705489683795952</v>
      </c>
      <c r="K340" s="674">
        <v>1</v>
      </c>
      <c r="L340" s="698">
        <v>0</v>
      </c>
      <c r="M340" s="698">
        <v>0</v>
      </c>
      <c r="N340" s="698">
        <v>0</v>
      </c>
      <c r="O340" s="698">
        <v>0</v>
      </c>
      <c r="P340" s="698">
        <v>0</v>
      </c>
      <c r="Q340" s="674"/>
      <c r="R340" s="674">
        <v>0.18</v>
      </c>
      <c r="S340" s="700">
        <v>0</v>
      </c>
      <c r="T340" s="700">
        <v>0</v>
      </c>
      <c r="U340" s="700">
        <v>0</v>
      </c>
      <c r="V340" s="700">
        <v>0</v>
      </c>
      <c r="W340" s="700">
        <v>0</v>
      </c>
      <c r="X340" s="700"/>
      <c r="Y340" s="700"/>
      <c r="Z340" s="700"/>
      <c r="AA340" s="700"/>
      <c r="AB340" s="700"/>
      <c r="AC340" s="700"/>
      <c r="AD340" s="700"/>
      <c r="AE340" s="700"/>
      <c r="AF340" s="700"/>
      <c r="AG340" s="700"/>
      <c r="AH340" s="696">
        <v>0</v>
      </c>
      <c r="AI340" s="696">
        <v>0</v>
      </c>
      <c r="AJ340" s="696">
        <v>0</v>
      </c>
      <c r="AK340" s="696">
        <v>0</v>
      </c>
      <c r="AL340" s="696">
        <v>0</v>
      </c>
      <c r="AM340" s="696">
        <v>0</v>
      </c>
      <c r="AN340" s="696">
        <v>0</v>
      </c>
      <c r="AO340" s="696">
        <v>0</v>
      </c>
      <c r="AP340" s="696">
        <v>0</v>
      </c>
      <c r="AQ340" s="696">
        <v>0</v>
      </c>
      <c r="AT340" s="696"/>
      <c r="AU340" s="674"/>
      <c r="AV340" s="674"/>
      <c r="AW340" s="674"/>
      <c r="AX340" s="674"/>
      <c r="AY340" s="674"/>
      <c r="AZ340" s="674"/>
      <c r="BA340" s="674"/>
      <c r="BB340" s="674"/>
    </row>
    <row r="341" spans="1:54">
      <c r="A341" s="674" t="s">
        <v>390</v>
      </c>
      <c r="B341" s="674" t="s">
        <v>1063</v>
      </c>
      <c r="C341" s="674" t="s">
        <v>1069</v>
      </c>
      <c r="D341" s="673" t="s">
        <v>348</v>
      </c>
      <c r="E341" s="674" t="str">
        <f>Commodities!$D$19</f>
        <v>RESELC</v>
      </c>
      <c r="F341" s="674" t="str">
        <f>Commodities!$D$10</f>
        <v>RFZ</v>
      </c>
      <c r="G341" s="697" t="str">
        <f t="shared" si="7"/>
        <v>2010</v>
      </c>
      <c r="H341" s="695">
        <v>15</v>
      </c>
      <c r="I341" s="698">
        <f>'RTEKTY Conv'!K164</f>
        <v>409.00643210718204</v>
      </c>
      <c r="J341" s="698">
        <f>'RTEKTY Conv'!H164</f>
        <v>0.69974811083123423</v>
      </c>
      <c r="K341" s="674">
        <v>1</v>
      </c>
      <c r="L341" s="698">
        <v>0</v>
      </c>
      <c r="M341" s="698">
        <v>0</v>
      </c>
      <c r="N341" s="698">
        <v>0</v>
      </c>
      <c r="O341" s="698">
        <v>0</v>
      </c>
      <c r="P341" s="698">
        <v>0</v>
      </c>
      <c r="Q341" s="674"/>
      <c r="R341" s="674">
        <v>0.18</v>
      </c>
      <c r="S341" s="696"/>
      <c r="T341" s="696"/>
      <c r="U341" s="696"/>
      <c r="V341" s="696"/>
      <c r="W341" s="696"/>
      <c r="X341" s="696"/>
      <c r="Y341" s="696"/>
      <c r="Z341" s="696"/>
      <c r="AA341" s="696"/>
      <c r="AB341" s="696"/>
      <c r="AC341" s="696"/>
      <c r="AD341" s="696"/>
      <c r="AE341" s="696"/>
      <c r="AF341" s="696"/>
      <c r="AG341" s="696"/>
      <c r="AH341" s="696"/>
      <c r="AI341" s="696"/>
      <c r="AJ341" s="696"/>
      <c r="AK341" s="696"/>
      <c r="AL341" s="696"/>
      <c r="AM341" s="696"/>
      <c r="AN341" s="696"/>
      <c r="AO341" s="696"/>
      <c r="AP341" s="696"/>
      <c r="AQ341" s="696"/>
      <c r="AT341" s="696"/>
      <c r="AU341" s="674"/>
      <c r="AV341" s="674"/>
      <c r="AW341" s="674"/>
      <c r="AX341" s="674"/>
      <c r="AY341" s="674"/>
      <c r="AZ341" s="674"/>
      <c r="BA341" s="674"/>
      <c r="BB341" s="674"/>
    </row>
    <row r="342" spans="1:54">
      <c r="A342" s="674" t="s">
        <v>390</v>
      </c>
      <c r="B342" s="674" t="s">
        <v>1064</v>
      </c>
      <c r="C342" s="674" t="s">
        <v>1070</v>
      </c>
      <c r="D342" s="673" t="s">
        <v>348</v>
      </c>
      <c r="E342" s="674" t="str">
        <f>Commodities!$D$19</f>
        <v>RESELC</v>
      </c>
      <c r="F342" s="674" t="str">
        <f>Commodities!$D$10</f>
        <v>RFZ</v>
      </c>
      <c r="G342" s="697" t="str">
        <f t="shared" ref="G342:G344" si="9">IF(RIGHT(B342,2)="TI",2010,CONCATENATE(20,RIGHT(B342,2)))</f>
        <v>2010</v>
      </c>
      <c r="H342" s="695">
        <v>15</v>
      </c>
      <c r="I342" s="698">
        <f>'RTEKTY Conv'!K165</f>
        <v>545.34190947624268</v>
      </c>
      <c r="J342" s="698">
        <f>'RTEKTY Conv'!H165</f>
        <v>0.93221476510067125</v>
      </c>
      <c r="K342" s="674">
        <v>1</v>
      </c>
      <c r="L342" s="698">
        <v>0</v>
      </c>
      <c r="M342" s="698">
        <v>0</v>
      </c>
      <c r="N342" s="698">
        <v>0</v>
      </c>
      <c r="O342" s="698">
        <v>0</v>
      </c>
      <c r="P342" s="698">
        <v>0</v>
      </c>
      <c r="Q342" s="674"/>
      <c r="R342" s="674">
        <v>0.18</v>
      </c>
      <c r="S342" s="696"/>
      <c r="T342" s="696"/>
      <c r="U342" s="696"/>
      <c r="V342" s="696"/>
      <c r="W342" s="696"/>
      <c r="X342" s="696"/>
      <c r="Y342" s="696"/>
      <c r="Z342" s="696"/>
      <c r="AA342" s="696"/>
      <c r="AB342" s="696"/>
      <c r="AC342" s="696"/>
      <c r="AD342" s="696"/>
      <c r="AE342" s="696"/>
      <c r="AF342" s="696"/>
      <c r="AG342" s="696"/>
      <c r="AH342" s="696"/>
      <c r="AI342" s="696"/>
      <c r="AJ342" s="696">
        <v>0</v>
      </c>
      <c r="AK342" s="696">
        <v>0</v>
      </c>
      <c r="AL342" s="696">
        <v>0</v>
      </c>
      <c r="AM342" s="696">
        <v>0</v>
      </c>
      <c r="AN342" s="696">
        <v>0</v>
      </c>
      <c r="AO342" s="696">
        <v>0</v>
      </c>
      <c r="AP342" s="696">
        <v>0</v>
      </c>
      <c r="AQ342" s="696">
        <v>0</v>
      </c>
      <c r="AT342" s="696"/>
      <c r="AU342" s="674"/>
      <c r="AV342" s="674"/>
      <c r="AW342" s="674"/>
      <c r="AX342" s="674"/>
      <c r="AY342" s="674"/>
      <c r="AZ342" s="674"/>
      <c r="BA342" s="674"/>
      <c r="BB342" s="674"/>
    </row>
    <row r="343" spans="1:54">
      <c r="A343" s="674" t="s">
        <v>390</v>
      </c>
      <c r="B343" s="674" t="s">
        <v>1065</v>
      </c>
      <c r="C343" s="674" t="s">
        <v>1071</v>
      </c>
      <c r="D343" s="673" t="s">
        <v>348</v>
      </c>
      <c r="E343" s="674" t="str">
        <f>Commodities!$D$19</f>
        <v>RESELC</v>
      </c>
      <c r="F343" s="674" t="str">
        <f>Commodities!$D$10</f>
        <v>RFZ</v>
      </c>
      <c r="G343" s="697" t="str">
        <f t="shared" si="9"/>
        <v>2015</v>
      </c>
      <c r="H343" s="695">
        <v>15</v>
      </c>
      <c r="I343" s="698">
        <f>'RTEKTY Conv'!K166</f>
        <v>681.67738684530332</v>
      </c>
      <c r="J343" s="698">
        <f>'RTEKTY Conv'!H166</f>
        <v>1.1672268907563026</v>
      </c>
      <c r="K343" s="674">
        <v>1</v>
      </c>
      <c r="L343" s="698">
        <v>0</v>
      </c>
      <c r="M343" s="698">
        <v>0</v>
      </c>
      <c r="N343" s="698">
        <v>0</v>
      </c>
      <c r="O343" s="698">
        <v>0</v>
      </c>
      <c r="P343" s="698">
        <v>0</v>
      </c>
      <c r="Q343" s="674"/>
      <c r="R343" s="674">
        <v>0.18</v>
      </c>
      <c r="S343" s="696"/>
      <c r="T343" s="696"/>
      <c r="U343" s="696"/>
      <c r="V343" s="696"/>
      <c r="W343" s="696"/>
      <c r="X343" s="696"/>
      <c r="Y343" s="696"/>
      <c r="Z343" s="696"/>
      <c r="AA343" s="696"/>
      <c r="AB343" s="696"/>
      <c r="AC343" s="696"/>
      <c r="AD343" s="696"/>
      <c r="AE343" s="696"/>
      <c r="AF343" s="696"/>
      <c r="AG343" s="696"/>
      <c r="AH343" s="696"/>
      <c r="AI343" s="696"/>
      <c r="AJ343" s="696"/>
      <c r="AK343" s="696"/>
      <c r="AL343" s="696"/>
      <c r="AM343" s="696"/>
      <c r="AN343" s="696"/>
      <c r="AO343" s="696"/>
      <c r="AP343" s="696"/>
      <c r="AQ343" s="696"/>
      <c r="AT343" s="696"/>
      <c r="AU343" s="674"/>
      <c r="AV343" s="674"/>
      <c r="AW343" s="674"/>
      <c r="AX343" s="674"/>
      <c r="AY343" s="674"/>
      <c r="AZ343" s="674"/>
      <c r="BA343" s="674"/>
      <c r="BB343" s="674"/>
    </row>
    <row r="344" spans="1:54">
      <c r="A344" s="674" t="s">
        <v>390</v>
      </c>
      <c r="B344" s="674" t="s">
        <v>1066</v>
      </c>
      <c r="C344" s="674" t="s">
        <v>1072</v>
      </c>
      <c r="D344" s="673" t="s">
        <v>348</v>
      </c>
      <c r="E344" s="674" t="str">
        <f>Commodities!$D$19</f>
        <v>RESELC</v>
      </c>
      <c r="F344" s="674" t="str">
        <f>Commodities!$D$10</f>
        <v>RFZ</v>
      </c>
      <c r="G344" s="697" t="str">
        <f t="shared" si="9"/>
        <v>2010</v>
      </c>
      <c r="H344" s="695">
        <v>15</v>
      </c>
      <c r="I344" s="698">
        <f>'RTEKTY Conv'!K167</f>
        <v>499.89675035322244</v>
      </c>
      <c r="J344" s="698">
        <f>'RTEKTY Conv'!H167</f>
        <v>0.36649076517150397</v>
      </c>
      <c r="K344" s="674">
        <v>1</v>
      </c>
      <c r="L344" s="698">
        <v>0</v>
      </c>
      <c r="M344" s="698">
        <v>0</v>
      </c>
      <c r="N344" s="698">
        <v>0</v>
      </c>
      <c r="O344" s="698">
        <v>0</v>
      </c>
      <c r="P344" s="698">
        <v>0</v>
      </c>
      <c r="Q344" s="674"/>
      <c r="R344" s="674">
        <v>0.18</v>
      </c>
      <c r="S344" s="696"/>
      <c r="T344" s="696"/>
      <c r="U344" s="696"/>
      <c r="V344" s="696"/>
      <c r="W344" s="696"/>
      <c r="X344" s="696"/>
      <c r="Y344" s="696"/>
      <c r="Z344" s="696"/>
      <c r="AA344" s="696"/>
      <c r="AB344" s="696"/>
      <c r="AC344" s="696"/>
      <c r="AD344" s="696"/>
      <c r="AE344" s="696"/>
      <c r="AF344" s="696"/>
      <c r="AG344" s="696"/>
      <c r="AH344" s="696"/>
      <c r="AI344" s="696"/>
      <c r="AJ344" s="696"/>
      <c r="AK344" s="696"/>
      <c r="AL344" s="696"/>
      <c r="AM344" s="696"/>
      <c r="AN344" s="696"/>
      <c r="AO344" s="696"/>
      <c r="AP344" s="696"/>
      <c r="AQ344" s="696"/>
      <c r="AT344" s="696"/>
      <c r="AU344" s="674"/>
      <c r="AV344" s="674"/>
      <c r="AW344" s="674"/>
      <c r="AX344" s="674"/>
      <c r="AY344" s="674"/>
      <c r="AZ344" s="674"/>
      <c r="BA344" s="674"/>
      <c r="BB344" s="674"/>
    </row>
    <row r="345" spans="1:54">
      <c r="A345" s="674" t="s">
        <v>390</v>
      </c>
      <c r="B345" s="674" t="s">
        <v>1067</v>
      </c>
      <c r="C345" s="674" t="s">
        <v>1073</v>
      </c>
      <c r="D345" s="673" t="s">
        <v>348</v>
      </c>
      <c r="E345" s="674" t="str">
        <f>Commodities!$D$19</f>
        <v>RESELC</v>
      </c>
      <c r="F345" s="674" t="str">
        <f>Commodities!$D$10</f>
        <v>RFZ</v>
      </c>
      <c r="G345" s="697" t="str">
        <f t="shared" si="7"/>
        <v>2010</v>
      </c>
      <c r="H345" s="695">
        <v>15</v>
      </c>
      <c r="I345" s="698">
        <f>'RTEKTY Conv'!K168</f>
        <v>636.23222772228314</v>
      </c>
      <c r="J345" s="698">
        <f>'RTEKTY Conv'!H168</f>
        <v>0.52120075046904324</v>
      </c>
      <c r="K345" s="674">
        <v>1</v>
      </c>
      <c r="L345" s="698">
        <v>0</v>
      </c>
      <c r="M345" s="698">
        <v>0</v>
      </c>
      <c r="N345" s="698">
        <v>0</v>
      </c>
      <c r="O345" s="698">
        <v>0</v>
      </c>
      <c r="P345" s="698">
        <v>0</v>
      </c>
      <c r="Q345" s="674"/>
      <c r="R345" s="674">
        <v>0.18</v>
      </c>
      <c r="S345" s="696"/>
      <c r="T345" s="696"/>
      <c r="U345" s="696"/>
      <c r="V345" s="696"/>
      <c r="W345" s="696"/>
      <c r="X345" s="696"/>
      <c r="Y345" s="696"/>
      <c r="Z345" s="696"/>
      <c r="AA345" s="696"/>
      <c r="AB345" s="696"/>
      <c r="AC345" s="696"/>
      <c r="AD345" s="696"/>
      <c r="AE345" s="696"/>
      <c r="AF345" s="696"/>
      <c r="AG345" s="696"/>
      <c r="AH345" s="696"/>
      <c r="AI345" s="696"/>
      <c r="AJ345" s="696">
        <v>0</v>
      </c>
      <c r="AK345" s="696">
        <v>0</v>
      </c>
      <c r="AL345" s="696">
        <v>0</v>
      </c>
      <c r="AM345" s="696">
        <v>0</v>
      </c>
      <c r="AN345" s="696">
        <v>0</v>
      </c>
      <c r="AO345" s="696">
        <v>0</v>
      </c>
      <c r="AP345" s="696">
        <v>0</v>
      </c>
      <c r="AQ345" s="696">
        <v>0</v>
      </c>
      <c r="AT345" s="696"/>
      <c r="AU345" s="674"/>
      <c r="AV345" s="674"/>
      <c r="AW345" s="674"/>
      <c r="AX345" s="674"/>
      <c r="AY345" s="674"/>
      <c r="AZ345" s="674"/>
      <c r="BA345" s="674"/>
      <c r="BB345" s="674"/>
    </row>
    <row r="346" spans="1:54">
      <c r="A346" s="674" t="s">
        <v>390</v>
      </c>
      <c r="B346" s="674" t="s">
        <v>1068</v>
      </c>
      <c r="C346" s="674" t="s">
        <v>1074</v>
      </c>
      <c r="D346" s="673" t="s">
        <v>348</v>
      </c>
      <c r="E346" s="674" t="str">
        <f>Commodities!$D$19</f>
        <v>RESELC</v>
      </c>
      <c r="F346" s="674" t="str">
        <f>Commodities!$D$10</f>
        <v>RFZ</v>
      </c>
      <c r="G346" s="697" t="str">
        <f t="shared" ref="G346" si="10">IF(RIGHT(B346,2)="TI",2010,CONCATENATE(20,RIGHT(B346,2)))</f>
        <v>2015</v>
      </c>
      <c r="H346" s="695">
        <v>15</v>
      </c>
      <c r="I346" s="698">
        <f>'RTEKTY Conv'!K169</f>
        <v>772.56770509134378</v>
      </c>
      <c r="J346" s="698">
        <f>'RTEKTY Conv'!H169</f>
        <v>0.61054945054945053</v>
      </c>
      <c r="K346" s="674">
        <v>1</v>
      </c>
      <c r="L346" s="698">
        <v>0</v>
      </c>
      <c r="M346" s="698">
        <v>0</v>
      </c>
      <c r="N346" s="698">
        <v>0</v>
      </c>
      <c r="O346" s="698">
        <v>0</v>
      </c>
      <c r="P346" s="698">
        <v>0</v>
      </c>
      <c r="Q346" s="674"/>
      <c r="R346" s="674">
        <v>0.18</v>
      </c>
      <c r="S346" s="696"/>
      <c r="T346" s="696"/>
      <c r="U346" s="696"/>
      <c r="V346" s="696"/>
      <c r="W346" s="696"/>
      <c r="X346" s="696"/>
      <c r="Y346" s="696"/>
      <c r="Z346" s="696"/>
      <c r="AA346" s="696"/>
      <c r="AB346" s="696"/>
      <c r="AC346" s="696"/>
      <c r="AD346" s="696"/>
      <c r="AE346" s="696"/>
      <c r="AF346" s="696"/>
      <c r="AG346" s="696"/>
      <c r="AH346" s="696"/>
      <c r="AI346" s="696"/>
      <c r="AJ346" s="696"/>
      <c r="AK346" s="696"/>
      <c r="AL346" s="696"/>
      <c r="AM346" s="696"/>
      <c r="AN346" s="696"/>
      <c r="AO346" s="696"/>
      <c r="AP346" s="696"/>
      <c r="AQ346" s="696"/>
      <c r="AT346" s="696"/>
      <c r="AU346" s="674"/>
      <c r="AV346" s="674"/>
      <c r="AW346" s="674"/>
      <c r="AX346" s="674"/>
      <c r="AY346" s="674"/>
      <c r="AZ346" s="674"/>
      <c r="BA346" s="674"/>
      <c r="BB346" s="674"/>
    </row>
    <row r="347" spans="1:54" ht="15.75" customHeight="1">
      <c r="A347" s="684" t="s">
        <v>1490</v>
      </c>
      <c r="B347" s="682"/>
      <c r="C347" s="682"/>
      <c r="D347" s="682"/>
      <c r="E347" s="684"/>
      <c r="F347" s="684"/>
      <c r="G347" s="704"/>
      <c r="H347" s="705"/>
      <c r="I347" s="705"/>
      <c r="J347" s="706"/>
      <c r="K347" s="705"/>
      <c r="L347" s="705"/>
      <c r="M347" s="705"/>
      <c r="N347" s="705"/>
      <c r="O347" s="705"/>
      <c r="P347" s="705"/>
      <c r="Q347" s="705"/>
      <c r="R347" s="706"/>
      <c r="S347" s="707"/>
      <c r="T347" s="707"/>
      <c r="U347" s="707"/>
      <c r="V347" s="707"/>
      <c r="W347" s="707"/>
      <c r="X347" s="707"/>
      <c r="Y347" s="707"/>
      <c r="Z347" s="707"/>
      <c r="AA347" s="707"/>
      <c r="AB347" s="707"/>
      <c r="AC347" s="707"/>
      <c r="AD347" s="707"/>
      <c r="AE347" s="707"/>
      <c r="AF347" s="707"/>
      <c r="AG347" s="707"/>
      <c r="AH347" s="707"/>
      <c r="AI347" s="707"/>
      <c r="AJ347" s="707"/>
      <c r="AK347" s="707"/>
      <c r="AL347" s="707"/>
      <c r="AM347" s="707"/>
      <c r="AN347" s="707"/>
      <c r="AO347" s="707"/>
      <c r="AP347" s="707"/>
      <c r="AQ347" s="708"/>
      <c r="AT347" s="708"/>
      <c r="AU347" s="682"/>
      <c r="AV347" s="682"/>
      <c r="AW347" s="682"/>
      <c r="AX347" s="682"/>
      <c r="AY347" s="682"/>
      <c r="AZ347" s="682"/>
      <c r="BA347" s="682"/>
      <c r="BB347" s="682"/>
    </row>
    <row r="348" spans="1:54">
      <c r="A348" s="674" t="s">
        <v>1528</v>
      </c>
      <c r="B348" s="674" t="s">
        <v>1389</v>
      </c>
      <c r="C348" s="674" t="s">
        <v>1390</v>
      </c>
      <c r="D348" s="673" t="s">
        <v>376</v>
      </c>
      <c r="E348" s="674" t="str">
        <f>Commodities!$D$19</f>
        <v>RESELC</v>
      </c>
      <c r="F348" s="674" t="str">
        <f>Commodities!$D$12</f>
        <v>RLT</v>
      </c>
      <c r="G348" s="697">
        <v>2010</v>
      </c>
      <c r="H348" s="701">
        <f>'RTEKTY Conv'!K176</f>
        <v>1.1643835616438356</v>
      </c>
      <c r="I348" s="698">
        <f>'RTEKTY Conv'!I176</f>
        <v>0</v>
      </c>
      <c r="J348" s="698">
        <f>'RTEKTY Conv'!G176</f>
        <v>0.45061478552228867</v>
      </c>
      <c r="K348" s="674">
        <v>1</v>
      </c>
      <c r="L348" s="674">
        <v>1</v>
      </c>
      <c r="M348" s="674">
        <v>1</v>
      </c>
      <c r="N348" s="674">
        <v>1</v>
      </c>
      <c r="O348" s="674">
        <v>1</v>
      </c>
      <c r="P348" s="674">
        <v>1</v>
      </c>
      <c r="Q348" s="674"/>
      <c r="R348" s="674">
        <v>0.18</v>
      </c>
      <c r="S348" s="699"/>
      <c r="T348" s="699"/>
      <c r="U348" s="699"/>
      <c r="V348" s="699"/>
      <c r="W348" s="699"/>
      <c r="X348" s="699"/>
      <c r="Y348" s="699"/>
      <c r="Z348" s="699"/>
      <c r="AA348" s="699"/>
      <c r="AB348" s="699"/>
      <c r="AC348" s="699"/>
      <c r="AD348" s="699"/>
      <c r="AE348" s="699"/>
      <c r="AF348" s="699"/>
      <c r="AG348" s="699"/>
      <c r="AH348" s="696">
        <v>0</v>
      </c>
      <c r="AI348" s="696">
        <v>0</v>
      </c>
      <c r="AJ348" s="696">
        <v>0</v>
      </c>
      <c r="AK348" s="696">
        <v>0</v>
      </c>
      <c r="AL348" s="696">
        <v>0</v>
      </c>
      <c r="AM348" s="696">
        <v>0</v>
      </c>
      <c r="AN348" s="696">
        <v>0</v>
      </c>
      <c r="AO348" s="696">
        <v>0</v>
      </c>
      <c r="AP348" s="696">
        <v>0</v>
      </c>
      <c r="AQ348" s="696">
        <v>0</v>
      </c>
      <c r="AT348" s="696"/>
      <c r="AU348" s="674"/>
      <c r="AV348" s="674"/>
      <c r="AW348" s="674"/>
      <c r="AX348" s="674"/>
      <c r="AY348" s="674"/>
      <c r="AZ348" s="674"/>
      <c r="BA348" s="674"/>
      <c r="BB348" s="674"/>
    </row>
    <row r="349" spans="1:54">
      <c r="A349" s="674" t="s">
        <v>1528</v>
      </c>
      <c r="B349" s="674" t="s">
        <v>1362</v>
      </c>
      <c r="C349" s="674" t="s">
        <v>1369</v>
      </c>
      <c r="D349" s="673" t="s">
        <v>376</v>
      </c>
      <c r="E349" s="674" t="str">
        <f>Commodities!$D$19</f>
        <v>RESELC</v>
      </c>
      <c r="F349" s="674" t="str">
        <f>Commodities!$D$12</f>
        <v>RLT</v>
      </c>
      <c r="G349" s="697" t="str">
        <f t="shared" si="7"/>
        <v>2010</v>
      </c>
      <c r="H349" s="701">
        <f>'RTEKTY Conv'!K177</f>
        <v>1.1643835616438356</v>
      </c>
      <c r="I349" s="698">
        <f>'RTEKTY Conv'!I177</f>
        <v>0.29993805021193348</v>
      </c>
      <c r="J349" s="698">
        <f>'RTEKTY Conv'!G177</f>
        <v>0.45981100563498845</v>
      </c>
      <c r="K349" s="674">
        <v>1</v>
      </c>
      <c r="L349" s="674">
        <v>1</v>
      </c>
      <c r="M349" s="674">
        <v>1</v>
      </c>
      <c r="N349" s="674">
        <v>1</v>
      </c>
      <c r="O349" s="674">
        <v>1</v>
      </c>
      <c r="P349" s="674">
        <v>1</v>
      </c>
      <c r="Q349" s="674"/>
      <c r="R349" s="674">
        <v>0.18</v>
      </c>
      <c r="S349" s="699">
        <f>Resid!V117</f>
        <v>1.8563643889820149</v>
      </c>
      <c r="T349" s="699">
        <f>Resid!W117</f>
        <v>1.0705307813113381</v>
      </c>
      <c r="U349" s="699">
        <f>Resid!X117</f>
        <v>1.7933241648825797</v>
      </c>
      <c r="V349" s="699">
        <f>Resid!Y117</f>
        <v>0.36122726179896619</v>
      </c>
      <c r="W349" s="699">
        <f>Resid!Z117</f>
        <v>0.94896693468591709</v>
      </c>
      <c r="X349" s="699"/>
      <c r="Y349" s="699"/>
      <c r="Z349" s="699"/>
      <c r="AA349" s="699"/>
      <c r="AB349" s="699"/>
      <c r="AC349" s="699"/>
      <c r="AD349" s="699"/>
      <c r="AE349" s="699"/>
      <c r="AF349" s="699"/>
      <c r="AG349" s="699"/>
      <c r="AH349" s="696">
        <v>0</v>
      </c>
      <c r="AI349" s="696"/>
      <c r="AJ349" s="696">
        <v>0</v>
      </c>
      <c r="AK349" s="696">
        <v>0</v>
      </c>
      <c r="AL349" s="696">
        <v>0</v>
      </c>
      <c r="AM349" s="696">
        <v>0</v>
      </c>
      <c r="AN349" s="696">
        <v>0</v>
      </c>
      <c r="AO349" s="696">
        <v>0</v>
      </c>
      <c r="AP349" s="696">
        <v>0</v>
      </c>
      <c r="AQ349" s="696">
        <v>0</v>
      </c>
      <c r="AT349" s="696"/>
      <c r="AU349" s="674"/>
      <c r="AV349" s="674"/>
      <c r="AW349" s="674"/>
      <c r="AX349" s="674"/>
      <c r="AY349" s="674"/>
      <c r="AZ349" s="674"/>
      <c r="BA349" s="674"/>
      <c r="BB349" s="674"/>
    </row>
    <row r="350" spans="1:54">
      <c r="A350" s="674" t="s">
        <v>390</v>
      </c>
      <c r="B350" s="674" t="s">
        <v>1363</v>
      </c>
      <c r="C350" s="674" t="s">
        <v>1370</v>
      </c>
      <c r="D350" s="673" t="s">
        <v>376</v>
      </c>
      <c r="E350" s="674" t="str">
        <f>Commodities!$D$19</f>
        <v>RESELC</v>
      </c>
      <c r="F350" s="674" t="str">
        <f>Commodities!$D$12</f>
        <v>RLT</v>
      </c>
      <c r="G350" s="697" t="str">
        <f t="shared" si="7"/>
        <v>2015</v>
      </c>
      <c r="H350" s="701">
        <f>'RTEKTY Conv'!K178</f>
        <v>1.3698630136986301</v>
      </c>
      <c r="I350" s="698">
        <f>'RTEKTY Conv'!I178</f>
        <v>1.5542244420072919</v>
      </c>
      <c r="J350" s="698">
        <f>'RTEKTY Conv'!G178</f>
        <v>0.62787985597053608</v>
      </c>
      <c r="K350" s="674">
        <v>1</v>
      </c>
      <c r="L350" s="674">
        <v>1</v>
      </c>
      <c r="M350" s="674">
        <v>1</v>
      </c>
      <c r="N350" s="674">
        <v>1</v>
      </c>
      <c r="O350" s="674">
        <v>1</v>
      </c>
      <c r="P350" s="674">
        <v>1</v>
      </c>
      <c r="Q350" s="674"/>
      <c r="R350" s="674">
        <v>0.18</v>
      </c>
      <c r="S350" s="696"/>
      <c r="T350" s="696"/>
      <c r="U350" s="696"/>
      <c r="V350" s="696"/>
      <c r="W350" s="696"/>
      <c r="X350" s="696"/>
      <c r="Y350" s="696"/>
      <c r="Z350" s="696"/>
      <c r="AA350" s="696"/>
      <c r="AB350" s="696"/>
      <c r="AC350" s="696"/>
      <c r="AD350" s="696"/>
      <c r="AE350" s="696"/>
      <c r="AF350" s="696"/>
      <c r="AG350" s="696"/>
      <c r="AH350" s="696">
        <v>0</v>
      </c>
      <c r="AI350" s="696">
        <v>0</v>
      </c>
      <c r="AJ350" s="696">
        <v>0</v>
      </c>
      <c r="AK350" s="696">
        <v>0</v>
      </c>
      <c r="AL350" s="696">
        <v>0</v>
      </c>
      <c r="AM350" s="696">
        <v>0</v>
      </c>
      <c r="AN350" s="696">
        <v>0</v>
      </c>
      <c r="AO350" s="696">
        <v>0</v>
      </c>
      <c r="AP350" s="696">
        <v>0</v>
      </c>
      <c r="AQ350" s="696">
        <v>0</v>
      </c>
      <c r="AT350" s="696"/>
      <c r="AU350" s="674"/>
      <c r="AV350" s="674"/>
      <c r="AW350" s="674"/>
      <c r="AX350" s="674"/>
      <c r="AY350" s="674"/>
      <c r="AZ350" s="674"/>
      <c r="BA350" s="674"/>
      <c r="BB350" s="674"/>
    </row>
    <row r="351" spans="1:54">
      <c r="A351" s="673" t="s">
        <v>390</v>
      </c>
      <c r="B351" s="674"/>
      <c r="C351" s="674"/>
      <c r="D351" s="673"/>
      <c r="E351" s="674"/>
      <c r="F351" s="674"/>
      <c r="G351" s="697"/>
      <c r="H351" s="701"/>
      <c r="I351" s="698"/>
      <c r="J351" s="698"/>
      <c r="K351" s="674"/>
      <c r="L351" s="674"/>
      <c r="M351" s="674" t="s">
        <v>729</v>
      </c>
      <c r="N351" s="674" t="s">
        <v>729</v>
      </c>
      <c r="O351" s="674" t="s">
        <v>729</v>
      </c>
      <c r="P351" s="674" t="s">
        <v>729</v>
      </c>
      <c r="Q351" s="674"/>
      <c r="R351" s="674"/>
      <c r="S351" s="696"/>
      <c r="T351" s="696"/>
      <c r="U351" s="696"/>
      <c r="V351" s="696"/>
      <c r="W351" s="696"/>
      <c r="X351" s="696"/>
      <c r="Y351" s="696"/>
      <c r="Z351" s="696"/>
      <c r="AA351" s="696"/>
      <c r="AB351" s="696"/>
      <c r="AC351" s="696"/>
      <c r="AD351" s="696"/>
      <c r="AE351" s="696"/>
      <c r="AF351" s="696"/>
      <c r="AG351" s="696"/>
      <c r="AH351" s="696"/>
      <c r="AI351" s="696"/>
      <c r="AJ351" s="696"/>
      <c r="AK351" s="696"/>
      <c r="AL351" s="696"/>
      <c r="AM351" s="696"/>
      <c r="AN351" s="696"/>
      <c r="AO351" s="696"/>
      <c r="AP351" s="696"/>
      <c r="AQ351" s="696"/>
      <c r="AT351" s="696"/>
      <c r="AU351" s="674"/>
      <c r="AV351" s="674"/>
      <c r="AW351" s="674"/>
      <c r="AX351" s="674"/>
      <c r="AY351" s="674"/>
      <c r="AZ351" s="674"/>
      <c r="BA351" s="674"/>
      <c r="BB351" s="674"/>
    </row>
    <row r="352" spans="1:54">
      <c r="A352" s="674" t="s">
        <v>1528</v>
      </c>
      <c r="B352" s="674" t="s">
        <v>1391</v>
      </c>
      <c r="C352" s="674" t="s">
        <v>1392</v>
      </c>
      <c r="D352" s="673" t="s">
        <v>376</v>
      </c>
      <c r="E352" s="674" t="str">
        <f>Commodities!$D$19</f>
        <v>RESELC</v>
      </c>
      <c r="F352" s="674" t="str">
        <f>Commodities!$D$12</f>
        <v>RLT</v>
      </c>
      <c r="G352" s="697">
        <v>2010</v>
      </c>
      <c r="H352" s="701">
        <f>'RTEKTY Conv'!K180</f>
        <v>13.698630136986301</v>
      </c>
      <c r="I352" s="698">
        <f>'RTEKTY Conv'!I180</f>
        <v>0</v>
      </c>
      <c r="J352" s="698">
        <f>'RTEKTY Conv'!G180</f>
        <v>2.0244368689474248</v>
      </c>
      <c r="K352" s="674">
        <v>1</v>
      </c>
      <c r="L352" s="674">
        <v>1</v>
      </c>
      <c r="M352" s="674">
        <v>1</v>
      </c>
      <c r="N352" s="674">
        <v>1</v>
      </c>
      <c r="O352" s="674">
        <v>1</v>
      </c>
      <c r="P352" s="674">
        <v>1</v>
      </c>
      <c r="Q352" s="674"/>
      <c r="R352" s="674">
        <v>0.28000000000000003</v>
      </c>
      <c r="S352" s="699"/>
      <c r="T352" s="699"/>
      <c r="U352" s="699"/>
      <c r="V352" s="699"/>
      <c r="W352" s="699"/>
      <c r="X352" s="699"/>
      <c r="Y352" s="699"/>
      <c r="Z352" s="699"/>
      <c r="AA352" s="699"/>
      <c r="AB352" s="699"/>
      <c r="AC352" s="699"/>
      <c r="AD352" s="699"/>
      <c r="AE352" s="699"/>
      <c r="AF352" s="699"/>
      <c r="AG352" s="699"/>
      <c r="AH352" s="696">
        <v>0</v>
      </c>
      <c r="AI352" s="696">
        <v>0</v>
      </c>
      <c r="AJ352" s="696">
        <v>0</v>
      </c>
      <c r="AK352" s="696">
        <v>0</v>
      </c>
      <c r="AL352" s="696">
        <v>0</v>
      </c>
      <c r="AM352" s="696">
        <v>0</v>
      </c>
      <c r="AN352" s="696">
        <v>0</v>
      </c>
      <c r="AO352" s="696">
        <v>0</v>
      </c>
      <c r="AP352" s="696">
        <v>0</v>
      </c>
      <c r="AQ352" s="696">
        <v>0</v>
      </c>
      <c r="AT352" s="696"/>
      <c r="AU352" s="674">
        <v>1.1499999999999999</v>
      </c>
      <c r="AV352" s="674">
        <v>1.1499999999999999</v>
      </c>
      <c r="AW352" s="674">
        <v>1.1499999999999999</v>
      </c>
      <c r="AX352" s="674">
        <v>1.1499999999999999</v>
      </c>
      <c r="AY352" s="674">
        <v>1.1499999999999999</v>
      </c>
      <c r="AZ352" s="674">
        <v>1.1499999999999999</v>
      </c>
      <c r="BA352" s="674">
        <v>1.1499999999999999</v>
      </c>
      <c r="BB352" s="674">
        <v>1.1499999999999999</v>
      </c>
    </row>
    <row r="353" spans="1:54">
      <c r="A353" s="674" t="s">
        <v>1528</v>
      </c>
      <c r="B353" s="674" t="s">
        <v>1364</v>
      </c>
      <c r="C353" s="674" t="s">
        <v>1368</v>
      </c>
      <c r="D353" s="673" t="s">
        <v>376</v>
      </c>
      <c r="E353" s="674" t="str">
        <f>Commodities!$D$19</f>
        <v>RESELC</v>
      </c>
      <c r="F353" s="674" t="str">
        <f>Commodities!$D$12</f>
        <v>RLT</v>
      </c>
      <c r="G353" s="697" t="str">
        <f t="shared" si="7"/>
        <v>2010</v>
      </c>
      <c r="H353" s="701">
        <f>'RTEKTY Conv'!K181</f>
        <v>13.698630136986301</v>
      </c>
      <c r="I353" s="698">
        <f>'RTEKTY Conv'!I181</f>
        <v>2.7903327701534422</v>
      </c>
      <c r="J353" s="698">
        <f>'RTEKTY Conv'!G181</f>
        <v>2.1309861778393948</v>
      </c>
      <c r="K353" s="674">
        <v>1</v>
      </c>
      <c r="L353" s="674">
        <v>1</v>
      </c>
      <c r="M353" s="674">
        <v>1</v>
      </c>
      <c r="N353" s="674">
        <v>1</v>
      </c>
      <c r="O353" s="674">
        <v>1</v>
      </c>
      <c r="P353" s="674">
        <v>1</v>
      </c>
      <c r="Q353" s="674"/>
      <c r="R353" s="674">
        <v>0.28000000000000003</v>
      </c>
      <c r="S353" s="699">
        <f>Resid!V118</f>
        <v>0.36015426907918907</v>
      </c>
      <c r="T353" s="699">
        <f>Resid!W118</f>
        <v>0.20769426162144156</v>
      </c>
      <c r="U353" s="699">
        <f>Resid!X118</f>
        <v>0.3479238007681853</v>
      </c>
      <c r="V353" s="699">
        <f>Resid!Y118</f>
        <v>7.0081898369115922E-2</v>
      </c>
      <c r="W353" s="699">
        <f>Resid!Z118</f>
        <v>0.18410959333773141</v>
      </c>
      <c r="X353" s="699"/>
      <c r="Y353" s="699"/>
      <c r="Z353" s="699"/>
      <c r="AA353" s="699"/>
      <c r="AB353" s="699"/>
      <c r="AC353" s="699"/>
      <c r="AD353" s="699"/>
      <c r="AE353" s="699"/>
      <c r="AF353" s="699"/>
      <c r="AG353" s="699"/>
      <c r="AH353" s="696">
        <v>0</v>
      </c>
      <c r="AI353" s="696"/>
      <c r="AJ353" s="696">
        <v>0</v>
      </c>
      <c r="AK353" s="696">
        <v>0</v>
      </c>
      <c r="AL353" s="696">
        <v>0</v>
      </c>
      <c r="AM353" s="696">
        <v>0</v>
      </c>
      <c r="AN353" s="696">
        <v>0</v>
      </c>
      <c r="AO353" s="696">
        <v>0</v>
      </c>
      <c r="AP353" s="696">
        <v>0</v>
      </c>
      <c r="AQ353" s="696">
        <v>0</v>
      </c>
      <c r="AT353" s="696"/>
      <c r="AU353" s="674">
        <v>1.1499999999999999</v>
      </c>
      <c r="AV353" s="674">
        <v>1.1499999999999999</v>
      </c>
      <c r="AW353" s="674">
        <v>1.1499999999999999</v>
      </c>
      <c r="AX353" s="674">
        <v>1.1499999999999999</v>
      </c>
      <c r="AY353" s="674">
        <v>1.1499999999999999</v>
      </c>
      <c r="AZ353" s="674">
        <v>1.1499999999999999</v>
      </c>
      <c r="BA353" s="674">
        <v>1.1499999999999999</v>
      </c>
      <c r="BB353" s="674">
        <v>1.1499999999999999</v>
      </c>
    </row>
    <row r="354" spans="1:54">
      <c r="A354" s="674" t="s">
        <v>390</v>
      </c>
      <c r="B354" s="674" t="s">
        <v>1365</v>
      </c>
      <c r="C354" s="674" t="s">
        <v>1371</v>
      </c>
      <c r="D354" s="673" t="s">
        <v>376</v>
      </c>
      <c r="E354" s="674" t="str">
        <f>Commodities!$D$19</f>
        <v>RESELC</v>
      </c>
      <c r="F354" s="674" t="str">
        <f>Commodities!$D$12</f>
        <v>RLT</v>
      </c>
      <c r="G354" s="697" t="str">
        <f t="shared" si="7"/>
        <v>2015</v>
      </c>
      <c r="H354" s="701">
        <f>'RTEKTY Conv'!K182</f>
        <v>13.698630136986301</v>
      </c>
      <c r="I354" s="698">
        <f>'RTEKTY Conv'!I182</f>
        <v>2.1177444151327425</v>
      </c>
      <c r="J354" s="698">
        <f>'RTEKTY Conv'!G182</f>
        <v>2.1309861778393948</v>
      </c>
      <c r="K354" s="674">
        <v>1</v>
      </c>
      <c r="L354" s="674">
        <v>1</v>
      </c>
      <c r="M354" s="674">
        <v>1</v>
      </c>
      <c r="N354" s="674">
        <v>1</v>
      </c>
      <c r="O354" s="674">
        <v>1</v>
      </c>
      <c r="P354" s="674">
        <v>1</v>
      </c>
      <c r="Q354" s="674"/>
      <c r="R354" s="674">
        <v>0.28000000000000003</v>
      </c>
      <c r="S354" s="699"/>
      <c r="T354" s="696"/>
      <c r="U354" s="696"/>
      <c r="V354" s="696"/>
      <c r="W354" s="696"/>
      <c r="X354" s="696"/>
      <c r="Y354" s="696"/>
      <c r="Z354" s="696"/>
      <c r="AA354" s="696"/>
      <c r="AB354" s="696"/>
      <c r="AC354" s="696"/>
      <c r="AD354" s="696"/>
      <c r="AE354" s="696"/>
      <c r="AF354" s="696"/>
      <c r="AG354" s="696"/>
      <c r="AH354" s="696">
        <v>0</v>
      </c>
      <c r="AI354" s="696"/>
      <c r="AJ354" s="696">
        <v>0</v>
      </c>
      <c r="AK354" s="696">
        <v>0</v>
      </c>
      <c r="AL354" s="696">
        <v>0</v>
      </c>
      <c r="AM354" s="696">
        <v>0</v>
      </c>
      <c r="AN354" s="696">
        <v>0</v>
      </c>
      <c r="AO354" s="696">
        <v>0</v>
      </c>
      <c r="AP354" s="696">
        <v>0</v>
      </c>
      <c r="AQ354" s="696">
        <v>0</v>
      </c>
      <c r="AT354" s="696"/>
      <c r="AU354" s="674">
        <v>1.1499999999999999</v>
      </c>
      <c r="AV354" s="674">
        <v>1.1499999999999999</v>
      </c>
      <c r="AW354" s="674">
        <v>1.1499999999999999</v>
      </c>
      <c r="AX354" s="674">
        <v>1.1499999999999999</v>
      </c>
      <c r="AY354" s="674">
        <v>1.1499999999999999</v>
      </c>
      <c r="AZ354" s="674">
        <v>1.1499999999999999</v>
      </c>
      <c r="BA354" s="674">
        <v>1.1499999999999999</v>
      </c>
      <c r="BB354" s="674">
        <v>1.1499999999999999</v>
      </c>
    </row>
    <row r="355" spans="1:54">
      <c r="A355" s="674" t="s">
        <v>390</v>
      </c>
      <c r="B355" s="674" t="s">
        <v>1366</v>
      </c>
      <c r="C355" s="674" t="s">
        <v>1372</v>
      </c>
      <c r="D355" s="673" t="s">
        <v>376</v>
      </c>
      <c r="E355" s="674" t="str">
        <f>Commodities!$D$19</f>
        <v>RESELC</v>
      </c>
      <c r="F355" s="674" t="str">
        <f>Commodities!$D$12</f>
        <v>RLT</v>
      </c>
      <c r="G355" s="697" t="str">
        <f t="shared" si="7"/>
        <v>2020</v>
      </c>
      <c r="H355" s="701">
        <f>'RTEKTY Conv'!K183</f>
        <v>13.698630136986301</v>
      </c>
      <c r="I355" s="698">
        <f>'RTEKTY Conv'!I183</f>
        <v>2.0632102241851182</v>
      </c>
      <c r="J355" s="698">
        <f>'RTEKTY Conv'!G183</f>
        <v>2.1880661647458073</v>
      </c>
      <c r="K355" s="674">
        <v>1</v>
      </c>
      <c r="L355" s="674">
        <v>1</v>
      </c>
      <c r="M355" s="674">
        <v>1</v>
      </c>
      <c r="N355" s="674">
        <v>1</v>
      </c>
      <c r="O355" s="674">
        <v>1</v>
      </c>
      <c r="P355" s="674">
        <v>1</v>
      </c>
      <c r="Q355" s="674"/>
      <c r="R355" s="674">
        <v>0.28000000000000003</v>
      </c>
      <c r="S355" s="696"/>
      <c r="T355" s="696"/>
      <c r="U355" s="696"/>
      <c r="V355" s="696"/>
      <c r="W355" s="696"/>
      <c r="X355" s="696"/>
      <c r="Y355" s="696"/>
      <c r="Z355" s="696"/>
      <c r="AA355" s="696"/>
      <c r="AB355" s="696"/>
      <c r="AC355" s="696"/>
      <c r="AD355" s="696"/>
      <c r="AE355" s="696"/>
      <c r="AF355" s="696"/>
      <c r="AG355" s="696"/>
      <c r="AH355" s="696">
        <v>0</v>
      </c>
      <c r="AI355" s="696">
        <v>0</v>
      </c>
      <c r="AJ355" s="696"/>
      <c r="AK355" s="696"/>
      <c r="AL355" s="696">
        <v>0</v>
      </c>
      <c r="AM355" s="696">
        <v>0</v>
      </c>
      <c r="AN355" s="696">
        <v>0</v>
      </c>
      <c r="AO355" s="696">
        <v>0</v>
      </c>
      <c r="AP355" s="696">
        <v>0</v>
      </c>
      <c r="AQ355" s="696">
        <v>0</v>
      </c>
      <c r="AT355" s="696"/>
      <c r="AU355" s="674">
        <v>1.1499999999999999</v>
      </c>
      <c r="AV355" s="674">
        <v>1.1499999999999999</v>
      </c>
      <c r="AW355" s="674">
        <v>1.1499999999999999</v>
      </c>
      <c r="AX355" s="674">
        <v>1.1499999999999999</v>
      </c>
      <c r="AY355" s="674">
        <v>1.1499999999999999</v>
      </c>
      <c r="AZ355" s="674">
        <v>1.1499999999999999</v>
      </c>
      <c r="BA355" s="674">
        <v>1.1499999999999999</v>
      </c>
      <c r="BB355" s="674">
        <v>1.1499999999999999</v>
      </c>
    </row>
    <row r="356" spans="1:54">
      <c r="A356" s="674" t="s">
        <v>390</v>
      </c>
      <c r="B356" s="674" t="s">
        <v>1375</v>
      </c>
      <c r="C356" s="674" t="s">
        <v>1373</v>
      </c>
      <c r="D356" s="673" t="s">
        <v>376</v>
      </c>
      <c r="E356" s="674" t="str">
        <f>Commodities!$D$19</f>
        <v>RESELC</v>
      </c>
      <c r="F356" s="674" t="str">
        <f>Commodities!$D$12</f>
        <v>RLT</v>
      </c>
      <c r="G356" s="697" t="str">
        <f t="shared" si="7"/>
        <v>2030</v>
      </c>
      <c r="H356" s="701">
        <f>'RTEKTY Conv'!K184</f>
        <v>13.698630136986301</v>
      </c>
      <c r="I356" s="698">
        <f>'RTEKTY Conv'!I184</f>
        <v>2.008676033237494</v>
      </c>
      <c r="J356" s="698">
        <f>'RTEKTY Conv'!G184</f>
        <v>2.24197504126853</v>
      </c>
      <c r="K356" s="674">
        <v>1</v>
      </c>
      <c r="L356" s="674">
        <v>1</v>
      </c>
      <c r="M356" s="674">
        <v>1</v>
      </c>
      <c r="N356" s="674">
        <v>1</v>
      </c>
      <c r="O356" s="674">
        <v>1</v>
      </c>
      <c r="P356" s="674">
        <v>1</v>
      </c>
      <c r="Q356" s="674"/>
      <c r="R356" s="674">
        <v>0.28000000000000003</v>
      </c>
      <c r="S356" s="696"/>
      <c r="T356" s="696"/>
      <c r="U356" s="696"/>
      <c r="V356" s="696"/>
      <c r="W356" s="696"/>
      <c r="X356" s="696"/>
      <c r="Y356" s="696"/>
      <c r="Z356" s="696"/>
      <c r="AA356" s="696"/>
      <c r="AB356" s="696"/>
      <c r="AC356" s="696"/>
      <c r="AD356" s="696"/>
      <c r="AE356" s="696"/>
      <c r="AF356" s="696"/>
      <c r="AG356" s="696"/>
      <c r="AH356" s="696">
        <v>0</v>
      </c>
      <c r="AI356" s="696">
        <v>0</v>
      </c>
      <c r="AJ356" s="696">
        <v>0</v>
      </c>
      <c r="AK356" s="696">
        <v>0</v>
      </c>
      <c r="AL356" s="696"/>
      <c r="AM356" s="696"/>
      <c r="AN356" s="696"/>
      <c r="AO356" s="696"/>
      <c r="AP356" s="696"/>
      <c r="AQ356" s="696"/>
      <c r="AT356" s="696"/>
      <c r="AU356" s="674">
        <v>1.1499999999999999</v>
      </c>
      <c r="AV356" s="674">
        <v>1.1499999999999999</v>
      </c>
      <c r="AW356" s="674">
        <v>1.1499999999999999</v>
      </c>
      <c r="AX356" s="674">
        <v>1.1499999999999999</v>
      </c>
      <c r="AY356" s="674">
        <v>1.1499999999999999</v>
      </c>
      <c r="AZ356" s="674">
        <v>1.1499999999999999</v>
      </c>
      <c r="BA356" s="674">
        <v>1.1499999999999999</v>
      </c>
      <c r="BB356" s="674">
        <v>1.1499999999999999</v>
      </c>
    </row>
    <row r="357" spans="1:54">
      <c r="A357" s="674" t="s">
        <v>390</v>
      </c>
      <c r="B357" s="674" t="s">
        <v>1367</v>
      </c>
      <c r="C357" s="674" t="s">
        <v>1374</v>
      </c>
      <c r="D357" s="673" t="s">
        <v>376</v>
      </c>
      <c r="E357" s="674" t="str">
        <f>Commodities!$D$19</f>
        <v>RESELC</v>
      </c>
      <c r="F357" s="674" t="str">
        <f>Commodities!$D$12</f>
        <v>RLT</v>
      </c>
      <c r="G357" s="697" t="str">
        <f t="shared" si="7"/>
        <v>2040</v>
      </c>
      <c r="H357" s="701">
        <f>'RTEKTY Conv'!K185</f>
        <v>13.698630136986301</v>
      </c>
      <c r="I357" s="698">
        <f>'RTEKTY Conv'!I185</f>
        <v>1.9632308741144737</v>
      </c>
      <c r="J357" s="698">
        <f>'RTEKTY Conv'!G185</f>
        <v>2.2990550281749424</v>
      </c>
      <c r="K357" s="674">
        <v>1</v>
      </c>
      <c r="L357" s="674">
        <v>1</v>
      </c>
      <c r="M357" s="674">
        <v>1</v>
      </c>
      <c r="N357" s="674">
        <v>1</v>
      </c>
      <c r="O357" s="674">
        <v>1</v>
      </c>
      <c r="P357" s="674">
        <v>1</v>
      </c>
      <c r="Q357" s="674"/>
      <c r="R357" s="674">
        <v>0.28000000000000003</v>
      </c>
      <c r="S357" s="696"/>
      <c r="T357" s="696"/>
      <c r="U357" s="696"/>
      <c r="V357" s="696"/>
      <c r="W357" s="696"/>
      <c r="X357" s="696"/>
      <c r="Y357" s="696"/>
      <c r="Z357" s="696"/>
      <c r="AA357" s="696"/>
      <c r="AB357" s="696"/>
      <c r="AC357" s="696"/>
      <c r="AD357" s="696"/>
      <c r="AE357" s="696"/>
      <c r="AF357" s="696"/>
      <c r="AG357" s="696"/>
      <c r="AH357" s="696">
        <v>0</v>
      </c>
      <c r="AI357" s="696">
        <v>0</v>
      </c>
      <c r="AJ357" s="696">
        <v>0</v>
      </c>
      <c r="AK357" s="696">
        <v>0</v>
      </c>
      <c r="AL357" s="696">
        <v>0</v>
      </c>
      <c r="AM357" s="696">
        <v>0</v>
      </c>
      <c r="AN357" s="696"/>
      <c r="AO357" s="696"/>
      <c r="AP357" s="696"/>
      <c r="AQ357" s="696"/>
      <c r="AT357" s="696"/>
      <c r="AU357" s="674">
        <v>1.1499999999999999</v>
      </c>
      <c r="AV357" s="674">
        <v>1.1499999999999999</v>
      </c>
      <c r="AW357" s="674">
        <v>1.1499999999999999</v>
      </c>
      <c r="AX357" s="674">
        <v>1.1499999999999999</v>
      </c>
      <c r="AY357" s="674">
        <v>1.1499999999999999</v>
      </c>
      <c r="AZ357" s="674">
        <v>1.1499999999999999</v>
      </c>
      <c r="BA357" s="674">
        <v>1.1499999999999999</v>
      </c>
      <c r="BB357" s="674">
        <v>1.1499999999999999</v>
      </c>
    </row>
    <row r="358" spans="1:54">
      <c r="A358" s="673" t="s">
        <v>390</v>
      </c>
      <c r="B358" s="674"/>
      <c r="C358" s="674"/>
      <c r="D358" s="673"/>
      <c r="E358" s="674"/>
      <c r="F358" s="674"/>
      <c r="G358" s="697"/>
      <c r="H358" s="701"/>
      <c r="I358" s="698"/>
      <c r="J358" s="698"/>
      <c r="K358" s="674"/>
      <c r="L358" s="674"/>
      <c r="M358" s="674" t="s">
        <v>729</v>
      </c>
      <c r="N358" s="674" t="s">
        <v>729</v>
      </c>
      <c r="O358" s="674" t="s">
        <v>729</v>
      </c>
      <c r="P358" s="674" t="s">
        <v>729</v>
      </c>
      <c r="Q358" s="674"/>
      <c r="R358" s="674"/>
      <c r="S358" s="696"/>
      <c r="T358" s="696"/>
      <c r="U358" s="696"/>
      <c r="V358" s="696"/>
      <c r="W358" s="696"/>
      <c r="X358" s="696"/>
      <c r="Y358" s="696"/>
      <c r="Z358" s="696"/>
      <c r="AA358" s="696"/>
      <c r="AB358" s="696"/>
      <c r="AC358" s="696"/>
      <c r="AD358" s="696"/>
      <c r="AE358" s="696"/>
      <c r="AF358" s="696"/>
      <c r="AG358" s="696"/>
      <c r="AH358" s="696"/>
      <c r="AI358" s="696"/>
      <c r="AJ358" s="696"/>
      <c r="AK358" s="696"/>
      <c r="AL358" s="696"/>
      <c r="AM358" s="696"/>
      <c r="AN358" s="696"/>
      <c r="AO358" s="696"/>
      <c r="AP358" s="696"/>
      <c r="AQ358" s="696"/>
      <c r="AT358" s="696"/>
      <c r="AU358" s="674"/>
      <c r="AV358" s="674"/>
      <c r="AW358" s="674"/>
      <c r="AX358" s="674"/>
      <c r="AY358" s="674"/>
      <c r="AZ358" s="674"/>
      <c r="BA358" s="674"/>
      <c r="BB358" s="674"/>
    </row>
    <row r="359" spans="1:54">
      <c r="A359" s="674" t="s">
        <v>1528</v>
      </c>
      <c r="B359" s="674" t="s">
        <v>1376</v>
      </c>
      <c r="C359" s="674" t="s">
        <v>1382</v>
      </c>
      <c r="D359" s="673" t="s">
        <v>376</v>
      </c>
      <c r="E359" s="674" t="str">
        <f>Commodities!$D$19</f>
        <v>RESELC</v>
      </c>
      <c r="F359" s="674" t="str">
        <f>Commodities!$D$12</f>
        <v>RLT</v>
      </c>
      <c r="G359" s="697" t="str">
        <f t="shared" ref="G359" si="11">IF(RIGHT(B359,2)="TI",2010,CONCATENATE(20,RIGHT(B359,2)))</f>
        <v>2010</v>
      </c>
      <c r="H359" s="701">
        <f>'RTEKTY Conv'!K187</f>
        <v>34.246575342465754</v>
      </c>
      <c r="I359" s="698">
        <f>'RTEKTY Conv'!I187</f>
        <v>23.495147266601457</v>
      </c>
      <c r="J359" s="698">
        <f>'RTEKTY Conv'!G187</f>
        <v>1.9026662302137451</v>
      </c>
      <c r="K359" s="674">
        <v>1</v>
      </c>
      <c r="L359" s="674">
        <v>1</v>
      </c>
      <c r="M359" s="674">
        <v>1</v>
      </c>
      <c r="N359" s="674">
        <v>1</v>
      </c>
      <c r="O359" s="674">
        <v>1</v>
      </c>
      <c r="P359" s="674">
        <v>1</v>
      </c>
      <c r="Q359" s="674"/>
      <c r="R359" s="674">
        <v>0.45</v>
      </c>
      <c r="S359" s="696"/>
      <c r="T359" s="696"/>
      <c r="U359" s="696"/>
      <c r="V359" s="696"/>
      <c r="W359" s="696"/>
      <c r="X359" s="696"/>
      <c r="Y359" s="696"/>
      <c r="Z359" s="696"/>
      <c r="AA359" s="696"/>
      <c r="AB359" s="696"/>
      <c r="AC359" s="696"/>
      <c r="AD359" s="696"/>
      <c r="AE359" s="696"/>
      <c r="AF359" s="696"/>
      <c r="AG359" s="696"/>
      <c r="AH359" s="696">
        <v>0</v>
      </c>
      <c r="AI359" s="696">
        <v>0</v>
      </c>
      <c r="AJ359" s="696">
        <v>0</v>
      </c>
      <c r="AK359" s="696">
        <v>0</v>
      </c>
      <c r="AL359" s="696">
        <v>0</v>
      </c>
      <c r="AM359" s="696">
        <v>0</v>
      </c>
      <c r="AN359" s="696">
        <v>0</v>
      </c>
      <c r="AO359" s="696">
        <v>0</v>
      </c>
      <c r="AP359" s="696">
        <v>0</v>
      </c>
      <c r="AQ359" s="696">
        <v>0</v>
      </c>
      <c r="AT359" s="696"/>
      <c r="AU359" s="674">
        <v>1.1499999999999999</v>
      </c>
      <c r="AV359" s="674">
        <v>1.1499999999999999</v>
      </c>
      <c r="AW359" s="674">
        <v>1.1499999999999999</v>
      </c>
      <c r="AX359" s="674">
        <v>1.1499999999999999</v>
      </c>
      <c r="AY359" s="674">
        <v>1.1499999999999999</v>
      </c>
      <c r="AZ359" s="674">
        <v>1.1499999999999999</v>
      </c>
      <c r="BA359" s="674">
        <v>1.1499999999999999</v>
      </c>
      <c r="BB359" s="674">
        <v>1.1499999999999999</v>
      </c>
    </row>
    <row r="360" spans="1:54">
      <c r="A360" s="674" t="s">
        <v>390</v>
      </c>
      <c r="B360" s="674" t="s">
        <v>1377</v>
      </c>
      <c r="C360" s="674" t="s">
        <v>1383</v>
      </c>
      <c r="D360" s="673" t="s">
        <v>376</v>
      </c>
      <c r="E360" s="674" t="str">
        <f>Commodities!$D$19</f>
        <v>RESELC</v>
      </c>
      <c r="F360" s="674" t="str">
        <f>Commodities!$D$12</f>
        <v>RLT</v>
      </c>
      <c r="G360" s="697" t="str">
        <f t="shared" ref="G360:G409" si="12">IF(RIGHT(B360,2)="TI",2010,CONCATENATE(20,RIGHT(B360,2)))</f>
        <v>2015</v>
      </c>
      <c r="H360" s="701">
        <f>'RTEKTY Conv'!K188</f>
        <v>46.602739726027394</v>
      </c>
      <c r="I360" s="698">
        <f>'RTEKTY Conv'!I188</f>
        <v>6.9621983776466987</v>
      </c>
      <c r="J360" s="698">
        <f>'RTEKTY Conv'!G188</f>
        <v>2.9174215529944094</v>
      </c>
      <c r="K360" s="674">
        <v>1</v>
      </c>
      <c r="L360" s="674">
        <v>1</v>
      </c>
      <c r="M360" s="674">
        <v>1</v>
      </c>
      <c r="N360" s="674">
        <v>1</v>
      </c>
      <c r="O360" s="674">
        <v>1</v>
      </c>
      <c r="P360" s="674">
        <v>1</v>
      </c>
      <c r="Q360" s="674"/>
      <c r="R360" s="674">
        <v>0.45</v>
      </c>
      <c r="S360" s="696"/>
      <c r="T360" s="696"/>
      <c r="U360" s="696"/>
      <c r="V360" s="696"/>
      <c r="W360" s="696"/>
      <c r="X360" s="696"/>
      <c r="Y360" s="696"/>
      <c r="Z360" s="696"/>
      <c r="AA360" s="696"/>
      <c r="AB360" s="696"/>
      <c r="AC360" s="696"/>
      <c r="AD360" s="696"/>
      <c r="AE360" s="696"/>
      <c r="AF360" s="696"/>
      <c r="AG360" s="696"/>
      <c r="AH360" s="696">
        <v>0</v>
      </c>
      <c r="AI360" s="696"/>
      <c r="AJ360" s="696">
        <v>0</v>
      </c>
      <c r="AK360" s="696">
        <v>0</v>
      </c>
      <c r="AL360" s="696">
        <v>0</v>
      </c>
      <c r="AM360" s="696">
        <v>0</v>
      </c>
      <c r="AN360" s="696">
        <v>0</v>
      </c>
      <c r="AO360" s="696">
        <v>0</v>
      </c>
      <c r="AP360" s="696">
        <v>0</v>
      </c>
      <c r="AQ360" s="696">
        <v>0</v>
      </c>
      <c r="AT360" s="696"/>
      <c r="AU360" s="674">
        <v>1.1499999999999999</v>
      </c>
      <c r="AV360" s="674">
        <v>1.1499999999999999</v>
      </c>
      <c r="AW360" s="674">
        <v>1.1499999999999999</v>
      </c>
      <c r="AX360" s="674">
        <v>1.1499999999999999</v>
      </c>
      <c r="AY360" s="674">
        <v>1.1499999999999999</v>
      </c>
      <c r="AZ360" s="674">
        <v>1.1499999999999999</v>
      </c>
      <c r="BA360" s="674">
        <v>1.1499999999999999</v>
      </c>
      <c r="BB360" s="674">
        <v>1.1499999999999999</v>
      </c>
    </row>
    <row r="361" spans="1:54">
      <c r="A361" s="674" t="s">
        <v>390</v>
      </c>
      <c r="B361" s="674" t="s">
        <v>1378</v>
      </c>
      <c r="C361" s="674" t="s">
        <v>1384</v>
      </c>
      <c r="D361" s="673" t="s">
        <v>376</v>
      </c>
      <c r="E361" s="674" t="str">
        <f>Commodities!$D$19</f>
        <v>RESELC</v>
      </c>
      <c r="F361" s="674" t="str">
        <f>Commodities!$D$12</f>
        <v>RLT</v>
      </c>
      <c r="G361" s="697" t="str">
        <f t="shared" si="12"/>
        <v>2020</v>
      </c>
      <c r="H361" s="701">
        <f>'RTEKTY Conv'!K189</f>
        <v>68.493150684931507</v>
      </c>
      <c r="I361" s="698">
        <f>'RTEKTY Conv'!I189</f>
        <v>3.5629004752447853</v>
      </c>
      <c r="J361" s="698">
        <f>'RTEKTY Conv'!G189</f>
        <v>4.9786433023926335</v>
      </c>
      <c r="K361" s="674">
        <v>1</v>
      </c>
      <c r="L361" s="674">
        <v>1</v>
      </c>
      <c r="M361" s="674">
        <v>1</v>
      </c>
      <c r="N361" s="674">
        <v>1</v>
      </c>
      <c r="O361" s="674">
        <v>1</v>
      </c>
      <c r="P361" s="674">
        <v>1</v>
      </c>
      <c r="Q361" s="674"/>
      <c r="R361" s="674">
        <v>0.45</v>
      </c>
      <c r="S361" s="696"/>
      <c r="T361" s="696"/>
      <c r="U361" s="696"/>
      <c r="V361" s="696"/>
      <c r="W361" s="696"/>
      <c r="X361" s="696"/>
      <c r="Y361" s="696"/>
      <c r="Z361" s="696"/>
      <c r="AA361" s="696"/>
      <c r="AB361" s="696"/>
      <c r="AC361" s="696"/>
      <c r="AD361" s="696"/>
      <c r="AE361" s="696"/>
      <c r="AF361" s="696"/>
      <c r="AG361" s="696"/>
      <c r="AH361" s="696">
        <v>0</v>
      </c>
      <c r="AI361" s="696"/>
      <c r="AJ361" s="696"/>
      <c r="AK361" s="696">
        <v>0</v>
      </c>
      <c r="AL361" s="696">
        <v>0</v>
      </c>
      <c r="AM361" s="696">
        <v>0</v>
      </c>
      <c r="AN361" s="696">
        <v>0</v>
      </c>
      <c r="AO361" s="696">
        <v>0</v>
      </c>
      <c r="AP361" s="696">
        <v>0</v>
      </c>
      <c r="AQ361" s="696">
        <v>0</v>
      </c>
      <c r="AT361" s="696"/>
      <c r="AU361" s="674">
        <v>1.1499999999999999</v>
      </c>
      <c r="AV361" s="674">
        <v>1.1499999999999999</v>
      </c>
      <c r="AW361" s="674">
        <v>1.1499999999999999</v>
      </c>
      <c r="AX361" s="674">
        <v>1.1499999999999999</v>
      </c>
      <c r="AY361" s="674">
        <v>1.1499999999999999</v>
      </c>
      <c r="AZ361" s="674">
        <v>1.1499999999999999</v>
      </c>
      <c r="BA361" s="674">
        <v>1.1499999999999999</v>
      </c>
      <c r="BB361" s="674">
        <v>1.1499999999999999</v>
      </c>
    </row>
    <row r="362" spans="1:54">
      <c r="A362" s="674" t="s">
        <v>390</v>
      </c>
      <c r="B362" s="674" t="s">
        <v>1379</v>
      </c>
      <c r="C362" s="674" t="s">
        <v>1385</v>
      </c>
      <c r="D362" s="673" t="s">
        <v>376</v>
      </c>
      <c r="E362" s="674" t="str">
        <f>Commodities!$D$19</f>
        <v>RESELC</v>
      </c>
      <c r="F362" s="674" t="str">
        <f>Commodities!$D$12</f>
        <v>RLT</v>
      </c>
      <c r="G362" s="697" t="str">
        <f t="shared" si="12"/>
        <v>2025</v>
      </c>
      <c r="H362" s="701">
        <f>'RTEKTY Conv'!K190</f>
        <v>68.493150684931507</v>
      </c>
      <c r="I362" s="698">
        <f>'RTEKTY Conv'!I190</f>
        <v>2.5358398790645285</v>
      </c>
      <c r="J362" s="698">
        <f>'RTEKTY Conv'!G190</f>
        <v>5.6921431387227885</v>
      </c>
      <c r="K362" s="674">
        <v>1</v>
      </c>
      <c r="L362" s="674">
        <v>1</v>
      </c>
      <c r="M362" s="674">
        <v>1</v>
      </c>
      <c r="N362" s="674">
        <v>1</v>
      </c>
      <c r="O362" s="674">
        <v>1</v>
      </c>
      <c r="P362" s="674">
        <v>1</v>
      </c>
      <c r="Q362" s="674"/>
      <c r="R362" s="674">
        <v>0.45</v>
      </c>
      <c r="S362" s="696"/>
      <c r="T362" s="696"/>
      <c r="U362" s="696"/>
      <c r="V362" s="696"/>
      <c r="W362" s="696"/>
      <c r="X362" s="696"/>
      <c r="Y362" s="696"/>
      <c r="Z362" s="696"/>
      <c r="AA362" s="696"/>
      <c r="AB362" s="696"/>
      <c r="AC362" s="696"/>
      <c r="AD362" s="696"/>
      <c r="AE362" s="696"/>
      <c r="AF362" s="696"/>
      <c r="AG362" s="696"/>
      <c r="AH362" s="696">
        <v>0</v>
      </c>
      <c r="AI362" s="696">
        <v>0</v>
      </c>
      <c r="AJ362" s="696">
        <v>0</v>
      </c>
      <c r="AK362" s="696"/>
      <c r="AL362" s="696">
        <v>0</v>
      </c>
      <c r="AM362" s="696">
        <v>0</v>
      </c>
      <c r="AN362" s="696">
        <v>0</v>
      </c>
      <c r="AO362" s="696">
        <v>0</v>
      </c>
      <c r="AP362" s="696">
        <v>0</v>
      </c>
      <c r="AQ362" s="696">
        <v>0</v>
      </c>
      <c r="AT362" s="696"/>
      <c r="AU362" s="674">
        <v>1.1499999999999999</v>
      </c>
      <c r="AV362" s="674">
        <v>1.1499999999999999</v>
      </c>
      <c r="AW362" s="674">
        <v>1.1499999999999999</v>
      </c>
      <c r="AX362" s="674">
        <v>1.1499999999999999</v>
      </c>
      <c r="AY362" s="674">
        <v>1.1499999999999999</v>
      </c>
      <c r="AZ362" s="674">
        <v>1.1499999999999999</v>
      </c>
      <c r="BA362" s="674">
        <v>1.1499999999999999</v>
      </c>
      <c r="BB362" s="674">
        <v>1.1499999999999999</v>
      </c>
    </row>
    <row r="363" spans="1:54">
      <c r="A363" s="674" t="s">
        <v>390</v>
      </c>
      <c r="B363" s="674" t="s">
        <v>1380</v>
      </c>
      <c r="C363" s="674" t="s">
        <v>1386</v>
      </c>
      <c r="D363" s="673" t="s">
        <v>376</v>
      </c>
      <c r="E363" s="674" t="str">
        <f>Commodities!$D$19</f>
        <v>RESELC</v>
      </c>
      <c r="F363" s="674" t="str">
        <f>Commodities!$D$12</f>
        <v>RLT</v>
      </c>
      <c r="G363" s="697" t="str">
        <f t="shared" si="12"/>
        <v>2030</v>
      </c>
      <c r="H363" s="701">
        <f>'RTEKTY Conv'!K191</f>
        <v>68.493150684931507</v>
      </c>
      <c r="I363" s="698">
        <f>'RTEKTY Conv'!I191</f>
        <v>2.1359224787819504</v>
      </c>
      <c r="J363" s="698">
        <f>'RTEKTY Conv'!G191</f>
        <v>6.4056429750529427</v>
      </c>
      <c r="K363" s="674">
        <v>1</v>
      </c>
      <c r="L363" s="674">
        <v>1</v>
      </c>
      <c r="M363" s="674">
        <v>1</v>
      </c>
      <c r="N363" s="674">
        <v>1</v>
      </c>
      <c r="O363" s="674">
        <v>1</v>
      </c>
      <c r="P363" s="674">
        <v>1</v>
      </c>
      <c r="Q363" s="674"/>
      <c r="R363" s="674">
        <v>0.45</v>
      </c>
      <c r="S363" s="699"/>
      <c r="T363" s="699"/>
      <c r="U363" s="699"/>
      <c r="V363" s="699"/>
      <c r="W363" s="699"/>
      <c r="X363" s="699"/>
      <c r="Y363" s="699"/>
      <c r="Z363" s="699"/>
      <c r="AA363" s="699"/>
      <c r="AB363" s="699"/>
      <c r="AC363" s="699"/>
      <c r="AD363" s="699"/>
      <c r="AE363" s="699"/>
      <c r="AF363" s="699"/>
      <c r="AG363" s="699"/>
      <c r="AH363" s="696">
        <v>0</v>
      </c>
      <c r="AI363" s="696">
        <v>0</v>
      </c>
      <c r="AJ363" s="696">
        <v>0</v>
      </c>
      <c r="AK363" s="696">
        <v>0</v>
      </c>
      <c r="AL363" s="696"/>
      <c r="AM363" s="696"/>
      <c r="AN363" s="696"/>
      <c r="AO363" s="696">
        <v>0</v>
      </c>
      <c r="AP363" s="696">
        <v>0</v>
      </c>
      <c r="AQ363" s="696">
        <v>0</v>
      </c>
      <c r="AT363" s="696"/>
      <c r="AU363" s="674">
        <v>1.1499999999999999</v>
      </c>
      <c r="AV363" s="674">
        <v>1.1499999999999999</v>
      </c>
      <c r="AW363" s="674">
        <v>1.1499999999999999</v>
      </c>
      <c r="AX363" s="674">
        <v>1.1499999999999999</v>
      </c>
      <c r="AY363" s="674">
        <v>1.1499999999999999</v>
      </c>
      <c r="AZ363" s="674">
        <v>1.1499999999999999</v>
      </c>
      <c r="BA363" s="674">
        <v>1.1499999999999999</v>
      </c>
      <c r="BB363" s="674">
        <v>1.1499999999999999</v>
      </c>
    </row>
    <row r="364" spans="1:54">
      <c r="A364" s="674" t="s">
        <v>390</v>
      </c>
      <c r="B364" s="674" t="s">
        <v>1381</v>
      </c>
      <c r="C364" s="674" t="s">
        <v>1387</v>
      </c>
      <c r="D364" s="673" t="s">
        <v>376</v>
      </c>
      <c r="E364" s="674" t="str">
        <f>Commodities!$D$19</f>
        <v>RESELC</v>
      </c>
      <c r="F364" s="674" t="str">
        <f>Commodities!$D$12</f>
        <v>RLT</v>
      </c>
      <c r="G364" s="697" t="str">
        <f t="shared" si="12"/>
        <v>2040</v>
      </c>
      <c r="H364" s="701">
        <f>'RTEKTY Conv'!K192</f>
        <v>68.493150684931507</v>
      </c>
      <c r="I364" s="698">
        <f>'RTEKTY Conv'!I192</f>
        <v>2.1359224787819504</v>
      </c>
      <c r="J364" s="698">
        <f>'RTEKTY Conv'!G192</f>
        <v>6.4056429750529427</v>
      </c>
      <c r="K364" s="674">
        <v>1</v>
      </c>
      <c r="L364" s="674">
        <v>1</v>
      </c>
      <c r="M364" s="674">
        <v>1</v>
      </c>
      <c r="N364" s="674">
        <v>1</v>
      </c>
      <c r="O364" s="674">
        <v>1</v>
      </c>
      <c r="P364" s="674">
        <v>1</v>
      </c>
      <c r="Q364" s="674"/>
      <c r="R364" s="674">
        <v>0.45</v>
      </c>
      <c r="S364" s="699"/>
      <c r="T364" s="699"/>
      <c r="U364" s="696"/>
      <c r="V364" s="696"/>
      <c r="W364" s="696"/>
      <c r="X364" s="696"/>
      <c r="Y364" s="696"/>
      <c r="Z364" s="696"/>
      <c r="AA364" s="696"/>
      <c r="AB364" s="696"/>
      <c r="AC364" s="696"/>
      <c r="AD364" s="696"/>
      <c r="AE364" s="696"/>
      <c r="AF364" s="696"/>
      <c r="AG364" s="696"/>
      <c r="AH364" s="696">
        <v>0</v>
      </c>
      <c r="AI364" s="696">
        <v>0</v>
      </c>
      <c r="AJ364" s="696">
        <v>0</v>
      </c>
      <c r="AK364" s="696">
        <v>0</v>
      </c>
      <c r="AL364" s="696">
        <v>0</v>
      </c>
      <c r="AM364" s="696">
        <v>0</v>
      </c>
      <c r="AN364" s="696"/>
      <c r="AO364" s="696"/>
      <c r="AP364" s="696"/>
      <c r="AQ364" s="696"/>
      <c r="AT364" s="696"/>
      <c r="AU364" s="674">
        <v>1.1499999999999999</v>
      </c>
      <c r="AV364" s="674">
        <v>1.1499999999999999</v>
      </c>
      <c r="AW364" s="674">
        <v>1.1499999999999999</v>
      </c>
      <c r="AX364" s="674">
        <v>1.1499999999999999</v>
      </c>
      <c r="AY364" s="674">
        <v>1.1499999999999999</v>
      </c>
      <c r="AZ364" s="674">
        <v>1.1499999999999999</v>
      </c>
      <c r="BA364" s="674">
        <v>1.1499999999999999</v>
      </c>
      <c r="BB364" s="674">
        <v>1.1499999999999999</v>
      </c>
    </row>
    <row r="365" spans="1:54">
      <c r="A365" s="673" t="s">
        <v>390</v>
      </c>
      <c r="B365" s="674"/>
      <c r="C365" s="674"/>
      <c r="D365" s="673"/>
      <c r="E365" s="674"/>
      <c r="F365" s="674"/>
      <c r="G365" s="697"/>
      <c r="H365" s="701"/>
      <c r="I365" s="698"/>
      <c r="J365" s="698"/>
      <c r="K365" s="674"/>
      <c r="L365" s="674"/>
      <c r="M365" s="674" t="s">
        <v>729</v>
      </c>
      <c r="N365" s="674" t="s">
        <v>729</v>
      </c>
      <c r="O365" s="674" t="s">
        <v>729</v>
      </c>
      <c r="P365" s="674" t="s">
        <v>729</v>
      </c>
      <c r="Q365" s="674"/>
      <c r="R365" s="674"/>
      <c r="S365" s="699"/>
      <c r="T365" s="699"/>
      <c r="U365" s="696"/>
      <c r="V365" s="696"/>
      <c r="W365" s="696"/>
      <c r="X365" s="696"/>
      <c r="Y365" s="696"/>
      <c r="Z365" s="696"/>
      <c r="AA365" s="696"/>
      <c r="AB365" s="696"/>
      <c r="AC365" s="696"/>
      <c r="AD365" s="696"/>
      <c r="AE365" s="696"/>
      <c r="AF365" s="696"/>
      <c r="AG365" s="696"/>
      <c r="AH365" s="696"/>
      <c r="AI365" s="696"/>
      <c r="AJ365" s="696"/>
      <c r="AK365" s="696"/>
      <c r="AL365" s="696"/>
      <c r="AM365" s="696"/>
      <c r="AN365" s="696"/>
      <c r="AO365" s="696"/>
      <c r="AP365" s="696"/>
      <c r="AQ365" s="696"/>
      <c r="AT365" s="696"/>
      <c r="AU365" s="674"/>
      <c r="AV365" s="674"/>
      <c r="AW365" s="674"/>
      <c r="AX365" s="674"/>
      <c r="AY365" s="674"/>
      <c r="AZ365" s="674"/>
      <c r="BA365" s="674"/>
      <c r="BB365" s="674"/>
    </row>
    <row r="366" spans="1:54">
      <c r="A366" s="674" t="s">
        <v>1528</v>
      </c>
      <c r="B366" s="674" t="s">
        <v>1394</v>
      </c>
      <c r="C366" s="674" t="s">
        <v>1398</v>
      </c>
      <c r="D366" s="673" t="s">
        <v>376</v>
      </c>
      <c r="E366" s="674" t="str">
        <f>Commodities!$D$19</f>
        <v>RESELC</v>
      </c>
      <c r="F366" s="674" t="str">
        <f>Commodities!$D$12</f>
        <v>RLT</v>
      </c>
      <c r="G366" s="697">
        <v>2010</v>
      </c>
      <c r="H366" s="701">
        <f>'RTEKTY Conv'!G195</f>
        <v>0.76793723125015889</v>
      </c>
      <c r="I366" s="698">
        <f>'RTEKTY Conv'!I195</f>
        <v>0</v>
      </c>
      <c r="J366" s="698">
        <f>'RTEKTY Conv'!G195</f>
        <v>0.76793723125015889</v>
      </c>
      <c r="K366" s="674">
        <v>1</v>
      </c>
      <c r="L366" s="674">
        <v>1</v>
      </c>
      <c r="M366" s="674">
        <v>1</v>
      </c>
      <c r="N366" s="674">
        <v>1</v>
      </c>
      <c r="O366" s="674">
        <v>1</v>
      </c>
      <c r="P366" s="674">
        <v>1</v>
      </c>
      <c r="Q366" s="674"/>
      <c r="R366" s="674">
        <v>0.18</v>
      </c>
      <c r="S366" s="699">
        <f>Resid!V119</f>
        <v>0.15391208080307223</v>
      </c>
      <c r="T366" s="699">
        <f>Resid!W119</f>
        <v>8.8758231462154488E-2</v>
      </c>
      <c r="U366" s="699">
        <f>Resid!X119</f>
        <v>0.1486853849436689</v>
      </c>
      <c r="V366" s="699">
        <f>Resid!Y119</f>
        <v>2.9949529217570898E-2</v>
      </c>
      <c r="W366" s="699">
        <f>Resid!Z119</f>
        <v>7.867931339219289E-2</v>
      </c>
      <c r="X366" s="699"/>
      <c r="Y366" s="699"/>
      <c r="Z366" s="699"/>
      <c r="AA366" s="699"/>
      <c r="AB366" s="699"/>
      <c r="AC366" s="699"/>
      <c r="AD366" s="699"/>
      <c r="AE366" s="699"/>
      <c r="AF366" s="699"/>
      <c r="AG366" s="699"/>
      <c r="AH366" s="696">
        <v>0</v>
      </c>
      <c r="AI366" s="696"/>
      <c r="AJ366" s="696">
        <v>0</v>
      </c>
      <c r="AK366" s="696">
        <v>0</v>
      </c>
      <c r="AL366" s="696">
        <v>0</v>
      </c>
      <c r="AM366" s="696">
        <v>0</v>
      </c>
      <c r="AN366" s="696">
        <v>0</v>
      </c>
      <c r="AO366" s="696">
        <v>0</v>
      </c>
      <c r="AP366" s="696">
        <v>0</v>
      </c>
      <c r="AQ366" s="696">
        <v>0</v>
      </c>
      <c r="AT366" s="696"/>
      <c r="AU366" s="674"/>
      <c r="AV366" s="674"/>
      <c r="AW366" s="674"/>
      <c r="AX366" s="674"/>
      <c r="AY366" s="674"/>
      <c r="AZ366" s="674"/>
      <c r="BA366" s="674"/>
      <c r="BB366" s="674"/>
    </row>
    <row r="367" spans="1:54">
      <c r="A367" s="674" t="s">
        <v>390</v>
      </c>
      <c r="B367" s="674" t="s">
        <v>1396</v>
      </c>
      <c r="C367" s="674" t="s">
        <v>1399</v>
      </c>
      <c r="D367" s="673" t="s">
        <v>376</v>
      </c>
      <c r="E367" s="674" t="str">
        <f>Commodities!$D$19</f>
        <v>RESELC</v>
      </c>
      <c r="F367" s="674" t="str">
        <f>Commodities!$D$12</f>
        <v>RLT</v>
      </c>
      <c r="G367" s="697" t="str">
        <f t="shared" si="12"/>
        <v>2020</v>
      </c>
      <c r="H367" s="701">
        <f>'RTEKTY Conv'!K198</f>
        <v>1.1643835616438356</v>
      </c>
      <c r="I367" s="698">
        <f>'RTEKTY Conv'!I198</f>
        <v>2.9357572793471065</v>
      </c>
      <c r="J367" s="698">
        <f>'RTEKTY Conv'!G198</f>
        <v>0.31076881760157848</v>
      </c>
      <c r="K367" s="674">
        <v>1</v>
      </c>
      <c r="L367" s="674">
        <v>1</v>
      </c>
      <c r="M367" s="674">
        <v>1</v>
      </c>
      <c r="N367" s="674">
        <v>1</v>
      </c>
      <c r="O367" s="674">
        <v>1</v>
      </c>
      <c r="P367" s="674">
        <v>1</v>
      </c>
      <c r="Q367" s="674"/>
      <c r="R367" s="674">
        <v>0.18</v>
      </c>
      <c r="S367" s="696"/>
      <c r="T367" s="696"/>
      <c r="U367" s="696"/>
      <c r="V367" s="696"/>
      <c r="W367" s="696"/>
      <c r="X367" s="696"/>
      <c r="Y367" s="696"/>
      <c r="Z367" s="696"/>
      <c r="AA367" s="696"/>
      <c r="AB367" s="696"/>
      <c r="AC367" s="696"/>
      <c r="AD367" s="696"/>
      <c r="AE367" s="696"/>
      <c r="AF367" s="696"/>
      <c r="AG367" s="696"/>
      <c r="AH367" s="696">
        <v>0</v>
      </c>
      <c r="AI367" s="696">
        <v>0</v>
      </c>
      <c r="AJ367" s="696"/>
      <c r="AK367" s="696">
        <v>0</v>
      </c>
      <c r="AL367" s="696">
        <v>0</v>
      </c>
      <c r="AM367" s="696">
        <v>0</v>
      </c>
      <c r="AN367" s="696">
        <v>0</v>
      </c>
      <c r="AO367" s="696">
        <v>0</v>
      </c>
      <c r="AP367" s="696">
        <v>0</v>
      </c>
      <c r="AQ367" s="696">
        <v>0</v>
      </c>
      <c r="AT367" s="696"/>
      <c r="AU367" s="674"/>
      <c r="AV367" s="674"/>
      <c r="AW367" s="674"/>
      <c r="AX367" s="674"/>
      <c r="AY367" s="674"/>
      <c r="AZ367" s="674"/>
      <c r="BA367" s="674"/>
      <c r="BB367" s="674"/>
    </row>
    <row r="368" spans="1:54">
      <c r="A368" s="674" t="s">
        <v>390</v>
      </c>
      <c r="B368" s="674" t="s">
        <v>1395</v>
      </c>
      <c r="C368" s="674" t="s">
        <v>1400</v>
      </c>
      <c r="D368" s="673" t="s">
        <v>376</v>
      </c>
      <c r="E368" s="674" t="str">
        <f>Commodities!$D$19</f>
        <v>RESELC</v>
      </c>
      <c r="F368" s="674" t="str">
        <f>Commodities!$D$12</f>
        <v>RLT</v>
      </c>
      <c r="G368" s="697" t="str">
        <f t="shared" si="12"/>
        <v>2030</v>
      </c>
      <c r="H368" s="701">
        <f>'RTEKTY Conv'!K199</f>
        <v>1.1643835616438356</v>
      </c>
      <c r="I368" s="698">
        <f>'RTEKTY Conv'!I199</f>
        <v>2.8539559929256701</v>
      </c>
      <c r="J368" s="698">
        <f>'RTEKTY Conv'!G199</f>
        <v>0.31393992798526804</v>
      </c>
      <c r="K368" s="674">
        <v>1</v>
      </c>
      <c r="L368" s="674">
        <v>1</v>
      </c>
      <c r="M368" s="674">
        <v>1</v>
      </c>
      <c r="N368" s="674">
        <v>1</v>
      </c>
      <c r="O368" s="674">
        <v>1</v>
      </c>
      <c r="P368" s="674">
        <v>1</v>
      </c>
      <c r="Q368" s="674"/>
      <c r="R368" s="674">
        <v>0.18</v>
      </c>
      <c r="S368" s="696"/>
      <c r="T368" s="696"/>
      <c r="U368" s="696"/>
      <c r="V368" s="696"/>
      <c r="W368" s="696"/>
      <c r="X368" s="696"/>
      <c r="Y368" s="696"/>
      <c r="Z368" s="696"/>
      <c r="AA368" s="696"/>
      <c r="AB368" s="696"/>
      <c r="AC368" s="696"/>
      <c r="AD368" s="696"/>
      <c r="AE368" s="696"/>
      <c r="AF368" s="696"/>
      <c r="AG368" s="696"/>
      <c r="AH368" s="696">
        <v>0</v>
      </c>
      <c r="AI368" s="696"/>
      <c r="AJ368" s="696"/>
      <c r="AK368" s="696">
        <v>0</v>
      </c>
      <c r="AL368" s="696">
        <v>0</v>
      </c>
      <c r="AM368" s="696">
        <v>0</v>
      </c>
      <c r="AN368" s="696">
        <v>0</v>
      </c>
      <c r="AO368" s="696">
        <v>0</v>
      </c>
      <c r="AP368" s="696">
        <v>0</v>
      </c>
      <c r="AQ368" s="696">
        <v>0</v>
      </c>
      <c r="AT368" s="696"/>
      <c r="AU368" s="674"/>
      <c r="AV368" s="674"/>
      <c r="AW368" s="674"/>
      <c r="AX368" s="674"/>
      <c r="AY368" s="674"/>
      <c r="AZ368" s="674"/>
      <c r="BA368" s="674"/>
      <c r="BB368" s="674"/>
    </row>
    <row r="369" spans="1:54">
      <c r="A369" s="674" t="s">
        <v>390</v>
      </c>
      <c r="B369" s="674" t="s">
        <v>1397</v>
      </c>
      <c r="C369" s="674" t="s">
        <v>1401</v>
      </c>
      <c r="D369" s="673" t="s">
        <v>376</v>
      </c>
      <c r="E369" s="674" t="str">
        <f>Commodities!$D$19</f>
        <v>RESELC</v>
      </c>
      <c r="F369" s="674" t="str">
        <f>Commodities!$D$12</f>
        <v>RLT</v>
      </c>
      <c r="G369" s="697" t="str">
        <f t="shared" si="12"/>
        <v>2040</v>
      </c>
      <c r="H369" s="701">
        <f>'RTEKTY Conv'!K200</f>
        <v>1.1643835616438356</v>
      </c>
      <c r="I369" s="698">
        <f>'RTEKTY Conv'!I200</f>
        <v>2.7812437383288375</v>
      </c>
      <c r="J369" s="698">
        <f>'RTEKTY Conv'!G200</f>
        <v>0.3171110383689576</v>
      </c>
      <c r="K369" s="674">
        <v>1</v>
      </c>
      <c r="L369" s="674">
        <v>1</v>
      </c>
      <c r="M369" s="674">
        <v>1</v>
      </c>
      <c r="N369" s="674">
        <v>1</v>
      </c>
      <c r="O369" s="674">
        <v>1</v>
      </c>
      <c r="P369" s="674">
        <v>1</v>
      </c>
      <c r="Q369" s="674"/>
      <c r="R369" s="674">
        <v>0.18</v>
      </c>
      <c r="S369" s="699"/>
      <c r="T369" s="699"/>
      <c r="U369" s="699"/>
      <c r="V369" s="699"/>
      <c r="W369" s="699"/>
      <c r="X369" s="699"/>
      <c r="Y369" s="699"/>
      <c r="Z369" s="699"/>
      <c r="AA369" s="699"/>
      <c r="AB369" s="699"/>
      <c r="AC369" s="699"/>
      <c r="AD369" s="699"/>
      <c r="AE369" s="699"/>
      <c r="AF369" s="699"/>
      <c r="AG369" s="699"/>
      <c r="AH369" s="696">
        <v>0</v>
      </c>
      <c r="AI369" s="696"/>
      <c r="AJ369" s="696"/>
      <c r="AK369" s="696">
        <v>0</v>
      </c>
      <c r="AL369" s="696">
        <v>0</v>
      </c>
      <c r="AM369" s="696">
        <v>0</v>
      </c>
      <c r="AN369" s="696">
        <v>0</v>
      </c>
      <c r="AO369" s="696">
        <v>0</v>
      </c>
      <c r="AP369" s="696">
        <v>0</v>
      </c>
      <c r="AQ369" s="696">
        <v>0</v>
      </c>
      <c r="AT369" s="696"/>
      <c r="AU369" s="674"/>
      <c r="AV369" s="674"/>
      <c r="AW369" s="674"/>
      <c r="AX369" s="674"/>
      <c r="AY369" s="674"/>
      <c r="AZ369" s="674"/>
      <c r="BA369" s="674"/>
      <c r="BB369" s="674"/>
    </row>
    <row r="370" spans="1:54">
      <c r="A370" s="674" t="s">
        <v>1528</v>
      </c>
      <c r="B370" s="674" t="s">
        <v>1402</v>
      </c>
      <c r="C370" s="674" t="s">
        <v>1403</v>
      </c>
      <c r="D370" s="673" t="s">
        <v>376</v>
      </c>
      <c r="E370" s="674" t="str">
        <f>Commodities!$D$19</f>
        <v>RESELC</v>
      </c>
      <c r="F370" s="674" t="str">
        <f>Commodities!$D$12</f>
        <v>RLT</v>
      </c>
      <c r="G370" s="697" t="str">
        <f t="shared" si="12"/>
        <v>2010</v>
      </c>
      <c r="H370" s="701">
        <f>'RTEKTY Conv'!K202</f>
        <v>10.95890410958904</v>
      </c>
      <c r="I370" s="698">
        <f>'RTEKTY Conv'!I202</f>
        <v>5.6624668267283207</v>
      </c>
      <c r="J370" s="698">
        <f>'RTEKTY Conv'!G202</f>
        <v>1.5221329841709963</v>
      </c>
      <c r="K370" s="674">
        <v>1</v>
      </c>
      <c r="L370" s="674">
        <v>1</v>
      </c>
      <c r="M370" s="674">
        <v>1</v>
      </c>
      <c r="N370" s="674">
        <v>1</v>
      </c>
      <c r="O370" s="674">
        <v>1</v>
      </c>
      <c r="P370" s="674">
        <v>1</v>
      </c>
      <c r="Q370" s="674"/>
      <c r="R370" s="674">
        <v>0.28000000000000003</v>
      </c>
      <c r="S370" s="696"/>
      <c r="T370" s="696"/>
      <c r="U370" s="696"/>
      <c r="V370" s="696"/>
      <c r="W370" s="696"/>
      <c r="X370" s="696"/>
      <c r="Y370" s="696"/>
      <c r="Z370" s="696"/>
      <c r="AA370" s="696"/>
      <c r="AB370" s="696"/>
      <c r="AC370" s="696"/>
      <c r="AD370" s="696"/>
      <c r="AE370" s="696"/>
      <c r="AF370" s="696"/>
      <c r="AG370" s="696"/>
      <c r="AH370" s="696">
        <v>0</v>
      </c>
      <c r="AI370" s="696">
        <v>0</v>
      </c>
      <c r="AJ370" s="696">
        <v>0</v>
      </c>
      <c r="AK370" s="696">
        <v>0</v>
      </c>
      <c r="AL370" s="696">
        <v>0</v>
      </c>
      <c r="AM370" s="696">
        <v>0</v>
      </c>
      <c r="AN370" s="696">
        <v>0</v>
      </c>
      <c r="AO370" s="696">
        <v>0</v>
      </c>
      <c r="AP370" s="696">
        <v>0</v>
      </c>
      <c r="AQ370" s="696">
        <v>0</v>
      </c>
      <c r="AT370" s="696"/>
      <c r="AU370" s="674">
        <v>1.1499999999999999</v>
      </c>
      <c r="AV370" s="674">
        <v>1.1499999999999999</v>
      </c>
      <c r="AW370" s="674">
        <v>1.1499999999999999</v>
      </c>
      <c r="AX370" s="674">
        <v>1.1499999999999999</v>
      </c>
      <c r="AY370" s="674">
        <v>1.1499999999999999</v>
      </c>
      <c r="AZ370" s="674">
        <v>1.1499999999999999</v>
      </c>
      <c r="BA370" s="674">
        <v>1.1499999999999999</v>
      </c>
      <c r="BB370" s="674">
        <v>1.1499999999999999</v>
      </c>
    </row>
    <row r="371" spans="1:54">
      <c r="A371" s="674" t="s">
        <v>390</v>
      </c>
      <c r="B371" s="674" t="s">
        <v>1404</v>
      </c>
      <c r="C371" s="674" t="s">
        <v>1405</v>
      </c>
      <c r="D371" s="673" t="s">
        <v>376</v>
      </c>
      <c r="E371" s="674" t="str">
        <f>Commodities!$D$19</f>
        <v>RESELC</v>
      </c>
      <c r="F371" s="674" t="str">
        <f>Commodities!$D$12</f>
        <v>RLT</v>
      </c>
      <c r="G371" s="697" t="str">
        <f t="shared" si="12"/>
        <v>2020</v>
      </c>
      <c r="H371" s="701">
        <f>'RTEKTY Conv'!K203</f>
        <v>10.95890410958904</v>
      </c>
      <c r="I371" s="698">
        <f>'RTEKTY Conv'!I203</f>
        <v>5.5170423175346555</v>
      </c>
      <c r="J371" s="698">
        <f>'RTEKTY Conv'!G203</f>
        <v>1.5982396333795463</v>
      </c>
      <c r="K371" s="674">
        <v>1</v>
      </c>
      <c r="L371" s="674">
        <v>1</v>
      </c>
      <c r="M371" s="674">
        <v>1</v>
      </c>
      <c r="N371" s="674">
        <v>1</v>
      </c>
      <c r="O371" s="674">
        <v>1</v>
      </c>
      <c r="P371" s="674">
        <v>1</v>
      </c>
      <c r="Q371" s="674"/>
      <c r="R371" s="674">
        <v>0.28000000000000003</v>
      </c>
      <c r="S371" s="696"/>
      <c r="T371" s="696"/>
      <c r="U371" s="696"/>
      <c r="V371" s="696"/>
      <c r="W371" s="696"/>
      <c r="X371" s="696"/>
      <c r="Y371" s="696"/>
      <c r="Z371" s="696"/>
      <c r="AA371" s="696"/>
      <c r="AB371" s="696"/>
      <c r="AC371" s="696"/>
      <c r="AD371" s="696"/>
      <c r="AE371" s="696"/>
      <c r="AF371" s="696"/>
      <c r="AG371" s="696"/>
      <c r="AH371" s="696">
        <v>0</v>
      </c>
      <c r="AI371" s="696"/>
      <c r="AJ371" s="696"/>
      <c r="AK371" s="696"/>
      <c r="AL371" s="696">
        <v>0</v>
      </c>
      <c r="AM371" s="696">
        <v>0</v>
      </c>
      <c r="AN371" s="696">
        <v>0</v>
      </c>
      <c r="AO371" s="696">
        <v>0</v>
      </c>
      <c r="AP371" s="696">
        <v>0</v>
      </c>
      <c r="AQ371" s="696">
        <v>0</v>
      </c>
      <c r="AT371" s="696"/>
      <c r="AU371" s="674">
        <v>1.1499999999999999</v>
      </c>
      <c r="AV371" s="674">
        <v>1.1499999999999999</v>
      </c>
      <c r="AW371" s="674">
        <v>1.1499999999999999</v>
      </c>
      <c r="AX371" s="674">
        <v>1.1499999999999999</v>
      </c>
      <c r="AY371" s="674">
        <v>1.1499999999999999</v>
      </c>
      <c r="AZ371" s="674">
        <v>1.1499999999999999</v>
      </c>
      <c r="BA371" s="674">
        <v>1.1499999999999999</v>
      </c>
      <c r="BB371" s="674">
        <v>1.1499999999999999</v>
      </c>
    </row>
    <row r="372" spans="1:54">
      <c r="A372" s="674" t="s">
        <v>390</v>
      </c>
      <c r="B372" s="674" t="s">
        <v>1406</v>
      </c>
      <c r="C372" s="674" t="s">
        <v>1407</v>
      </c>
      <c r="D372" s="673" t="s">
        <v>376</v>
      </c>
      <c r="E372" s="674" t="str">
        <f>Commodities!$D$19</f>
        <v>RESELC</v>
      </c>
      <c r="F372" s="674" t="str">
        <f>Commodities!$D$12</f>
        <v>RLT</v>
      </c>
      <c r="G372" s="697" t="str">
        <f t="shared" si="12"/>
        <v>2030</v>
      </c>
      <c r="H372" s="701">
        <f>'RTEKTY Conv'!K204</f>
        <v>10.95890410958904</v>
      </c>
      <c r="I372" s="698">
        <f>'RTEKTY Conv'!I204</f>
        <v>5.380706840165594</v>
      </c>
      <c r="J372" s="698">
        <f>'RTEKTY Conv'!G204</f>
        <v>1.3604063546028278</v>
      </c>
      <c r="K372" s="674">
        <v>1</v>
      </c>
      <c r="L372" s="674">
        <v>1</v>
      </c>
      <c r="M372" s="674">
        <v>1</v>
      </c>
      <c r="N372" s="674">
        <v>1</v>
      </c>
      <c r="O372" s="674">
        <v>1</v>
      </c>
      <c r="P372" s="674">
        <v>1</v>
      </c>
      <c r="Q372" s="674"/>
      <c r="R372" s="674">
        <v>0.28000000000000003</v>
      </c>
      <c r="S372" s="696"/>
      <c r="T372" s="696"/>
      <c r="U372" s="696"/>
      <c r="V372" s="696"/>
      <c r="W372" s="696"/>
      <c r="X372" s="696"/>
      <c r="Y372" s="696"/>
      <c r="Z372" s="696"/>
      <c r="AA372" s="696"/>
      <c r="AB372" s="696"/>
      <c r="AC372" s="696"/>
      <c r="AD372" s="696"/>
      <c r="AE372" s="696"/>
      <c r="AF372" s="696"/>
      <c r="AG372" s="696"/>
      <c r="AH372" s="696">
        <v>0</v>
      </c>
      <c r="AI372" s="696"/>
      <c r="AJ372" s="696"/>
      <c r="AK372" s="696"/>
      <c r="AL372" s="696"/>
      <c r="AM372" s="696"/>
      <c r="AN372" s="696">
        <v>0</v>
      </c>
      <c r="AO372" s="696">
        <v>0</v>
      </c>
      <c r="AP372" s="696">
        <v>0</v>
      </c>
      <c r="AQ372" s="696">
        <v>0</v>
      </c>
      <c r="AT372" s="696"/>
      <c r="AU372" s="674">
        <v>1.1499999999999999</v>
      </c>
      <c r="AV372" s="674">
        <v>1.1499999999999999</v>
      </c>
      <c r="AW372" s="674">
        <v>1.1499999999999999</v>
      </c>
      <c r="AX372" s="674">
        <v>1.1499999999999999</v>
      </c>
      <c r="AY372" s="674">
        <v>1.1499999999999999</v>
      </c>
      <c r="AZ372" s="674">
        <v>1.1499999999999999</v>
      </c>
      <c r="BA372" s="674">
        <v>1.1499999999999999</v>
      </c>
      <c r="BB372" s="674">
        <v>1.1499999999999999</v>
      </c>
    </row>
    <row r="373" spans="1:54">
      <c r="A373" s="674" t="s">
        <v>390</v>
      </c>
      <c r="B373" s="674" t="s">
        <v>1408</v>
      </c>
      <c r="C373" s="674" t="s">
        <v>1409</v>
      </c>
      <c r="D373" s="673" t="s">
        <v>376</v>
      </c>
      <c r="E373" s="674" t="str">
        <f>Commodities!$D$19</f>
        <v>RESELC</v>
      </c>
      <c r="F373" s="674" t="str">
        <f>Commodities!$D$12</f>
        <v>RLT</v>
      </c>
      <c r="G373" s="697" t="str">
        <f t="shared" si="12"/>
        <v>2040</v>
      </c>
      <c r="H373" s="701">
        <f>'RTEKTY Conv'!K205</f>
        <v>12.328767123287671</v>
      </c>
      <c r="I373" s="698">
        <f>'RTEKTY Conv'!I205</f>
        <v>5.2443713627965334</v>
      </c>
      <c r="J373" s="698">
        <f>'RTEKTY Conv'!G205</f>
        <v>1.7631373733314042</v>
      </c>
      <c r="K373" s="674">
        <v>1</v>
      </c>
      <c r="L373" s="674">
        <v>1</v>
      </c>
      <c r="M373" s="674">
        <v>1</v>
      </c>
      <c r="N373" s="674">
        <v>1</v>
      </c>
      <c r="O373" s="674">
        <v>1</v>
      </c>
      <c r="P373" s="674">
        <v>1</v>
      </c>
      <c r="Q373" s="674"/>
      <c r="R373" s="674">
        <v>0.28000000000000003</v>
      </c>
      <c r="S373" s="696"/>
      <c r="T373" s="696"/>
      <c r="U373" s="696"/>
      <c r="V373" s="696"/>
      <c r="W373" s="696"/>
      <c r="X373" s="696"/>
      <c r="Y373" s="696"/>
      <c r="Z373" s="696"/>
      <c r="AA373" s="696"/>
      <c r="AB373" s="696"/>
      <c r="AC373" s="696"/>
      <c r="AD373" s="696"/>
      <c r="AE373" s="696"/>
      <c r="AF373" s="696"/>
      <c r="AG373" s="696"/>
      <c r="AH373" s="696">
        <v>0</v>
      </c>
      <c r="AI373" s="696"/>
      <c r="AJ373" s="696"/>
      <c r="AK373" s="696"/>
      <c r="AL373" s="696"/>
      <c r="AM373" s="696"/>
      <c r="AN373" s="696"/>
      <c r="AO373" s="696"/>
      <c r="AP373" s="696"/>
      <c r="AQ373" s="696"/>
      <c r="AT373" s="696"/>
      <c r="AU373" s="674"/>
      <c r="AV373" s="674"/>
      <c r="AW373" s="674"/>
      <c r="AX373" s="674"/>
      <c r="AY373" s="674"/>
      <c r="AZ373" s="674"/>
      <c r="BA373" s="674"/>
      <c r="BB373" s="674"/>
    </row>
    <row r="374" spans="1:54">
      <c r="A374" s="674" t="s">
        <v>1528</v>
      </c>
      <c r="B374" s="674" t="s">
        <v>1410</v>
      </c>
      <c r="C374" s="674" t="s">
        <v>1411</v>
      </c>
      <c r="D374" s="673" t="s">
        <v>376</v>
      </c>
      <c r="E374" s="674" t="str">
        <f>Commodities!$D$19</f>
        <v>RESELC</v>
      </c>
      <c r="F374" s="674" t="str">
        <f>Commodities!$D$12</f>
        <v>RLT</v>
      </c>
      <c r="G374" s="697" t="str">
        <f t="shared" si="12"/>
        <v>2010</v>
      </c>
      <c r="H374" s="701">
        <f>'RTEKTY Conv'!K207</f>
        <v>4.1095890410958908</v>
      </c>
      <c r="I374" s="698">
        <f>'RTEKTY Conv'!I207</f>
        <v>5.4443300629378237</v>
      </c>
      <c r="J374" s="698">
        <f>'RTEKTY Conv'!G207</f>
        <v>0.39955990834488658</v>
      </c>
      <c r="K374" s="674">
        <v>1</v>
      </c>
      <c r="L374" s="674">
        <v>1</v>
      </c>
      <c r="M374" s="674">
        <v>1</v>
      </c>
      <c r="N374" s="674">
        <v>1</v>
      </c>
      <c r="O374" s="674">
        <v>1</v>
      </c>
      <c r="P374" s="674">
        <v>1</v>
      </c>
      <c r="Q374" s="674"/>
      <c r="R374" s="674">
        <v>0.18</v>
      </c>
      <c r="S374" s="699"/>
      <c r="T374" s="699"/>
      <c r="U374" s="699"/>
      <c r="V374" s="699"/>
      <c r="W374" s="699"/>
      <c r="X374" s="699"/>
      <c r="Y374" s="699"/>
      <c r="Z374" s="699"/>
      <c r="AA374" s="699"/>
      <c r="AB374" s="699"/>
      <c r="AC374" s="699"/>
      <c r="AD374" s="699"/>
      <c r="AE374" s="699"/>
      <c r="AF374" s="699"/>
      <c r="AG374" s="699"/>
      <c r="AH374" s="696">
        <v>0</v>
      </c>
      <c r="AI374" s="696">
        <v>0</v>
      </c>
      <c r="AJ374" s="696">
        <v>0</v>
      </c>
      <c r="AK374" s="696">
        <v>0</v>
      </c>
      <c r="AL374" s="696">
        <v>0</v>
      </c>
      <c r="AM374" s="696">
        <v>0</v>
      </c>
      <c r="AN374" s="696">
        <v>0</v>
      </c>
      <c r="AO374" s="696">
        <v>0</v>
      </c>
      <c r="AP374" s="696">
        <v>0</v>
      </c>
      <c r="AQ374" s="696">
        <v>0</v>
      </c>
      <c r="AT374" s="696"/>
      <c r="AU374" s="674"/>
      <c r="AV374" s="674"/>
      <c r="AW374" s="674"/>
      <c r="AX374" s="674"/>
      <c r="AY374" s="674"/>
      <c r="AZ374" s="674"/>
      <c r="BA374" s="674"/>
      <c r="BB374" s="674"/>
    </row>
    <row r="375" spans="1:54">
      <c r="A375" s="674" t="s">
        <v>390</v>
      </c>
      <c r="B375" s="674" t="s">
        <v>1412</v>
      </c>
      <c r="C375" s="674" t="s">
        <v>1413</v>
      </c>
      <c r="D375" s="673" t="s">
        <v>376</v>
      </c>
      <c r="E375" s="674" t="str">
        <f>Commodities!$D$19</f>
        <v>RESELC</v>
      </c>
      <c r="F375" s="674" t="str">
        <f>Commodities!$D$12</f>
        <v>RLT</v>
      </c>
      <c r="G375" s="697" t="str">
        <f t="shared" si="12"/>
        <v>2020</v>
      </c>
      <c r="H375" s="701">
        <f>'RTEKTY Conv'!K208</f>
        <v>4.1095890410958908</v>
      </c>
      <c r="I375" s="698">
        <f>'RTEKTY Conv'!I208</f>
        <v>5.317083617393366</v>
      </c>
      <c r="J375" s="698">
        <f>'RTEKTY Conv'!G208</f>
        <v>0.41858657064702398</v>
      </c>
      <c r="K375" s="674">
        <v>1</v>
      </c>
      <c r="L375" s="674">
        <v>1</v>
      </c>
      <c r="M375" s="674">
        <v>1</v>
      </c>
      <c r="N375" s="674">
        <v>1</v>
      </c>
      <c r="O375" s="674">
        <v>1</v>
      </c>
      <c r="P375" s="674">
        <v>1</v>
      </c>
      <c r="Q375" s="674"/>
      <c r="R375" s="674">
        <v>0.18</v>
      </c>
      <c r="S375" s="696"/>
      <c r="T375" s="699"/>
      <c r="U375" s="696"/>
      <c r="V375" s="696"/>
      <c r="W375" s="696"/>
      <c r="X375" s="696"/>
      <c r="Y375" s="696"/>
      <c r="Z375" s="696"/>
      <c r="AA375" s="696"/>
      <c r="AB375" s="696"/>
      <c r="AC375" s="696"/>
      <c r="AD375" s="696"/>
      <c r="AE375" s="696"/>
      <c r="AF375" s="696"/>
      <c r="AG375" s="696"/>
      <c r="AH375" s="696">
        <v>0</v>
      </c>
      <c r="AI375" s="696"/>
      <c r="AJ375" s="696"/>
      <c r="AK375" s="696"/>
      <c r="AL375" s="696">
        <v>0</v>
      </c>
      <c r="AM375" s="696">
        <v>0</v>
      </c>
      <c r="AN375" s="696">
        <v>0</v>
      </c>
      <c r="AO375" s="696">
        <v>0</v>
      </c>
      <c r="AP375" s="696">
        <v>0</v>
      </c>
      <c r="AQ375" s="696">
        <v>0</v>
      </c>
      <c r="AT375" s="696"/>
      <c r="AU375" s="674"/>
      <c r="AV375" s="674"/>
      <c r="AW375" s="674"/>
      <c r="AX375" s="674"/>
      <c r="AY375" s="674"/>
      <c r="AZ375" s="674"/>
      <c r="BA375" s="674"/>
      <c r="BB375" s="674"/>
    </row>
    <row r="376" spans="1:54">
      <c r="A376" s="674" t="s">
        <v>390</v>
      </c>
      <c r="B376" s="674" t="s">
        <v>1414</v>
      </c>
      <c r="C376" s="674" t="s">
        <v>1415</v>
      </c>
      <c r="D376" s="673" t="s">
        <v>376</v>
      </c>
      <c r="E376" s="674" t="str">
        <f>Commodities!$D$19</f>
        <v>RESELC</v>
      </c>
      <c r="F376" s="674" t="str">
        <f>Commodities!$D$12</f>
        <v>RLT</v>
      </c>
      <c r="G376" s="697" t="str">
        <f t="shared" si="12"/>
        <v>2030</v>
      </c>
      <c r="H376" s="701">
        <f>'RTEKTY Conv'!K209</f>
        <v>4.1095890410958908</v>
      </c>
      <c r="I376" s="698">
        <f>'RTEKTY Conv'!I209</f>
        <v>5.1807481400243054</v>
      </c>
      <c r="J376" s="698">
        <f>'RTEKTY Conv'!G209</f>
        <v>0.44078434333285105</v>
      </c>
      <c r="K376" s="674">
        <v>1</v>
      </c>
      <c r="L376" s="674">
        <v>1</v>
      </c>
      <c r="M376" s="674">
        <v>1</v>
      </c>
      <c r="N376" s="674">
        <v>1</v>
      </c>
      <c r="O376" s="674">
        <v>1</v>
      </c>
      <c r="P376" s="674">
        <v>1</v>
      </c>
      <c r="Q376" s="674"/>
      <c r="R376" s="674">
        <v>0.18</v>
      </c>
      <c r="S376" s="696"/>
      <c r="T376" s="699"/>
      <c r="U376" s="696"/>
      <c r="V376" s="696"/>
      <c r="W376" s="696"/>
      <c r="X376" s="696"/>
      <c r="Y376" s="696"/>
      <c r="Z376" s="696"/>
      <c r="AA376" s="696"/>
      <c r="AB376" s="696"/>
      <c r="AC376" s="696"/>
      <c r="AD376" s="696"/>
      <c r="AE376" s="696"/>
      <c r="AF376" s="696"/>
      <c r="AG376" s="696"/>
      <c r="AH376" s="696">
        <v>0</v>
      </c>
      <c r="AI376" s="696"/>
      <c r="AJ376" s="696"/>
      <c r="AK376" s="696"/>
      <c r="AL376" s="696"/>
      <c r="AM376" s="696"/>
      <c r="AN376" s="696">
        <v>0</v>
      </c>
      <c r="AO376" s="696">
        <v>0</v>
      </c>
      <c r="AP376" s="696">
        <v>0</v>
      </c>
      <c r="AQ376" s="696">
        <v>0</v>
      </c>
      <c r="AT376" s="696"/>
      <c r="AU376" s="674"/>
      <c r="AV376" s="674"/>
      <c r="AW376" s="674"/>
      <c r="AX376" s="674"/>
      <c r="AY376" s="674"/>
      <c r="AZ376" s="674"/>
      <c r="BA376" s="674"/>
      <c r="BB376" s="674"/>
    </row>
    <row r="377" spans="1:54">
      <c r="A377" s="674" t="s">
        <v>390</v>
      </c>
      <c r="B377" s="674" t="s">
        <v>1416</v>
      </c>
      <c r="C377" s="674" t="s">
        <v>1417</v>
      </c>
      <c r="D377" s="673" t="s">
        <v>376</v>
      </c>
      <c r="E377" s="674" t="str">
        <f>Commodities!$D$19</f>
        <v>RESELC</v>
      </c>
      <c r="F377" s="674" t="str">
        <f>Commodities!$D$12</f>
        <v>RLT</v>
      </c>
      <c r="G377" s="697" t="str">
        <f t="shared" si="12"/>
        <v>2040</v>
      </c>
      <c r="H377" s="701">
        <f>'RTEKTY Conv'!K210</f>
        <v>4.1095890410958908</v>
      </c>
      <c r="I377" s="698">
        <f>'RTEKTY Conv'!I210</f>
        <v>5.0444126626552448</v>
      </c>
      <c r="J377" s="698">
        <f>'RTEKTY Conv'!G210</f>
        <v>0.46298211601867806</v>
      </c>
      <c r="K377" s="674">
        <v>1</v>
      </c>
      <c r="L377" s="674">
        <v>1</v>
      </c>
      <c r="M377" s="674">
        <v>1</v>
      </c>
      <c r="N377" s="674">
        <v>1</v>
      </c>
      <c r="O377" s="674">
        <v>1</v>
      </c>
      <c r="P377" s="674">
        <v>1</v>
      </c>
      <c r="Q377" s="674"/>
      <c r="R377" s="674">
        <v>0.18</v>
      </c>
      <c r="S377" s="696"/>
      <c r="T377" s="696"/>
      <c r="U377" s="696"/>
      <c r="V377" s="696"/>
      <c r="W377" s="696"/>
      <c r="X377" s="696"/>
      <c r="Y377" s="696"/>
      <c r="Z377" s="696"/>
      <c r="AA377" s="696"/>
      <c r="AB377" s="696"/>
      <c r="AC377" s="696"/>
      <c r="AD377" s="696"/>
      <c r="AE377" s="696"/>
      <c r="AF377" s="696"/>
      <c r="AG377" s="696"/>
      <c r="AH377" s="696">
        <v>0</v>
      </c>
      <c r="AI377" s="696"/>
      <c r="AJ377" s="696"/>
      <c r="AK377" s="696"/>
      <c r="AL377" s="696"/>
      <c r="AM377" s="696"/>
      <c r="AN377" s="696"/>
      <c r="AO377" s="696"/>
      <c r="AP377" s="696"/>
      <c r="AQ377" s="696"/>
      <c r="AT377" s="696"/>
      <c r="AU377" s="674"/>
      <c r="AV377" s="674"/>
      <c r="AW377" s="674"/>
      <c r="AX377" s="674"/>
      <c r="AY377" s="674"/>
      <c r="AZ377" s="674"/>
      <c r="BA377" s="674"/>
      <c r="BB377" s="674"/>
    </row>
    <row r="378" spans="1:54">
      <c r="A378" s="674" t="s">
        <v>1528</v>
      </c>
      <c r="B378" s="674" t="s">
        <v>1418</v>
      </c>
      <c r="C378" s="674" t="s">
        <v>1423</v>
      </c>
      <c r="D378" s="673" t="s">
        <v>376</v>
      </c>
      <c r="E378" s="674" t="str">
        <f>Commodities!$D$19</f>
        <v>RESELC</v>
      </c>
      <c r="F378" s="674" t="str">
        <f>Commodities!$D$12</f>
        <v>RLT</v>
      </c>
      <c r="G378" s="697" t="str">
        <f t="shared" si="12"/>
        <v>2010</v>
      </c>
      <c r="H378" s="701">
        <f>'RTEKTY Conv'!K212</f>
        <v>34.246575342465754</v>
      </c>
      <c r="I378" s="698">
        <f>'RTEKTY Conv'!I212</f>
        <v>45.381535900247997</v>
      </c>
      <c r="J378" s="698">
        <f>'RTEKTY Conv'!G212</f>
        <v>1.5855551918447879</v>
      </c>
      <c r="K378" s="674">
        <v>1</v>
      </c>
      <c r="L378" s="674">
        <v>1</v>
      </c>
      <c r="M378" s="674">
        <v>1</v>
      </c>
      <c r="N378" s="674">
        <v>1</v>
      </c>
      <c r="O378" s="674">
        <v>1</v>
      </c>
      <c r="P378" s="674">
        <v>1</v>
      </c>
      <c r="Q378" s="674"/>
      <c r="R378" s="674">
        <v>0.45</v>
      </c>
      <c r="S378" s="696"/>
      <c r="T378" s="696"/>
      <c r="U378" s="696"/>
      <c r="V378" s="696"/>
      <c r="W378" s="696"/>
      <c r="X378" s="696"/>
      <c r="Y378" s="696"/>
      <c r="Z378" s="696"/>
      <c r="AA378" s="696"/>
      <c r="AB378" s="696"/>
      <c r="AC378" s="696"/>
      <c r="AD378" s="696"/>
      <c r="AE378" s="696"/>
      <c r="AF378" s="696"/>
      <c r="AG378" s="696"/>
      <c r="AH378" s="696">
        <v>0</v>
      </c>
      <c r="AI378" s="696">
        <v>0</v>
      </c>
      <c r="AJ378" s="696">
        <v>0</v>
      </c>
      <c r="AK378" s="696">
        <v>0</v>
      </c>
      <c r="AL378" s="696">
        <v>0</v>
      </c>
      <c r="AM378" s="696">
        <v>0</v>
      </c>
      <c r="AN378" s="696">
        <v>0</v>
      </c>
      <c r="AO378" s="696">
        <v>0</v>
      </c>
      <c r="AP378" s="696">
        <v>0</v>
      </c>
      <c r="AQ378" s="696">
        <v>0</v>
      </c>
      <c r="AT378" s="696"/>
      <c r="AU378" s="674"/>
      <c r="AV378" s="674"/>
      <c r="AW378" s="674"/>
      <c r="AX378" s="674"/>
      <c r="AY378" s="674"/>
      <c r="AZ378" s="674"/>
      <c r="BA378" s="674"/>
      <c r="BB378" s="674"/>
    </row>
    <row r="379" spans="1:54">
      <c r="A379" s="674" t="s">
        <v>390</v>
      </c>
      <c r="B379" s="674" t="s">
        <v>1419</v>
      </c>
      <c r="C379" s="674" t="s">
        <v>1424</v>
      </c>
      <c r="D379" s="673" t="s">
        <v>376</v>
      </c>
      <c r="E379" s="674" t="str">
        <f>Commodities!$D$19</f>
        <v>RESELC</v>
      </c>
      <c r="F379" s="674" t="str">
        <f>Commodities!$D$12</f>
        <v>RLT</v>
      </c>
      <c r="G379" s="697" t="str">
        <f t="shared" si="12"/>
        <v>2015</v>
      </c>
      <c r="H379" s="701">
        <f>'RTEKTY Conv'!K213</f>
        <v>46.602739726027394</v>
      </c>
      <c r="I379" s="698">
        <f>'RTEKTY Conv'!I213</f>
        <v>18.777939749631958</v>
      </c>
      <c r="J379" s="698">
        <f>'RTEKTY Conv'!G213</f>
        <v>2.6351927288460373</v>
      </c>
      <c r="K379" s="674">
        <v>1</v>
      </c>
      <c r="L379" s="674">
        <v>1</v>
      </c>
      <c r="M379" s="674">
        <v>1</v>
      </c>
      <c r="N379" s="674">
        <v>1</v>
      </c>
      <c r="O379" s="674">
        <v>1</v>
      </c>
      <c r="P379" s="674">
        <v>1</v>
      </c>
      <c r="Q379" s="674"/>
      <c r="R379" s="674">
        <v>0.45</v>
      </c>
      <c r="S379" s="696"/>
      <c r="T379" s="699"/>
      <c r="U379" s="696"/>
      <c r="V379" s="696"/>
      <c r="W379" s="696"/>
      <c r="X379" s="696"/>
      <c r="Y379" s="696"/>
      <c r="Z379" s="696"/>
      <c r="AA379" s="696"/>
      <c r="AB379" s="696"/>
      <c r="AC379" s="696"/>
      <c r="AD379" s="696"/>
      <c r="AE379" s="696"/>
      <c r="AF379" s="696"/>
      <c r="AG379" s="696"/>
      <c r="AH379" s="696">
        <v>0</v>
      </c>
      <c r="AI379" s="696">
        <v>0</v>
      </c>
      <c r="AJ379" s="696">
        <v>0</v>
      </c>
      <c r="AK379" s="696">
        <v>0</v>
      </c>
      <c r="AL379" s="696">
        <v>0</v>
      </c>
      <c r="AM379" s="696">
        <v>0</v>
      </c>
      <c r="AN379" s="696">
        <v>0</v>
      </c>
      <c r="AO379" s="696">
        <v>0</v>
      </c>
      <c r="AP379" s="696">
        <v>0</v>
      </c>
      <c r="AQ379" s="696">
        <v>0</v>
      </c>
      <c r="AT379" s="696"/>
      <c r="AU379" s="674"/>
      <c r="AV379" s="674"/>
      <c r="AW379" s="674"/>
      <c r="AX379" s="674"/>
      <c r="AY379" s="674"/>
      <c r="AZ379" s="674"/>
      <c r="BA379" s="674"/>
      <c r="BB379" s="674"/>
    </row>
    <row r="380" spans="1:54">
      <c r="A380" s="674" t="s">
        <v>390</v>
      </c>
      <c r="B380" s="674" t="s">
        <v>1420</v>
      </c>
      <c r="C380" s="674" t="s">
        <v>1425</v>
      </c>
      <c r="D380" s="673" t="s">
        <v>376</v>
      </c>
      <c r="E380" s="674" t="str">
        <f>Commodities!$D$19</f>
        <v>RESELC</v>
      </c>
      <c r="F380" s="674" t="str">
        <f>Commodities!$D$12</f>
        <v>RLT</v>
      </c>
      <c r="G380" s="697" t="str">
        <f t="shared" si="12"/>
        <v>2020</v>
      </c>
      <c r="H380" s="701">
        <f>'RTEKTY Conv'!K214</f>
        <v>68.493150684931507</v>
      </c>
      <c r="I380" s="698">
        <f>'RTEKTY Conv'!I214</f>
        <v>6.2259867998537697</v>
      </c>
      <c r="J380" s="698">
        <f>'RTEKTY Conv'!G214</f>
        <v>4.9786433023926335</v>
      </c>
      <c r="K380" s="674">
        <v>1</v>
      </c>
      <c r="L380" s="674">
        <v>1</v>
      </c>
      <c r="M380" s="674">
        <v>1</v>
      </c>
      <c r="N380" s="674">
        <v>1</v>
      </c>
      <c r="O380" s="674">
        <v>1</v>
      </c>
      <c r="P380" s="674">
        <v>1</v>
      </c>
      <c r="Q380" s="674"/>
      <c r="R380" s="674">
        <v>0.45</v>
      </c>
      <c r="S380" s="696"/>
      <c r="T380" s="696"/>
      <c r="U380" s="696"/>
      <c r="V380" s="696"/>
      <c r="W380" s="696"/>
      <c r="X380" s="696"/>
      <c r="Y380" s="696"/>
      <c r="Z380" s="696"/>
      <c r="AA380" s="696"/>
      <c r="AB380" s="696"/>
      <c r="AC380" s="696"/>
      <c r="AD380" s="696"/>
      <c r="AE380" s="696"/>
      <c r="AF380" s="696"/>
      <c r="AG380" s="696"/>
      <c r="AH380" s="696">
        <v>0</v>
      </c>
      <c r="AI380" s="696"/>
      <c r="AJ380" s="696"/>
      <c r="AK380" s="696">
        <v>0</v>
      </c>
      <c r="AL380" s="696">
        <v>0</v>
      </c>
      <c r="AM380" s="696">
        <v>0</v>
      </c>
      <c r="AN380" s="696">
        <v>0</v>
      </c>
      <c r="AO380" s="696">
        <v>0</v>
      </c>
      <c r="AP380" s="696">
        <v>0</v>
      </c>
      <c r="AQ380" s="696">
        <v>0</v>
      </c>
      <c r="AT380" s="696"/>
      <c r="AU380" s="674"/>
      <c r="AV380" s="674"/>
      <c r="AW380" s="674"/>
      <c r="AX380" s="674"/>
      <c r="AY380" s="674"/>
      <c r="AZ380" s="674"/>
      <c r="BA380" s="674"/>
      <c r="BB380" s="674"/>
    </row>
    <row r="381" spans="1:54">
      <c r="A381" s="674" t="s">
        <v>390</v>
      </c>
      <c r="B381" s="674" t="s">
        <v>1421</v>
      </c>
      <c r="C381" s="674" t="s">
        <v>1426</v>
      </c>
      <c r="D381" s="673" t="s">
        <v>376</v>
      </c>
      <c r="E381" s="674" t="str">
        <f>Commodities!$D$19</f>
        <v>RESELC</v>
      </c>
      <c r="F381" s="674" t="str">
        <f>Commodities!$D$12</f>
        <v>RLT</v>
      </c>
      <c r="G381" s="697" t="str">
        <f t="shared" si="12"/>
        <v>2025</v>
      </c>
      <c r="H381" s="701">
        <f>'RTEKTY Conv'!K215</f>
        <v>68.493150684931507</v>
      </c>
      <c r="I381" s="698">
        <f>'RTEKTY Conv'!I215</f>
        <v>5.3352616810425744</v>
      </c>
      <c r="J381" s="698">
        <f>'RTEKTY Conv'!G215</f>
        <v>5.7079986906412357</v>
      </c>
      <c r="K381" s="674">
        <v>1</v>
      </c>
      <c r="L381" s="674">
        <v>1</v>
      </c>
      <c r="M381" s="674">
        <v>1</v>
      </c>
      <c r="N381" s="674">
        <v>1</v>
      </c>
      <c r="O381" s="674">
        <v>1</v>
      </c>
      <c r="P381" s="674">
        <v>1</v>
      </c>
      <c r="Q381" s="674"/>
      <c r="R381" s="674">
        <v>0.45</v>
      </c>
      <c r="S381" s="699"/>
      <c r="T381" s="699"/>
      <c r="U381" s="699"/>
      <c r="V381" s="699"/>
      <c r="W381" s="699"/>
      <c r="X381" s="699"/>
      <c r="Y381" s="699"/>
      <c r="Z381" s="699"/>
      <c r="AA381" s="699"/>
      <c r="AB381" s="699"/>
      <c r="AC381" s="699"/>
      <c r="AD381" s="699"/>
      <c r="AE381" s="699"/>
      <c r="AF381" s="699"/>
      <c r="AG381" s="699"/>
      <c r="AH381" s="696">
        <v>0</v>
      </c>
      <c r="AI381" s="696"/>
      <c r="AJ381" s="696"/>
      <c r="AK381" s="696"/>
      <c r="AL381" s="696">
        <v>0</v>
      </c>
      <c r="AM381" s="696">
        <v>0</v>
      </c>
      <c r="AN381" s="696">
        <v>0</v>
      </c>
      <c r="AO381" s="696">
        <v>0</v>
      </c>
      <c r="AP381" s="696">
        <v>0</v>
      </c>
      <c r="AQ381" s="696">
        <v>0</v>
      </c>
      <c r="AT381" s="696"/>
      <c r="AU381" s="674"/>
      <c r="AV381" s="674"/>
      <c r="AW381" s="674"/>
      <c r="AX381" s="674"/>
      <c r="AY381" s="674"/>
      <c r="AZ381" s="674"/>
      <c r="BA381" s="674"/>
      <c r="BB381" s="674"/>
    </row>
    <row r="382" spans="1:54">
      <c r="A382" s="674" t="s">
        <v>390</v>
      </c>
      <c r="B382" s="674" t="s">
        <v>1422</v>
      </c>
      <c r="C382" s="674" t="s">
        <v>1427</v>
      </c>
      <c r="D382" s="673" t="s">
        <v>376</v>
      </c>
      <c r="E382" s="674" t="str">
        <f>Commodities!$D$19</f>
        <v>RESELC</v>
      </c>
      <c r="F382" s="674" t="str">
        <f>Commodities!$D$12</f>
        <v>RLT</v>
      </c>
      <c r="G382" s="697" t="str">
        <f t="shared" si="12"/>
        <v>2030</v>
      </c>
      <c r="H382" s="701">
        <f>'RTEKTY Conv'!K216</f>
        <v>68.493150684931507</v>
      </c>
      <c r="I382" s="698">
        <f>'RTEKTY Conv'!I216</f>
        <v>4.453625594055981</v>
      </c>
      <c r="J382" s="698">
        <f>'RTEKTY Conv'!G216</f>
        <v>6.4056429750529427</v>
      </c>
      <c r="K382" s="674">
        <v>1</v>
      </c>
      <c r="L382" s="674">
        <v>1</v>
      </c>
      <c r="M382" s="674">
        <v>1</v>
      </c>
      <c r="N382" s="674">
        <v>1</v>
      </c>
      <c r="O382" s="674">
        <v>1</v>
      </c>
      <c r="P382" s="674">
        <v>1</v>
      </c>
      <c r="Q382" s="674"/>
      <c r="R382" s="674">
        <v>0.45</v>
      </c>
      <c r="S382" s="702"/>
      <c r="T382" s="702"/>
      <c r="U382" s="702"/>
      <c r="V382" s="702"/>
      <c r="W382" s="702"/>
      <c r="X382" s="702"/>
      <c r="Y382" s="702"/>
      <c r="Z382" s="702"/>
      <c r="AA382" s="702"/>
      <c r="AB382" s="702"/>
      <c r="AC382" s="702"/>
      <c r="AD382" s="702"/>
      <c r="AE382" s="702"/>
      <c r="AF382" s="702"/>
      <c r="AG382" s="702"/>
      <c r="AH382" s="696">
        <v>0</v>
      </c>
      <c r="AI382" s="696"/>
      <c r="AJ382" s="696"/>
      <c r="AK382" s="696"/>
      <c r="AL382" s="696"/>
      <c r="AM382" s="696"/>
      <c r="AN382" s="696">
        <v>0</v>
      </c>
      <c r="AO382" s="696">
        <v>0</v>
      </c>
      <c r="AP382" s="696">
        <v>0</v>
      </c>
      <c r="AQ382" s="696">
        <v>0</v>
      </c>
      <c r="AT382" s="696"/>
      <c r="AU382" s="674"/>
      <c r="AV382" s="674"/>
      <c r="AW382" s="674"/>
      <c r="AX382" s="674"/>
      <c r="AY382" s="674"/>
      <c r="AZ382" s="674"/>
      <c r="BA382" s="674"/>
      <c r="BB382" s="674"/>
    </row>
    <row r="383" spans="1:54">
      <c r="A383" s="674" t="s">
        <v>390</v>
      </c>
      <c r="B383" s="674"/>
      <c r="C383" s="674"/>
      <c r="D383" s="673"/>
      <c r="E383" s="674"/>
      <c r="F383" s="674"/>
      <c r="G383" s="697"/>
      <c r="H383" s="701"/>
      <c r="I383" s="698"/>
      <c r="J383" s="698"/>
      <c r="K383" s="674"/>
      <c r="L383" s="674"/>
      <c r="M383" s="674" t="s">
        <v>729</v>
      </c>
      <c r="N383" s="674" t="s">
        <v>729</v>
      </c>
      <c r="O383" s="674" t="s">
        <v>729</v>
      </c>
      <c r="P383" s="674" t="s">
        <v>729</v>
      </c>
      <c r="Q383" s="674"/>
      <c r="R383" s="674"/>
      <c r="S383" s="702"/>
      <c r="T383" s="702"/>
      <c r="U383" s="702"/>
      <c r="V383" s="702"/>
      <c r="W383" s="702"/>
      <c r="X383" s="702"/>
      <c r="Y383" s="702"/>
      <c r="Z383" s="702"/>
      <c r="AA383" s="702"/>
      <c r="AB383" s="702"/>
      <c r="AC383" s="702"/>
      <c r="AD383" s="702"/>
      <c r="AE383" s="702"/>
      <c r="AF383" s="702"/>
      <c r="AG383" s="702"/>
      <c r="AH383" s="696"/>
      <c r="AI383" s="696"/>
      <c r="AJ383" s="696"/>
      <c r="AK383" s="696"/>
      <c r="AL383" s="696"/>
      <c r="AM383" s="696"/>
      <c r="AN383" s="696"/>
      <c r="AO383" s="696"/>
      <c r="AP383" s="696"/>
      <c r="AQ383" s="696"/>
      <c r="AT383" s="696"/>
      <c r="AU383" s="674"/>
      <c r="AV383" s="674"/>
      <c r="AW383" s="674"/>
      <c r="AX383" s="674"/>
      <c r="AY383" s="674"/>
      <c r="AZ383" s="674"/>
      <c r="BA383" s="674"/>
      <c r="BB383" s="674"/>
    </row>
    <row r="384" spans="1:54">
      <c r="A384" s="674" t="s">
        <v>1528</v>
      </c>
      <c r="B384" s="674" t="s">
        <v>1428</v>
      </c>
      <c r="C384" s="674" t="s">
        <v>1429</v>
      </c>
      <c r="D384" s="673" t="s">
        <v>376</v>
      </c>
      <c r="E384" s="674" t="str">
        <f>Commodities!$D$19</f>
        <v>RESELC</v>
      </c>
      <c r="F384" s="674" t="str">
        <f>Commodities!$D$12</f>
        <v>RLT</v>
      </c>
      <c r="G384" s="697">
        <v>2010</v>
      </c>
      <c r="H384" s="701">
        <f>'RTEKTY Conv'!K219</f>
        <v>32.876712328767127</v>
      </c>
      <c r="I384" s="698">
        <f>'RTEKTY Conv'!I220</f>
        <v>5.2625494264457418</v>
      </c>
      <c r="J384" s="698">
        <f>'RTEKTY Conv'!G220</f>
        <v>2.0009706521081223</v>
      </c>
      <c r="K384" s="674">
        <v>1</v>
      </c>
      <c r="L384" s="674">
        <v>1</v>
      </c>
      <c r="M384" s="674">
        <v>1</v>
      </c>
      <c r="N384" s="674">
        <v>1</v>
      </c>
      <c r="O384" s="674">
        <v>1</v>
      </c>
      <c r="P384" s="674">
        <v>1</v>
      </c>
      <c r="Q384" s="674"/>
      <c r="R384" s="674">
        <v>0.18</v>
      </c>
      <c r="S384" s="699"/>
      <c r="T384" s="699"/>
      <c r="U384" s="699"/>
      <c r="V384" s="699"/>
      <c r="W384" s="699"/>
      <c r="X384" s="699"/>
      <c r="Y384" s="699"/>
      <c r="Z384" s="699"/>
      <c r="AA384" s="699"/>
      <c r="AB384" s="699"/>
      <c r="AC384" s="699"/>
      <c r="AD384" s="699"/>
      <c r="AE384" s="699"/>
      <c r="AF384" s="699"/>
      <c r="AG384" s="699"/>
      <c r="AH384" s="696">
        <v>0</v>
      </c>
      <c r="AI384" s="696">
        <v>0</v>
      </c>
      <c r="AJ384" s="696"/>
      <c r="AK384" s="696"/>
      <c r="AL384" s="696">
        <v>0</v>
      </c>
      <c r="AM384" s="696">
        <v>0</v>
      </c>
      <c r="AN384" s="696">
        <v>0</v>
      </c>
      <c r="AO384" s="696">
        <v>0</v>
      </c>
      <c r="AP384" s="696">
        <v>0</v>
      </c>
      <c r="AQ384" s="696">
        <v>0</v>
      </c>
      <c r="AT384" s="696"/>
      <c r="AU384" s="674"/>
      <c r="AV384" s="674"/>
      <c r="AW384" s="674"/>
      <c r="AX384" s="674"/>
      <c r="AY384" s="674"/>
      <c r="AZ384" s="674"/>
      <c r="BA384" s="674"/>
      <c r="BB384" s="674"/>
    </row>
    <row r="385" spans="1:54">
      <c r="A385" s="674" t="s">
        <v>1528</v>
      </c>
      <c r="B385" s="674" t="s">
        <v>2599</v>
      </c>
      <c r="C385" s="674" t="s">
        <v>2600</v>
      </c>
      <c r="D385" s="673" t="s">
        <v>376</v>
      </c>
      <c r="E385" s="674" t="str">
        <f>Commodities!$D$19</f>
        <v>RESELC</v>
      </c>
      <c r="F385" s="674" t="str">
        <f>Commodities!$D$12</f>
        <v>RLT</v>
      </c>
      <c r="G385" s="697" t="str">
        <f t="shared" si="12"/>
        <v>2010</v>
      </c>
      <c r="H385" s="701">
        <f>'RTEKTY Conv'!K220</f>
        <v>32.876712328767127</v>
      </c>
      <c r="I385" s="698">
        <f>'RTEKTY Conv'!I220</f>
        <v>5.2625494264457418</v>
      </c>
      <c r="J385" s="698">
        <f>'RTEKTY Conv'!G220</f>
        <v>2.0009706521081223</v>
      </c>
      <c r="K385" s="674">
        <v>1</v>
      </c>
      <c r="L385" s="674">
        <v>1</v>
      </c>
      <c r="M385" s="674">
        <v>1</v>
      </c>
      <c r="N385" s="674">
        <v>1</v>
      </c>
      <c r="O385" s="674">
        <v>1</v>
      </c>
      <c r="P385" s="674">
        <v>1</v>
      </c>
      <c r="Q385" s="674"/>
      <c r="R385" s="674">
        <v>0.18</v>
      </c>
      <c r="S385" s="699">
        <f>Resid!V120</f>
        <v>0.55408349089106002</v>
      </c>
      <c r="T385" s="699">
        <f>Resid!W120</f>
        <v>0.31952963326375616</v>
      </c>
      <c r="U385" s="699">
        <f>Resid!X120</f>
        <v>0.53526738579720801</v>
      </c>
      <c r="V385" s="699">
        <f>Resid!Y120</f>
        <v>0.10781830518325523</v>
      </c>
      <c r="W385" s="699">
        <f>Resid!Z120</f>
        <v>0.28324552821189442</v>
      </c>
      <c r="X385" s="699"/>
      <c r="Y385" s="699"/>
      <c r="Z385" s="699"/>
      <c r="AA385" s="699"/>
      <c r="AB385" s="699"/>
      <c r="AC385" s="699"/>
      <c r="AD385" s="699"/>
      <c r="AE385" s="699"/>
      <c r="AF385" s="699"/>
      <c r="AG385" s="699"/>
      <c r="AH385" s="696">
        <v>0</v>
      </c>
      <c r="AI385" s="696"/>
      <c r="AJ385" s="696">
        <v>0</v>
      </c>
      <c r="AK385" s="696">
        <v>0</v>
      </c>
      <c r="AL385" s="696">
        <v>0</v>
      </c>
      <c r="AM385" s="696">
        <v>0</v>
      </c>
      <c r="AN385" s="696">
        <v>0</v>
      </c>
      <c r="AO385" s="696">
        <v>0</v>
      </c>
      <c r="AP385" s="696">
        <v>0</v>
      </c>
      <c r="AQ385" s="696">
        <v>0</v>
      </c>
      <c r="AT385" s="696"/>
      <c r="AU385" s="674"/>
      <c r="AV385" s="674"/>
      <c r="AW385" s="674"/>
      <c r="AX385" s="674"/>
      <c r="AY385" s="674"/>
      <c r="AZ385" s="674"/>
      <c r="BA385" s="674"/>
      <c r="BB385" s="674"/>
    </row>
    <row r="386" spans="1:54">
      <c r="A386" s="674" t="s">
        <v>1528</v>
      </c>
      <c r="B386" s="674" t="s">
        <v>1430</v>
      </c>
      <c r="C386" s="674" t="s">
        <v>1432</v>
      </c>
      <c r="D386" s="673" t="s">
        <v>376</v>
      </c>
      <c r="E386" s="674" t="str">
        <f>Commodities!$D$19</f>
        <v>RESELC</v>
      </c>
      <c r="F386" s="674" t="str">
        <f>Commodities!$D$12</f>
        <v>RLT</v>
      </c>
      <c r="G386" s="697" t="str">
        <f t="shared" si="12"/>
        <v>2010</v>
      </c>
      <c r="H386" s="701">
        <f>'RTEKTY Conv'!K221</f>
        <v>32.876712328767127</v>
      </c>
      <c r="I386" s="698">
        <f>'RTEKTY Conv'!I221</f>
        <v>2.3722373062216562</v>
      </c>
      <c r="J386" s="698">
        <f>'RTEKTY Conv'!G221</f>
        <v>2.3402794631629069</v>
      </c>
      <c r="K386" s="674">
        <v>1</v>
      </c>
      <c r="L386" s="674">
        <v>1</v>
      </c>
      <c r="M386" s="674">
        <v>1</v>
      </c>
      <c r="N386" s="674">
        <v>1</v>
      </c>
      <c r="O386" s="674">
        <v>1</v>
      </c>
      <c r="P386" s="674">
        <v>1</v>
      </c>
      <c r="Q386" s="674"/>
      <c r="R386" s="674">
        <v>0.18</v>
      </c>
      <c r="S386" s="696"/>
      <c r="T386" s="696"/>
      <c r="U386" s="696"/>
      <c r="V386" s="696"/>
      <c r="W386" s="696"/>
      <c r="X386" s="696"/>
      <c r="Y386" s="696"/>
      <c r="Z386" s="696"/>
      <c r="AA386" s="696"/>
      <c r="AB386" s="696"/>
      <c r="AC386" s="696"/>
      <c r="AD386" s="696"/>
      <c r="AE386" s="696"/>
      <c r="AF386" s="696"/>
      <c r="AG386" s="696"/>
      <c r="AH386" s="696">
        <v>0</v>
      </c>
      <c r="AI386" s="696"/>
      <c r="AJ386" s="696"/>
      <c r="AK386" s="696"/>
      <c r="AL386" s="696">
        <v>0</v>
      </c>
      <c r="AM386" s="696">
        <v>0</v>
      </c>
      <c r="AN386" s="696">
        <v>0</v>
      </c>
      <c r="AO386" s="696">
        <v>0</v>
      </c>
      <c r="AP386" s="696">
        <v>0</v>
      </c>
      <c r="AQ386" s="696">
        <v>0</v>
      </c>
      <c r="AT386" s="696"/>
      <c r="AU386" s="674"/>
      <c r="AV386" s="674"/>
      <c r="AW386" s="674"/>
      <c r="AX386" s="674"/>
      <c r="AY386" s="674"/>
      <c r="AZ386" s="674"/>
      <c r="BA386" s="674"/>
      <c r="BB386" s="674"/>
    </row>
    <row r="387" spans="1:54">
      <c r="A387" s="674" t="s">
        <v>390</v>
      </c>
      <c r="B387" s="674" t="s">
        <v>1431</v>
      </c>
      <c r="C387" s="674" t="s">
        <v>1433</v>
      </c>
      <c r="D387" s="673" t="s">
        <v>376</v>
      </c>
      <c r="E387" s="674" t="str">
        <f>Commodities!$D$19</f>
        <v>RESELC</v>
      </c>
      <c r="F387" s="674" t="str">
        <f>Commodities!$D$12</f>
        <v>RLT</v>
      </c>
      <c r="G387" s="697" t="str">
        <f t="shared" si="12"/>
        <v>2030</v>
      </c>
      <c r="H387" s="701">
        <f>'RTEKTY Conv'!K222</f>
        <v>35.61643835616438</v>
      </c>
      <c r="I387" s="698">
        <f>'RTEKTY Conv'!I222</f>
        <v>2.4085934335200716</v>
      </c>
      <c r="J387" s="698">
        <f>'RTEKTY Conv'!G222</f>
        <v>2.4639527681268003</v>
      </c>
      <c r="K387" s="674">
        <v>1</v>
      </c>
      <c r="L387" s="674">
        <v>1</v>
      </c>
      <c r="M387" s="674">
        <v>1</v>
      </c>
      <c r="N387" s="674">
        <v>1</v>
      </c>
      <c r="O387" s="674">
        <v>1</v>
      </c>
      <c r="P387" s="674">
        <v>1</v>
      </c>
      <c r="Q387" s="674"/>
      <c r="R387" s="674">
        <v>0.18</v>
      </c>
      <c r="S387" s="696"/>
      <c r="T387" s="696"/>
      <c r="U387" s="696"/>
      <c r="V387" s="696"/>
      <c r="W387" s="696"/>
      <c r="X387" s="696"/>
      <c r="Y387" s="696"/>
      <c r="Z387" s="696"/>
      <c r="AA387" s="696"/>
      <c r="AB387" s="696"/>
      <c r="AC387" s="696"/>
      <c r="AD387" s="696"/>
      <c r="AE387" s="696"/>
      <c r="AF387" s="696"/>
      <c r="AG387" s="696"/>
      <c r="AH387" s="703">
        <v>0</v>
      </c>
      <c r="AI387" s="696"/>
      <c r="AJ387" s="696"/>
      <c r="AK387" s="696"/>
      <c r="AL387" s="696"/>
      <c r="AM387" s="696"/>
      <c r="AN387" s="696"/>
      <c r="AO387" s="696"/>
      <c r="AP387" s="696"/>
      <c r="AQ387" s="696"/>
      <c r="AT387" s="696"/>
      <c r="AU387" s="674"/>
      <c r="AV387" s="674"/>
      <c r="AW387" s="674"/>
      <c r="AX387" s="674"/>
      <c r="AY387" s="674"/>
      <c r="AZ387" s="674"/>
      <c r="BA387" s="674"/>
      <c r="BB387" s="674"/>
    </row>
    <row r="388" spans="1:54">
      <c r="A388" s="674" t="s">
        <v>1528</v>
      </c>
      <c r="B388" s="674" t="s">
        <v>1435</v>
      </c>
      <c r="C388" s="674" t="s">
        <v>1434</v>
      </c>
      <c r="D388" s="673" t="s">
        <v>376</v>
      </c>
      <c r="E388" s="674" t="str">
        <f>Commodities!$D$19</f>
        <v>RESELC</v>
      </c>
      <c r="F388" s="674" t="str">
        <f>Commodities!$D$12</f>
        <v>RLT</v>
      </c>
      <c r="G388" s="697" t="str">
        <f t="shared" si="12"/>
        <v>2010</v>
      </c>
      <c r="H388" s="701">
        <f>'RTEKTY Conv'!K223</f>
        <v>68.493150684931507</v>
      </c>
      <c r="I388" s="698">
        <f>'RTEKTY Conv'!I223</f>
        <v>89.981415063580044</v>
      </c>
      <c r="J388" s="698">
        <f>'RTEKTY Conv'!G223</f>
        <v>1.5855551918447879</v>
      </c>
      <c r="K388" s="674">
        <v>1</v>
      </c>
      <c r="L388" s="674">
        <v>1</v>
      </c>
      <c r="M388" s="674">
        <v>1</v>
      </c>
      <c r="N388" s="674">
        <v>1</v>
      </c>
      <c r="O388" s="674">
        <v>1</v>
      </c>
      <c r="P388" s="674">
        <v>1</v>
      </c>
      <c r="Q388" s="674"/>
      <c r="R388" s="674">
        <v>0.45</v>
      </c>
      <c r="S388" s="699"/>
      <c r="T388" s="699"/>
      <c r="U388" s="699"/>
      <c r="V388" s="699"/>
      <c r="W388" s="699"/>
      <c r="X388" s="699"/>
      <c r="Y388" s="699"/>
      <c r="Z388" s="699"/>
      <c r="AA388" s="699"/>
      <c r="AB388" s="699"/>
      <c r="AC388" s="699"/>
      <c r="AD388" s="699"/>
      <c r="AE388" s="699"/>
      <c r="AF388" s="699"/>
      <c r="AG388" s="699"/>
      <c r="AH388" s="703">
        <v>0</v>
      </c>
      <c r="AI388" s="696">
        <v>0</v>
      </c>
      <c r="AJ388" s="696">
        <v>0</v>
      </c>
      <c r="AK388" s="696">
        <v>0</v>
      </c>
      <c r="AL388" s="696">
        <v>0</v>
      </c>
      <c r="AM388" s="696">
        <v>0</v>
      </c>
      <c r="AN388" s="696">
        <v>0</v>
      </c>
      <c r="AO388" s="696">
        <v>0</v>
      </c>
      <c r="AP388" s="696">
        <v>0</v>
      </c>
      <c r="AQ388" s="696">
        <v>0</v>
      </c>
      <c r="AT388" s="696"/>
      <c r="AU388" s="674"/>
      <c r="AV388" s="674"/>
      <c r="AW388" s="674"/>
      <c r="AX388" s="674"/>
      <c r="AY388" s="674"/>
      <c r="AZ388" s="674"/>
      <c r="BA388" s="674"/>
      <c r="BB388" s="674"/>
    </row>
    <row r="389" spans="1:54">
      <c r="A389" s="674" t="s">
        <v>390</v>
      </c>
      <c r="B389" s="674" t="s">
        <v>1436</v>
      </c>
      <c r="C389" s="674" t="s">
        <v>1439</v>
      </c>
      <c r="D389" s="673" t="s">
        <v>376</v>
      </c>
      <c r="E389" s="674" t="str">
        <f>Commodities!$D$19</f>
        <v>RESELC</v>
      </c>
      <c r="F389" s="674" t="str">
        <f>Commodities!$D$12</f>
        <v>RLT</v>
      </c>
      <c r="G389" s="697" t="str">
        <f t="shared" si="12"/>
        <v>2015</v>
      </c>
      <c r="H389" s="701">
        <f>'RTEKTY Conv'!K224</f>
        <v>68.493150684931507</v>
      </c>
      <c r="I389" s="698">
        <f>'RTEKTY Conv'!I224</f>
        <v>54.534190947624268</v>
      </c>
      <c r="J389" s="698">
        <f>'RTEKTY Conv'!G224</f>
        <v>3.3930881105478461</v>
      </c>
      <c r="K389" s="674">
        <v>1</v>
      </c>
      <c r="L389" s="674">
        <v>1</v>
      </c>
      <c r="M389" s="674">
        <v>1</v>
      </c>
      <c r="N389" s="674">
        <v>1</v>
      </c>
      <c r="O389" s="674">
        <v>1</v>
      </c>
      <c r="P389" s="674">
        <v>1</v>
      </c>
      <c r="Q389" s="674"/>
      <c r="R389" s="674">
        <v>0.45</v>
      </c>
      <c r="S389" s="700"/>
      <c r="T389" s="700"/>
      <c r="U389" s="700"/>
      <c r="V389" s="700"/>
      <c r="W389" s="700"/>
      <c r="X389" s="700"/>
      <c r="Y389" s="700"/>
      <c r="Z389" s="700"/>
      <c r="AA389" s="700"/>
      <c r="AB389" s="700"/>
      <c r="AC389" s="700"/>
      <c r="AD389" s="700"/>
      <c r="AE389" s="700"/>
      <c r="AF389" s="700"/>
      <c r="AG389" s="700"/>
      <c r="AH389" s="703">
        <v>0</v>
      </c>
      <c r="AI389" s="696">
        <v>0</v>
      </c>
      <c r="AJ389" s="696">
        <v>0</v>
      </c>
      <c r="AK389" s="696">
        <v>0</v>
      </c>
      <c r="AL389" s="696">
        <v>0</v>
      </c>
      <c r="AM389" s="696">
        <v>0</v>
      </c>
      <c r="AN389" s="696">
        <v>0</v>
      </c>
      <c r="AO389" s="696">
        <v>0</v>
      </c>
      <c r="AP389" s="696">
        <v>0</v>
      </c>
      <c r="AQ389" s="696">
        <v>0</v>
      </c>
      <c r="AT389" s="696"/>
      <c r="AU389" s="674"/>
      <c r="AV389" s="674"/>
      <c r="AW389" s="674"/>
      <c r="AX389" s="674"/>
      <c r="AY389" s="674"/>
      <c r="AZ389" s="674"/>
      <c r="BA389" s="674"/>
      <c r="BB389" s="674"/>
    </row>
    <row r="390" spans="1:54">
      <c r="A390" s="674" t="s">
        <v>390</v>
      </c>
      <c r="B390" s="674" t="s">
        <v>1437</v>
      </c>
      <c r="C390" s="674" t="s">
        <v>1440</v>
      </c>
      <c r="D390" s="673" t="s">
        <v>376</v>
      </c>
      <c r="E390" s="674" t="str">
        <f>Commodities!$D$19</f>
        <v>RESELC</v>
      </c>
      <c r="F390" s="674" t="str">
        <f>Commodities!$D$12</f>
        <v>RLT</v>
      </c>
      <c r="G390" s="697" t="str">
        <f t="shared" si="12"/>
        <v>2020</v>
      </c>
      <c r="H390" s="701">
        <f>'RTEKTY Conv'!K225</f>
        <v>68.493150684931507</v>
      </c>
      <c r="I390" s="698">
        <f>'RTEKTY Conv'!I225</f>
        <v>13.633547736906067</v>
      </c>
      <c r="J390" s="698">
        <f>'RTEKTY Conv'!G225</f>
        <v>4.9786433023926335</v>
      </c>
      <c r="K390" s="674">
        <v>1</v>
      </c>
      <c r="L390" s="674">
        <v>1</v>
      </c>
      <c r="M390" s="674">
        <v>1</v>
      </c>
      <c r="N390" s="674">
        <v>1</v>
      </c>
      <c r="O390" s="674">
        <v>1</v>
      </c>
      <c r="P390" s="674">
        <v>1</v>
      </c>
      <c r="Q390" s="674"/>
      <c r="R390" s="674">
        <v>0.45</v>
      </c>
      <c r="S390" s="696"/>
      <c r="T390" s="696"/>
      <c r="U390" s="696"/>
      <c r="V390" s="696"/>
      <c r="W390" s="696"/>
      <c r="X390" s="696"/>
      <c r="Y390" s="696"/>
      <c r="Z390" s="696"/>
      <c r="AA390" s="696"/>
      <c r="AB390" s="696"/>
      <c r="AC390" s="696"/>
      <c r="AD390" s="696"/>
      <c r="AE390" s="696"/>
      <c r="AF390" s="696"/>
      <c r="AG390" s="696"/>
      <c r="AH390" s="696">
        <v>0</v>
      </c>
      <c r="AI390" s="696"/>
      <c r="AJ390" s="696"/>
      <c r="AK390" s="696"/>
      <c r="AL390" s="696">
        <v>0</v>
      </c>
      <c r="AM390" s="696">
        <v>0</v>
      </c>
      <c r="AN390" s="696">
        <v>0</v>
      </c>
      <c r="AO390" s="696">
        <v>0</v>
      </c>
      <c r="AP390" s="696">
        <v>0</v>
      </c>
      <c r="AQ390" s="696">
        <v>0</v>
      </c>
      <c r="AT390" s="696"/>
      <c r="AU390" s="674"/>
      <c r="AV390" s="674"/>
      <c r="AW390" s="674"/>
      <c r="AX390" s="674"/>
      <c r="AY390" s="674"/>
      <c r="AZ390" s="674"/>
      <c r="BA390" s="674"/>
      <c r="BB390" s="674"/>
    </row>
    <row r="391" spans="1:54">
      <c r="A391" s="674" t="s">
        <v>390</v>
      </c>
      <c r="B391" s="674" t="s">
        <v>1438</v>
      </c>
      <c r="C391" s="674" t="s">
        <v>1441</v>
      </c>
      <c r="D391" s="673" t="s">
        <v>376</v>
      </c>
      <c r="E391" s="674" t="str">
        <f>Commodities!$D$19</f>
        <v>RESELC</v>
      </c>
      <c r="F391" s="674" t="str">
        <f>Commodities!$D$12</f>
        <v>RLT</v>
      </c>
      <c r="G391" s="697" t="str">
        <f t="shared" si="12"/>
        <v>2030</v>
      </c>
      <c r="H391" s="701">
        <f>'RTEKTY Conv'!K226</f>
        <v>68.493150684931507</v>
      </c>
      <c r="I391" s="698">
        <f>'RTEKTY Conv'!I226</f>
        <v>10.906838189524851</v>
      </c>
      <c r="J391" s="698">
        <f>'RTEKTY Conv'!G226</f>
        <v>4.9786433023926335</v>
      </c>
      <c r="K391" s="674">
        <v>1</v>
      </c>
      <c r="L391" s="674">
        <v>1</v>
      </c>
      <c r="M391" s="674">
        <v>1</v>
      </c>
      <c r="N391" s="674">
        <v>1</v>
      </c>
      <c r="O391" s="674">
        <v>1</v>
      </c>
      <c r="P391" s="674">
        <v>1</v>
      </c>
      <c r="Q391" s="674"/>
      <c r="R391" s="674">
        <v>0.45</v>
      </c>
      <c r="S391" s="696"/>
      <c r="T391" s="696"/>
      <c r="U391" s="696"/>
      <c r="V391" s="696"/>
      <c r="W391" s="696"/>
      <c r="X391" s="696"/>
      <c r="Y391" s="696"/>
      <c r="Z391" s="696"/>
      <c r="AA391" s="696"/>
      <c r="AB391" s="696"/>
      <c r="AC391" s="696"/>
      <c r="AD391" s="696"/>
      <c r="AE391" s="696"/>
      <c r="AF391" s="696"/>
      <c r="AG391" s="696"/>
      <c r="AH391" s="696">
        <v>0</v>
      </c>
      <c r="AI391" s="696"/>
      <c r="AJ391" s="696"/>
      <c r="AK391" s="696"/>
      <c r="AL391" s="696"/>
      <c r="AM391" s="696"/>
      <c r="AN391" s="696"/>
      <c r="AO391" s="696"/>
      <c r="AP391" s="696"/>
      <c r="AQ391" s="696"/>
      <c r="AT391" s="696"/>
      <c r="AU391" s="674"/>
      <c r="AV391" s="674"/>
      <c r="AW391" s="674"/>
      <c r="AX391" s="674"/>
      <c r="AY391" s="674"/>
      <c r="AZ391" s="674"/>
      <c r="BA391" s="674"/>
      <c r="BB391" s="674"/>
    </row>
    <row r="392" spans="1:54">
      <c r="A392" s="674" t="s">
        <v>390</v>
      </c>
      <c r="B392" s="674"/>
      <c r="C392" s="674"/>
      <c r="D392" s="673"/>
      <c r="E392" s="674"/>
      <c r="F392" s="674"/>
      <c r="G392" s="697"/>
      <c r="H392" s="701"/>
      <c r="I392" s="698"/>
      <c r="J392" s="698"/>
      <c r="K392" s="674"/>
      <c r="L392" s="674"/>
      <c r="M392" s="674" t="s">
        <v>729</v>
      </c>
      <c r="N392" s="674" t="s">
        <v>729</v>
      </c>
      <c r="O392" s="674" t="s">
        <v>729</v>
      </c>
      <c r="P392" s="674" t="s">
        <v>729</v>
      </c>
      <c r="Q392" s="674"/>
      <c r="R392" s="674"/>
      <c r="S392" s="696"/>
      <c r="T392" s="696"/>
      <c r="U392" s="696"/>
      <c r="V392" s="696"/>
      <c r="W392" s="696"/>
      <c r="X392" s="696"/>
      <c r="Y392" s="696"/>
      <c r="Z392" s="696"/>
      <c r="AA392" s="696"/>
      <c r="AB392" s="696"/>
      <c r="AC392" s="696"/>
      <c r="AD392" s="696"/>
      <c r="AE392" s="696"/>
      <c r="AF392" s="696"/>
      <c r="AG392" s="696"/>
      <c r="AH392" s="696"/>
      <c r="AI392" s="696"/>
      <c r="AJ392" s="696"/>
      <c r="AK392" s="696"/>
      <c r="AL392" s="696"/>
      <c r="AM392" s="696"/>
      <c r="AN392" s="696"/>
      <c r="AO392" s="696"/>
      <c r="AP392" s="696"/>
      <c r="AQ392" s="696"/>
      <c r="AT392" s="696"/>
      <c r="AU392" s="674"/>
      <c r="AV392" s="674"/>
      <c r="AW392" s="674"/>
      <c r="AX392" s="674"/>
      <c r="AY392" s="674"/>
      <c r="AZ392" s="674"/>
      <c r="BA392" s="674"/>
      <c r="BB392" s="674"/>
    </row>
    <row r="393" spans="1:54">
      <c r="A393" s="674" t="s">
        <v>1528</v>
      </c>
      <c r="B393" s="674" t="s">
        <v>1485</v>
      </c>
      <c r="C393" s="674" t="s">
        <v>1486</v>
      </c>
      <c r="D393" s="673" t="s">
        <v>376</v>
      </c>
      <c r="E393" s="674" t="str">
        <f>Commodities!$D$19</f>
        <v>RESELC</v>
      </c>
      <c r="F393" s="674" t="str">
        <f>Commodities!$D$12</f>
        <v>RLT</v>
      </c>
      <c r="G393" s="697">
        <v>2010</v>
      </c>
      <c r="H393" s="701">
        <f>'RTEKTY Conv'!G229</f>
        <v>1.3102451539881022</v>
      </c>
      <c r="I393" s="698">
        <f>'RTEKTY Conv'!I229</f>
        <v>0</v>
      </c>
      <c r="J393" s="698">
        <f>'RTEKTY Conv'!G229</f>
        <v>1.3102451539881022</v>
      </c>
      <c r="K393" s="674">
        <v>1</v>
      </c>
      <c r="L393" s="674">
        <v>1</v>
      </c>
      <c r="M393" s="674">
        <v>1</v>
      </c>
      <c r="N393" s="674">
        <v>1</v>
      </c>
      <c r="O393" s="674">
        <v>1</v>
      </c>
      <c r="P393" s="674">
        <v>1</v>
      </c>
      <c r="Q393" s="674"/>
      <c r="R393" s="674">
        <v>0.18</v>
      </c>
      <c r="S393" s="699">
        <f>Resid!V121</f>
        <v>0.15372738630610855</v>
      </c>
      <c r="T393" s="699">
        <f>Resid!W121</f>
        <v>8.8651721584399906E-2</v>
      </c>
      <c r="U393" s="699">
        <f>Resid!X121</f>
        <v>0.1485069624817365</v>
      </c>
      <c r="V393" s="699">
        <f>Resid!Y121</f>
        <v>2.9913589782509815E-2</v>
      </c>
      <c r="W393" s="699">
        <f>Resid!Z121</f>
        <v>7.8584898216122259E-2</v>
      </c>
      <c r="X393" s="699"/>
      <c r="Y393" s="699"/>
      <c r="Z393" s="699"/>
      <c r="AA393" s="699"/>
      <c r="AB393" s="699"/>
      <c r="AC393" s="699"/>
      <c r="AD393" s="699"/>
      <c r="AE393" s="699"/>
      <c r="AF393" s="699"/>
      <c r="AG393" s="699"/>
      <c r="AH393" s="696">
        <v>0</v>
      </c>
      <c r="AI393" s="696"/>
      <c r="AJ393" s="696">
        <v>0</v>
      </c>
      <c r="AK393" s="696">
        <v>0</v>
      </c>
      <c r="AL393" s="696">
        <v>0</v>
      </c>
      <c r="AM393" s="696">
        <v>0</v>
      </c>
      <c r="AN393" s="696">
        <v>0</v>
      </c>
      <c r="AO393" s="696">
        <v>0</v>
      </c>
      <c r="AP393" s="696">
        <v>0</v>
      </c>
      <c r="AQ393" s="696">
        <v>0</v>
      </c>
      <c r="AT393" s="696"/>
      <c r="AU393" s="674"/>
      <c r="AV393" s="674"/>
      <c r="AW393" s="674"/>
      <c r="AX393" s="674"/>
      <c r="AY393" s="674"/>
      <c r="AZ393" s="674"/>
      <c r="BA393" s="674"/>
      <c r="BB393" s="674"/>
    </row>
    <row r="394" spans="1:54">
      <c r="A394" s="674" t="s">
        <v>1528</v>
      </c>
      <c r="B394" s="674" t="s">
        <v>1442</v>
      </c>
      <c r="C394" s="674" t="s">
        <v>1447</v>
      </c>
      <c r="D394" s="673" t="s">
        <v>376</v>
      </c>
      <c r="E394" s="674" t="str">
        <f>Commodities!$D$19</f>
        <v>RESELC</v>
      </c>
      <c r="F394" s="674" t="str">
        <f>Commodities!$D$12</f>
        <v>RLT</v>
      </c>
      <c r="G394" s="697" t="str">
        <f t="shared" si="12"/>
        <v>2010</v>
      </c>
      <c r="H394" s="701">
        <f>'RTEKTY Conv'!K231</f>
        <v>2.1465753424657534</v>
      </c>
      <c r="I394" s="698">
        <f>'RTEKTY Conv'!I231</f>
        <v>2.9175792156978977</v>
      </c>
      <c r="J394" s="698">
        <f>'RTEKTY Conv'!G231</f>
        <v>0.38909524407871099</v>
      </c>
      <c r="K394" s="674">
        <v>1</v>
      </c>
      <c r="L394" s="674">
        <v>1</v>
      </c>
      <c r="M394" s="674">
        <v>1</v>
      </c>
      <c r="N394" s="674">
        <v>1</v>
      </c>
      <c r="O394" s="674">
        <v>1</v>
      </c>
      <c r="P394" s="674">
        <v>1</v>
      </c>
      <c r="Q394" s="674"/>
      <c r="R394" s="674">
        <v>0.18</v>
      </c>
      <c r="S394" s="699"/>
      <c r="T394" s="699"/>
      <c r="U394" s="699"/>
      <c r="V394" s="699"/>
      <c r="W394" s="699"/>
      <c r="X394" s="699"/>
      <c r="Y394" s="699"/>
      <c r="Z394" s="699"/>
      <c r="AA394" s="699"/>
      <c r="AB394" s="699"/>
      <c r="AC394" s="699"/>
      <c r="AD394" s="699"/>
      <c r="AE394" s="699"/>
      <c r="AF394" s="699"/>
      <c r="AG394" s="699"/>
      <c r="AH394" s="696">
        <v>0</v>
      </c>
      <c r="AI394" s="696">
        <v>0</v>
      </c>
      <c r="AJ394" s="696">
        <v>0</v>
      </c>
      <c r="AK394" s="696">
        <v>0</v>
      </c>
      <c r="AL394" s="696">
        <v>0</v>
      </c>
      <c r="AM394" s="696">
        <v>0</v>
      </c>
      <c r="AN394" s="696">
        <v>0</v>
      </c>
      <c r="AO394" s="696">
        <v>0</v>
      </c>
      <c r="AP394" s="696">
        <v>0</v>
      </c>
      <c r="AQ394" s="696">
        <v>0</v>
      </c>
      <c r="AT394" s="696"/>
      <c r="AU394" s="674"/>
      <c r="AV394" s="674"/>
      <c r="AW394" s="674"/>
      <c r="AX394" s="674"/>
      <c r="AY394" s="674"/>
      <c r="AZ394" s="674"/>
      <c r="BA394" s="674"/>
      <c r="BB394" s="674"/>
    </row>
    <row r="395" spans="1:54">
      <c r="A395" s="674" t="s">
        <v>390</v>
      </c>
      <c r="B395" s="674" t="s">
        <v>1443</v>
      </c>
      <c r="C395" s="674" t="s">
        <v>1448</v>
      </c>
      <c r="D395" s="673" t="s">
        <v>376</v>
      </c>
      <c r="E395" s="674" t="str">
        <f>Commodities!$D$19</f>
        <v>RESELC</v>
      </c>
      <c r="F395" s="674" t="str">
        <f>Commodities!$D$12</f>
        <v>RLT</v>
      </c>
      <c r="G395" s="697" t="str">
        <f t="shared" si="12"/>
        <v>2015</v>
      </c>
      <c r="H395" s="701">
        <f>'RTEKTY Conv'!K232</f>
        <v>2.2150684931506848</v>
      </c>
      <c r="I395" s="698">
        <f>'RTEKTY Conv'!I232</f>
        <v>3.3356746796296841</v>
      </c>
      <c r="J395" s="698">
        <f>'RTEKTY Conv'!G232</f>
        <v>0.44490678683164742</v>
      </c>
      <c r="K395" s="674">
        <v>1</v>
      </c>
      <c r="L395" s="674">
        <v>1</v>
      </c>
      <c r="M395" s="674">
        <v>1</v>
      </c>
      <c r="N395" s="674">
        <v>1</v>
      </c>
      <c r="O395" s="674">
        <v>1</v>
      </c>
      <c r="P395" s="674">
        <v>1</v>
      </c>
      <c r="Q395" s="674"/>
      <c r="R395" s="674">
        <v>0.18</v>
      </c>
      <c r="S395" s="696"/>
      <c r="T395" s="696"/>
      <c r="U395" s="696"/>
      <c r="V395" s="696"/>
      <c r="W395" s="696"/>
      <c r="X395" s="696"/>
      <c r="Y395" s="696"/>
      <c r="Z395" s="696"/>
      <c r="AA395" s="696"/>
      <c r="AB395" s="696"/>
      <c r="AC395" s="696"/>
      <c r="AD395" s="696"/>
      <c r="AE395" s="696"/>
      <c r="AF395" s="696"/>
      <c r="AG395" s="696"/>
      <c r="AH395" s="696">
        <v>0</v>
      </c>
      <c r="AI395" s="696">
        <v>0</v>
      </c>
      <c r="AJ395" s="696">
        <v>0</v>
      </c>
      <c r="AK395" s="696">
        <v>0</v>
      </c>
      <c r="AL395" s="696">
        <v>0</v>
      </c>
      <c r="AM395" s="696">
        <v>0</v>
      </c>
      <c r="AN395" s="696">
        <v>0</v>
      </c>
      <c r="AO395" s="696">
        <v>0</v>
      </c>
      <c r="AP395" s="696">
        <v>0</v>
      </c>
      <c r="AQ395" s="696">
        <v>0</v>
      </c>
      <c r="AT395" s="696"/>
      <c r="AU395" s="674"/>
      <c r="AV395" s="674"/>
      <c r="AW395" s="674"/>
      <c r="AX395" s="674"/>
      <c r="AY395" s="674"/>
      <c r="AZ395" s="674"/>
      <c r="BA395" s="674"/>
      <c r="BB395" s="674"/>
    </row>
    <row r="396" spans="1:54">
      <c r="A396" s="674" t="s">
        <v>390</v>
      </c>
      <c r="B396" s="674" t="s">
        <v>1444</v>
      </c>
      <c r="C396" s="674" t="s">
        <v>1449</v>
      </c>
      <c r="D396" s="673" t="s">
        <v>376</v>
      </c>
      <c r="E396" s="674" t="str">
        <f>Commodities!$D$19</f>
        <v>RESELC</v>
      </c>
      <c r="F396" s="674" t="str">
        <f>Commodities!$D$12</f>
        <v>RLT</v>
      </c>
      <c r="G396" s="697" t="str">
        <f t="shared" si="12"/>
        <v>2020</v>
      </c>
      <c r="H396" s="701">
        <f>'RTEKTY Conv'!K233</f>
        <v>2.6369863013698631</v>
      </c>
      <c r="I396" s="698">
        <f>'RTEKTY Conv'!I233</f>
        <v>4.1264204483702365</v>
      </c>
      <c r="J396" s="698">
        <f>'RTEKTY Conv'!G233</f>
        <v>0.36467769412430118</v>
      </c>
      <c r="K396" s="674">
        <v>1</v>
      </c>
      <c r="L396" s="674">
        <v>1</v>
      </c>
      <c r="M396" s="674">
        <v>1</v>
      </c>
      <c r="N396" s="674">
        <v>1</v>
      </c>
      <c r="O396" s="674">
        <v>1</v>
      </c>
      <c r="P396" s="674">
        <v>1</v>
      </c>
      <c r="Q396" s="674"/>
      <c r="R396" s="674">
        <v>0.18</v>
      </c>
      <c r="S396" s="696"/>
      <c r="T396" s="696"/>
      <c r="U396" s="696"/>
      <c r="V396" s="696"/>
      <c r="W396" s="696"/>
      <c r="X396" s="696"/>
      <c r="Y396" s="696"/>
      <c r="Z396" s="696"/>
      <c r="AA396" s="696"/>
      <c r="AB396" s="696"/>
      <c r="AC396" s="696"/>
      <c r="AD396" s="696"/>
      <c r="AE396" s="696"/>
      <c r="AF396" s="696"/>
      <c r="AG396" s="696"/>
      <c r="AH396" s="696">
        <v>0</v>
      </c>
      <c r="AI396" s="696"/>
      <c r="AJ396" s="696"/>
      <c r="AK396" s="696">
        <v>0</v>
      </c>
      <c r="AL396" s="696">
        <v>0</v>
      </c>
      <c r="AM396" s="696">
        <v>0</v>
      </c>
      <c r="AN396" s="696">
        <v>0</v>
      </c>
      <c r="AO396" s="696">
        <v>0</v>
      </c>
      <c r="AP396" s="696">
        <v>0</v>
      </c>
      <c r="AQ396" s="696">
        <v>0</v>
      </c>
      <c r="AT396" s="696"/>
      <c r="AU396" s="674"/>
      <c r="AV396" s="674"/>
      <c r="AW396" s="674"/>
      <c r="AX396" s="674"/>
      <c r="AY396" s="674"/>
      <c r="AZ396" s="674"/>
      <c r="BA396" s="674"/>
      <c r="BB396" s="674"/>
    </row>
    <row r="397" spans="1:54">
      <c r="A397" s="674" t="s">
        <v>390</v>
      </c>
      <c r="B397" s="674" t="s">
        <v>1445</v>
      </c>
      <c r="C397" s="674" t="s">
        <v>1450</v>
      </c>
      <c r="D397" s="673" t="s">
        <v>376</v>
      </c>
      <c r="E397" s="674" t="str">
        <f>Commodities!$D$19</f>
        <v>RESELC</v>
      </c>
      <c r="F397" s="674" t="str">
        <f>Commodities!$D$12</f>
        <v>RLT</v>
      </c>
      <c r="G397" s="697" t="str">
        <f t="shared" si="12"/>
        <v>2030</v>
      </c>
      <c r="H397" s="701">
        <f>'RTEKTY Conv'!K234</f>
        <v>2.6369863013698631</v>
      </c>
      <c r="I397" s="698">
        <f>'RTEKTY Conv'!I234</f>
        <v>4.0264410982995917</v>
      </c>
      <c r="J397" s="698">
        <f>'RTEKTY Conv'!G234</f>
        <v>0.37736213565905952</v>
      </c>
      <c r="K397" s="674">
        <v>1</v>
      </c>
      <c r="L397" s="674">
        <v>1</v>
      </c>
      <c r="M397" s="674">
        <v>1</v>
      </c>
      <c r="N397" s="674">
        <v>1</v>
      </c>
      <c r="O397" s="674">
        <v>1</v>
      </c>
      <c r="P397" s="674">
        <v>1</v>
      </c>
      <c r="Q397" s="674"/>
      <c r="R397" s="674">
        <v>0.18</v>
      </c>
      <c r="S397" s="696"/>
      <c r="T397" s="696"/>
      <c r="U397" s="696"/>
      <c r="V397" s="696"/>
      <c r="W397" s="696"/>
      <c r="X397" s="696"/>
      <c r="Y397" s="696"/>
      <c r="Z397" s="696"/>
      <c r="AA397" s="696"/>
      <c r="AB397" s="696"/>
      <c r="AC397" s="696"/>
      <c r="AD397" s="696"/>
      <c r="AE397" s="696"/>
      <c r="AF397" s="696"/>
      <c r="AG397" s="696"/>
      <c r="AH397" s="696">
        <v>0</v>
      </c>
      <c r="AI397" s="696"/>
      <c r="AJ397" s="696"/>
      <c r="AK397" s="696">
        <v>0</v>
      </c>
      <c r="AL397" s="696">
        <v>0</v>
      </c>
      <c r="AM397" s="696">
        <v>0</v>
      </c>
      <c r="AN397" s="696">
        <v>0</v>
      </c>
      <c r="AO397" s="696">
        <v>0</v>
      </c>
      <c r="AP397" s="696">
        <v>0</v>
      </c>
      <c r="AQ397" s="696">
        <v>0</v>
      </c>
      <c r="AT397" s="696"/>
      <c r="AU397" s="674"/>
      <c r="AV397" s="674"/>
      <c r="AW397" s="674"/>
      <c r="AX397" s="674"/>
      <c r="AY397" s="674"/>
      <c r="AZ397" s="674"/>
      <c r="BA397" s="674"/>
      <c r="BB397" s="674"/>
    </row>
    <row r="398" spans="1:54">
      <c r="A398" s="674" t="s">
        <v>390</v>
      </c>
      <c r="B398" s="674" t="s">
        <v>1446</v>
      </c>
      <c r="C398" s="674" t="s">
        <v>1451</v>
      </c>
      <c r="D398" s="673" t="s">
        <v>376</v>
      </c>
      <c r="E398" s="674" t="str">
        <f>Commodities!$D$19</f>
        <v>RESELC</v>
      </c>
      <c r="F398" s="674" t="str">
        <f>Commodities!$D$12</f>
        <v>RLT</v>
      </c>
      <c r="G398" s="697" t="str">
        <f t="shared" si="12"/>
        <v>2040</v>
      </c>
      <c r="H398" s="701">
        <f>'RTEKTY Conv'!K235</f>
        <v>2.6369863013698631</v>
      </c>
      <c r="I398" s="698">
        <f>'RTEKTY Conv'!I235</f>
        <v>3.9173727164043424</v>
      </c>
      <c r="J398" s="698">
        <f>'RTEKTY Conv'!G235</f>
        <v>0.39004657719381786</v>
      </c>
      <c r="K398" s="674">
        <v>1</v>
      </c>
      <c r="L398" s="674">
        <v>1</v>
      </c>
      <c r="M398" s="674">
        <v>1</v>
      </c>
      <c r="N398" s="674">
        <v>1</v>
      </c>
      <c r="O398" s="674">
        <v>1</v>
      </c>
      <c r="P398" s="674">
        <v>1</v>
      </c>
      <c r="Q398" s="674"/>
      <c r="R398" s="674">
        <v>0.18</v>
      </c>
      <c r="S398" s="696"/>
      <c r="T398" s="696"/>
      <c r="U398" s="696"/>
      <c r="V398" s="696"/>
      <c r="W398" s="696"/>
      <c r="X398" s="696"/>
      <c r="Y398" s="696"/>
      <c r="Z398" s="696"/>
      <c r="AA398" s="696"/>
      <c r="AB398" s="696"/>
      <c r="AC398" s="696"/>
      <c r="AD398" s="696"/>
      <c r="AE398" s="696"/>
      <c r="AF398" s="696"/>
      <c r="AG398" s="696"/>
      <c r="AH398" s="696">
        <v>0</v>
      </c>
      <c r="AI398" s="696"/>
      <c r="AJ398" s="696"/>
      <c r="AK398" s="696">
        <v>0</v>
      </c>
      <c r="AL398" s="696">
        <v>0</v>
      </c>
      <c r="AM398" s="696">
        <v>0</v>
      </c>
      <c r="AN398" s="696">
        <v>0</v>
      </c>
      <c r="AO398" s="696">
        <v>0</v>
      </c>
      <c r="AP398" s="696">
        <v>0</v>
      </c>
      <c r="AQ398" s="696">
        <v>0</v>
      </c>
      <c r="AT398" s="696"/>
      <c r="AU398" s="674"/>
      <c r="AV398" s="674"/>
      <c r="AW398" s="674"/>
      <c r="AX398" s="674"/>
      <c r="AY398" s="674"/>
      <c r="AZ398" s="674"/>
      <c r="BA398" s="674"/>
      <c r="BB398" s="674"/>
    </row>
    <row r="399" spans="1:54">
      <c r="A399" s="674" t="s">
        <v>1528</v>
      </c>
      <c r="B399" s="674" t="s">
        <v>1452</v>
      </c>
      <c r="C399" s="674" t="s">
        <v>1453</v>
      </c>
      <c r="D399" s="673" t="s">
        <v>376</v>
      </c>
      <c r="E399" s="674" t="str">
        <f>Commodities!$D$19</f>
        <v>RESELC</v>
      </c>
      <c r="F399" s="674" t="str">
        <f>Commodities!$D$12</f>
        <v>RLT</v>
      </c>
      <c r="G399" s="697" t="str">
        <f t="shared" si="12"/>
        <v>2010</v>
      </c>
      <c r="H399" s="701">
        <f>'RTEKTY Conv'!K237</f>
        <v>10.95890410958904</v>
      </c>
      <c r="I399" s="698">
        <f>'RTEKTY Conv'!I237</f>
        <v>5.6624668267283207</v>
      </c>
      <c r="J399" s="698">
        <f>'RTEKTY Conv'!G237</f>
        <v>1.5221329841709963</v>
      </c>
      <c r="K399" s="674">
        <v>1</v>
      </c>
      <c r="L399" s="674">
        <v>1</v>
      </c>
      <c r="M399" s="674">
        <v>1</v>
      </c>
      <c r="N399" s="674">
        <v>1</v>
      </c>
      <c r="O399" s="674">
        <v>1</v>
      </c>
      <c r="P399" s="674">
        <v>1</v>
      </c>
      <c r="Q399" s="674"/>
      <c r="R399" s="674">
        <v>0.28000000000000003</v>
      </c>
      <c r="S399" s="696"/>
      <c r="T399" s="696"/>
      <c r="U399" s="696"/>
      <c r="V399" s="696"/>
      <c r="W399" s="696"/>
      <c r="X399" s="696"/>
      <c r="Y399" s="696"/>
      <c r="Z399" s="696"/>
      <c r="AA399" s="696"/>
      <c r="AB399" s="696"/>
      <c r="AC399" s="696"/>
      <c r="AD399" s="696"/>
      <c r="AE399" s="696"/>
      <c r="AF399" s="696"/>
      <c r="AG399" s="696"/>
      <c r="AH399" s="696">
        <v>0</v>
      </c>
      <c r="AI399" s="696">
        <v>0</v>
      </c>
      <c r="AJ399" s="696">
        <v>0</v>
      </c>
      <c r="AK399" s="696">
        <v>0</v>
      </c>
      <c r="AL399" s="696">
        <v>0</v>
      </c>
      <c r="AM399" s="696">
        <v>0</v>
      </c>
      <c r="AN399" s="696">
        <v>0</v>
      </c>
      <c r="AO399" s="696">
        <v>0</v>
      </c>
      <c r="AP399" s="696">
        <v>0</v>
      </c>
      <c r="AQ399" s="696">
        <v>0</v>
      </c>
      <c r="AT399" s="696"/>
      <c r="AU399" s="674">
        <v>1.1499999999999999</v>
      </c>
      <c r="AV399" s="674">
        <v>1.1499999999999999</v>
      </c>
      <c r="AW399" s="674">
        <v>1.1499999999999999</v>
      </c>
      <c r="AX399" s="674">
        <v>1.1499999999999999</v>
      </c>
      <c r="AY399" s="674">
        <v>1.1499999999999999</v>
      </c>
      <c r="AZ399" s="674">
        <v>1.1499999999999999</v>
      </c>
      <c r="BA399" s="674">
        <v>1.1499999999999999</v>
      </c>
      <c r="BB399" s="674">
        <v>1.1499999999999999</v>
      </c>
    </row>
    <row r="400" spans="1:54">
      <c r="A400" s="674" t="s">
        <v>390</v>
      </c>
      <c r="B400" s="674" t="s">
        <v>1454</v>
      </c>
      <c r="C400" s="674" t="s">
        <v>1455</v>
      </c>
      <c r="D400" s="673" t="s">
        <v>376</v>
      </c>
      <c r="E400" s="674" t="str">
        <f>Commodities!$D$19</f>
        <v>RESELC</v>
      </c>
      <c r="F400" s="674" t="str">
        <f>Commodities!$D$12</f>
        <v>RLT</v>
      </c>
      <c r="G400" s="697" t="str">
        <f t="shared" si="12"/>
        <v>2020</v>
      </c>
      <c r="H400" s="701">
        <f>'RTEKTY Conv'!K238</f>
        <v>10.95890410958904</v>
      </c>
      <c r="I400" s="698">
        <f>'RTEKTY Conv'!I238</f>
        <v>5.5170423175346555</v>
      </c>
      <c r="J400" s="698">
        <f>'RTEKTY Conv'!G238</f>
        <v>1.5982396333795463</v>
      </c>
      <c r="K400" s="674">
        <v>1</v>
      </c>
      <c r="L400" s="674">
        <v>1</v>
      </c>
      <c r="M400" s="674">
        <v>1</v>
      </c>
      <c r="N400" s="674">
        <v>1</v>
      </c>
      <c r="O400" s="674">
        <v>1</v>
      </c>
      <c r="P400" s="674">
        <v>1</v>
      </c>
      <c r="Q400" s="674"/>
      <c r="R400" s="674">
        <v>0.28000000000000003</v>
      </c>
      <c r="S400" s="696"/>
      <c r="T400" s="696"/>
      <c r="U400" s="696"/>
      <c r="V400" s="696"/>
      <c r="W400" s="696"/>
      <c r="X400" s="696"/>
      <c r="Y400" s="696"/>
      <c r="Z400" s="696"/>
      <c r="AA400" s="696"/>
      <c r="AB400" s="696"/>
      <c r="AC400" s="696"/>
      <c r="AD400" s="696"/>
      <c r="AE400" s="696"/>
      <c r="AF400" s="696"/>
      <c r="AG400" s="696"/>
      <c r="AH400" s="696">
        <v>0</v>
      </c>
      <c r="AI400" s="696"/>
      <c r="AJ400" s="696"/>
      <c r="AK400" s="696"/>
      <c r="AL400" s="696">
        <v>0</v>
      </c>
      <c r="AM400" s="696">
        <v>0</v>
      </c>
      <c r="AN400" s="696">
        <v>0</v>
      </c>
      <c r="AO400" s="696">
        <v>0</v>
      </c>
      <c r="AP400" s="696">
        <v>0</v>
      </c>
      <c r="AQ400" s="696">
        <v>0</v>
      </c>
      <c r="AT400" s="696"/>
      <c r="AU400" s="674">
        <v>1.1499999999999999</v>
      </c>
      <c r="AV400" s="674">
        <v>1.1499999999999999</v>
      </c>
      <c r="AW400" s="674">
        <v>1.1499999999999999</v>
      </c>
      <c r="AX400" s="674">
        <v>1.1499999999999999</v>
      </c>
      <c r="AY400" s="674">
        <v>1.1499999999999999</v>
      </c>
      <c r="AZ400" s="674">
        <v>1.1499999999999999</v>
      </c>
      <c r="BA400" s="674">
        <v>1.1499999999999999</v>
      </c>
      <c r="BB400" s="674">
        <v>1.1499999999999999</v>
      </c>
    </row>
    <row r="401" spans="1:54">
      <c r="A401" s="674" t="s">
        <v>390</v>
      </c>
      <c r="B401" s="674" t="s">
        <v>1456</v>
      </c>
      <c r="C401" s="674" t="s">
        <v>1457</v>
      </c>
      <c r="D401" s="673" t="s">
        <v>376</v>
      </c>
      <c r="E401" s="674" t="str">
        <f>Commodities!$D$19</f>
        <v>RESELC</v>
      </c>
      <c r="F401" s="674" t="str">
        <f>Commodities!$D$12</f>
        <v>RLT</v>
      </c>
      <c r="G401" s="697" t="str">
        <f t="shared" si="12"/>
        <v>2030</v>
      </c>
      <c r="H401" s="701">
        <f>'RTEKTY Conv'!K239</f>
        <v>10.95890410958904</v>
      </c>
      <c r="I401" s="698">
        <f>'RTEKTY Conv'!I239</f>
        <v>5.380706840165594</v>
      </c>
      <c r="J401" s="698">
        <f>'RTEKTY Conv'!G239</f>
        <v>1.6775173929717853</v>
      </c>
      <c r="K401" s="674">
        <v>1</v>
      </c>
      <c r="L401" s="674">
        <v>1</v>
      </c>
      <c r="M401" s="674">
        <v>1</v>
      </c>
      <c r="N401" s="674">
        <v>1</v>
      </c>
      <c r="O401" s="674">
        <v>1</v>
      </c>
      <c r="P401" s="674">
        <v>1</v>
      </c>
      <c r="Q401" s="674"/>
      <c r="R401" s="674">
        <v>0.28000000000000003</v>
      </c>
      <c r="S401" s="696"/>
      <c r="T401" s="696"/>
      <c r="U401" s="696"/>
      <c r="V401" s="696"/>
      <c r="W401" s="696"/>
      <c r="X401" s="696"/>
      <c r="Y401" s="696"/>
      <c r="Z401" s="696"/>
      <c r="AA401" s="696"/>
      <c r="AB401" s="696"/>
      <c r="AC401" s="696"/>
      <c r="AD401" s="696"/>
      <c r="AE401" s="696"/>
      <c r="AF401" s="696"/>
      <c r="AG401" s="696"/>
      <c r="AH401" s="696">
        <v>0</v>
      </c>
      <c r="AI401" s="696"/>
      <c r="AJ401" s="696"/>
      <c r="AK401" s="696"/>
      <c r="AL401" s="696"/>
      <c r="AM401" s="696"/>
      <c r="AN401" s="696">
        <v>0</v>
      </c>
      <c r="AO401" s="696">
        <v>0</v>
      </c>
      <c r="AP401" s="696">
        <v>0</v>
      </c>
      <c r="AQ401" s="696">
        <v>0</v>
      </c>
      <c r="AT401" s="696"/>
      <c r="AU401" s="674">
        <v>1.1499999999999999</v>
      </c>
      <c r="AV401" s="674">
        <v>1.1499999999999999</v>
      </c>
      <c r="AW401" s="674">
        <v>1.1499999999999999</v>
      </c>
      <c r="AX401" s="674">
        <v>1.1499999999999999</v>
      </c>
      <c r="AY401" s="674">
        <v>1.1499999999999999</v>
      </c>
      <c r="AZ401" s="674">
        <v>1.1499999999999999</v>
      </c>
      <c r="BA401" s="674">
        <v>1.1499999999999999</v>
      </c>
      <c r="BB401" s="674">
        <v>1.1499999999999999</v>
      </c>
    </row>
    <row r="402" spans="1:54">
      <c r="A402" s="674" t="s">
        <v>390</v>
      </c>
      <c r="B402" s="674" t="s">
        <v>1458</v>
      </c>
      <c r="C402" s="674" t="s">
        <v>1459</v>
      </c>
      <c r="D402" s="673" t="s">
        <v>376</v>
      </c>
      <c r="E402" s="674" t="str">
        <f>Commodities!$D$19</f>
        <v>RESELC</v>
      </c>
      <c r="F402" s="674" t="str">
        <f>Commodities!$D$12</f>
        <v>RLT</v>
      </c>
      <c r="G402" s="697" t="str">
        <f t="shared" si="12"/>
        <v>2040</v>
      </c>
      <c r="H402" s="701">
        <f>'RTEKTY Conv'!K240</f>
        <v>12.328767123287671</v>
      </c>
      <c r="I402" s="698">
        <f>'RTEKTY Conv'!I240</f>
        <v>5.2443713627965334</v>
      </c>
      <c r="J402" s="698">
        <f>'RTEKTY Conv'!G240</f>
        <v>1.7631373733314042</v>
      </c>
      <c r="K402" s="674">
        <v>1</v>
      </c>
      <c r="L402" s="674">
        <v>1</v>
      </c>
      <c r="M402" s="674">
        <v>1</v>
      </c>
      <c r="N402" s="674">
        <v>1</v>
      </c>
      <c r="O402" s="674">
        <v>1</v>
      </c>
      <c r="P402" s="674">
        <v>1</v>
      </c>
      <c r="Q402" s="674"/>
      <c r="R402" s="674">
        <v>0.28000000000000003</v>
      </c>
      <c r="S402" s="696"/>
      <c r="T402" s="696"/>
      <c r="U402" s="696"/>
      <c r="V402" s="696"/>
      <c r="W402" s="696"/>
      <c r="X402" s="696"/>
      <c r="Y402" s="696"/>
      <c r="Z402" s="696"/>
      <c r="AA402" s="696"/>
      <c r="AB402" s="696"/>
      <c r="AC402" s="696"/>
      <c r="AD402" s="696"/>
      <c r="AE402" s="696"/>
      <c r="AF402" s="696"/>
      <c r="AG402" s="696"/>
      <c r="AH402" s="696">
        <v>0</v>
      </c>
      <c r="AI402" s="696"/>
      <c r="AJ402" s="696"/>
      <c r="AK402" s="696"/>
      <c r="AL402" s="696"/>
      <c r="AM402" s="696"/>
      <c r="AN402" s="696"/>
      <c r="AO402" s="696"/>
      <c r="AP402" s="696"/>
      <c r="AQ402" s="696"/>
      <c r="AT402" s="696"/>
      <c r="AU402" s="674">
        <v>1.1499999999999999</v>
      </c>
      <c r="AV402" s="674">
        <v>1.1499999999999999</v>
      </c>
      <c r="AW402" s="674">
        <v>1.1499999999999999</v>
      </c>
      <c r="AX402" s="674">
        <v>1.1499999999999999</v>
      </c>
      <c r="AY402" s="674">
        <v>1.1499999999999999</v>
      </c>
      <c r="AZ402" s="674">
        <v>1.1499999999999999</v>
      </c>
      <c r="BA402" s="674">
        <v>1.1499999999999999</v>
      </c>
      <c r="BB402" s="674">
        <v>1.1499999999999999</v>
      </c>
    </row>
    <row r="403" spans="1:54">
      <c r="A403" s="674" t="s">
        <v>1528</v>
      </c>
      <c r="B403" s="674" t="s">
        <v>1460</v>
      </c>
      <c r="C403" s="674" t="s">
        <v>1461</v>
      </c>
      <c r="D403" s="673" t="s">
        <v>376</v>
      </c>
      <c r="E403" s="674" t="str">
        <f>Commodities!$D$19</f>
        <v>RESELC</v>
      </c>
      <c r="F403" s="674" t="str">
        <f>Commodities!$D$12</f>
        <v>RLT</v>
      </c>
      <c r="G403" s="697" t="str">
        <f t="shared" si="12"/>
        <v>2010</v>
      </c>
      <c r="H403" s="701">
        <f>'RTEKTY Conv'!K242</f>
        <v>32.876712328767127</v>
      </c>
      <c r="I403" s="698">
        <f>'RTEKTY Conv'!I242</f>
        <v>13.633547736906067</v>
      </c>
      <c r="J403" s="698">
        <f>'RTEKTY Conv'!G242</f>
        <v>2.9427904360639263</v>
      </c>
      <c r="K403" s="674">
        <v>1</v>
      </c>
      <c r="L403" s="674">
        <v>1</v>
      </c>
      <c r="M403" s="674">
        <v>1</v>
      </c>
      <c r="N403" s="674">
        <v>1</v>
      </c>
      <c r="O403" s="674">
        <v>1</v>
      </c>
      <c r="P403" s="674">
        <v>1</v>
      </c>
      <c r="Q403" s="674"/>
      <c r="R403" s="674">
        <v>0.18</v>
      </c>
      <c r="S403" s="696"/>
      <c r="T403" s="696"/>
      <c r="U403" s="696"/>
      <c r="V403" s="696"/>
      <c r="W403" s="696"/>
      <c r="X403" s="696"/>
      <c r="Y403" s="696"/>
      <c r="Z403" s="696"/>
      <c r="AA403" s="696"/>
      <c r="AB403" s="696"/>
      <c r="AC403" s="696"/>
      <c r="AD403" s="696"/>
      <c r="AE403" s="696"/>
      <c r="AF403" s="696"/>
      <c r="AG403" s="696"/>
      <c r="AH403" s="696">
        <v>0</v>
      </c>
      <c r="AI403" s="696">
        <v>0</v>
      </c>
      <c r="AJ403" s="696">
        <v>0</v>
      </c>
      <c r="AK403" s="696">
        <v>0</v>
      </c>
      <c r="AL403" s="696">
        <v>0</v>
      </c>
      <c r="AM403" s="696">
        <v>0</v>
      </c>
      <c r="AN403" s="696">
        <v>0</v>
      </c>
      <c r="AO403" s="696">
        <v>0</v>
      </c>
      <c r="AP403" s="696">
        <v>0</v>
      </c>
      <c r="AQ403" s="696">
        <v>0</v>
      </c>
      <c r="AT403" s="696"/>
      <c r="AU403" s="674"/>
      <c r="AV403" s="674"/>
      <c r="AW403" s="674"/>
      <c r="AX403" s="674"/>
      <c r="AY403" s="674"/>
      <c r="AZ403" s="674"/>
      <c r="BA403" s="674"/>
      <c r="BB403" s="674"/>
    </row>
    <row r="404" spans="1:54">
      <c r="A404" s="674" t="s">
        <v>390</v>
      </c>
      <c r="B404" s="674" t="s">
        <v>1462</v>
      </c>
      <c r="C404" s="674" t="s">
        <v>1463</v>
      </c>
      <c r="D404" s="673" t="s">
        <v>376</v>
      </c>
      <c r="E404" s="674" t="str">
        <f>Commodities!$D$19</f>
        <v>RESELC</v>
      </c>
      <c r="F404" s="674" t="str">
        <f>Commodities!$D$12</f>
        <v>RLT</v>
      </c>
      <c r="G404" s="697" t="str">
        <f t="shared" si="12"/>
        <v>2020</v>
      </c>
      <c r="H404" s="701">
        <f>'RTEKTY Conv'!K243</f>
        <v>32.876712328767127</v>
      </c>
      <c r="I404" s="698">
        <f>'RTEKTY Conv'!I243</f>
        <v>9.089031824604044</v>
      </c>
      <c r="J404" s="698">
        <f>'RTEKTY Conv'!G243</f>
        <v>2.9427904360639263</v>
      </c>
      <c r="K404" s="674">
        <v>1</v>
      </c>
      <c r="L404" s="674">
        <v>1</v>
      </c>
      <c r="M404" s="674">
        <v>1</v>
      </c>
      <c r="N404" s="674">
        <v>1</v>
      </c>
      <c r="O404" s="674">
        <v>1</v>
      </c>
      <c r="P404" s="674">
        <v>1</v>
      </c>
      <c r="Q404" s="674"/>
      <c r="R404" s="674">
        <v>0.18</v>
      </c>
      <c r="S404" s="696"/>
      <c r="T404" s="696"/>
      <c r="U404" s="696"/>
      <c r="V404" s="696"/>
      <c r="W404" s="696"/>
      <c r="X404" s="696"/>
      <c r="Y404" s="696"/>
      <c r="Z404" s="696"/>
      <c r="AA404" s="696"/>
      <c r="AB404" s="696"/>
      <c r="AC404" s="696"/>
      <c r="AD404" s="696"/>
      <c r="AE404" s="696"/>
      <c r="AF404" s="696"/>
      <c r="AG404" s="696"/>
      <c r="AH404" s="696">
        <v>0</v>
      </c>
      <c r="AI404" s="696"/>
      <c r="AJ404" s="696"/>
      <c r="AK404" s="696"/>
      <c r="AL404" s="696"/>
      <c r="AM404" s="696"/>
      <c r="AN404" s="696"/>
      <c r="AO404" s="696"/>
      <c r="AP404" s="696"/>
      <c r="AQ404" s="696"/>
      <c r="AT404" s="696"/>
      <c r="AU404" s="674"/>
      <c r="AV404" s="674"/>
      <c r="AW404" s="674"/>
      <c r="AX404" s="674"/>
      <c r="AY404" s="674"/>
      <c r="AZ404" s="674"/>
      <c r="BA404" s="674"/>
      <c r="BB404" s="674"/>
    </row>
    <row r="405" spans="1:54">
      <c r="A405" s="674" t="s">
        <v>1528</v>
      </c>
      <c r="B405" s="674" t="s">
        <v>1464</v>
      </c>
      <c r="C405" s="674" t="s">
        <v>1470</v>
      </c>
      <c r="D405" s="673" t="s">
        <v>376</v>
      </c>
      <c r="E405" s="674" t="str">
        <f>Commodities!$D$19</f>
        <v>RESELC</v>
      </c>
      <c r="F405" s="674" t="str">
        <f>Commodities!$D$12</f>
        <v>RLT</v>
      </c>
      <c r="G405" s="697" t="str">
        <f t="shared" si="12"/>
        <v>2010</v>
      </c>
      <c r="H405" s="701">
        <f>'RTEKTY Conv'!K245</f>
        <v>34.246575342465754</v>
      </c>
      <c r="I405" s="698">
        <f>'RTEKTY Conv'!I245</f>
        <v>54.461478693027438</v>
      </c>
      <c r="J405" s="698">
        <f>'RTEKTY Conv'!G245</f>
        <v>1.5855551918447879</v>
      </c>
      <c r="K405" s="674">
        <v>1</v>
      </c>
      <c r="L405" s="674">
        <v>1</v>
      </c>
      <c r="M405" s="674">
        <v>1</v>
      </c>
      <c r="N405" s="674">
        <v>1</v>
      </c>
      <c r="O405" s="674">
        <v>1</v>
      </c>
      <c r="P405" s="674">
        <v>1</v>
      </c>
      <c r="Q405" s="674"/>
      <c r="R405" s="674">
        <v>0.45</v>
      </c>
      <c r="S405" s="696"/>
      <c r="T405" s="696"/>
      <c r="U405" s="696"/>
      <c r="V405" s="696"/>
      <c r="W405" s="696"/>
      <c r="X405" s="696"/>
      <c r="Y405" s="696"/>
      <c r="Z405" s="696"/>
      <c r="AA405" s="696"/>
      <c r="AB405" s="696"/>
      <c r="AC405" s="696"/>
      <c r="AD405" s="696"/>
      <c r="AE405" s="696"/>
      <c r="AF405" s="696"/>
      <c r="AG405" s="696"/>
      <c r="AH405" s="696">
        <v>0</v>
      </c>
      <c r="AI405" s="696">
        <v>0</v>
      </c>
      <c r="AJ405" s="696">
        <v>0</v>
      </c>
      <c r="AK405" s="696">
        <v>0</v>
      </c>
      <c r="AL405" s="696">
        <v>0</v>
      </c>
      <c r="AM405" s="696">
        <v>0</v>
      </c>
      <c r="AN405" s="696">
        <v>0</v>
      </c>
      <c r="AO405" s="696">
        <v>0</v>
      </c>
      <c r="AP405" s="696">
        <v>0</v>
      </c>
      <c r="AQ405" s="696">
        <v>0</v>
      </c>
      <c r="AT405" s="696"/>
      <c r="AU405" s="674"/>
      <c r="AV405" s="674"/>
      <c r="AW405" s="674"/>
      <c r="AX405" s="674"/>
      <c r="AY405" s="674"/>
      <c r="AZ405" s="674"/>
      <c r="BA405" s="674"/>
      <c r="BB405" s="674"/>
    </row>
    <row r="406" spans="1:54">
      <c r="A406" s="674" t="s">
        <v>390</v>
      </c>
      <c r="B406" s="674" t="s">
        <v>1465</v>
      </c>
      <c r="C406" s="674" t="s">
        <v>1471</v>
      </c>
      <c r="D406" s="673" t="s">
        <v>376</v>
      </c>
      <c r="E406" s="674" t="str">
        <f>Commodities!$D$19</f>
        <v>RESELC</v>
      </c>
      <c r="F406" s="674" t="str">
        <f>Commodities!$D$12</f>
        <v>RLT</v>
      </c>
      <c r="G406" s="697" t="str">
        <f t="shared" si="12"/>
        <v>2015</v>
      </c>
      <c r="H406" s="701">
        <f>'RTEKTY Conv'!K246</f>
        <v>49.467123287671235</v>
      </c>
      <c r="I406" s="698">
        <f>'RTEKTY Conv'!I246</f>
        <v>22.531709893193426</v>
      </c>
      <c r="J406" s="698">
        <f>'RTEKTY Conv'!G246</f>
        <v>2.6351927288460373</v>
      </c>
      <c r="K406" s="674">
        <v>1</v>
      </c>
      <c r="L406" s="674">
        <v>1</v>
      </c>
      <c r="M406" s="674">
        <v>1</v>
      </c>
      <c r="N406" s="674">
        <v>1</v>
      </c>
      <c r="O406" s="674">
        <v>1</v>
      </c>
      <c r="P406" s="674">
        <v>1</v>
      </c>
      <c r="Q406" s="674"/>
      <c r="R406" s="674">
        <v>0.45</v>
      </c>
      <c r="S406" s="696"/>
      <c r="T406" s="696"/>
      <c r="U406" s="696"/>
      <c r="V406" s="696"/>
      <c r="W406" s="696"/>
      <c r="X406" s="696"/>
      <c r="Y406" s="696"/>
      <c r="Z406" s="696"/>
      <c r="AA406" s="696"/>
      <c r="AB406" s="696"/>
      <c r="AC406" s="696"/>
      <c r="AD406" s="696"/>
      <c r="AE406" s="696"/>
      <c r="AF406" s="696"/>
      <c r="AG406" s="696"/>
      <c r="AH406" s="696">
        <v>0</v>
      </c>
      <c r="AI406" s="696">
        <v>0</v>
      </c>
      <c r="AJ406" s="696">
        <v>0</v>
      </c>
      <c r="AK406" s="696">
        <v>0</v>
      </c>
      <c r="AL406" s="696">
        <v>0</v>
      </c>
      <c r="AM406" s="696">
        <v>0</v>
      </c>
      <c r="AN406" s="696">
        <v>0</v>
      </c>
      <c r="AO406" s="696">
        <v>0</v>
      </c>
      <c r="AP406" s="696">
        <v>0</v>
      </c>
      <c r="AQ406" s="696">
        <v>0</v>
      </c>
      <c r="AT406" s="696"/>
      <c r="AU406" s="674"/>
      <c r="AV406" s="674"/>
      <c r="AW406" s="674"/>
      <c r="AX406" s="674"/>
      <c r="AY406" s="674"/>
      <c r="AZ406" s="674"/>
      <c r="BA406" s="674"/>
      <c r="BB406" s="674"/>
    </row>
    <row r="407" spans="1:54">
      <c r="A407" s="674" t="s">
        <v>390</v>
      </c>
      <c r="B407" s="674" t="s">
        <v>1466</v>
      </c>
      <c r="C407" s="674" t="s">
        <v>1472</v>
      </c>
      <c r="D407" s="673" t="s">
        <v>376</v>
      </c>
      <c r="E407" s="674" t="str">
        <f>Commodities!$D$19</f>
        <v>RESELC</v>
      </c>
      <c r="F407" s="674" t="str">
        <f>Commodities!$D$12</f>
        <v>RLT</v>
      </c>
      <c r="G407" s="697" t="str">
        <f t="shared" si="12"/>
        <v>2020</v>
      </c>
      <c r="H407" s="701">
        <f>'RTEKTY Conv'!K247</f>
        <v>68.493150684931507</v>
      </c>
      <c r="I407" s="698">
        <f>'RTEKTY Conv'!I247</f>
        <v>7.4711841598245261</v>
      </c>
      <c r="J407" s="698">
        <f>'RTEKTY Conv'!G247</f>
        <v>4.9786433023926335</v>
      </c>
      <c r="K407" s="674">
        <v>1</v>
      </c>
      <c r="L407" s="674">
        <v>1</v>
      </c>
      <c r="M407" s="674">
        <v>1</v>
      </c>
      <c r="N407" s="674">
        <v>1</v>
      </c>
      <c r="O407" s="674">
        <v>1</v>
      </c>
      <c r="P407" s="674">
        <v>1</v>
      </c>
      <c r="Q407" s="674"/>
      <c r="R407" s="674">
        <v>0.45</v>
      </c>
      <c r="S407" s="696"/>
      <c r="T407" s="696"/>
      <c r="U407" s="696"/>
      <c r="V407" s="696"/>
      <c r="W407" s="696"/>
      <c r="X407" s="696"/>
      <c r="Y407" s="696"/>
      <c r="Z407" s="696"/>
      <c r="AA407" s="696"/>
      <c r="AB407" s="696"/>
      <c r="AC407" s="696"/>
      <c r="AD407" s="696"/>
      <c r="AE407" s="696"/>
      <c r="AF407" s="696"/>
      <c r="AG407" s="696"/>
      <c r="AH407" s="696">
        <v>0</v>
      </c>
      <c r="AI407" s="696"/>
      <c r="AJ407" s="696"/>
      <c r="AK407" s="696">
        <v>0</v>
      </c>
      <c r="AL407" s="696">
        <v>0</v>
      </c>
      <c r="AM407" s="696">
        <v>0</v>
      </c>
      <c r="AN407" s="696">
        <v>0</v>
      </c>
      <c r="AO407" s="696">
        <v>0</v>
      </c>
      <c r="AP407" s="696">
        <v>0</v>
      </c>
      <c r="AQ407" s="696">
        <v>0</v>
      </c>
      <c r="AT407" s="696"/>
      <c r="AU407" s="674"/>
      <c r="AV407" s="674"/>
      <c r="AW407" s="674"/>
      <c r="AX407" s="674"/>
      <c r="AY407" s="674"/>
      <c r="AZ407" s="674"/>
      <c r="BA407" s="674"/>
      <c r="BB407" s="674"/>
    </row>
    <row r="408" spans="1:54">
      <c r="A408" s="674" t="s">
        <v>390</v>
      </c>
      <c r="B408" s="674" t="s">
        <v>1467</v>
      </c>
      <c r="C408" s="674" t="s">
        <v>1473</v>
      </c>
      <c r="D408" s="673" t="s">
        <v>376</v>
      </c>
      <c r="E408" s="674" t="str">
        <f>Commodities!$D$19</f>
        <v>RESELC</v>
      </c>
      <c r="F408" s="674" t="str">
        <f>Commodities!$D$12</f>
        <v>RLT</v>
      </c>
      <c r="G408" s="697" t="str">
        <f t="shared" si="12"/>
        <v>2025</v>
      </c>
      <c r="H408" s="701">
        <f>'RTEKTY Conv'!K248</f>
        <v>68.493150684931507</v>
      </c>
      <c r="I408" s="698">
        <f>'RTEKTY Conv'!I248</f>
        <v>6.4077674363458517</v>
      </c>
      <c r="J408" s="698">
        <f>'RTEKTY Conv'!G248</f>
        <v>5.7079986906412357</v>
      </c>
      <c r="K408" s="674">
        <v>1</v>
      </c>
      <c r="L408" s="674">
        <v>1</v>
      </c>
      <c r="M408" s="674">
        <v>1</v>
      </c>
      <c r="N408" s="674">
        <v>1</v>
      </c>
      <c r="O408" s="674">
        <v>1</v>
      </c>
      <c r="P408" s="674">
        <v>1</v>
      </c>
      <c r="Q408" s="674"/>
      <c r="R408" s="674">
        <v>0.45</v>
      </c>
      <c r="S408" s="696"/>
      <c r="T408" s="696"/>
      <c r="U408" s="696"/>
      <c r="V408" s="696"/>
      <c r="W408" s="696"/>
      <c r="X408" s="696"/>
      <c r="Y408" s="696"/>
      <c r="Z408" s="696"/>
      <c r="AA408" s="696"/>
      <c r="AB408" s="696"/>
      <c r="AC408" s="696"/>
      <c r="AD408" s="696"/>
      <c r="AE408" s="696"/>
      <c r="AF408" s="696"/>
      <c r="AG408" s="696"/>
      <c r="AH408" s="696">
        <v>0</v>
      </c>
      <c r="AI408" s="696"/>
      <c r="AJ408" s="696"/>
      <c r="AK408" s="696"/>
      <c r="AL408" s="696">
        <v>0</v>
      </c>
      <c r="AM408" s="696">
        <v>0</v>
      </c>
      <c r="AN408" s="696">
        <v>0</v>
      </c>
      <c r="AO408" s="696">
        <v>0</v>
      </c>
      <c r="AP408" s="696">
        <v>0</v>
      </c>
      <c r="AQ408" s="696">
        <v>0</v>
      </c>
      <c r="AT408" s="696"/>
      <c r="AU408" s="674"/>
      <c r="AV408" s="674"/>
      <c r="AW408" s="674"/>
      <c r="AX408" s="674"/>
      <c r="AY408" s="674"/>
      <c r="AZ408" s="674"/>
      <c r="BA408" s="674"/>
      <c r="BB408" s="674"/>
    </row>
    <row r="409" spans="1:54">
      <c r="A409" s="674" t="s">
        <v>390</v>
      </c>
      <c r="B409" s="674" t="s">
        <v>1468</v>
      </c>
      <c r="C409" s="674" t="s">
        <v>1474</v>
      </c>
      <c r="D409" s="673" t="s">
        <v>376</v>
      </c>
      <c r="E409" s="674" t="str">
        <f>Commodities!$D$19</f>
        <v>RESELC</v>
      </c>
      <c r="F409" s="674" t="str">
        <f>Commodities!$D$12</f>
        <v>RLT</v>
      </c>
      <c r="G409" s="697" t="str">
        <f t="shared" si="12"/>
        <v>2030</v>
      </c>
      <c r="H409" s="701">
        <f>'RTEKTY Conv'!K249</f>
        <v>68.493150684931507</v>
      </c>
      <c r="I409" s="698">
        <f>'RTEKTY Conv'!I249</f>
        <v>5.3352616810425744</v>
      </c>
      <c r="J409" s="698">
        <f>'RTEKTY Conv'!G249</f>
        <v>6.4056429750529427</v>
      </c>
      <c r="K409" s="674">
        <v>1</v>
      </c>
      <c r="L409" s="674">
        <v>1</v>
      </c>
      <c r="M409" s="674">
        <v>1</v>
      </c>
      <c r="N409" s="674">
        <v>1</v>
      </c>
      <c r="O409" s="674">
        <v>1</v>
      </c>
      <c r="P409" s="674">
        <v>1</v>
      </c>
      <c r="Q409" s="674"/>
      <c r="R409" s="674">
        <v>0.45</v>
      </c>
      <c r="S409" s="696"/>
      <c r="T409" s="696"/>
      <c r="U409" s="696"/>
      <c r="V409" s="696"/>
      <c r="W409" s="696"/>
      <c r="X409" s="696"/>
      <c r="Y409" s="696"/>
      <c r="Z409" s="696"/>
      <c r="AA409" s="696"/>
      <c r="AB409" s="696"/>
      <c r="AC409" s="696"/>
      <c r="AD409" s="696"/>
      <c r="AE409" s="696"/>
      <c r="AF409" s="696"/>
      <c r="AG409" s="696"/>
      <c r="AH409" s="696">
        <v>0</v>
      </c>
      <c r="AI409" s="696"/>
      <c r="AJ409" s="696"/>
      <c r="AK409" s="696"/>
      <c r="AL409" s="696"/>
      <c r="AM409" s="696"/>
      <c r="AN409" s="696"/>
      <c r="AO409" s="696"/>
      <c r="AP409" s="696"/>
      <c r="AQ409" s="696"/>
      <c r="AT409" s="696"/>
      <c r="AU409" s="674"/>
      <c r="AV409" s="674"/>
      <c r="AW409" s="674"/>
      <c r="AX409" s="674"/>
      <c r="AY409" s="674"/>
      <c r="AZ409" s="674"/>
      <c r="BA409" s="674"/>
      <c r="BB409" s="674"/>
    </row>
    <row r="410" spans="1:54" ht="15.75" customHeight="1">
      <c r="A410" s="684" t="s">
        <v>1093</v>
      </c>
      <c r="B410" s="682"/>
      <c r="C410" s="682"/>
      <c r="D410" s="682"/>
      <c r="E410" s="684"/>
      <c r="F410" s="684"/>
      <c r="G410" s="704"/>
      <c r="H410" s="705"/>
      <c r="I410" s="705"/>
      <c r="J410" s="706"/>
      <c r="K410" s="705"/>
      <c r="L410" s="705"/>
      <c r="M410" s="705" t="s">
        <v>729</v>
      </c>
      <c r="N410" s="705" t="s">
        <v>729</v>
      </c>
      <c r="O410" s="705" t="s">
        <v>729</v>
      </c>
      <c r="P410" s="705" t="s">
        <v>729</v>
      </c>
      <c r="Q410" s="705"/>
      <c r="R410" s="706"/>
      <c r="S410" s="707"/>
      <c r="T410" s="707"/>
      <c r="U410" s="707"/>
      <c r="V410" s="707"/>
      <c r="W410" s="707"/>
      <c r="X410" s="707"/>
      <c r="Y410" s="707"/>
      <c r="Z410" s="707"/>
      <c r="AA410" s="707"/>
      <c r="AB410" s="707"/>
      <c r="AC410" s="707"/>
      <c r="AD410" s="707"/>
      <c r="AE410" s="707"/>
      <c r="AF410" s="707"/>
      <c r="AG410" s="707"/>
      <c r="AH410" s="707"/>
      <c r="AI410" s="707"/>
      <c r="AJ410" s="707"/>
      <c r="AK410" s="707"/>
      <c r="AL410" s="707"/>
      <c r="AM410" s="707"/>
      <c r="AN410" s="707"/>
      <c r="AO410" s="707"/>
      <c r="AP410" s="707"/>
      <c r="AQ410" s="708"/>
      <c r="AT410" s="708"/>
      <c r="AU410" s="682"/>
      <c r="AV410" s="682"/>
      <c r="AW410" s="682"/>
      <c r="AX410" s="682"/>
      <c r="AY410" s="682"/>
      <c r="AZ410" s="682"/>
      <c r="BA410" s="682"/>
      <c r="BB410" s="682"/>
    </row>
    <row r="411" spans="1:54">
      <c r="A411" s="674" t="s">
        <v>1528</v>
      </c>
      <c r="B411" s="674" t="s">
        <v>1090</v>
      </c>
      <c r="C411" s="674" t="s">
        <v>1087</v>
      </c>
      <c r="D411" s="673" t="s">
        <v>348</v>
      </c>
      <c r="E411" s="674" t="str">
        <f>Commodities!$D$19</f>
        <v>RESELC</v>
      </c>
      <c r="F411" s="674" t="s">
        <v>377</v>
      </c>
      <c r="G411" s="697">
        <v>2010</v>
      </c>
      <c r="H411" s="674">
        <v>45</v>
      </c>
      <c r="I411" s="698"/>
      <c r="J411" s="674">
        <v>1</v>
      </c>
      <c r="K411" s="674">
        <v>1</v>
      </c>
      <c r="L411" s="674">
        <v>1</v>
      </c>
      <c r="M411" s="674">
        <v>1</v>
      </c>
      <c r="N411" s="674">
        <v>1</v>
      </c>
      <c r="O411" s="674">
        <v>1</v>
      </c>
      <c r="P411" s="674">
        <v>1</v>
      </c>
      <c r="Q411" s="674"/>
      <c r="R411" s="674">
        <v>0.18</v>
      </c>
      <c r="S411" s="699">
        <f>Resid!V123</f>
        <v>9.6248377466974055</v>
      </c>
      <c r="T411" s="699">
        <f>Resid!W123</f>
        <v>4.8441160833300101</v>
      </c>
      <c r="U411" s="699">
        <f>Resid!X123</f>
        <v>6.7282357346674937</v>
      </c>
      <c r="V411" s="699">
        <f>Resid!Y123</f>
        <v>2.4575994045761966</v>
      </c>
      <c r="W411" s="699">
        <f>Resid!Z123</f>
        <v>4.9241949405521845</v>
      </c>
      <c r="X411" s="699"/>
      <c r="Y411" s="699"/>
      <c r="Z411" s="699"/>
      <c r="AA411" s="699"/>
      <c r="AB411" s="699"/>
      <c r="AC411" s="699"/>
      <c r="AD411" s="699"/>
      <c r="AE411" s="699"/>
      <c r="AF411" s="699"/>
      <c r="AG411" s="699"/>
      <c r="AH411" s="696"/>
      <c r="AI411" s="696"/>
      <c r="AJ411" s="696"/>
      <c r="AK411" s="696"/>
      <c r="AL411" s="696"/>
      <c r="AM411" s="696"/>
      <c r="AN411" s="696"/>
      <c r="AO411" s="696"/>
      <c r="AP411" s="696"/>
      <c r="AQ411" s="696"/>
      <c r="AT411" s="696"/>
      <c r="AU411" s="674"/>
      <c r="AV411" s="674"/>
      <c r="AW411" s="674"/>
      <c r="AX411" s="674"/>
      <c r="AY411" s="674"/>
      <c r="AZ411" s="674"/>
      <c r="BA411" s="674"/>
      <c r="BB411" s="674"/>
    </row>
    <row r="412" spans="1:54">
      <c r="A412" s="674" t="s">
        <v>1528</v>
      </c>
      <c r="B412" s="674" t="s">
        <v>1091</v>
      </c>
      <c r="C412" s="674" t="s">
        <v>1088</v>
      </c>
      <c r="D412" s="673" t="s">
        <v>348</v>
      </c>
      <c r="E412" s="674" t="str">
        <f>Commodities!$D$20</f>
        <v>RESNGAEA</v>
      </c>
      <c r="F412" s="674" t="s">
        <v>379</v>
      </c>
      <c r="G412" s="697">
        <v>2010</v>
      </c>
      <c r="H412" s="674">
        <v>45</v>
      </c>
      <c r="I412" s="698"/>
      <c r="J412" s="674">
        <v>1</v>
      </c>
      <c r="K412" s="674">
        <v>1</v>
      </c>
      <c r="L412" s="674">
        <v>1</v>
      </c>
      <c r="M412" s="674">
        <v>1</v>
      </c>
      <c r="N412" s="674">
        <v>1</v>
      </c>
      <c r="O412" s="674">
        <v>1</v>
      </c>
      <c r="P412" s="674">
        <v>1</v>
      </c>
      <c r="Q412" s="674"/>
      <c r="R412" s="674">
        <v>0.18</v>
      </c>
      <c r="S412" s="699">
        <f>Resid!V124</f>
        <v>0.65454182801082939</v>
      </c>
      <c r="T412" s="699">
        <f>Resid!W124</f>
        <v>0.49073984106104068</v>
      </c>
      <c r="U412" s="699">
        <f>Resid!X124</f>
        <v>0.99731969089646599</v>
      </c>
      <c r="V412" s="699">
        <f>Resid!Y124</f>
        <v>6.5798580988431207E-2</v>
      </c>
      <c r="W412" s="699">
        <f>Resid!Z124</f>
        <v>0.13283714841908131</v>
      </c>
      <c r="X412" s="699"/>
      <c r="Y412" s="699"/>
      <c r="Z412" s="699"/>
      <c r="AA412" s="699"/>
      <c r="AB412" s="699"/>
      <c r="AC412" s="699"/>
      <c r="AD412" s="699"/>
      <c r="AE412" s="699"/>
      <c r="AF412" s="699"/>
      <c r="AG412" s="699"/>
      <c r="AH412" s="696"/>
      <c r="AI412" s="696"/>
      <c r="AJ412" s="696"/>
      <c r="AK412" s="696"/>
      <c r="AL412" s="696"/>
      <c r="AM412" s="696"/>
      <c r="AN412" s="696"/>
      <c r="AO412" s="696"/>
      <c r="AP412" s="696"/>
      <c r="AQ412" s="696"/>
      <c r="AT412" s="696"/>
      <c r="AU412" s="674"/>
      <c r="AV412" s="674"/>
      <c r="AW412" s="674"/>
      <c r="AX412" s="674"/>
      <c r="AY412" s="674"/>
      <c r="AZ412" s="674"/>
      <c r="BA412" s="674"/>
      <c r="BB412" s="674"/>
    </row>
    <row r="413" spans="1:54">
      <c r="A413" s="674" t="s">
        <v>390</v>
      </c>
      <c r="B413" s="674" t="s">
        <v>1092</v>
      </c>
      <c r="C413" s="674" t="s">
        <v>1089</v>
      </c>
      <c r="D413" s="673" t="s">
        <v>348</v>
      </c>
      <c r="E413" s="674" t="s">
        <v>358</v>
      </c>
      <c r="F413" s="674" t="s">
        <v>1085</v>
      </c>
      <c r="G413" s="697">
        <v>2010</v>
      </c>
      <c r="H413" s="674">
        <v>45</v>
      </c>
      <c r="I413" s="698"/>
      <c r="J413" s="674">
        <v>1</v>
      </c>
      <c r="K413" s="674">
        <v>1</v>
      </c>
      <c r="L413" s="674">
        <v>1</v>
      </c>
      <c r="M413" s="674">
        <v>1</v>
      </c>
      <c r="N413" s="674">
        <v>1</v>
      </c>
      <c r="O413" s="674">
        <v>1</v>
      </c>
      <c r="P413" s="674">
        <v>1</v>
      </c>
      <c r="Q413" s="674"/>
      <c r="R413" s="674">
        <v>0.18</v>
      </c>
      <c r="S413" s="696"/>
      <c r="T413" s="696"/>
      <c r="U413" s="696"/>
      <c r="V413" s="696"/>
      <c r="W413" s="696"/>
      <c r="X413" s="696"/>
      <c r="Y413" s="696"/>
      <c r="Z413" s="696"/>
      <c r="AA413" s="696"/>
      <c r="AB413" s="696"/>
      <c r="AC413" s="696"/>
      <c r="AD413" s="696"/>
      <c r="AE413" s="696"/>
      <c r="AF413" s="696"/>
      <c r="AG413" s="696"/>
      <c r="AH413" s="696"/>
      <c r="AI413" s="696"/>
      <c r="AJ413" s="696"/>
      <c r="AK413" s="696"/>
      <c r="AL413" s="696"/>
      <c r="AM413" s="696"/>
      <c r="AN413" s="696"/>
      <c r="AO413" s="696"/>
      <c r="AP413" s="696"/>
      <c r="AQ413" s="696"/>
      <c r="AT413" s="696"/>
      <c r="AU413" s="674"/>
      <c r="AV413" s="674"/>
      <c r="AW413" s="674"/>
      <c r="AX413" s="674"/>
      <c r="AY413" s="674"/>
      <c r="AZ413" s="674"/>
      <c r="BA413" s="674"/>
      <c r="BB413" s="674"/>
    </row>
    <row r="414" spans="1:54" ht="15.75" customHeight="1">
      <c r="A414" s="684" t="s">
        <v>2340</v>
      </c>
      <c r="B414" s="682"/>
      <c r="C414" s="682"/>
      <c r="D414" s="682"/>
      <c r="E414" s="684"/>
      <c r="F414" s="684"/>
      <c r="G414" s="704"/>
      <c r="H414" s="705"/>
      <c r="I414" s="705"/>
      <c r="J414" s="706"/>
      <c r="K414" s="705"/>
      <c r="L414" s="705"/>
      <c r="M414" s="705"/>
      <c r="N414" s="705"/>
      <c r="O414" s="705"/>
      <c r="P414" s="705"/>
      <c r="Q414" s="705"/>
      <c r="R414" s="706"/>
      <c r="S414" s="707"/>
      <c r="T414" s="707"/>
      <c r="U414" s="707"/>
      <c r="V414" s="707"/>
      <c r="W414" s="707"/>
      <c r="X414" s="707"/>
      <c r="Y414" s="707"/>
      <c r="Z414" s="707"/>
      <c r="AA414" s="707"/>
      <c r="AB414" s="707"/>
      <c r="AC414" s="707"/>
      <c r="AD414" s="707"/>
      <c r="AE414" s="707"/>
      <c r="AF414" s="707"/>
      <c r="AG414" s="707"/>
      <c r="AH414" s="707"/>
      <c r="AI414" s="707"/>
      <c r="AJ414" s="707"/>
      <c r="AK414" s="707"/>
      <c r="AL414" s="707"/>
      <c r="AM414" s="707"/>
      <c r="AN414" s="707"/>
      <c r="AO414" s="707"/>
      <c r="AP414" s="707"/>
      <c r="AQ414" s="708"/>
      <c r="AT414" s="708"/>
      <c r="AU414" s="682"/>
      <c r="AV414" s="682"/>
      <c r="AW414" s="682"/>
      <c r="AX414" s="682"/>
      <c r="AY414" s="682"/>
      <c r="AZ414" s="682"/>
      <c r="BA414" s="682"/>
      <c r="BB414" s="682"/>
    </row>
    <row r="415" spans="1:54">
      <c r="A415" s="674" t="s">
        <v>390</v>
      </c>
      <c r="B415" s="674"/>
      <c r="C415" s="674"/>
      <c r="D415" s="674"/>
      <c r="E415" s="674"/>
      <c r="F415" s="674"/>
      <c r="G415" s="697"/>
      <c r="H415" s="674"/>
      <c r="I415" s="674"/>
      <c r="J415" s="674"/>
      <c r="K415" s="674"/>
      <c r="L415" s="674"/>
      <c r="M415" s="674"/>
      <c r="N415" s="674"/>
      <c r="O415" s="674"/>
      <c r="P415" s="674"/>
      <c r="Q415" s="674"/>
      <c r="R415" s="674"/>
      <c r="S415" s="696"/>
      <c r="T415" s="696"/>
      <c r="U415" s="696"/>
      <c r="V415" s="696"/>
      <c r="W415" s="696"/>
      <c r="X415" s="696"/>
      <c r="Y415" s="696"/>
      <c r="Z415" s="696"/>
      <c r="AA415" s="696"/>
      <c r="AB415" s="696"/>
      <c r="AC415" s="696"/>
      <c r="AD415" s="696"/>
      <c r="AE415" s="696"/>
      <c r="AF415" s="696"/>
      <c r="AG415" s="696"/>
      <c r="AH415" s="696"/>
      <c r="AI415" s="696"/>
      <c r="AJ415" s="696"/>
      <c r="AK415" s="696"/>
      <c r="AL415" s="696"/>
      <c r="AM415" s="696"/>
      <c r="AN415" s="696"/>
      <c r="AO415" s="696"/>
      <c r="AP415" s="696"/>
      <c r="AQ415" s="696"/>
      <c r="AT415" s="696"/>
      <c r="AU415" s="674"/>
      <c r="AV415" s="674"/>
      <c r="AW415" s="674"/>
      <c r="AX415" s="674"/>
      <c r="AY415" s="674"/>
      <c r="AZ415" s="674"/>
      <c r="BA415" s="674"/>
      <c r="BB415" s="674"/>
    </row>
    <row r="416" spans="1:54">
      <c r="A416" s="674" t="s">
        <v>1528</v>
      </c>
      <c r="B416" s="674" t="s">
        <v>2229</v>
      </c>
      <c r="C416" s="674" t="s">
        <v>1998</v>
      </c>
      <c r="D416" s="673" t="s">
        <v>2338</v>
      </c>
      <c r="E416" s="674" t="s">
        <v>1710</v>
      </c>
      <c r="F416" s="674" t="s">
        <v>1712</v>
      </c>
      <c r="G416" s="697">
        <v>2010</v>
      </c>
      <c r="H416" s="674">
        <v>55</v>
      </c>
      <c r="I416" s="674">
        <v>0</v>
      </c>
      <c r="J416" s="674">
        <v>1</v>
      </c>
      <c r="K416" s="674"/>
      <c r="L416" s="674">
        <v>1</v>
      </c>
      <c r="M416" s="674">
        <v>1</v>
      </c>
      <c r="N416" s="674">
        <v>1</v>
      </c>
      <c r="O416" s="674">
        <v>1</v>
      </c>
      <c r="P416" s="674">
        <v>1</v>
      </c>
      <c r="Q416" s="674">
        <v>0</v>
      </c>
      <c r="R416" s="674">
        <v>0.01</v>
      </c>
      <c r="S416" s="696"/>
      <c r="T416" s="696"/>
      <c r="U416" s="696"/>
      <c r="V416" s="696"/>
      <c r="W416" s="696"/>
      <c r="X416" s="696"/>
      <c r="Y416" s="696"/>
      <c r="Z416" s="696"/>
      <c r="AA416" s="696"/>
      <c r="AB416" s="696"/>
      <c r="AC416" s="696"/>
      <c r="AD416" s="696"/>
      <c r="AE416" s="696"/>
      <c r="AF416" s="696"/>
      <c r="AG416" s="696"/>
      <c r="AH416" s="696"/>
      <c r="AI416" s="696"/>
      <c r="AJ416" s="696"/>
      <c r="AK416" s="696"/>
      <c r="AL416" s="696"/>
      <c r="AM416" s="696"/>
      <c r="AN416" s="696"/>
      <c r="AO416" s="696"/>
      <c r="AP416" s="696"/>
      <c r="AQ416" s="696"/>
      <c r="AT416" s="696"/>
      <c r="AU416" s="674"/>
      <c r="AV416" s="674"/>
      <c r="AW416" s="674"/>
      <c r="AX416" s="674"/>
      <c r="AY416" s="674"/>
      <c r="AZ416" s="674"/>
      <c r="BA416" s="674"/>
      <c r="BB416" s="674"/>
    </row>
    <row r="417" spans="1:54">
      <c r="A417" s="674" t="s">
        <v>390</v>
      </c>
      <c r="B417" s="674" t="s">
        <v>2228</v>
      </c>
      <c r="C417" s="674" t="s">
        <v>1996</v>
      </c>
      <c r="D417" s="673" t="s">
        <v>2338</v>
      </c>
      <c r="E417" s="674" t="s">
        <v>1709</v>
      </c>
      <c r="F417" s="674" t="s">
        <v>1712</v>
      </c>
      <c r="G417" s="697">
        <v>2010</v>
      </c>
      <c r="H417" s="674">
        <v>55</v>
      </c>
      <c r="I417" s="674">
        <v>0</v>
      </c>
      <c r="J417" s="674">
        <v>1</v>
      </c>
      <c r="K417" s="674"/>
      <c r="L417" s="674">
        <v>1</v>
      </c>
      <c r="M417" s="674">
        <v>1</v>
      </c>
      <c r="N417" s="674">
        <v>1</v>
      </c>
      <c r="O417" s="674">
        <v>1</v>
      </c>
      <c r="P417" s="674">
        <v>1</v>
      </c>
      <c r="Q417" s="674">
        <v>0</v>
      </c>
      <c r="R417" s="674">
        <v>0.01</v>
      </c>
      <c r="S417" s="696"/>
      <c r="T417" s="696"/>
      <c r="U417" s="696"/>
      <c r="V417" s="696"/>
      <c r="W417" s="696"/>
      <c r="X417" s="696"/>
      <c r="Y417" s="696"/>
      <c r="Z417" s="696"/>
      <c r="AA417" s="696"/>
      <c r="AB417" s="696"/>
      <c r="AC417" s="696"/>
      <c r="AD417" s="696"/>
      <c r="AE417" s="696"/>
      <c r="AF417" s="696"/>
      <c r="AG417" s="696"/>
      <c r="AH417" s="696"/>
      <c r="AI417" s="696"/>
      <c r="AJ417" s="696"/>
      <c r="AK417" s="696"/>
      <c r="AL417" s="696"/>
      <c r="AM417" s="696"/>
      <c r="AN417" s="696"/>
      <c r="AO417" s="696"/>
      <c r="AP417" s="696"/>
      <c r="AQ417" s="696"/>
      <c r="AT417" s="696"/>
      <c r="AU417" s="674"/>
      <c r="AV417" s="674"/>
      <c r="AW417" s="674"/>
      <c r="AX417" s="674"/>
      <c r="AY417" s="674"/>
      <c r="AZ417" s="674"/>
      <c r="BA417" s="674"/>
      <c r="BB417" s="674"/>
    </row>
    <row r="418" spans="1:54">
      <c r="A418" s="674" t="s">
        <v>1528</v>
      </c>
      <c r="B418" s="674" t="s">
        <v>2227</v>
      </c>
      <c r="C418" s="674" t="s">
        <v>1994</v>
      </c>
      <c r="D418" s="673" t="s">
        <v>2338</v>
      </c>
      <c r="E418" s="674" t="s">
        <v>1708</v>
      </c>
      <c r="F418" s="674" t="s">
        <v>1712</v>
      </c>
      <c r="G418" s="697">
        <v>2010</v>
      </c>
      <c r="H418" s="674">
        <v>55</v>
      </c>
      <c r="I418" s="674">
        <v>0</v>
      </c>
      <c r="J418" s="674">
        <v>1</v>
      </c>
      <c r="K418" s="674"/>
      <c r="L418" s="674">
        <v>1</v>
      </c>
      <c r="M418" s="674">
        <v>1</v>
      </c>
      <c r="N418" s="674">
        <v>1</v>
      </c>
      <c r="O418" s="674">
        <v>1</v>
      </c>
      <c r="P418" s="674">
        <v>1</v>
      </c>
      <c r="Q418" s="674">
        <v>0</v>
      </c>
      <c r="R418" s="674">
        <v>0.01</v>
      </c>
      <c r="S418" s="696"/>
      <c r="T418" s="696"/>
      <c r="U418" s="696"/>
      <c r="V418" s="696"/>
      <c r="W418" s="696"/>
      <c r="X418" s="696"/>
      <c r="Y418" s="696"/>
      <c r="Z418" s="696"/>
      <c r="AA418" s="696"/>
      <c r="AB418" s="696"/>
      <c r="AC418" s="696"/>
      <c r="AD418" s="696"/>
      <c r="AE418" s="696"/>
      <c r="AF418" s="696"/>
      <c r="AG418" s="696"/>
      <c r="AH418" s="696"/>
      <c r="AI418" s="696"/>
      <c r="AJ418" s="696"/>
      <c r="AK418" s="696"/>
      <c r="AL418" s="696"/>
      <c r="AM418" s="696"/>
      <c r="AN418" s="696"/>
      <c r="AO418" s="696"/>
      <c r="AP418" s="696"/>
      <c r="AQ418" s="696"/>
      <c r="AT418" s="696"/>
      <c r="AU418" s="674"/>
      <c r="AV418" s="674"/>
      <c r="AW418" s="674"/>
      <c r="AX418" s="674"/>
      <c r="AY418" s="674"/>
      <c r="AZ418" s="674"/>
      <c r="BA418" s="674"/>
      <c r="BB418" s="674"/>
    </row>
    <row r="419" spans="1:54">
      <c r="A419" s="674" t="s">
        <v>390</v>
      </c>
      <c r="B419" s="674"/>
      <c r="C419" s="674"/>
      <c r="D419" s="673"/>
      <c r="E419" s="674"/>
      <c r="F419" s="674"/>
      <c r="G419" s="697"/>
      <c r="H419" s="674"/>
      <c r="I419" s="674"/>
      <c r="J419" s="674"/>
      <c r="K419" s="674"/>
      <c r="L419" s="674"/>
      <c r="M419" s="674"/>
      <c r="N419" s="674"/>
      <c r="O419" s="674"/>
      <c r="P419" s="674"/>
      <c r="Q419" s="674"/>
      <c r="R419" s="674"/>
      <c r="S419" s="696"/>
      <c r="T419" s="696"/>
      <c r="U419" s="696"/>
      <c r="V419" s="696"/>
      <c r="W419" s="696"/>
      <c r="X419" s="696"/>
      <c r="Y419" s="696"/>
      <c r="Z419" s="696"/>
      <c r="AA419" s="696"/>
      <c r="AB419" s="696"/>
      <c r="AC419" s="696"/>
      <c r="AD419" s="696"/>
      <c r="AE419" s="696"/>
      <c r="AF419" s="696"/>
      <c r="AG419" s="696"/>
      <c r="AH419" s="696"/>
      <c r="AI419" s="696"/>
      <c r="AJ419" s="696"/>
      <c r="AK419" s="696"/>
      <c r="AL419" s="696"/>
      <c r="AM419" s="696"/>
      <c r="AN419" s="696"/>
      <c r="AO419" s="696"/>
      <c r="AP419" s="696"/>
      <c r="AQ419" s="696"/>
      <c r="AT419" s="696"/>
      <c r="AU419" s="674"/>
      <c r="AV419" s="674"/>
      <c r="AW419" s="674"/>
      <c r="AX419" s="674"/>
      <c r="AY419" s="674"/>
      <c r="AZ419" s="674"/>
      <c r="BA419" s="674"/>
      <c r="BB419" s="674"/>
    </row>
    <row r="420" spans="1:54">
      <c r="A420" s="674" t="s">
        <v>1528</v>
      </c>
      <c r="B420" s="674" t="s">
        <v>2223</v>
      </c>
      <c r="C420" s="674" t="s">
        <v>1986</v>
      </c>
      <c r="D420" s="673" t="s">
        <v>2338</v>
      </c>
      <c r="E420" s="674" t="s">
        <v>1704</v>
      </c>
      <c r="F420" s="674" t="s">
        <v>1664</v>
      </c>
      <c r="G420" s="697">
        <v>2010</v>
      </c>
      <c r="H420" s="674">
        <v>55</v>
      </c>
      <c r="I420" s="674">
        <v>0</v>
      </c>
      <c r="J420" s="674">
        <v>1</v>
      </c>
      <c r="K420" s="674"/>
      <c r="L420" s="674">
        <v>1</v>
      </c>
      <c r="M420" s="674">
        <v>1</v>
      </c>
      <c r="N420" s="674">
        <v>1</v>
      </c>
      <c r="O420" s="674">
        <v>1</v>
      </c>
      <c r="P420" s="674">
        <v>1</v>
      </c>
      <c r="Q420" s="674">
        <v>0.1</v>
      </c>
      <c r="R420" s="674">
        <v>0.01</v>
      </c>
      <c r="S420" s="696"/>
      <c r="T420" s="696"/>
      <c r="U420" s="696"/>
      <c r="V420" s="696"/>
      <c r="W420" s="696"/>
      <c r="X420" s="696"/>
      <c r="Y420" s="696"/>
      <c r="Z420" s="696"/>
      <c r="AA420" s="696"/>
      <c r="AB420" s="696"/>
      <c r="AC420" s="696"/>
      <c r="AD420" s="696"/>
      <c r="AE420" s="696"/>
      <c r="AF420" s="696"/>
      <c r="AG420" s="696"/>
      <c r="AH420" s="696"/>
      <c r="AI420" s="696"/>
      <c r="AJ420" s="696"/>
      <c r="AK420" s="696"/>
      <c r="AL420" s="696"/>
      <c r="AM420" s="696"/>
      <c r="AN420" s="696"/>
      <c r="AO420" s="696"/>
      <c r="AP420" s="696"/>
      <c r="AQ420" s="696"/>
      <c r="AT420" s="696"/>
      <c r="AU420" s="674"/>
      <c r="AV420" s="674"/>
      <c r="AW420" s="674"/>
      <c r="AX420" s="674"/>
      <c r="AY420" s="674"/>
      <c r="AZ420" s="674"/>
      <c r="BA420" s="674"/>
      <c r="BB420" s="674"/>
    </row>
    <row r="421" spans="1:54">
      <c r="A421" s="674" t="s">
        <v>1528</v>
      </c>
      <c r="B421" s="674" t="s">
        <v>2224</v>
      </c>
      <c r="C421" s="674" t="s">
        <v>1988</v>
      </c>
      <c r="D421" s="673" t="s">
        <v>2338</v>
      </c>
      <c r="E421" s="674" t="s">
        <v>1705</v>
      </c>
      <c r="F421" s="674" t="s">
        <v>1664</v>
      </c>
      <c r="G421" s="697">
        <v>2010</v>
      </c>
      <c r="H421" s="674">
        <v>55</v>
      </c>
      <c r="I421" s="674">
        <v>0</v>
      </c>
      <c r="J421" s="674">
        <v>1</v>
      </c>
      <c r="K421" s="674"/>
      <c r="L421" s="674">
        <v>1</v>
      </c>
      <c r="M421" s="674">
        <v>1</v>
      </c>
      <c r="N421" s="674">
        <v>1</v>
      </c>
      <c r="O421" s="674">
        <v>1</v>
      </c>
      <c r="P421" s="674">
        <v>1</v>
      </c>
      <c r="Q421" s="674">
        <v>0.1</v>
      </c>
      <c r="R421" s="674">
        <v>0.01</v>
      </c>
      <c r="S421" s="696"/>
      <c r="T421" s="696"/>
      <c r="U421" s="696"/>
      <c r="V421" s="696"/>
      <c r="W421" s="696"/>
      <c r="X421" s="696"/>
      <c r="Y421" s="696"/>
      <c r="Z421" s="696"/>
      <c r="AA421" s="696"/>
      <c r="AB421" s="696"/>
      <c r="AC421" s="696"/>
      <c r="AD421" s="696"/>
      <c r="AE421" s="696"/>
      <c r="AF421" s="696"/>
      <c r="AG421" s="696"/>
      <c r="AH421" s="696"/>
      <c r="AI421" s="696"/>
      <c r="AJ421" s="696"/>
      <c r="AK421" s="696"/>
      <c r="AL421" s="696"/>
      <c r="AM421" s="696"/>
      <c r="AN421" s="696"/>
      <c r="AO421" s="696"/>
      <c r="AP421" s="696"/>
      <c r="AQ421" s="696"/>
      <c r="AT421" s="696"/>
      <c r="AU421" s="674"/>
      <c r="AV421" s="674"/>
      <c r="AW421" s="674"/>
      <c r="AX421" s="674"/>
      <c r="AY421" s="674"/>
      <c r="AZ421" s="674"/>
      <c r="BA421" s="674"/>
      <c r="BB421" s="674"/>
    </row>
    <row r="422" spans="1:54">
      <c r="A422" s="674" t="s">
        <v>1528</v>
      </c>
      <c r="B422" s="674" t="s">
        <v>2225</v>
      </c>
      <c r="C422" s="674" t="s">
        <v>1990</v>
      </c>
      <c r="D422" s="673" t="s">
        <v>2338</v>
      </c>
      <c r="E422" s="674" t="s">
        <v>1706</v>
      </c>
      <c r="F422" s="674" t="s">
        <v>1664</v>
      </c>
      <c r="G422" s="697">
        <v>2010</v>
      </c>
      <c r="H422" s="674">
        <v>55</v>
      </c>
      <c r="I422" s="674">
        <v>0</v>
      </c>
      <c r="J422" s="674">
        <v>1</v>
      </c>
      <c r="K422" s="674"/>
      <c r="L422" s="674">
        <v>1</v>
      </c>
      <c r="M422" s="674">
        <v>1</v>
      </c>
      <c r="N422" s="674">
        <v>1</v>
      </c>
      <c r="O422" s="674">
        <v>1</v>
      </c>
      <c r="P422" s="674">
        <v>1</v>
      </c>
      <c r="Q422" s="674">
        <v>0.15</v>
      </c>
      <c r="R422" s="674">
        <v>0.01</v>
      </c>
      <c r="S422" s="696"/>
      <c r="T422" s="696"/>
      <c r="U422" s="696"/>
      <c r="V422" s="696"/>
      <c r="W422" s="696"/>
      <c r="X422" s="696"/>
      <c r="Y422" s="696"/>
      <c r="Z422" s="696"/>
      <c r="AA422" s="696"/>
      <c r="AB422" s="696"/>
      <c r="AC422" s="696"/>
      <c r="AD422" s="696"/>
      <c r="AE422" s="696"/>
      <c r="AF422" s="696"/>
      <c r="AG422" s="696"/>
      <c r="AH422" s="696"/>
      <c r="AI422" s="696"/>
      <c r="AJ422" s="696"/>
      <c r="AK422" s="696"/>
      <c r="AL422" s="696"/>
      <c r="AM422" s="696"/>
      <c r="AN422" s="696"/>
      <c r="AO422" s="696"/>
      <c r="AP422" s="696"/>
      <c r="AQ422" s="696"/>
      <c r="AT422" s="696"/>
      <c r="AU422" s="674"/>
      <c r="AV422" s="674"/>
      <c r="AW422" s="674"/>
      <c r="AX422" s="674"/>
      <c r="AY422" s="674"/>
      <c r="AZ422" s="674"/>
      <c r="BA422" s="674"/>
      <c r="BB422" s="674"/>
    </row>
    <row r="423" spans="1:54">
      <c r="A423" s="674" t="s">
        <v>1528</v>
      </c>
      <c r="B423" s="674" t="s">
        <v>2226</v>
      </c>
      <c r="C423" s="674" t="s">
        <v>1992</v>
      </c>
      <c r="D423" s="673" t="s">
        <v>2338</v>
      </c>
      <c r="E423" s="674" t="s">
        <v>1707</v>
      </c>
      <c r="F423" s="674" t="s">
        <v>1664</v>
      </c>
      <c r="G423" s="697">
        <v>2010</v>
      </c>
      <c r="H423" s="674">
        <v>55</v>
      </c>
      <c r="I423" s="674">
        <v>0</v>
      </c>
      <c r="J423" s="674">
        <v>1</v>
      </c>
      <c r="K423" s="674"/>
      <c r="L423" s="674">
        <v>1</v>
      </c>
      <c r="M423" s="674">
        <v>1</v>
      </c>
      <c r="N423" s="674">
        <v>1</v>
      </c>
      <c r="O423" s="674">
        <v>1</v>
      </c>
      <c r="P423" s="674">
        <v>1</v>
      </c>
      <c r="Q423" s="674">
        <v>0.2</v>
      </c>
      <c r="R423" s="674">
        <v>0.01</v>
      </c>
      <c r="S423" s="696"/>
      <c r="T423" s="696"/>
      <c r="U423" s="696"/>
      <c r="V423" s="696"/>
      <c r="W423" s="696"/>
      <c r="X423" s="696"/>
      <c r="Y423" s="696"/>
      <c r="Z423" s="696"/>
      <c r="AA423" s="696"/>
      <c r="AB423" s="696"/>
      <c r="AC423" s="696"/>
      <c r="AD423" s="696"/>
      <c r="AE423" s="696"/>
      <c r="AF423" s="696"/>
      <c r="AG423" s="696"/>
      <c r="AH423" s="696"/>
      <c r="AI423" s="696"/>
      <c r="AJ423" s="696"/>
      <c r="AK423" s="696"/>
      <c r="AL423" s="696"/>
      <c r="AM423" s="696"/>
      <c r="AN423" s="696"/>
      <c r="AO423" s="696"/>
      <c r="AP423" s="696"/>
      <c r="AQ423" s="696"/>
      <c r="AT423" s="696"/>
      <c r="AU423" s="674"/>
      <c r="AV423" s="674"/>
      <c r="AW423" s="674"/>
      <c r="AX423" s="674"/>
      <c r="AY423" s="674"/>
      <c r="AZ423" s="674"/>
      <c r="BA423" s="674"/>
      <c r="BB423" s="674"/>
    </row>
    <row r="424" spans="1:54">
      <c r="A424" s="674" t="s">
        <v>390</v>
      </c>
      <c r="B424" s="674"/>
      <c r="C424" s="674"/>
      <c r="D424" s="674"/>
      <c r="E424" s="674"/>
      <c r="F424" s="674"/>
      <c r="G424" s="697"/>
      <c r="H424" s="674"/>
      <c r="I424" s="674"/>
      <c r="J424" s="674"/>
      <c r="K424" s="674"/>
      <c r="L424" s="674"/>
      <c r="M424" s="674"/>
      <c r="N424" s="674"/>
      <c r="O424" s="674"/>
      <c r="P424" s="674"/>
      <c r="Q424" s="674"/>
      <c r="R424" s="674"/>
      <c r="S424" s="696"/>
      <c r="T424" s="696"/>
      <c r="U424" s="696"/>
      <c r="V424" s="696"/>
      <c r="W424" s="696"/>
      <c r="X424" s="696"/>
      <c r="Y424" s="696"/>
      <c r="Z424" s="696"/>
      <c r="AA424" s="696"/>
      <c r="AB424" s="696"/>
      <c r="AC424" s="696"/>
      <c r="AD424" s="696"/>
      <c r="AE424" s="696"/>
      <c r="AF424" s="696"/>
      <c r="AG424" s="696"/>
      <c r="AH424" s="696"/>
      <c r="AI424" s="696"/>
      <c r="AJ424" s="696"/>
      <c r="AK424" s="696"/>
      <c r="AL424" s="696"/>
      <c r="AM424" s="696"/>
      <c r="AN424" s="696"/>
      <c r="AO424" s="696"/>
      <c r="AP424" s="696"/>
      <c r="AQ424" s="696"/>
      <c r="AT424" s="696"/>
      <c r="AU424" s="674"/>
      <c r="AV424" s="674"/>
      <c r="AW424" s="674"/>
      <c r="AX424" s="674"/>
      <c r="AY424" s="674"/>
      <c r="AZ424" s="674"/>
      <c r="BA424" s="674"/>
      <c r="BB424" s="674"/>
    </row>
    <row r="425" spans="1:54" ht="15.75" customHeight="1">
      <c r="A425" s="684" t="s">
        <v>2341</v>
      </c>
      <c r="B425" s="682"/>
      <c r="C425" s="682"/>
      <c r="D425" s="682"/>
      <c r="E425" s="684"/>
      <c r="F425" s="684"/>
      <c r="G425" s="704"/>
      <c r="H425" s="705"/>
      <c r="I425" s="705"/>
      <c r="J425" s="706"/>
      <c r="K425" s="705"/>
      <c r="L425" s="705"/>
      <c r="M425" s="705"/>
      <c r="N425" s="705"/>
      <c r="O425" s="705"/>
      <c r="P425" s="705"/>
      <c r="Q425" s="705"/>
      <c r="R425" s="706"/>
      <c r="S425" s="707"/>
      <c r="T425" s="707"/>
      <c r="U425" s="707"/>
      <c r="V425" s="707"/>
      <c r="W425" s="707"/>
      <c r="X425" s="707"/>
      <c r="Y425" s="707"/>
      <c r="Z425" s="707"/>
      <c r="AA425" s="707"/>
      <c r="AB425" s="707"/>
      <c r="AC425" s="707"/>
      <c r="AD425" s="707"/>
      <c r="AE425" s="707"/>
      <c r="AF425" s="707"/>
      <c r="AG425" s="707"/>
      <c r="AH425" s="707"/>
      <c r="AI425" s="707"/>
      <c r="AJ425" s="707"/>
      <c r="AK425" s="707"/>
      <c r="AL425" s="707"/>
      <c r="AM425" s="707"/>
      <c r="AN425" s="707"/>
      <c r="AO425" s="707"/>
      <c r="AP425" s="707"/>
      <c r="AQ425" s="708"/>
      <c r="AT425" s="708"/>
      <c r="AU425" s="682"/>
      <c r="AV425" s="682"/>
      <c r="AW425" s="682"/>
      <c r="AX425" s="682"/>
      <c r="AY425" s="682"/>
      <c r="AZ425" s="682"/>
      <c r="BA425" s="682"/>
      <c r="BB425" s="682"/>
    </row>
    <row r="426" spans="1:54">
      <c r="A426" s="674" t="s">
        <v>390</v>
      </c>
      <c r="B426" s="674"/>
      <c r="C426" s="674"/>
      <c r="D426" s="673"/>
      <c r="E426" s="674"/>
      <c r="F426" s="674"/>
      <c r="G426" s="697"/>
      <c r="H426" s="674"/>
      <c r="I426" s="674"/>
      <c r="J426" s="674"/>
      <c r="K426" s="674"/>
      <c r="L426" s="674"/>
      <c r="M426" s="674"/>
      <c r="N426" s="674"/>
      <c r="O426" s="674"/>
      <c r="P426" s="674"/>
      <c r="Q426" s="674"/>
      <c r="R426" s="674"/>
      <c r="S426" s="696"/>
      <c r="T426" s="696"/>
      <c r="U426" s="696"/>
      <c r="V426" s="696"/>
      <c r="W426" s="696"/>
      <c r="X426" s="696"/>
      <c r="Y426" s="696"/>
      <c r="Z426" s="696"/>
      <c r="AA426" s="696"/>
      <c r="AB426" s="696"/>
      <c r="AC426" s="696"/>
      <c r="AD426" s="696"/>
      <c r="AE426" s="696"/>
      <c r="AF426" s="696"/>
      <c r="AG426" s="696"/>
      <c r="AH426" s="696"/>
      <c r="AI426" s="696"/>
      <c r="AJ426" s="696"/>
      <c r="AK426" s="696"/>
      <c r="AL426" s="696"/>
      <c r="AM426" s="696"/>
      <c r="AN426" s="696"/>
      <c r="AO426" s="696"/>
      <c r="AP426" s="696"/>
      <c r="AQ426" s="696"/>
      <c r="AT426" s="696"/>
      <c r="AU426" s="674"/>
      <c r="AV426" s="674"/>
      <c r="AW426" s="674"/>
      <c r="AX426" s="674"/>
      <c r="AY426" s="674"/>
      <c r="AZ426" s="674"/>
      <c r="BA426" s="674"/>
      <c r="BB426" s="674"/>
    </row>
    <row r="427" spans="1:54">
      <c r="A427" s="674" t="s">
        <v>390</v>
      </c>
      <c r="B427" s="674" t="s">
        <v>2147</v>
      </c>
      <c r="C427" s="674" t="s">
        <v>2148</v>
      </c>
      <c r="D427" s="673" t="s">
        <v>348</v>
      </c>
      <c r="E427" s="674" t="s">
        <v>1758</v>
      </c>
      <c r="F427" s="674" t="s">
        <v>364</v>
      </c>
      <c r="G427" s="697">
        <v>2010</v>
      </c>
      <c r="H427" s="674">
        <v>55</v>
      </c>
      <c r="I427" s="674">
        <v>0</v>
      </c>
      <c r="J427" s="674">
        <v>1</v>
      </c>
      <c r="K427" s="674">
        <v>1</v>
      </c>
      <c r="L427" s="674">
        <v>0.1</v>
      </c>
      <c r="M427" s="674">
        <v>0.1</v>
      </c>
      <c r="N427" s="674">
        <v>0.1</v>
      </c>
      <c r="O427" s="674">
        <v>0.1</v>
      </c>
      <c r="P427" s="674">
        <v>0.1</v>
      </c>
      <c r="Q427" s="674">
        <v>0</v>
      </c>
      <c r="R427" s="674">
        <v>0.01</v>
      </c>
      <c r="S427" s="696"/>
      <c r="T427" s="696"/>
      <c r="U427" s="696"/>
      <c r="V427" s="696"/>
      <c r="W427" s="696"/>
      <c r="X427" s="696"/>
      <c r="Y427" s="696"/>
      <c r="Z427" s="696"/>
      <c r="AA427" s="696"/>
      <c r="AB427" s="696"/>
      <c r="AC427" s="696"/>
      <c r="AD427" s="696"/>
      <c r="AE427" s="696"/>
      <c r="AF427" s="696"/>
      <c r="AG427" s="696"/>
      <c r="AH427" s="696"/>
      <c r="AI427" s="696"/>
      <c r="AJ427" s="696"/>
      <c r="AK427" s="696"/>
      <c r="AL427" s="696"/>
      <c r="AM427" s="696"/>
      <c r="AN427" s="696"/>
      <c r="AO427" s="696"/>
      <c r="AP427" s="696"/>
      <c r="AQ427" s="696"/>
      <c r="AT427" s="696"/>
      <c r="AU427" s="674"/>
      <c r="AV427" s="674"/>
      <c r="AW427" s="674"/>
      <c r="AX427" s="674"/>
      <c r="AY427" s="674"/>
      <c r="AZ427" s="674"/>
      <c r="BA427" s="674"/>
      <c r="BB427" s="674"/>
    </row>
    <row r="428" spans="1:54">
      <c r="A428" s="674" t="s">
        <v>390</v>
      </c>
      <c r="B428" s="674" t="s">
        <v>2149</v>
      </c>
      <c r="C428" s="674" t="s">
        <v>2150</v>
      </c>
      <c r="D428" s="673" t="s">
        <v>348</v>
      </c>
      <c r="E428" s="674" t="s">
        <v>1760</v>
      </c>
      <c r="F428" s="674" t="s">
        <v>364</v>
      </c>
      <c r="G428" s="697">
        <v>2010</v>
      </c>
      <c r="H428" s="674">
        <v>55</v>
      </c>
      <c r="I428" s="674">
        <v>0</v>
      </c>
      <c r="J428" s="674">
        <v>1</v>
      </c>
      <c r="K428" s="674">
        <v>1</v>
      </c>
      <c r="L428" s="674">
        <v>0.1</v>
      </c>
      <c r="M428" s="674">
        <v>0.1</v>
      </c>
      <c r="N428" s="674">
        <v>0.1</v>
      </c>
      <c r="O428" s="674">
        <v>0.1</v>
      </c>
      <c r="P428" s="674">
        <v>0.1</v>
      </c>
      <c r="Q428" s="674">
        <v>0</v>
      </c>
      <c r="R428" s="674">
        <v>0.01</v>
      </c>
      <c r="S428" s="696"/>
      <c r="T428" s="696"/>
      <c r="U428" s="696"/>
      <c r="V428" s="696"/>
      <c r="W428" s="696"/>
      <c r="X428" s="696"/>
      <c r="Y428" s="696"/>
      <c r="Z428" s="696"/>
      <c r="AA428" s="696"/>
      <c r="AB428" s="696"/>
      <c r="AC428" s="696"/>
      <c r="AD428" s="696"/>
      <c r="AE428" s="696"/>
      <c r="AF428" s="696"/>
      <c r="AG428" s="696"/>
      <c r="AH428" s="696"/>
      <c r="AI428" s="696"/>
      <c r="AJ428" s="696"/>
      <c r="AK428" s="696"/>
      <c r="AL428" s="696"/>
      <c r="AM428" s="696"/>
      <c r="AN428" s="696"/>
      <c r="AO428" s="696"/>
      <c r="AP428" s="696"/>
      <c r="AQ428" s="696"/>
      <c r="AT428" s="696"/>
      <c r="AU428" s="674"/>
      <c r="AV428" s="674"/>
      <c r="AW428" s="674"/>
      <c r="AX428" s="674"/>
      <c r="AY428" s="674"/>
      <c r="AZ428" s="674"/>
      <c r="BA428" s="674"/>
      <c r="BB428" s="674"/>
    </row>
    <row r="429" spans="1:54">
      <c r="A429" s="674" t="s">
        <v>390</v>
      </c>
      <c r="B429" s="674" t="s">
        <v>2151</v>
      </c>
      <c r="C429" s="674" t="s">
        <v>2152</v>
      </c>
      <c r="D429" s="673" t="s">
        <v>348</v>
      </c>
      <c r="E429" s="674" t="s">
        <v>1762</v>
      </c>
      <c r="F429" s="674" t="s">
        <v>364</v>
      </c>
      <c r="G429" s="697">
        <v>2010</v>
      </c>
      <c r="H429" s="674">
        <v>55</v>
      </c>
      <c r="I429" s="674">
        <v>0</v>
      </c>
      <c r="J429" s="674">
        <v>1</v>
      </c>
      <c r="K429" s="674">
        <v>1</v>
      </c>
      <c r="L429" s="674">
        <v>0.1</v>
      </c>
      <c r="M429" s="674">
        <v>0.1</v>
      </c>
      <c r="N429" s="674">
        <v>0.1</v>
      </c>
      <c r="O429" s="674">
        <v>0.1</v>
      </c>
      <c r="P429" s="674">
        <v>0.1</v>
      </c>
      <c r="Q429" s="674">
        <v>0</v>
      </c>
      <c r="R429" s="674">
        <v>0.01</v>
      </c>
      <c r="S429" s="696"/>
      <c r="T429" s="696"/>
      <c r="U429" s="696"/>
      <c r="V429" s="696"/>
      <c r="W429" s="696"/>
      <c r="X429" s="696"/>
      <c r="Y429" s="696"/>
      <c r="Z429" s="696"/>
      <c r="AA429" s="696"/>
      <c r="AB429" s="696"/>
      <c r="AC429" s="696"/>
      <c r="AD429" s="696"/>
      <c r="AE429" s="696"/>
      <c r="AF429" s="696"/>
      <c r="AG429" s="696"/>
      <c r="AH429" s="696"/>
      <c r="AI429" s="696"/>
      <c r="AJ429" s="696"/>
      <c r="AK429" s="696"/>
      <c r="AL429" s="696"/>
      <c r="AM429" s="696"/>
      <c r="AN429" s="696"/>
      <c r="AO429" s="696"/>
      <c r="AP429" s="696"/>
      <c r="AQ429" s="696"/>
      <c r="AT429" s="696"/>
      <c r="AU429" s="674"/>
      <c r="AV429" s="674"/>
      <c r="AW429" s="674"/>
      <c r="AX429" s="674"/>
      <c r="AY429" s="674"/>
      <c r="AZ429" s="674"/>
      <c r="BA429" s="674"/>
      <c r="BB429" s="674"/>
    </row>
    <row r="430" spans="1:54">
      <c r="A430" s="674" t="s">
        <v>390</v>
      </c>
      <c r="B430" s="674" t="s">
        <v>2153</v>
      </c>
      <c r="C430" s="674" t="s">
        <v>2154</v>
      </c>
      <c r="D430" s="673" t="s">
        <v>348</v>
      </c>
      <c r="E430" s="674" t="s">
        <v>1764</v>
      </c>
      <c r="F430" s="674" t="s">
        <v>364</v>
      </c>
      <c r="G430" s="697">
        <v>2010</v>
      </c>
      <c r="H430" s="674">
        <v>55</v>
      </c>
      <c r="I430" s="674">
        <v>0</v>
      </c>
      <c r="J430" s="674"/>
      <c r="K430" s="674">
        <v>1</v>
      </c>
      <c r="L430" s="674">
        <v>0.1</v>
      </c>
      <c r="M430" s="674">
        <v>0.1</v>
      </c>
      <c r="N430" s="674">
        <v>0.1</v>
      </c>
      <c r="O430" s="674">
        <v>0.1</v>
      </c>
      <c r="P430" s="674">
        <v>0.1</v>
      </c>
      <c r="Q430" s="674">
        <v>0</v>
      </c>
      <c r="R430" s="674">
        <v>0.01</v>
      </c>
      <c r="S430" s="696"/>
      <c r="T430" s="696"/>
      <c r="U430" s="696"/>
      <c r="V430" s="696"/>
      <c r="W430" s="696"/>
      <c r="X430" s="696"/>
      <c r="Y430" s="696"/>
      <c r="Z430" s="696"/>
      <c r="AA430" s="696"/>
      <c r="AB430" s="696"/>
      <c r="AC430" s="696"/>
      <c r="AD430" s="696"/>
      <c r="AE430" s="696"/>
      <c r="AF430" s="696"/>
      <c r="AG430" s="696"/>
      <c r="AH430" s="696"/>
      <c r="AI430" s="696"/>
      <c r="AJ430" s="696"/>
      <c r="AK430" s="696"/>
      <c r="AL430" s="696"/>
      <c r="AM430" s="696"/>
      <c r="AN430" s="696"/>
      <c r="AO430" s="696"/>
      <c r="AP430" s="696"/>
      <c r="AQ430" s="696"/>
      <c r="AT430" s="696"/>
      <c r="AU430" s="674"/>
      <c r="AV430" s="674"/>
      <c r="AW430" s="674"/>
      <c r="AX430" s="674"/>
      <c r="AY430" s="674"/>
      <c r="AZ430" s="674"/>
      <c r="BA430" s="674"/>
      <c r="BB430" s="674"/>
    </row>
    <row r="431" spans="1:54">
      <c r="A431" s="674" t="s">
        <v>390</v>
      </c>
      <c r="B431" s="674" t="s">
        <v>2155</v>
      </c>
      <c r="C431" s="674" t="s">
        <v>2156</v>
      </c>
      <c r="D431" s="673" t="s">
        <v>348</v>
      </c>
      <c r="E431" s="674" t="s">
        <v>1758</v>
      </c>
      <c r="F431" s="674" t="s">
        <v>366</v>
      </c>
      <c r="G431" s="697">
        <v>2010</v>
      </c>
      <c r="H431" s="674">
        <v>55</v>
      </c>
      <c r="I431" s="674">
        <v>0</v>
      </c>
      <c r="J431" s="674">
        <v>1</v>
      </c>
      <c r="K431" s="674">
        <v>1</v>
      </c>
      <c r="L431" s="674">
        <v>0.1</v>
      </c>
      <c r="M431" s="674">
        <v>0.1</v>
      </c>
      <c r="N431" s="674">
        <v>0.1</v>
      </c>
      <c r="O431" s="674">
        <v>0.1</v>
      </c>
      <c r="P431" s="674">
        <v>0.1</v>
      </c>
      <c r="Q431" s="674">
        <v>0.1</v>
      </c>
      <c r="R431" s="674">
        <v>0.01</v>
      </c>
      <c r="S431" s="696"/>
      <c r="T431" s="696"/>
      <c r="U431" s="696"/>
      <c r="V431" s="696"/>
      <c r="W431" s="696"/>
      <c r="X431" s="696"/>
      <c r="Y431" s="696"/>
      <c r="Z431" s="696"/>
      <c r="AA431" s="696"/>
      <c r="AB431" s="696"/>
      <c r="AC431" s="696"/>
      <c r="AD431" s="696"/>
      <c r="AE431" s="696"/>
      <c r="AF431" s="696"/>
      <c r="AG431" s="696"/>
      <c r="AH431" s="696"/>
      <c r="AI431" s="696"/>
      <c r="AJ431" s="696"/>
      <c r="AK431" s="696"/>
      <c r="AL431" s="696"/>
      <c r="AM431" s="696"/>
      <c r="AN431" s="696"/>
      <c r="AO431" s="696"/>
      <c r="AP431" s="696"/>
      <c r="AQ431" s="696"/>
      <c r="AT431" s="696"/>
      <c r="AU431" s="674"/>
      <c r="AV431" s="674"/>
      <c r="AW431" s="674"/>
      <c r="AX431" s="674"/>
      <c r="AY431" s="674"/>
      <c r="AZ431" s="674"/>
      <c r="BA431" s="674"/>
      <c r="BB431" s="674"/>
    </row>
    <row r="432" spans="1:54">
      <c r="A432" s="674" t="s">
        <v>390</v>
      </c>
      <c r="B432" s="674" t="s">
        <v>2157</v>
      </c>
      <c r="C432" s="674" t="s">
        <v>2158</v>
      </c>
      <c r="D432" s="673" t="s">
        <v>348</v>
      </c>
      <c r="E432" s="674" t="s">
        <v>1760</v>
      </c>
      <c r="F432" s="674" t="s">
        <v>366</v>
      </c>
      <c r="G432" s="697">
        <v>2010</v>
      </c>
      <c r="H432" s="674">
        <v>55</v>
      </c>
      <c r="I432" s="674">
        <v>0</v>
      </c>
      <c r="J432" s="674">
        <v>1</v>
      </c>
      <c r="K432" s="674">
        <v>1</v>
      </c>
      <c r="L432" s="674">
        <v>0.1</v>
      </c>
      <c r="M432" s="674">
        <v>0.1</v>
      </c>
      <c r="N432" s="674">
        <v>0.1</v>
      </c>
      <c r="O432" s="674">
        <v>0.1</v>
      </c>
      <c r="P432" s="674">
        <v>0.1</v>
      </c>
      <c r="Q432" s="674">
        <v>0.1</v>
      </c>
      <c r="R432" s="674">
        <v>0.01</v>
      </c>
      <c r="S432" s="696"/>
      <c r="T432" s="696"/>
      <c r="U432" s="696"/>
      <c r="V432" s="696"/>
      <c r="W432" s="696"/>
      <c r="X432" s="696"/>
      <c r="Y432" s="696"/>
      <c r="Z432" s="696"/>
      <c r="AA432" s="696"/>
      <c r="AB432" s="696"/>
      <c r="AC432" s="696"/>
      <c r="AD432" s="696"/>
      <c r="AE432" s="696"/>
      <c r="AF432" s="696"/>
      <c r="AG432" s="696"/>
      <c r="AH432" s="696"/>
      <c r="AI432" s="696"/>
      <c r="AJ432" s="696"/>
      <c r="AK432" s="696"/>
      <c r="AL432" s="696"/>
      <c r="AM432" s="696"/>
      <c r="AN432" s="696"/>
      <c r="AO432" s="696"/>
      <c r="AP432" s="696"/>
      <c r="AQ432" s="696"/>
      <c r="AT432" s="696"/>
      <c r="AU432" s="674"/>
      <c r="AV432" s="674"/>
      <c r="AW432" s="674"/>
      <c r="AX432" s="674"/>
      <c r="AY432" s="674"/>
      <c r="AZ432" s="674"/>
      <c r="BA432" s="674"/>
      <c r="BB432" s="674"/>
    </row>
    <row r="433" spans="1:54">
      <c r="A433" s="674" t="s">
        <v>390</v>
      </c>
      <c r="B433" s="674" t="s">
        <v>2159</v>
      </c>
      <c r="C433" s="674" t="s">
        <v>2160</v>
      </c>
      <c r="D433" s="673" t="s">
        <v>348</v>
      </c>
      <c r="E433" s="674" t="s">
        <v>1762</v>
      </c>
      <c r="F433" s="674" t="s">
        <v>366</v>
      </c>
      <c r="G433" s="697">
        <v>2010</v>
      </c>
      <c r="H433" s="674">
        <v>55</v>
      </c>
      <c r="I433" s="674">
        <v>0</v>
      </c>
      <c r="J433" s="674">
        <v>1</v>
      </c>
      <c r="K433" s="674">
        <v>1</v>
      </c>
      <c r="L433" s="674">
        <v>0.1</v>
      </c>
      <c r="M433" s="674">
        <v>0.1</v>
      </c>
      <c r="N433" s="674">
        <v>0.1</v>
      </c>
      <c r="O433" s="674">
        <v>0.1</v>
      </c>
      <c r="P433" s="674">
        <v>0.1</v>
      </c>
      <c r="Q433" s="674">
        <v>0.15</v>
      </c>
      <c r="R433" s="674">
        <v>0.01</v>
      </c>
      <c r="S433" s="696"/>
      <c r="T433" s="696"/>
      <c r="U433" s="696"/>
      <c r="V433" s="696"/>
      <c r="W433" s="696"/>
      <c r="X433" s="696"/>
      <c r="Y433" s="696"/>
      <c r="Z433" s="696"/>
      <c r="AA433" s="696"/>
      <c r="AB433" s="696"/>
      <c r="AC433" s="696"/>
      <c r="AD433" s="696"/>
      <c r="AE433" s="696"/>
      <c r="AF433" s="696"/>
      <c r="AG433" s="696"/>
      <c r="AH433" s="696"/>
      <c r="AI433" s="696"/>
      <c r="AJ433" s="696"/>
      <c r="AK433" s="696"/>
      <c r="AL433" s="696"/>
      <c r="AM433" s="696"/>
      <c r="AN433" s="696"/>
      <c r="AO433" s="696"/>
      <c r="AP433" s="696"/>
      <c r="AQ433" s="696"/>
      <c r="AT433" s="696"/>
      <c r="AU433" s="674"/>
      <c r="AV433" s="674"/>
      <c r="AW433" s="674"/>
      <c r="AX433" s="674"/>
      <c r="AY433" s="674"/>
      <c r="AZ433" s="674"/>
      <c r="BA433" s="674"/>
      <c r="BB433" s="674"/>
    </row>
    <row r="434" spans="1:54">
      <c r="A434" s="674" t="s">
        <v>390</v>
      </c>
      <c r="B434" s="674" t="s">
        <v>2161</v>
      </c>
      <c r="C434" s="674" t="s">
        <v>2162</v>
      </c>
      <c r="D434" s="673" t="s">
        <v>348</v>
      </c>
      <c r="E434" s="674" t="s">
        <v>1764</v>
      </c>
      <c r="F434" s="674" t="s">
        <v>366</v>
      </c>
      <c r="G434" s="697">
        <v>2010</v>
      </c>
      <c r="H434" s="674">
        <v>55</v>
      </c>
      <c r="I434" s="674">
        <v>0</v>
      </c>
      <c r="J434" s="674">
        <v>1</v>
      </c>
      <c r="K434" s="674">
        <v>1</v>
      </c>
      <c r="L434" s="674">
        <v>0.1</v>
      </c>
      <c r="M434" s="674">
        <v>0.1</v>
      </c>
      <c r="N434" s="674">
        <v>0.1</v>
      </c>
      <c r="O434" s="674">
        <v>0.1</v>
      </c>
      <c r="P434" s="674">
        <v>0.1</v>
      </c>
      <c r="Q434" s="674">
        <v>0.2</v>
      </c>
      <c r="R434" s="674">
        <v>0.01</v>
      </c>
      <c r="S434" s="696"/>
      <c r="T434" s="696"/>
      <c r="U434" s="696"/>
      <c r="V434" s="696"/>
      <c r="W434" s="696"/>
      <c r="X434" s="696"/>
      <c r="Y434" s="696"/>
      <c r="Z434" s="696"/>
      <c r="AA434" s="696"/>
      <c r="AB434" s="696"/>
      <c r="AC434" s="696"/>
      <c r="AD434" s="696"/>
      <c r="AE434" s="696"/>
      <c r="AF434" s="696"/>
      <c r="AG434" s="696"/>
      <c r="AH434" s="696"/>
      <c r="AI434" s="696"/>
      <c r="AJ434" s="696"/>
      <c r="AK434" s="696"/>
      <c r="AL434" s="696"/>
      <c r="AM434" s="696"/>
      <c r="AN434" s="696"/>
      <c r="AO434" s="696"/>
      <c r="AP434" s="696"/>
      <c r="AQ434" s="696"/>
      <c r="AT434" s="696"/>
      <c r="AU434" s="674"/>
      <c r="AV434" s="674"/>
      <c r="AW434" s="674"/>
      <c r="AX434" s="674"/>
      <c r="AY434" s="674"/>
      <c r="AZ434" s="674"/>
      <c r="BA434" s="674"/>
      <c r="BB434" s="674"/>
    </row>
    <row r="435" spans="1:54">
      <c r="A435" s="13" t="s">
        <v>390</v>
      </c>
      <c r="D435" s="1"/>
    </row>
    <row r="436" spans="1:54">
      <c r="D436" s="1"/>
    </row>
    <row r="437" spans="1:54">
      <c r="D437" s="1"/>
    </row>
  </sheetData>
  <phoneticPr fontId="0" type="noConversion"/>
  <pageMargins left="0.75" right="0.75" top="1" bottom="1" header="0.5" footer="0.5"/>
  <pageSetup paperSize="9" orientation="landscape" horizontalDpi="1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B6E88-12BA-42F4-8C2D-3E3549DFE3D2}">
  <dimension ref="A1"/>
  <sheetViews>
    <sheetView workbookViewId="0"/>
  </sheetViews>
  <sheetFormatPr defaultRowHeight="12.7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FFC000"/>
  </sheetPr>
  <dimension ref="B1:J279"/>
  <sheetViews>
    <sheetView workbookViewId="0">
      <pane xSplit="5" ySplit="7" topLeftCell="F158" activePane="bottomRight" state="frozen"/>
      <selection activeCell="C33" sqref="C33"/>
      <selection pane="topRight" activeCell="C33" sqref="C33"/>
      <selection pane="bottomLeft" activeCell="C33" sqref="C33"/>
      <selection pane="bottomRight" activeCell="B6" sqref="B6"/>
    </sheetView>
  </sheetViews>
  <sheetFormatPr defaultColWidth="9.28515625" defaultRowHeight="12.75"/>
  <cols>
    <col min="1" max="1" width="9.28515625" style="13"/>
    <col min="2" max="2" width="25.5703125" style="13" customWidth="1"/>
    <col min="3" max="3" width="29.7109375" style="13" customWidth="1"/>
    <col min="4" max="4" width="29" style="13" bestFit="1" customWidth="1"/>
    <col min="5" max="5" width="55" style="13" bestFit="1" customWidth="1"/>
    <col min="6" max="7" width="10.28515625" style="13" customWidth="1"/>
    <col min="8" max="13" width="9.28515625" style="13"/>
    <col min="14" max="14" width="19.42578125" style="13" customWidth="1"/>
    <col min="15" max="16384" width="9.28515625" style="13"/>
  </cols>
  <sheetData>
    <row r="1" spans="2:10">
      <c r="B1" s="1" t="s">
        <v>343</v>
      </c>
      <c r="D1" s="666" t="s">
        <v>2339</v>
      </c>
    </row>
    <row r="4" spans="2:10" ht="17.25" customHeight="1"/>
    <row r="5" spans="2:10" ht="17.25" customHeight="1">
      <c r="E5" s="3"/>
    </row>
    <row r="6" spans="2:10" s="668" customFormat="1" ht="15.75" customHeight="1">
      <c r="B6" s="670"/>
      <c r="C6" s="13"/>
      <c r="D6"/>
      <c r="E6"/>
      <c r="F6" s="13"/>
      <c r="G6"/>
      <c r="H6"/>
      <c r="I6"/>
      <c r="J6"/>
    </row>
    <row r="7" spans="2:10" s="668" customFormat="1">
      <c r="B7" s="671" t="s">
        <v>664</v>
      </c>
      <c r="C7" s="671" t="s">
        <v>2985</v>
      </c>
      <c r="D7" s="671" t="s">
        <v>328</v>
      </c>
      <c r="E7" s="671" t="s">
        <v>329</v>
      </c>
      <c r="F7" s="671" t="s">
        <v>2984</v>
      </c>
      <c r="G7" s="671" t="s">
        <v>2986</v>
      </c>
      <c r="H7" s="671" t="s">
        <v>2987</v>
      </c>
      <c r="I7" s="671" t="s">
        <v>2988</v>
      </c>
      <c r="J7" s="671" t="s">
        <v>2989</v>
      </c>
    </row>
    <row r="8" spans="2:10">
      <c r="B8" s="683" t="s">
        <v>363</v>
      </c>
      <c r="C8" s="681"/>
      <c r="D8" s="681"/>
      <c r="E8" s="681"/>
      <c r="F8" s="681"/>
      <c r="G8" s="682"/>
      <c r="H8" s="682"/>
      <c r="I8" s="682"/>
      <c r="J8" s="682"/>
    </row>
    <row r="9" spans="2:10">
      <c r="B9" s="674" t="s">
        <v>1528</v>
      </c>
      <c r="C9" s="675" t="s">
        <v>2996</v>
      </c>
      <c r="D9" s="674" t="s">
        <v>366</v>
      </c>
      <c r="E9" s="674" t="s">
        <v>367</v>
      </c>
      <c r="F9" s="675" t="s">
        <v>348</v>
      </c>
      <c r="G9" s="674"/>
      <c r="H9" s="674"/>
      <c r="I9" s="674"/>
      <c r="J9" s="674"/>
    </row>
    <row r="10" spans="2:10">
      <c r="B10" s="677" t="s">
        <v>390</v>
      </c>
      <c r="C10" s="675" t="s">
        <v>2996</v>
      </c>
      <c r="D10" s="674" t="s">
        <v>372</v>
      </c>
      <c r="E10" s="674" t="s">
        <v>373</v>
      </c>
      <c r="F10" s="675" t="s">
        <v>348</v>
      </c>
      <c r="G10" s="674"/>
      <c r="H10" s="674"/>
      <c r="I10" s="674"/>
      <c r="J10" s="674"/>
    </row>
    <row r="11" spans="2:10">
      <c r="B11" s="674" t="s">
        <v>1528</v>
      </c>
      <c r="C11" s="675" t="s">
        <v>2996</v>
      </c>
      <c r="D11" s="674" t="s">
        <v>364</v>
      </c>
      <c r="E11" s="674" t="s">
        <v>365</v>
      </c>
      <c r="F11" s="675" t="s">
        <v>348</v>
      </c>
      <c r="G11" s="674"/>
      <c r="H11" s="674"/>
      <c r="I11" s="674"/>
      <c r="J11" s="674"/>
    </row>
    <row r="12" spans="2:10">
      <c r="B12" s="674" t="s">
        <v>1528</v>
      </c>
      <c r="C12" s="675" t="s">
        <v>2996</v>
      </c>
      <c r="D12" s="674" t="s">
        <v>374</v>
      </c>
      <c r="E12" s="674" t="s">
        <v>375</v>
      </c>
      <c r="F12" s="675" t="s">
        <v>376</v>
      </c>
      <c r="G12" s="674"/>
      <c r="H12" s="674"/>
      <c r="I12" s="674"/>
      <c r="J12" s="674"/>
    </row>
    <row r="13" spans="2:10">
      <c r="B13" s="674" t="s">
        <v>1528</v>
      </c>
      <c r="C13" s="675" t="s">
        <v>2996</v>
      </c>
      <c r="D13" s="674" t="s">
        <v>377</v>
      </c>
      <c r="E13" s="674" t="s">
        <v>378</v>
      </c>
      <c r="F13" s="675" t="s">
        <v>348</v>
      </c>
      <c r="G13" s="674"/>
      <c r="H13" s="674"/>
      <c r="I13" s="674"/>
      <c r="J13" s="674"/>
    </row>
    <row r="14" spans="2:10">
      <c r="B14" s="674" t="s">
        <v>1528</v>
      </c>
      <c r="C14" s="675" t="s">
        <v>2996</v>
      </c>
      <c r="D14" s="674" t="s">
        <v>379</v>
      </c>
      <c r="E14" s="674" t="s">
        <v>380</v>
      </c>
      <c r="F14" s="675" t="s">
        <v>348</v>
      </c>
      <c r="G14" s="674"/>
      <c r="H14" s="674"/>
      <c r="I14" s="674"/>
      <c r="J14" s="674"/>
    </row>
    <row r="15" spans="2:10">
      <c r="B15" s="674" t="s">
        <v>390</v>
      </c>
      <c r="C15" s="675" t="s">
        <v>2996</v>
      </c>
      <c r="D15" s="674" t="s">
        <v>1085</v>
      </c>
      <c r="E15" s="674" t="s">
        <v>1086</v>
      </c>
      <c r="F15" s="675" t="s">
        <v>348</v>
      </c>
      <c r="G15" s="674"/>
      <c r="H15" s="674"/>
      <c r="I15" s="674"/>
      <c r="J15" s="674"/>
    </row>
    <row r="16" spans="2:10">
      <c r="B16" s="677" t="s">
        <v>390</v>
      </c>
      <c r="C16" s="675" t="s">
        <v>2996</v>
      </c>
      <c r="D16" s="674" t="s">
        <v>370</v>
      </c>
      <c r="E16" s="674" t="s">
        <v>371</v>
      </c>
      <c r="F16" s="675" t="s">
        <v>348</v>
      </c>
      <c r="G16" s="674"/>
      <c r="H16" s="674"/>
      <c r="I16" s="674"/>
      <c r="J16" s="674"/>
    </row>
    <row r="17" spans="2:10">
      <c r="B17" s="674" t="s">
        <v>1528</v>
      </c>
      <c r="C17" s="675" t="s">
        <v>2996</v>
      </c>
      <c r="D17" s="674" t="s">
        <v>368</v>
      </c>
      <c r="E17" s="674" t="s">
        <v>369</v>
      </c>
      <c r="F17" s="675" t="s">
        <v>348</v>
      </c>
      <c r="G17" s="674"/>
      <c r="H17" s="674"/>
      <c r="I17" s="674"/>
      <c r="J17" s="674"/>
    </row>
    <row r="18" spans="2:10">
      <c r="B18" s="683" t="s">
        <v>345</v>
      </c>
      <c r="C18" s="681"/>
      <c r="D18" s="681"/>
      <c r="E18" s="681"/>
      <c r="F18" s="681"/>
      <c r="G18" s="682"/>
      <c r="H18" s="682"/>
      <c r="I18" s="682"/>
      <c r="J18" s="682"/>
    </row>
    <row r="19" spans="2:10">
      <c r="B19" s="674" t="s">
        <v>1528</v>
      </c>
      <c r="C19" s="675" t="s">
        <v>2995</v>
      </c>
      <c r="D19" s="674" t="s">
        <v>349</v>
      </c>
      <c r="E19" s="674" t="s">
        <v>350</v>
      </c>
      <c r="F19" s="675" t="s">
        <v>348</v>
      </c>
      <c r="G19" s="674"/>
      <c r="H19" s="674"/>
      <c r="I19" s="674"/>
      <c r="J19" s="674"/>
    </row>
    <row r="20" spans="2:10">
      <c r="B20" s="674" t="s">
        <v>1528</v>
      </c>
      <c r="C20" s="675" t="s">
        <v>2995</v>
      </c>
      <c r="D20" s="674" t="s">
        <v>352</v>
      </c>
      <c r="E20" s="674" t="s">
        <v>351</v>
      </c>
      <c r="F20" s="675" t="s">
        <v>348</v>
      </c>
      <c r="G20" s="674"/>
      <c r="H20" s="674"/>
      <c r="I20" s="674"/>
      <c r="J20" s="674"/>
    </row>
    <row r="21" spans="2:10">
      <c r="B21" s="674" t="s">
        <v>1528</v>
      </c>
      <c r="C21" s="675" t="s">
        <v>2995</v>
      </c>
      <c r="D21" s="674" t="s">
        <v>354</v>
      </c>
      <c r="E21" s="674" t="s">
        <v>353</v>
      </c>
      <c r="F21" s="675" t="s">
        <v>348</v>
      </c>
      <c r="G21" s="674"/>
      <c r="H21" s="674"/>
      <c r="I21" s="674"/>
      <c r="J21" s="674"/>
    </row>
    <row r="22" spans="2:10">
      <c r="B22" s="677" t="s">
        <v>1531</v>
      </c>
      <c r="C22" s="675" t="s">
        <v>2995</v>
      </c>
      <c r="D22" s="674" t="s">
        <v>356</v>
      </c>
      <c r="E22" s="674" t="s">
        <v>355</v>
      </c>
      <c r="F22" s="675" t="s">
        <v>348</v>
      </c>
      <c r="G22" s="674"/>
      <c r="H22" s="674"/>
      <c r="I22" s="674"/>
      <c r="J22" s="674"/>
    </row>
    <row r="23" spans="2:10">
      <c r="B23" s="677" t="s">
        <v>1531</v>
      </c>
      <c r="C23" s="675" t="s">
        <v>2995</v>
      </c>
      <c r="D23" s="674" t="s">
        <v>358</v>
      </c>
      <c r="E23" s="674" t="s">
        <v>357</v>
      </c>
      <c r="F23" s="675" t="s">
        <v>348</v>
      </c>
      <c r="G23" s="674"/>
      <c r="H23" s="674"/>
      <c r="I23" s="674"/>
      <c r="J23" s="674"/>
    </row>
    <row r="24" spans="2:10">
      <c r="B24" s="677" t="s">
        <v>1531</v>
      </c>
      <c r="C24" s="675" t="s">
        <v>2995</v>
      </c>
      <c r="D24" s="674" t="s">
        <v>361</v>
      </c>
      <c r="E24" s="674" t="s">
        <v>362</v>
      </c>
      <c r="F24" s="675" t="s">
        <v>348</v>
      </c>
      <c r="G24" s="674"/>
      <c r="H24" s="674"/>
      <c r="I24" s="674"/>
      <c r="J24" s="674"/>
    </row>
    <row r="25" spans="2:10">
      <c r="B25" s="683" t="s">
        <v>1685</v>
      </c>
      <c r="C25" s="681"/>
      <c r="D25" s="681"/>
      <c r="E25" s="681"/>
      <c r="F25" s="681"/>
      <c r="G25" s="682"/>
      <c r="H25" s="682"/>
      <c r="I25" s="682"/>
      <c r="J25" s="682"/>
    </row>
    <row r="26" spans="2:10">
      <c r="B26" s="677" t="s">
        <v>1528</v>
      </c>
      <c r="C26" s="677" t="s">
        <v>2997</v>
      </c>
      <c r="D26" s="677" t="s">
        <v>1708</v>
      </c>
      <c r="E26" s="677" t="s">
        <v>1615</v>
      </c>
      <c r="F26" s="677" t="s">
        <v>904</v>
      </c>
      <c r="G26" s="674"/>
      <c r="H26" s="674"/>
      <c r="I26" s="674"/>
      <c r="J26" s="674"/>
    </row>
    <row r="27" spans="2:10">
      <c r="B27" s="677" t="s">
        <v>1531</v>
      </c>
      <c r="C27" s="677" t="s">
        <v>2997</v>
      </c>
      <c r="D27" s="677" t="s">
        <v>1709</v>
      </c>
      <c r="E27" s="677" t="s">
        <v>1617</v>
      </c>
      <c r="F27" s="677" t="s">
        <v>904</v>
      </c>
      <c r="G27" s="674"/>
      <c r="H27" s="674"/>
      <c r="I27" s="674"/>
      <c r="J27" s="674"/>
    </row>
    <row r="28" spans="2:10">
      <c r="B28" s="677" t="s">
        <v>1528</v>
      </c>
      <c r="C28" s="677" t="s">
        <v>2997</v>
      </c>
      <c r="D28" s="677" t="s">
        <v>1710</v>
      </c>
      <c r="E28" s="677" t="s">
        <v>1619</v>
      </c>
      <c r="F28" s="677" t="s">
        <v>904</v>
      </c>
      <c r="G28" s="674"/>
      <c r="H28" s="674"/>
      <c r="I28" s="674"/>
      <c r="J28" s="674"/>
    </row>
    <row r="29" spans="2:10">
      <c r="B29" s="677" t="s">
        <v>1528</v>
      </c>
      <c r="C29" s="677" t="s">
        <v>2997</v>
      </c>
      <c r="D29" s="677" t="s">
        <v>1704</v>
      </c>
      <c r="E29" s="677" t="s">
        <v>1608</v>
      </c>
      <c r="F29" s="677" t="s">
        <v>904</v>
      </c>
      <c r="G29" s="674"/>
      <c r="H29" s="674"/>
      <c r="I29" s="674"/>
      <c r="J29" s="674"/>
    </row>
    <row r="30" spans="2:10">
      <c r="B30" s="677" t="s">
        <v>1528</v>
      </c>
      <c r="C30" s="677" t="s">
        <v>2997</v>
      </c>
      <c r="D30" s="677" t="s">
        <v>1705</v>
      </c>
      <c r="E30" s="677" t="s">
        <v>1610</v>
      </c>
      <c r="F30" s="677" t="s">
        <v>904</v>
      </c>
      <c r="G30" s="674"/>
      <c r="H30" s="674"/>
      <c r="I30" s="674"/>
      <c r="J30" s="674"/>
    </row>
    <row r="31" spans="2:10">
      <c r="B31" s="677" t="s">
        <v>1528</v>
      </c>
      <c r="C31" s="677" t="s">
        <v>2997</v>
      </c>
      <c r="D31" s="677" t="s">
        <v>1706</v>
      </c>
      <c r="E31" s="677" t="s">
        <v>1612</v>
      </c>
      <c r="F31" s="677" t="s">
        <v>904</v>
      </c>
      <c r="G31" s="674"/>
      <c r="H31" s="674"/>
      <c r="I31" s="674"/>
      <c r="J31" s="674"/>
    </row>
    <row r="32" spans="2:10">
      <c r="B32" s="677" t="s">
        <v>1528</v>
      </c>
      <c r="C32" s="677" t="s">
        <v>2997</v>
      </c>
      <c r="D32" s="677" t="s">
        <v>1707</v>
      </c>
      <c r="E32" s="677" t="s">
        <v>1612</v>
      </c>
      <c r="F32" s="677" t="s">
        <v>904</v>
      </c>
      <c r="G32" s="674"/>
      <c r="H32" s="674"/>
      <c r="I32" s="674"/>
      <c r="J32" s="674"/>
    </row>
    <row r="33" spans="2:10">
      <c r="B33" s="683" t="s">
        <v>1757</v>
      </c>
      <c r="C33" s="681"/>
      <c r="D33" s="681"/>
      <c r="E33" s="681"/>
      <c r="F33" s="681"/>
      <c r="G33" s="682"/>
      <c r="H33" s="682"/>
      <c r="I33" s="682"/>
      <c r="J33" s="682"/>
    </row>
    <row r="34" spans="2:10">
      <c r="B34" s="677" t="s">
        <v>1531</v>
      </c>
      <c r="C34" s="677" t="s">
        <v>2995</v>
      </c>
      <c r="D34" s="677" t="s">
        <v>1758</v>
      </c>
      <c r="E34" s="677" t="s">
        <v>1759</v>
      </c>
      <c r="F34" s="677" t="s">
        <v>348</v>
      </c>
      <c r="G34" s="674"/>
      <c r="H34" s="674"/>
      <c r="I34" s="674"/>
      <c r="J34" s="674"/>
    </row>
    <row r="35" spans="2:10">
      <c r="B35" s="677" t="s">
        <v>1531</v>
      </c>
      <c r="C35" s="677" t="s">
        <v>2995</v>
      </c>
      <c r="D35" s="677" t="s">
        <v>1760</v>
      </c>
      <c r="E35" s="677" t="s">
        <v>1761</v>
      </c>
      <c r="F35" s="677" t="s">
        <v>348</v>
      </c>
      <c r="G35" s="674"/>
      <c r="H35" s="674"/>
      <c r="I35" s="674"/>
      <c r="J35" s="674"/>
    </row>
    <row r="36" spans="2:10">
      <c r="B36" s="677" t="s">
        <v>1531</v>
      </c>
      <c r="C36" s="677" t="s">
        <v>2995</v>
      </c>
      <c r="D36" s="677" t="s">
        <v>1762</v>
      </c>
      <c r="E36" s="677" t="s">
        <v>1763</v>
      </c>
      <c r="F36" s="677" t="s">
        <v>348</v>
      </c>
      <c r="G36" s="674"/>
      <c r="H36" s="674"/>
      <c r="I36" s="674"/>
      <c r="J36" s="674"/>
    </row>
    <row r="37" spans="2:10">
      <c r="B37" s="677" t="s">
        <v>1531</v>
      </c>
      <c r="C37" s="677" t="s">
        <v>2995</v>
      </c>
      <c r="D37" s="677" t="s">
        <v>1764</v>
      </c>
      <c r="E37" s="677" t="s">
        <v>1765</v>
      </c>
      <c r="F37" s="677" t="s">
        <v>348</v>
      </c>
      <c r="G37" s="674"/>
      <c r="H37" s="674"/>
      <c r="I37" s="674"/>
      <c r="J37" s="674"/>
    </row>
    <row r="38" spans="2:10">
      <c r="B38" s="683" t="s">
        <v>1711</v>
      </c>
      <c r="C38" s="681"/>
      <c r="D38" s="681"/>
      <c r="E38" s="681"/>
      <c r="F38" s="681"/>
      <c r="G38" s="682"/>
      <c r="H38" s="682"/>
      <c r="I38" s="682"/>
      <c r="J38" s="682"/>
    </row>
    <row r="39" spans="2:10">
      <c r="B39" s="677" t="s">
        <v>390</v>
      </c>
      <c r="C39" s="677"/>
      <c r="D39" s="677"/>
      <c r="E39" s="677"/>
      <c r="F39" s="677"/>
      <c r="G39" s="674"/>
      <c r="H39" s="674"/>
      <c r="I39" s="674"/>
      <c r="J39" s="674"/>
    </row>
    <row r="40" spans="2:10">
      <c r="B40" s="677" t="s">
        <v>1528</v>
      </c>
      <c r="C40" s="677" t="s">
        <v>2996</v>
      </c>
      <c r="D40" s="677" t="s">
        <v>1712</v>
      </c>
      <c r="E40" s="677" t="s">
        <v>1713</v>
      </c>
      <c r="F40" s="677" t="s">
        <v>904</v>
      </c>
      <c r="G40" s="674"/>
      <c r="H40" s="674"/>
      <c r="I40" s="674"/>
      <c r="J40" s="674"/>
    </row>
    <row r="41" spans="2:10">
      <c r="B41" s="677" t="s">
        <v>1531</v>
      </c>
      <c r="C41" s="677" t="s">
        <v>2996</v>
      </c>
      <c r="D41" s="677" t="s">
        <v>1714</v>
      </c>
      <c r="E41" s="677" t="s">
        <v>1715</v>
      </c>
      <c r="F41" s="677" t="s">
        <v>904</v>
      </c>
      <c r="G41" s="674"/>
      <c r="H41" s="674"/>
      <c r="I41" s="674"/>
      <c r="J41" s="674"/>
    </row>
    <row r="42" spans="2:10">
      <c r="B42" s="677" t="s">
        <v>1531</v>
      </c>
      <c r="C42" s="677" t="s">
        <v>2996</v>
      </c>
      <c r="D42" s="677" t="s">
        <v>1716</v>
      </c>
      <c r="E42" s="677" t="s">
        <v>1717</v>
      </c>
      <c r="F42" s="677" t="s">
        <v>904</v>
      </c>
      <c r="G42" s="674"/>
      <c r="H42" s="674"/>
      <c r="I42" s="674"/>
      <c r="J42" s="674"/>
    </row>
    <row r="43" spans="2:10">
      <c r="B43" s="677" t="s">
        <v>1531</v>
      </c>
      <c r="C43" s="677" t="s">
        <v>2996</v>
      </c>
      <c r="D43" s="677" t="s">
        <v>1718</v>
      </c>
      <c r="E43" s="677" t="s">
        <v>1719</v>
      </c>
      <c r="F43" s="677" t="s">
        <v>904</v>
      </c>
      <c r="G43" s="674"/>
      <c r="H43" s="674"/>
      <c r="I43" s="674"/>
      <c r="J43" s="674"/>
    </row>
    <row r="44" spans="2:10">
      <c r="B44" s="677" t="s">
        <v>1531</v>
      </c>
      <c r="C44" s="677" t="s">
        <v>2996</v>
      </c>
      <c r="D44" s="677" t="s">
        <v>1720</v>
      </c>
      <c r="E44" s="677" t="s">
        <v>1721</v>
      </c>
      <c r="F44" s="677" t="s">
        <v>904</v>
      </c>
      <c r="G44" s="674"/>
      <c r="H44" s="674"/>
      <c r="I44" s="674"/>
      <c r="J44" s="674"/>
    </row>
    <row r="45" spans="2:10">
      <c r="B45" s="677" t="s">
        <v>1531</v>
      </c>
      <c r="C45" s="677" t="s">
        <v>2996</v>
      </c>
      <c r="D45" s="677" t="s">
        <v>1722</v>
      </c>
      <c r="E45" s="677" t="s">
        <v>1723</v>
      </c>
      <c r="F45" s="677" t="s">
        <v>904</v>
      </c>
      <c r="G45" s="674"/>
      <c r="H45" s="674"/>
      <c r="I45" s="674"/>
      <c r="J45" s="674"/>
    </row>
    <row r="46" spans="2:10">
      <c r="B46" s="677" t="s">
        <v>390</v>
      </c>
      <c r="C46" s="677"/>
      <c r="D46" s="677"/>
      <c r="E46" s="677"/>
      <c r="F46" s="677"/>
      <c r="G46" s="674"/>
      <c r="H46" s="674"/>
      <c r="I46" s="674"/>
      <c r="J46" s="674"/>
    </row>
    <row r="47" spans="2:10" s="668" customFormat="1">
      <c r="B47" s="713"/>
      <c r="C47" s="713"/>
      <c r="D47" s="713"/>
      <c r="E47" s="713"/>
      <c r="F47" s="713"/>
      <c r="G47" s="713"/>
      <c r="H47" s="713"/>
      <c r="I47" s="713"/>
      <c r="J47" s="713"/>
    </row>
    <row r="48" spans="2:10" s="668" customFormat="1">
      <c r="B48" s="713"/>
      <c r="C48" s="713"/>
      <c r="D48" s="713"/>
      <c r="E48" s="713"/>
      <c r="F48" s="713"/>
      <c r="G48" s="713"/>
      <c r="H48" s="713"/>
      <c r="I48" s="713"/>
      <c r="J48" s="713"/>
    </row>
    <row r="49" spans="2:10" s="668" customFormat="1">
      <c r="B49" s="713"/>
      <c r="C49" s="713"/>
      <c r="D49" s="713"/>
      <c r="E49" s="713"/>
      <c r="F49" s="713"/>
      <c r="G49" s="713"/>
      <c r="H49" s="713"/>
      <c r="I49" s="713"/>
      <c r="J49" s="713"/>
    </row>
    <row r="50" spans="2:10" s="668" customFormat="1">
      <c r="B50" s="13"/>
      <c r="C50" s="713"/>
      <c r="D50" s="713"/>
      <c r="E50" s="713"/>
      <c r="F50" s="713"/>
      <c r="G50" s="713"/>
      <c r="H50" s="713"/>
      <c r="I50" s="713"/>
      <c r="J50" s="713"/>
    </row>
    <row r="51" spans="2:10" s="668" customFormat="1">
      <c r="B51" s="13"/>
      <c r="C51" s="713"/>
      <c r="D51" s="713"/>
      <c r="E51" s="713"/>
      <c r="F51" s="713"/>
      <c r="G51" s="713"/>
      <c r="H51" s="713"/>
      <c r="I51" s="713"/>
      <c r="J51" s="713"/>
    </row>
    <row r="52" spans="2:10" s="668" customFormat="1">
      <c r="B52" s="13"/>
      <c r="C52" s="713"/>
      <c r="D52" s="713"/>
      <c r="E52" s="713"/>
      <c r="F52" s="713"/>
      <c r="G52" s="713"/>
      <c r="H52" s="713"/>
      <c r="I52" s="713"/>
      <c r="J52" s="713"/>
    </row>
    <row r="53" spans="2:10" s="668" customFormat="1">
      <c r="B53" s="13"/>
      <c r="C53" s="713"/>
      <c r="D53" s="713"/>
      <c r="E53" s="713"/>
      <c r="F53" s="713"/>
      <c r="G53" s="713"/>
      <c r="H53" s="713"/>
      <c r="I53" s="713"/>
      <c r="J53" s="713"/>
    </row>
    <row r="54" spans="2:10" s="668" customFormat="1">
      <c r="B54" s="13"/>
      <c r="C54" s="713"/>
      <c r="D54" s="713"/>
      <c r="E54" s="713"/>
      <c r="F54" s="713"/>
      <c r="G54" s="713"/>
      <c r="H54" s="713"/>
      <c r="I54" s="713"/>
      <c r="J54" s="713"/>
    </row>
    <row r="55" spans="2:10" s="668" customFormat="1">
      <c r="B55" s="13"/>
      <c r="C55" s="713"/>
      <c r="D55" s="713"/>
      <c r="E55" s="713"/>
      <c r="F55" s="713"/>
      <c r="G55" s="713"/>
      <c r="H55" s="713"/>
      <c r="I55" s="713"/>
      <c r="J55" s="713"/>
    </row>
    <row r="56" spans="2:10" s="668" customFormat="1">
      <c r="B56" s="13"/>
      <c r="C56" s="713"/>
      <c r="D56" s="713"/>
      <c r="E56" s="713"/>
      <c r="F56" s="713"/>
      <c r="G56" s="713"/>
      <c r="H56" s="713"/>
      <c r="I56" s="713"/>
      <c r="J56" s="713"/>
    </row>
    <row r="57" spans="2:10" s="668" customFormat="1">
      <c r="B57" s="13"/>
      <c r="C57" s="713"/>
      <c r="D57" s="713"/>
      <c r="E57" s="713"/>
      <c r="F57" s="713"/>
      <c r="G57" s="713"/>
      <c r="H57" s="713"/>
      <c r="I57" s="713"/>
      <c r="J57" s="713"/>
    </row>
    <row r="58" spans="2:10" s="668" customFormat="1">
      <c r="B58" s="13"/>
      <c r="C58" s="713"/>
      <c r="D58" s="713"/>
      <c r="E58" s="713"/>
      <c r="F58" s="713"/>
      <c r="G58" s="713"/>
      <c r="H58" s="713"/>
      <c r="I58" s="713"/>
      <c r="J58" s="713"/>
    </row>
    <row r="59" spans="2:10" s="668" customFormat="1">
      <c r="B59" s="713"/>
      <c r="C59" s="713"/>
      <c r="D59" s="713"/>
      <c r="E59" s="713"/>
      <c r="F59" s="713"/>
      <c r="G59" s="713"/>
      <c r="H59" s="713"/>
      <c r="I59" s="713"/>
      <c r="J59" s="713"/>
    </row>
    <row r="60" spans="2:10" s="668" customFormat="1">
      <c r="B60" s="713"/>
      <c r="C60" s="713"/>
      <c r="D60" s="713"/>
      <c r="E60" s="713"/>
      <c r="F60" s="713"/>
      <c r="G60" s="713"/>
      <c r="H60" s="713"/>
      <c r="I60" s="713"/>
      <c r="J60" s="713"/>
    </row>
    <row r="61" spans="2:10" s="668" customFormat="1">
      <c r="B61" s="713"/>
      <c r="C61" s="713"/>
      <c r="D61" s="713"/>
      <c r="E61" s="713"/>
      <c r="F61" s="713"/>
      <c r="G61" s="713"/>
      <c r="H61" s="713"/>
      <c r="I61" s="713"/>
      <c r="J61" s="713"/>
    </row>
    <row r="62" spans="2:10">
      <c r="B62" s="683" t="s">
        <v>345</v>
      </c>
      <c r="C62" s="681"/>
      <c r="D62" s="681"/>
      <c r="E62" s="681"/>
      <c r="F62" s="681"/>
      <c r="G62" s="682"/>
      <c r="H62" s="682"/>
      <c r="I62" s="682"/>
      <c r="J62" s="682"/>
    </row>
    <row r="63" spans="2:10">
      <c r="B63" s="674" t="s">
        <v>1528</v>
      </c>
      <c r="C63" s="675" t="s">
        <v>2995</v>
      </c>
      <c r="D63" s="674" t="s">
        <v>346</v>
      </c>
      <c r="E63" s="674" t="s">
        <v>347</v>
      </c>
      <c r="F63" s="675" t="s">
        <v>348</v>
      </c>
      <c r="G63" s="674"/>
      <c r="H63" s="674"/>
      <c r="I63" s="674"/>
      <c r="J63" s="674"/>
    </row>
    <row r="64" spans="2:10">
      <c r="B64" s="674" t="s">
        <v>1528</v>
      </c>
      <c r="C64" s="675" t="s">
        <v>2995</v>
      </c>
      <c r="D64" s="674" t="s">
        <v>889</v>
      </c>
      <c r="E64" s="674" t="s">
        <v>351</v>
      </c>
      <c r="F64" s="675" t="s">
        <v>348</v>
      </c>
      <c r="G64" s="674"/>
      <c r="H64" s="674"/>
      <c r="I64" s="674"/>
      <c r="J64" s="674"/>
    </row>
    <row r="65" spans="2:10">
      <c r="B65" s="674" t="s">
        <v>1528</v>
      </c>
      <c r="C65" s="675" t="s">
        <v>2995</v>
      </c>
      <c r="D65" s="676" t="s">
        <v>893</v>
      </c>
      <c r="E65" s="674" t="s">
        <v>917</v>
      </c>
      <c r="F65" s="675" t="s">
        <v>348</v>
      </c>
      <c r="G65" s="674"/>
      <c r="H65" s="674"/>
      <c r="I65" s="674"/>
      <c r="J65" s="674"/>
    </row>
    <row r="66" spans="2:10">
      <c r="B66" s="677" t="s">
        <v>1531</v>
      </c>
      <c r="C66" s="675" t="s">
        <v>2995</v>
      </c>
      <c r="D66" s="674" t="s">
        <v>359</v>
      </c>
      <c r="E66" s="674" t="s">
        <v>360</v>
      </c>
      <c r="F66" s="675" t="s">
        <v>348</v>
      </c>
      <c r="G66" s="674"/>
      <c r="H66" s="674"/>
      <c r="I66" s="674"/>
      <c r="J66" s="674"/>
    </row>
    <row r="67" spans="2:10">
      <c r="B67" s="674" t="s">
        <v>1528</v>
      </c>
      <c r="C67" s="675" t="s">
        <v>2995</v>
      </c>
      <c r="D67" s="674" t="s">
        <v>863</v>
      </c>
      <c r="E67" s="674" t="s">
        <v>864</v>
      </c>
      <c r="F67" s="675" t="s">
        <v>348</v>
      </c>
      <c r="G67" s="674"/>
      <c r="H67" s="674"/>
      <c r="I67" s="674"/>
      <c r="J67" s="674"/>
    </row>
    <row r="68" spans="2:10">
      <c r="B68" s="674" t="s">
        <v>1528</v>
      </c>
      <c r="C68" s="675" t="s">
        <v>2995</v>
      </c>
      <c r="D68" s="674" t="s">
        <v>1529</v>
      </c>
      <c r="E68" s="674" t="s">
        <v>1530</v>
      </c>
      <c r="F68" s="675" t="s">
        <v>348</v>
      </c>
      <c r="G68" s="674"/>
      <c r="H68" s="674"/>
      <c r="I68" s="674"/>
      <c r="J68" s="674"/>
    </row>
    <row r="69" spans="2:10">
      <c r="B69" s="683" t="s">
        <v>381</v>
      </c>
      <c r="C69" s="681"/>
      <c r="D69" s="681"/>
      <c r="E69" s="681"/>
      <c r="F69" s="681"/>
      <c r="G69" s="682"/>
      <c r="H69" s="682"/>
      <c r="I69" s="682"/>
      <c r="J69" s="682"/>
    </row>
    <row r="70" spans="2:10">
      <c r="B70" s="674" t="s">
        <v>1528</v>
      </c>
      <c r="C70" s="675" t="s">
        <v>2995</v>
      </c>
      <c r="D70" s="674" t="s">
        <v>382</v>
      </c>
      <c r="E70" s="674" t="s">
        <v>383</v>
      </c>
      <c r="F70" s="675" t="s">
        <v>348</v>
      </c>
      <c r="G70" s="674"/>
      <c r="H70" s="674"/>
      <c r="I70" s="674"/>
      <c r="J70" s="674"/>
    </row>
    <row r="71" spans="2:10">
      <c r="B71" s="683" t="s">
        <v>902</v>
      </c>
      <c r="C71" s="681"/>
      <c r="D71" s="681"/>
      <c r="E71" s="681"/>
      <c r="F71" s="681"/>
      <c r="G71" s="682"/>
      <c r="H71" s="682"/>
      <c r="I71" s="682"/>
      <c r="J71" s="682"/>
    </row>
    <row r="72" spans="2:10">
      <c r="B72" s="674" t="s">
        <v>1528</v>
      </c>
      <c r="C72" s="679" t="s">
        <v>905</v>
      </c>
      <c r="D72" s="674" t="s">
        <v>873</v>
      </c>
      <c r="E72" s="674" t="s">
        <v>903</v>
      </c>
      <c r="F72" s="678" t="s">
        <v>904</v>
      </c>
      <c r="G72" s="674"/>
      <c r="H72" s="674"/>
      <c r="I72" s="674"/>
      <c r="J72" s="674"/>
    </row>
    <row r="73" spans="2:10">
      <c r="B73" s="674" t="s">
        <v>1528</v>
      </c>
      <c r="C73" s="679" t="s">
        <v>905</v>
      </c>
      <c r="D73" s="674" t="s">
        <v>896</v>
      </c>
      <c r="E73" s="674" t="s">
        <v>906</v>
      </c>
      <c r="F73" s="675" t="s">
        <v>907</v>
      </c>
      <c r="G73" s="674"/>
      <c r="H73" s="674"/>
      <c r="I73" s="674"/>
      <c r="J73" s="674"/>
    </row>
    <row r="74" spans="2:10">
      <c r="B74" s="674" t="s">
        <v>1528</v>
      </c>
      <c r="C74" s="679" t="s">
        <v>905</v>
      </c>
      <c r="D74" s="674" t="s">
        <v>876</v>
      </c>
      <c r="E74" s="674" t="s">
        <v>908</v>
      </c>
      <c r="F74" s="675" t="s">
        <v>907</v>
      </c>
      <c r="G74" s="674"/>
      <c r="H74" s="674"/>
      <c r="I74" s="674"/>
      <c r="J74" s="674"/>
    </row>
    <row r="75" spans="2:10">
      <c r="B75" s="674" t="s">
        <v>1528</v>
      </c>
      <c r="C75" s="679" t="s">
        <v>905</v>
      </c>
      <c r="D75" s="674" t="s">
        <v>897</v>
      </c>
      <c r="E75" s="674" t="s">
        <v>909</v>
      </c>
      <c r="F75" s="675" t="s">
        <v>907</v>
      </c>
      <c r="G75" s="674"/>
      <c r="H75" s="674"/>
      <c r="I75" s="674"/>
      <c r="J75" s="674"/>
    </row>
    <row r="76" spans="2:10">
      <c r="B76" s="674" t="s">
        <v>1528</v>
      </c>
      <c r="C76" s="679" t="s">
        <v>905</v>
      </c>
      <c r="D76" s="674" t="s">
        <v>877</v>
      </c>
      <c r="E76" s="674" t="s">
        <v>910</v>
      </c>
      <c r="F76" s="675" t="s">
        <v>907</v>
      </c>
      <c r="G76" s="674"/>
      <c r="H76" s="674"/>
      <c r="I76" s="674"/>
      <c r="J76" s="674"/>
    </row>
    <row r="77" spans="2:10">
      <c r="B77" s="674" t="s">
        <v>1528</v>
      </c>
      <c r="C77" s="679" t="s">
        <v>905</v>
      </c>
      <c r="D77" s="674" t="s">
        <v>878</v>
      </c>
      <c r="E77" s="674" t="s">
        <v>911</v>
      </c>
      <c r="F77" s="675" t="s">
        <v>907</v>
      </c>
      <c r="G77" s="674"/>
      <c r="H77" s="674"/>
      <c r="I77" s="674"/>
      <c r="J77" s="674"/>
    </row>
    <row r="78" spans="2:10">
      <c r="B78" s="674" t="s">
        <v>1528</v>
      </c>
      <c r="C78" s="679" t="s">
        <v>905</v>
      </c>
      <c r="D78" s="674" t="s">
        <v>880</v>
      </c>
      <c r="E78" s="674" t="s">
        <v>912</v>
      </c>
      <c r="F78" s="675" t="s">
        <v>907</v>
      </c>
      <c r="G78" s="674"/>
      <c r="H78" s="674"/>
      <c r="I78" s="674"/>
      <c r="J78" s="674"/>
    </row>
    <row r="79" spans="2:10">
      <c r="B79" s="674" t="s">
        <v>1528</v>
      </c>
      <c r="C79" s="679" t="s">
        <v>905</v>
      </c>
      <c r="D79" s="674" t="s">
        <v>874</v>
      </c>
      <c r="E79" s="674" t="s">
        <v>874</v>
      </c>
      <c r="F79" s="675" t="s">
        <v>907</v>
      </c>
      <c r="G79" s="674"/>
      <c r="H79" s="674"/>
      <c r="I79" s="674"/>
      <c r="J79" s="674"/>
    </row>
    <row r="80" spans="2:10">
      <c r="B80" s="674" t="s">
        <v>1528</v>
      </c>
      <c r="C80" s="679" t="s">
        <v>905</v>
      </c>
      <c r="D80" s="674" t="s">
        <v>879</v>
      </c>
      <c r="E80" s="674" t="s">
        <v>913</v>
      </c>
      <c r="F80" s="675" t="s">
        <v>907</v>
      </c>
      <c r="G80" s="674"/>
      <c r="H80" s="674"/>
      <c r="I80" s="674"/>
      <c r="J80" s="674"/>
    </row>
    <row r="81" spans="2:10">
      <c r="B81" s="674" t="s">
        <v>1528</v>
      </c>
      <c r="C81" s="679" t="s">
        <v>905</v>
      </c>
      <c r="D81" s="674" t="s">
        <v>881</v>
      </c>
      <c r="E81" s="674" t="s">
        <v>914</v>
      </c>
      <c r="F81" s="675" t="s">
        <v>907</v>
      </c>
      <c r="G81" s="674"/>
      <c r="H81" s="674"/>
      <c r="I81" s="674"/>
      <c r="J81" s="674"/>
    </row>
    <row r="82" spans="2:10">
      <c r="B82" s="674" t="s">
        <v>1528</v>
      </c>
      <c r="C82" s="679" t="s">
        <v>905</v>
      </c>
      <c r="D82" s="674" t="s">
        <v>875</v>
      </c>
      <c r="E82" s="674" t="s">
        <v>915</v>
      </c>
      <c r="F82" s="675" t="s">
        <v>907</v>
      </c>
      <c r="G82" s="674"/>
      <c r="H82" s="674"/>
      <c r="I82" s="674"/>
      <c r="J82" s="674"/>
    </row>
    <row r="83" spans="2:10">
      <c r="B83" s="674" t="s">
        <v>1528</v>
      </c>
      <c r="C83" s="679" t="s">
        <v>905</v>
      </c>
      <c r="D83" s="674" t="s">
        <v>898</v>
      </c>
      <c r="E83" s="674" t="s">
        <v>1099</v>
      </c>
      <c r="F83" s="675" t="s">
        <v>907</v>
      </c>
      <c r="G83" s="674"/>
      <c r="H83" s="674"/>
      <c r="I83" s="674"/>
      <c r="J83" s="674"/>
    </row>
    <row r="84" spans="2:10">
      <c r="B84" s="674" t="s">
        <v>1528</v>
      </c>
      <c r="C84" s="679" t="s">
        <v>905</v>
      </c>
      <c r="D84" s="674" t="s">
        <v>899</v>
      </c>
      <c r="E84" s="674" t="s">
        <v>1100</v>
      </c>
      <c r="F84" s="675" t="s">
        <v>907</v>
      </c>
      <c r="G84" s="674"/>
      <c r="H84" s="674"/>
      <c r="I84" s="674"/>
      <c r="J84" s="674"/>
    </row>
    <row r="85" spans="2:10">
      <c r="B85" s="674" t="s">
        <v>1528</v>
      </c>
      <c r="C85" s="679" t="s">
        <v>905</v>
      </c>
      <c r="D85" s="674" t="s">
        <v>900</v>
      </c>
      <c r="E85" s="674" t="s">
        <v>1101</v>
      </c>
      <c r="F85" s="675" t="s">
        <v>907</v>
      </c>
      <c r="G85" s="674"/>
      <c r="H85" s="674"/>
      <c r="I85" s="674"/>
      <c r="J85" s="674"/>
    </row>
    <row r="86" spans="2:10">
      <c r="B86" s="674" t="s">
        <v>1528</v>
      </c>
      <c r="C86" s="679" t="s">
        <v>905</v>
      </c>
      <c r="D86" s="674" t="s">
        <v>901</v>
      </c>
      <c r="E86" s="674" t="s">
        <v>1102</v>
      </c>
      <c r="F86" s="675" t="s">
        <v>907</v>
      </c>
      <c r="G86" s="674"/>
      <c r="H86" s="674"/>
      <c r="I86" s="674"/>
      <c r="J86" s="674"/>
    </row>
    <row r="87" spans="2:10">
      <c r="B87" s="674" t="s">
        <v>1528</v>
      </c>
      <c r="C87" s="679" t="s">
        <v>905</v>
      </c>
      <c r="D87" s="674" t="s">
        <v>1525</v>
      </c>
      <c r="E87" s="674" t="s">
        <v>1526</v>
      </c>
      <c r="F87" s="675" t="s">
        <v>907</v>
      </c>
      <c r="G87" s="674"/>
      <c r="H87" s="674"/>
      <c r="I87" s="674"/>
      <c r="J87" s="674"/>
    </row>
    <row r="88" spans="2:10">
      <c r="B88" s="673" t="s">
        <v>390</v>
      </c>
      <c r="C88" s="678"/>
      <c r="D88" s="674"/>
      <c r="E88" s="674"/>
      <c r="F88" s="678"/>
      <c r="G88" s="674"/>
      <c r="H88" s="674"/>
      <c r="I88" s="674"/>
      <c r="J88" s="674"/>
    </row>
    <row r="89" spans="2:10">
      <c r="B89" s="677" t="s">
        <v>1531</v>
      </c>
      <c r="C89" s="679" t="s">
        <v>2995</v>
      </c>
      <c r="D89" s="674" t="s">
        <v>888</v>
      </c>
      <c r="E89" s="674" t="s">
        <v>916</v>
      </c>
      <c r="F89" s="675" t="s">
        <v>348</v>
      </c>
      <c r="G89" s="674"/>
      <c r="H89" s="674"/>
      <c r="I89" s="674"/>
      <c r="J89" s="674"/>
    </row>
    <row r="90" spans="2:10">
      <c r="B90" s="677" t="s">
        <v>1531</v>
      </c>
      <c r="C90" s="679" t="s">
        <v>2995</v>
      </c>
      <c r="D90" s="674" t="s">
        <v>892</v>
      </c>
      <c r="E90" s="680" t="s">
        <v>920</v>
      </c>
      <c r="F90" s="675" t="s">
        <v>348</v>
      </c>
      <c r="G90" s="674"/>
      <c r="H90" s="674"/>
      <c r="I90" s="674"/>
      <c r="J90" s="674"/>
    </row>
    <row r="91" spans="2:10">
      <c r="B91" s="677" t="s">
        <v>1531</v>
      </c>
      <c r="C91" s="679" t="s">
        <v>2995</v>
      </c>
      <c r="D91" s="676" t="s">
        <v>894</v>
      </c>
      <c r="E91" s="674" t="s">
        <v>918</v>
      </c>
      <c r="F91" s="675" t="s">
        <v>348</v>
      </c>
      <c r="G91" s="674"/>
      <c r="H91" s="674"/>
      <c r="I91" s="674"/>
      <c r="J91" s="674"/>
    </row>
    <row r="92" spans="2:10">
      <c r="B92" s="677" t="s">
        <v>1531</v>
      </c>
      <c r="C92" s="679" t="s">
        <v>2995</v>
      </c>
      <c r="D92" s="676" t="s">
        <v>895</v>
      </c>
      <c r="E92" s="674" t="s">
        <v>919</v>
      </c>
      <c r="F92" s="675" t="s">
        <v>348</v>
      </c>
      <c r="G92" s="674"/>
      <c r="H92" s="674"/>
      <c r="I92" s="674"/>
      <c r="J92" s="674"/>
    </row>
    <row r="93" spans="2:10">
      <c r="B93" s="677" t="s">
        <v>1531</v>
      </c>
      <c r="C93" s="677" t="s">
        <v>2997</v>
      </c>
      <c r="D93" s="677" t="s">
        <v>1532</v>
      </c>
      <c r="E93" s="677" t="s">
        <v>1533</v>
      </c>
      <c r="F93" s="677" t="s">
        <v>904</v>
      </c>
      <c r="G93" s="674"/>
      <c r="H93" s="674"/>
      <c r="I93" s="674"/>
      <c r="J93" s="674"/>
    </row>
    <row r="94" spans="2:10">
      <c r="B94" s="677" t="s">
        <v>1531</v>
      </c>
      <c r="C94" s="677" t="s">
        <v>2997</v>
      </c>
      <c r="D94" s="677" t="s">
        <v>1534</v>
      </c>
      <c r="E94" s="677" t="s">
        <v>1535</v>
      </c>
      <c r="F94" s="677" t="s">
        <v>904</v>
      </c>
      <c r="G94" s="674"/>
      <c r="H94" s="674"/>
      <c r="I94" s="674"/>
      <c r="J94" s="674"/>
    </row>
    <row r="95" spans="2:10">
      <c r="B95" s="677" t="s">
        <v>1531</v>
      </c>
      <c r="C95" s="677" t="s">
        <v>2997</v>
      </c>
      <c r="D95" s="677" t="s">
        <v>1536</v>
      </c>
      <c r="E95" s="677" t="s">
        <v>1537</v>
      </c>
      <c r="F95" s="677" t="s">
        <v>904</v>
      </c>
      <c r="G95" s="674"/>
      <c r="H95" s="674"/>
      <c r="I95" s="674"/>
      <c r="J95" s="674"/>
    </row>
    <row r="96" spans="2:10">
      <c r="B96" s="677" t="s">
        <v>1531</v>
      </c>
      <c r="C96" s="677" t="s">
        <v>2997</v>
      </c>
      <c r="D96" s="677" t="s">
        <v>1538</v>
      </c>
      <c r="E96" s="677" t="s">
        <v>1539</v>
      </c>
      <c r="F96" s="677" t="s">
        <v>904</v>
      </c>
      <c r="G96" s="674"/>
      <c r="H96" s="674"/>
      <c r="I96" s="674"/>
      <c r="J96" s="674"/>
    </row>
    <row r="97" spans="2:10">
      <c r="B97" s="677" t="s">
        <v>1528</v>
      </c>
      <c r="C97" s="677" t="s">
        <v>2997</v>
      </c>
      <c r="D97" s="677" t="s">
        <v>1540</v>
      </c>
      <c r="E97" s="677" t="s">
        <v>1541</v>
      </c>
      <c r="F97" s="677" t="s">
        <v>904</v>
      </c>
      <c r="G97" s="674"/>
      <c r="H97" s="674"/>
      <c r="I97" s="674"/>
      <c r="J97" s="674"/>
    </row>
    <row r="98" spans="2:10">
      <c r="B98" s="677" t="s">
        <v>1531</v>
      </c>
      <c r="C98" s="677" t="s">
        <v>2997</v>
      </c>
      <c r="D98" s="677" t="s">
        <v>1542</v>
      </c>
      <c r="E98" s="677" t="s">
        <v>1543</v>
      </c>
      <c r="F98" s="677" t="s">
        <v>904</v>
      </c>
      <c r="G98" s="674"/>
      <c r="H98" s="674"/>
      <c r="I98" s="674"/>
      <c r="J98" s="674"/>
    </row>
    <row r="99" spans="2:10">
      <c r="B99" s="677" t="s">
        <v>1528</v>
      </c>
      <c r="C99" s="677" t="s">
        <v>2997</v>
      </c>
      <c r="D99" s="677" t="s">
        <v>1544</v>
      </c>
      <c r="E99" s="677" t="s">
        <v>1545</v>
      </c>
      <c r="F99" s="677" t="s">
        <v>904</v>
      </c>
      <c r="G99" s="674"/>
      <c r="H99" s="674"/>
      <c r="I99" s="674"/>
      <c r="J99" s="674"/>
    </row>
    <row r="100" spans="2:10">
      <c r="B100" s="677" t="s">
        <v>1531</v>
      </c>
      <c r="C100" s="677" t="s">
        <v>2997</v>
      </c>
      <c r="D100" s="677" t="s">
        <v>1546</v>
      </c>
      <c r="E100" s="677" t="s">
        <v>1547</v>
      </c>
      <c r="F100" s="677" t="s">
        <v>904</v>
      </c>
      <c r="G100" s="674"/>
      <c r="H100" s="674"/>
      <c r="I100" s="674"/>
      <c r="J100" s="674"/>
    </row>
    <row r="101" spans="2:10">
      <c r="B101" s="677" t="s">
        <v>1531</v>
      </c>
      <c r="C101" s="677" t="s">
        <v>2997</v>
      </c>
      <c r="D101" s="677" t="s">
        <v>1548</v>
      </c>
      <c r="E101" s="677" t="s">
        <v>1549</v>
      </c>
      <c r="F101" s="677" t="s">
        <v>904</v>
      </c>
      <c r="G101" s="674"/>
      <c r="H101" s="674"/>
      <c r="I101" s="674"/>
      <c r="J101" s="674"/>
    </row>
    <row r="102" spans="2:10">
      <c r="B102" s="677" t="s">
        <v>1531</v>
      </c>
      <c r="C102" s="677" t="s">
        <v>2997</v>
      </c>
      <c r="D102" s="677" t="s">
        <v>1550</v>
      </c>
      <c r="E102" s="677" t="s">
        <v>1551</v>
      </c>
      <c r="F102" s="677" t="s">
        <v>904</v>
      </c>
      <c r="G102" s="674"/>
      <c r="H102" s="674"/>
      <c r="I102" s="674"/>
      <c r="J102" s="674"/>
    </row>
    <row r="103" spans="2:10">
      <c r="B103" s="677" t="s">
        <v>1531</v>
      </c>
      <c r="C103" s="677" t="s">
        <v>2997</v>
      </c>
      <c r="D103" s="677" t="s">
        <v>1552</v>
      </c>
      <c r="E103" s="677" t="s">
        <v>1553</v>
      </c>
      <c r="F103" s="677" t="s">
        <v>904</v>
      </c>
      <c r="G103" s="674"/>
      <c r="H103" s="674"/>
      <c r="I103" s="674"/>
      <c r="J103" s="674"/>
    </row>
    <row r="104" spans="2:10">
      <c r="B104" s="677" t="s">
        <v>1531</v>
      </c>
      <c r="C104" s="677" t="s">
        <v>2997</v>
      </c>
      <c r="D104" s="677" t="s">
        <v>1554</v>
      </c>
      <c r="E104" s="677" t="s">
        <v>1555</v>
      </c>
      <c r="F104" s="677" t="s">
        <v>904</v>
      </c>
      <c r="G104" s="674"/>
      <c r="H104" s="674"/>
      <c r="I104" s="674"/>
      <c r="J104" s="674"/>
    </row>
    <row r="105" spans="2:10">
      <c r="B105" s="677" t="s">
        <v>1531</v>
      </c>
      <c r="C105" s="677" t="s">
        <v>2997</v>
      </c>
      <c r="D105" s="677" t="s">
        <v>1556</v>
      </c>
      <c r="E105" s="677" t="s">
        <v>1557</v>
      </c>
      <c r="F105" s="677" t="s">
        <v>904</v>
      </c>
      <c r="G105" s="674"/>
      <c r="H105" s="674"/>
      <c r="I105" s="674"/>
      <c r="J105" s="674"/>
    </row>
    <row r="106" spans="2:10">
      <c r="B106" s="677" t="s">
        <v>1528</v>
      </c>
      <c r="C106" s="677" t="s">
        <v>2997</v>
      </c>
      <c r="D106" s="677" t="s">
        <v>1558</v>
      </c>
      <c r="E106" s="677" t="s">
        <v>1559</v>
      </c>
      <c r="F106" s="677" t="s">
        <v>904</v>
      </c>
      <c r="G106" s="674"/>
      <c r="H106" s="674"/>
      <c r="I106" s="674"/>
      <c r="J106" s="674"/>
    </row>
    <row r="107" spans="2:10">
      <c r="B107" s="677" t="s">
        <v>390</v>
      </c>
      <c r="C107" s="677"/>
      <c r="D107" s="677"/>
      <c r="E107" s="677"/>
      <c r="F107" s="677"/>
      <c r="G107" s="674"/>
      <c r="H107" s="674"/>
      <c r="I107" s="674"/>
      <c r="J107" s="674"/>
    </row>
    <row r="108" spans="2:10">
      <c r="B108" s="683" t="s">
        <v>1560</v>
      </c>
      <c r="C108" s="681"/>
      <c r="D108" s="681"/>
      <c r="E108" s="681"/>
      <c r="F108" s="681"/>
      <c r="G108" s="682"/>
      <c r="H108" s="682"/>
      <c r="I108" s="682"/>
      <c r="J108" s="682"/>
    </row>
    <row r="109" spans="2:10">
      <c r="B109" s="677" t="s">
        <v>390</v>
      </c>
      <c r="C109" s="677"/>
      <c r="D109" s="677"/>
      <c r="E109" s="677"/>
      <c r="F109" s="677"/>
      <c r="G109" s="674"/>
      <c r="H109" s="674"/>
      <c r="I109" s="674"/>
      <c r="J109" s="674"/>
    </row>
    <row r="110" spans="2:10">
      <c r="B110" s="677" t="s">
        <v>1531</v>
      </c>
      <c r="C110" s="677" t="s">
        <v>2996</v>
      </c>
      <c r="D110" s="677" t="s">
        <v>1561</v>
      </c>
      <c r="E110" s="677" t="s">
        <v>1562</v>
      </c>
      <c r="F110" s="677" t="s">
        <v>904</v>
      </c>
      <c r="G110" s="674"/>
      <c r="H110" s="674"/>
      <c r="I110" s="674"/>
      <c r="J110" s="674"/>
    </row>
    <row r="111" spans="2:10">
      <c r="B111" s="677" t="s">
        <v>1531</v>
      </c>
      <c r="C111" s="677" t="s">
        <v>2997</v>
      </c>
      <c r="D111" s="677" t="s">
        <v>1563</v>
      </c>
      <c r="E111" s="677" t="s">
        <v>1564</v>
      </c>
      <c r="F111" s="677" t="s">
        <v>904</v>
      </c>
      <c r="G111" s="674"/>
      <c r="H111" s="674"/>
      <c r="I111" s="674"/>
      <c r="J111" s="674"/>
    </row>
    <row r="112" spans="2:10">
      <c r="B112" s="677" t="s">
        <v>1531</v>
      </c>
      <c r="C112" s="677" t="s">
        <v>2997</v>
      </c>
      <c r="D112" s="677" t="s">
        <v>1565</v>
      </c>
      <c r="E112" s="677" t="s">
        <v>1566</v>
      </c>
      <c r="F112" s="677" t="s">
        <v>904</v>
      </c>
      <c r="G112" s="674"/>
      <c r="H112" s="674"/>
      <c r="I112" s="674"/>
      <c r="J112" s="674"/>
    </row>
    <row r="113" spans="2:10">
      <c r="B113" s="677" t="s">
        <v>1531</v>
      </c>
      <c r="C113" s="677" t="s">
        <v>2997</v>
      </c>
      <c r="D113" s="677" t="s">
        <v>1567</v>
      </c>
      <c r="E113" s="677" t="s">
        <v>1568</v>
      </c>
      <c r="F113" s="677" t="s">
        <v>904</v>
      </c>
      <c r="G113" s="674"/>
      <c r="H113" s="674"/>
      <c r="I113" s="674"/>
      <c r="J113" s="674"/>
    </row>
    <row r="114" spans="2:10">
      <c r="B114" s="677" t="s">
        <v>1531</v>
      </c>
      <c r="C114" s="677" t="s">
        <v>2997</v>
      </c>
      <c r="D114" s="677" t="s">
        <v>1569</v>
      </c>
      <c r="E114" s="677" t="s">
        <v>1570</v>
      </c>
      <c r="F114" s="677" t="s">
        <v>904</v>
      </c>
      <c r="G114" s="674"/>
      <c r="H114" s="674"/>
      <c r="I114" s="674"/>
      <c r="J114" s="674"/>
    </row>
    <row r="115" spans="2:10">
      <c r="B115" s="677" t="s">
        <v>1531</v>
      </c>
      <c r="C115" s="677" t="s">
        <v>2997</v>
      </c>
      <c r="D115" s="677" t="s">
        <v>1571</v>
      </c>
      <c r="E115" s="677" t="s">
        <v>1572</v>
      </c>
      <c r="F115" s="677" t="s">
        <v>904</v>
      </c>
      <c r="G115" s="674"/>
      <c r="H115" s="674"/>
      <c r="I115" s="674"/>
      <c r="J115" s="674"/>
    </row>
    <row r="116" spans="2:10">
      <c r="B116" s="677" t="s">
        <v>1531</v>
      </c>
      <c r="C116" s="677" t="s">
        <v>2997</v>
      </c>
      <c r="D116" s="677" t="s">
        <v>1573</v>
      </c>
      <c r="E116" s="677" t="s">
        <v>1574</v>
      </c>
      <c r="F116" s="677" t="s">
        <v>904</v>
      </c>
      <c r="G116" s="674"/>
      <c r="H116" s="674"/>
      <c r="I116" s="674"/>
      <c r="J116" s="674"/>
    </row>
    <row r="117" spans="2:10">
      <c r="B117" s="677" t="s">
        <v>1531</v>
      </c>
      <c r="C117" s="677" t="s">
        <v>2997</v>
      </c>
      <c r="D117" s="677" t="s">
        <v>1575</v>
      </c>
      <c r="E117" s="677" t="s">
        <v>1576</v>
      </c>
      <c r="F117" s="677" t="s">
        <v>904</v>
      </c>
      <c r="G117" s="674"/>
      <c r="H117" s="674"/>
      <c r="I117" s="674"/>
      <c r="J117" s="674"/>
    </row>
    <row r="118" spans="2:10">
      <c r="B118" s="677" t="s">
        <v>1531</v>
      </c>
      <c r="C118" s="677" t="s">
        <v>2997</v>
      </c>
      <c r="D118" s="677" t="s">
        <v>1577</v>
      </c>
      <c r="E118" s="677" t="s">
        <v>1578</v>
      </c>
      <c r="F118" s="677" t="s">
        <v>904</v>
      </c>
      <c r="G118" s="674"/>
      <c r="H118" s="674"/>
      <c r="I118" s="674"/>
      <c r="J118" s="674"/>
    </row>
    <row r="119" spans="2:10">
      <c r="B119" s="677" t="s">
        <v>1531</v>
      </c>
      <c r="C119" s="677" t="s">
        <v>2997</v>
      </c>
      <c r="D119" s="677" t="s">
        <v>1579</v>
      </c>
      <c r="E119" s="677" t="s">
        <v>1580</v>
      </c>
      <c r="F119" s="677" t="s">
        <v>904</v>
      </c>
      <c r="G119" s="674"/>
      <c r="H119" s="674"/>
      <c r="I119" s="674"/>
      <c r="J119" s="674"/>
    </row>
    <row r="120" spans="2:10">
      <c r="B120" s="677" t="s">
        <v>1531</v>
      </c>
      <c r="C120" s="677" t="s">
        <v>2997</v>
      </c>
      <c r="D120" s="677" t="s">
        <v>1581</v>
      </c>
      <c r="E120" s="677" t="s">
        <v>1582</v>
      </c>
      <c r="F120" s="677" t="s">
        <v>904</v>
      </c>
      <c r="G120" s="674"/>
      <c r="H120" s="674"/>
      <c r="I120" s="674"/>
      <c r="J120" s="674"/>
    </row>
    <row r="121" spans="2:10">
      <c r="B121" s="677" t="s">
        <v>1531</v>
      </c>
      <c r="C121" s="677" t="s">
        <v>2997</v>
      </c>
      <c r="D121" s="677" t="s">
        <v>1583</v>
      </c>
      <c r="E121" s="677" t="s">
        <v>1584</v>
      </c>
      <c r="F121" s="677" t="s">
        <v>904</v>
      </c>
      <c r="G121" s="674"/>
      <c r="H121" s="674"/>
      <c r="I121" s="674"/>
      <c r="J121" s="674"/>
    </row>
    <row r="122" spans="2:10">
      <c r="B122" s="677" t="s">
        <v>390</v>
      </c>
      <c r="C122" s="677"/>
      <c r="D122" s="677"/>
      <c r="E122" s="677"/>
      <c r="F122" s="677"/>
      <c r="G122" s="674"/>
      <c r="H122" s="674"/>
      <c r="I122" s="674"/>
      <c r="J122" s="674"/>
    </row>
    <row r="123" spans="2:10">
      <c r="B123" s="683" t="s">
        <v>1585</v>
      </c>
      <c r="C123" s="681"/>
      <c r="D123" s="681"/>
      <c r="E123" s="681"/>
      <c r="F123" s="681"/>
      <c r="G123" s="682"/>
      <c r="H123" s="682"/>
      <c r="I123" s="682"/>
      <c r="J123" s="682"/>
    </row>
    <row r="124" spans="2:10">
      <c r="B124" s="677" t="s">
        <v>390</v>
      </c>
      <c r="C124" s="677"/>
      <c r="D124" s="677"/>
      <c r="E124" s="677"/>
      <c r="F124" s="677"/>
      <c r="G124" s="674"/>
      <c r="H124" s="674"/>
      <c r="I124" s="674"/>
      <c r="J124" s="674"/>
    </row>
    <row r="125" spans="2:10">
      <c r="B125" s="677" t="s">
        <v>1531</v>
      </c>
      <c r="C125" s="677" t="s">
        <v>2997</v>
      </c>
      <c r="D125" s="677" t="s">
        <v>1586</v>
      </c>
      <c r="E125" s="677" t="s">
        <v>1587</v>
      </c>
      <c r="F125" s="677" t="s">
        <v>904</v>
      </c>
      <c r="G125" s="674"/>
      <c r="H125" s="674"/>
      <c r="I125" s="674"/>
      <c r="J125" s="674"/>
    </row>
    <row r="126" spans="2:10">
      <c r="B126" s="677" t="s">
        <v>1531</v>
      </c>
      <c r="C126" s="677" t="s">
        <v>2997</v>
      </c>
      <c r="D126" s="677" t="s">
        <v>1588</v>
      </c>
      <c r="E126" s="677" t="s">
        <v>1587</v>
      </c>
      <c r="F126" s="677" t="s">
        <v>904</v>
      </c>
      <c r="G126" s="674"/>
      <c r="H126" s="674"/>
      <c r="I126" s="674"/>
      <c r="J126" s="674"/>
    </row>
    <row r="127" spans="2:10">
      <c r="B127" s="677" t="s">
        <v>1531</v>
      </c>
      <c r="C127" s="677" t="s">
        <v>2997</v>
      </c>
      <c r="D127" s="677" t="s">
        <v>1589</v>
      </c>
      <c r="E127" s="677" t="s">
        <v>1590</v>
      </c>
      <c r="F127" s="677" t="s">
        <v>904</v>
      </c>
      <c r="G127" s="674"/>
      <c r="H127" s="674"/>
      <c r="I127" s="674"/>
      <c r="J127" s="674"/>
    </row>
    <row r="128" spans="2:10">
      <c r="B128" s="677" t="s">
        <v>1531</v>
      </c>
      <c r="C128" s="677" t="s">
        <v>2997</v>
      </c>
      <c r="D128" s="677" t="s">
        <v>1591</v>
      </c>
      <c r="E128" s="677" t="s">
        <v>1590</v>
      </c>
      <c r="F128" s="677" t="s">
        <v>904</v>
      </c>
      <c r="G128" s="674"/>
      <c r="H128" s="674"/>
      <c r="I128" s="674"/>
      <c r="J128" s="674"/>
    </row>
    <row r="129" spans="2:10">
      <c r="B129" s="677" t="s">
        <v>1531</v>
      </c>
      <c r="C129" s="677" t="s">
        <v>2997</v>
      </c>
      <c r="D129" s="677" t="s">
        <v>1592</v>
      </c>
      <c r="E129" s="677" t="s">
        <v>1593</v>
      </c>
      <c r="F129" s="677" t="s">
        <v>904</v>
      </c>
      <c r="G129" s="674"/>
      <c r="H129" s="674"/>
      <c r="I129" s="674"/>
      <c r="J129" s="674"/>
    </row>
    <row r="130" spans="2:10">
      <c r="B130" s="677" t="s">
        <v>1531</v>
      </c>
      <c r="C130" s="677" t="s">
        <v>2997</v>
      </c>
      <c r="D130" s="677" t="s">
        <v>1594</v>
      </c>
      <c r="E130" s="677" t="s">
        <v>1593</v>
      </c>
      <c r="F130" s="677" t="s">
        <v>904</v>
      </c>
      <c r="G130" s="674"/>
      <c r="H130" s="674"/>
      <c r="I130" s="674"/>
      <c r="J130" s="674"/>
    </row>
    <row r="131" spans="2:10">
      <c r="B131" s="677" t="s">
        <v>1531</v>
      </c>
      <c r="C131" s="677" t="s">
        <v>2997</v>
      </c>
      <c r="D131" s="677" t="s">
        <v>1595</v>
      </c>
      <c r="E131" s="677" t="s">
        <v>1596</v>
      </c>
      <c r="F131" s="677" t="s">
        <v>904</v>
      </c>
      <c r="G131" s="674"/>
      <c r="H131" s="674"/>
      <c r="I131" s="674"/>
      <c r="J131" s="674"/>
    </row>
    <row r="132" spans="2:10">
      <c r="B132" s="677" t="s">
        <v>1531</v>
      </c>
      <c r="C132" s="677" t="s">
        <v>2997</v>
      </c>
      <c r="D132" s="677" t="s">
        <v>1597</v>
      </c>
      <c r="E132" s="677" t="s">
        <v>1596</v>
      </c>
      <c r="F132" s="677" t="s">
        <v>904</v>
      </c>
      <c r="G132" s="674"/>
      <c r="H132" s="674"/>
      <c r="I132" s="674"/>
      <c r="J132" s="674"/>
    </row>
    <row r="133" spans="2:10">
      <c r="B133" s="677" t="s">
        <v>1531</v>
      </c>
      <c r="C133" s="677" t="s">
        <v>2997</v>
      </c>
      <c r="D133" s="677" t="s">
        <v>1598</v>
      </c>
      <c r="E133" s="677" t="s">
        <v>1599</v>
      </c>
      <c r="F133" s="677" t="s">
        <v>904</v>
      </c>
      <c r="G133" s="674"/>
      <c r="H133" s="674"/>
      <c r="I133" s="674"/>
      <c r="J133" s="674"/>
    </row>
    <row r="134" spans="2:10">
      <c r="B134" s="677" t="s">
        <v>1531</v>
      </c>
      <c r="C134" s="677" t="s">
        <v>2997</v>
      </c>
      <c r="D134" s="677" t="s">
        <v>1600</v>
      </c>
      <c r="E134" s="677" t="s">
        <v>1599</v>
      </c>
      <c r="F134" s="677" t="s">
        <v>904</v>
      </c>
      <c r="G134" s="674"/>
      <c r="H134" s="674"/>
      <c r="I134" s="674"/>
      <c r="J134" s="674"/>
    </row>
    <row r="135" spans="2:10">
      <c r="B135" s="677" t="s">
        <v>1531</v>
      </c>
      <c r="C135" s="677" t="s">
        <v>2997</v>
      </c>
      <c r="D135" s="677" t="s">
        <v>1601</v>
      </c>
      <c r="E135" s="677" t="s">
        <v>1602</v>
      </c>
      <c r="F135" s="677" t="s">
        <v>904</v>
      </c>
      <c r="G135" s="674"/>
      <c r="H135" s="674"/>
      <c r="I135" s="674"/>
      <c r="J135" s="674"/>
    </row>
    <row r="136" spans="2:10">
      <c r="B136" s="677" t="s">
        <v>1531</v>
      </c>
      <c r="C136" s="677" t="s">
        <v>2997</v>
      </c>
      <c r="D136" s="677" t="s">
        <v>1603</v>
      </c>
      <c r="E136" s="677" t="s">
        <v>1602</v>
      </c>
      <c r="F136" s="677" t="s">
        <v>904</v>
      </c>
      <c r="G136" s="674"/>
      <c r="H136" s="674"/>
      <c r="I136" s="674"/>
      <c r="J136" s="674"/>
    </row>
    <row r="137" spans="2:10">
      <c r="B137" s="677" t="s">
        <v>1531</v>
      </c>
      <c r="C137" s="677" t="s">
        <v>2997</v>
      </c>
      <c r="D137" s="677" t="s">
        <v>1604</v>
      </c>
      <c r="E137" s="677" t="s">
        <v>1605</v>
      </c>
      <c r="F137" s="677" t="s">
        <v>904</v>
      </c>
      <c r="G137" s="674"/>
      <c r="H137" s="674"/>
      <c r="I137" s="674"/>
      <c r="J137" s="674"/>
    </row>
    <row r="138" spans="2:10">
      <c r="B138" s="677" t="s">
        <v>1531</v>
      </c>
      <c r="C138" s="677" t="s">
        <v>2997</v>
      </c>
      <c r="D138" s="677" t="s">
        <v>1606</v>
      </c>
      <c r="E138" s="677" t="s">
        <v>1605</v>
      </c>
      <c r="F138" s="677" t="s">
        <v>904</v>
      </c>
      <c r="G138" s="674"/>
      <c r="H138" s="674"/>
      <c r="I138" s="674"/>
      <c r="J138" s="674"/>
    </row>
    <row r="139" spans="2:10">
      <c r="B139" s="677" t="s">
        <v>1531</v>
      </c>
      <c r="C139" s="677" t="s">
        <v>2997</v>
      </c>
      <c r="D139" s="677" t="s">
        <v>1607</v>
      </c>
      <c r="E139" s="677" t="s">
        <v>1608</v>
      </c>
      <c r="F139" s="677" t="s">
        <v>904</v>
      </c>
      <c r="G139" s="674"/>
      <c r="H139" s="674"/>
      <c r="I139" s="674"/>
      <c r="J139" s="674"/>
    </row>
    <row r="140" spans="2:10">
      <c r="B140" s="677" t="s">
        <v>1531</v>
      </c>
      <c r="C140" s="677" t="s">
        <v>2997</v>
      </c>
      <c r="D140" s="677" t="s">
        <v>1609</v>
      </c>
      <c r="E140" s="677" t="s">
        <v>1610</v>
      </c>
      <c r="F140" s="677" t="s">
        <v>904</v>
      </c>
      <c r="G140" s="674"/>
      <c r="H140" s="674"/>
      <c r="I140" s="674"/>
      <c r="J140" s="674"/>
    </row>
    <row r="141" spans="2:10">
      <c r="B141" s="677" t="s">
        <v>1531</v>
      </c>
      <c r="C141" s="677" t="s">
        <v>2997</v>
      </c>
      <c r="D141" s="677" t="s">
        <v>1611</v>
      </c>
      <c r="E141" s="677" t="s">
        <v>1612</v>
      </c>
      <c r="F141" s="677" t="s">
        <v>904</v>
      </c>
      <c r="G141" s="674"/>
      <c r="H141" s="674"/>
      <c r="I141" s="674"/>
      <c r="J141" s="674"/>
    </row>
    <row r="142" spans="2:10">
      <c r="B142" s="677" t="s">
        <v>1531</v>
      </c>
      <c r="C142" s="677" t="s">
        <v>2997</v>
      </c>
      <c r="D142" s="677" t="s">
        <v>1613</v>
      </c>
      <c r="E142" s="677" t="s">
        <v>1612</v>
      </c>
      <c r="F142" s="677" t="s">
        <v>904</v>
      </c>
      <c r="G142" s="674"/>
      <c r="H142" s="674"/>
      <c r="I142" s="674"/>
      <c r="J142" s="674"/>
    </row>
    <row r="143" spans="2:10">
      <c r="B143" s="677" t="s">
        <v>1531</v>
      </c>
      <c r="C143" s="677" t="s">
        <v>2997</v>
      </c>
      <c r="D143" s="677" t="s">
        <v>1614</v>
      </c>
      <c r="E143" s="677" t="s">
        <v>1615</v>
      </c>
      <c r="F143" s="677" t="s">
        <v>904</v>
      </c>
      <c r="G143" s="674"/>
      <c r="H143" s="674"/>
      <c r="I143" s="674"/>
      <c r="J143" s="674"/>
    </row>
    <row r="144" spans="2:10">
      <c r="B144" s="677" t="s">
        <v>1531</v>
      </c>
      <c r="C144" s="677" t="s">
        <v>2997</v>
      </c>
      <c r="D144" s="677" t="s">
        <v>1616</v>
      </c>
      <c r="E144" s="677" t="s">
        <v>1617</v>
      </c>
      <c r="F144" s="677" t="s">
        <v>904</v>
      </c>
      <c r="G144" s="674"/>
      <c r="H144" s="674"/>
      <c r="I144" s="674"/>
      <c r="J144" s="674"/>
    </row>
    <row r="145" spans="2:10">
      <c r="B145" s="677" t="s">
        <v>1531</v>
      </c>
      <c r="C145" s="677" t="s">
        <v>2997</v>
      </c>
      <c r="D145" s="677" t="s">
        <v>1618</v>
      </c>
      <c r="E145" s="677" t="s">
        <v>1619</v>
      </c>
      <c r="F145" s="677" t="s">
        <v>904</v>
      </c>
      <c r="G145" s="674"/>
      <c r="H145" s="674"/>
      <c r="I145" s="674"/>
      <c r="J145" s="674"/>
    </row>
    <row r="146" spans="2:10">
      <c r="B146" s="677" t="s">
        <v>390</v>
      </c>
      <c r="C146" s="677"/>
      <c r="D146" s="677"/>
      <c r="E146" s="677"/>
      <c r="F146" s="677"/>
      <c r="G146" s="674"/>
      <c r="H146" s="674"/>
      <c r="I146" s="674"/>
      <c r="J146" s="674"/>
    </row>
    <row r="147" spans="2:10">
      <c r="B147" s="683" t="s">
        <v>1620</v>
      </c>
      <c r="C147" s="681"/>
      <c r="D147" s="681"/>
      <c r="E147" s="681"/>
      <c r="F147" s="681"/>
      <c r="G147" s="682"/>
      <c r="H147" s="682"/>
      <c r="I147" s="682"/>
      <c r="J147" s="682"/>
    </row>
    <row r="148" spans="2:10">
      <c r="B148" s="677" t="s">
        <v>390</v>
      </c>
      <c r="C148" s="677"/>
      <c r="D148" s="677"/>
      <c r="E148" s="677"/>
      <c r="F148" s="677"/>
      <c r="G148" s="674"/>
      <c r="H148" s="674"/>
      <c r="I148" s="674"/>
      <c r="J148" s="674"/>
    </row>
    <row r="149" spans="2:10">
      <c r="B149" s="677" t="s">
        <v>1531</v>
      </c>
      <c r="C149" s="677" t="s">
        <v>2996</v>
      </c>
      <c r="D149" s="677" t="s">
        <v>1621</v>
      </c>
      <c r="E149" s="677" t="s">
        <v>1562</v>
      </c>
      <c r="F149" s="677" t="s">
        <v>904</v>
      </c>
      <c r="G149" s="674"/>
      <c r="H149" s="674"/>
      <c r="I149" s="674"/>
      <c r="J149" s="674"/>
    </row>
    <row r="150" spans="2:10">
      <c r="B150" s="677" t="s">
        <v>1531</v>
      </c>
      <c r="C150" s="677" t="s">
        <v>2997</v>
      </c>
      <c r="D150" s="677" t="s">
        <v>1622</v>
      </c>
      <c r="E150" s="677" t="s">
        <v>1623</v>
      </c>
      <c r="F150" s="677" t="s">
        <v>904</v>
      </c>
      <c r="G150" s="674"/>
      <c r="H150" s="674"/>
      <c r="I150" s="674"/>
      <c r="J150" s="674"/>
    </row>
    <row r="151" spans="2:10">
      <c r="B151" s="677" t="s">
        <v>1531</v>
      </c>
      <c r="C151" s="677" t="s">
        <v>2997</v>
      </c>
      <c r="D151" s="677" t="s">
        <v>1624</v>
      </c>
      <c r="E151" s="677" t="s">
        <v>1566</v>
      </c>
      <c r="F151" s="677" t="s">
        <v>904</v>
      </c>
      <c r="G151" s="674"/>
      <c r="H151" s="674"/>
      <c r="I151" s="674"/>
      <c r="J151" s="674"/>
    </row>
    <row r="152" spans="2:10">
      <c r="B152" s="677" t="s">
        <v>1531</v>
      </c>
      <c r="C152" s="677" t="s">
        <v>2997</v>
      </c>
      <c r="D152" s="677" t="s">
        <v>1625</v>
      </c>
      <c r="E152" s="677" t="s">
        <v>1568</v>
      </c>
      <c r="F152" s="677" t="s">
        <v>904</v>
      </c>
      <c r="G152" s="674"/>
      <c r="H152" s="674"/>
      <c r="I152" s="674"/>
      <c r="J152" s="674"/>
    </row>
    <row r="153" spans="2:10">
      <c r="B153" s="677" t="s">
        <v>1531</v>
      </c>
      <c r="C153" s="677" t="s">
        <v>2997</v>
      </c>
      <c r="D153" s="677" t="s">
        <v>1626</v>
      </c>
      <c r="E153" s="677" t="s">
        <v>1627</v>
      </c>
      <c r="F153" s="677" t="s">
        <v>904</v>
      </c>
      <c r="G153" s="674"/>
      <c r="H153" s="674"/>
      <c r="I153" s="674"/>
      <c r="J153" s="674"/>
    </row>
    <row r="154" spans="2:10">
      <c r="B154" s="677" t="s">
        <v>1531</v>
      </c>
      <c r="C154" s="677" t="s">
        <v>2997</v>
      </c>
      <c r="D154" s="677" t="s">
        <v>1628</v>
      </c>
      <c r="E154" s="677" t="s">
        <v>1629</v>
      </c>
      <c r="F154" s="677" t="s">
        <v>904</v>
      </c>
      <c r="G154" s="674"/>
      <c r="H154" s="674"/>
      <c r="I154" s="674"/>
      <c r="J154" s="674"/>
    </row>
    <row r="155" spans="2:10">
      <c r="B155" s="677" t="s">
        <v>1531</v>
      </c>
      <c r="C155" s="677" t="s">
        <v>2997</v>
      </c>
      <c r="D155" s="677" t="s">
        <v>1630</v>
      </c>
      <c r="E155" s="677" t="s">
        <v>1631</v>
      </c>
      <c r="F155" s="677" t="s">
        <v>904</v>
      </c>
      <c r="G155" s="674"/>
      <c r="H155" s="674"/>
      <c r="I155" s="674"/>
      <c r="J155" s="674"/>
    </row>
    <row r="156" spans="2:10">
      <c r="B156" s="677" t="s">
        <v>1531</v>
      </c>
      <c r="C156" s="677" t="s">
        <v>2997</v>
      </c>
      <c r="D156" s="677" t="s">
        <v>1632</v>
      </c>
      <c r="E156" s="677" t="s">
        <v>1633</v>
      </c>
      <c r="F156" s="677" t="s">
        <v>904</v>
      </c>
      <c r="G156" s="674"/>
      <c r="H156" s="674"/>
      <c r="I156" s="674"/>
      <c r="J156" s="674"/>
    </row>
    <row r="157" spans="2:10">
      <c r="B157" s="677" t="s">
        <v>1531</v>
      </c>
      <c r="C157" s="677" t="s">
        <v>2997</v>
      </c>
      <c r="D157" s="677" t="s">
        <v>1634</v>
      </c>
      <c r="E157" s="677" t="s">
        <v>1635</v>
      </c>
      <c r="F157" s="677" t="s">
        <v>904</v>
      </c>
      <c r="G157" s="674"/>
      <c r="H157" s="674"/>
      <c r="I157" s="674"/>
      <c r="J157" s="674"/>
    </row>
    <row r="158" spans="2:10">
      <c r="B158" s="677" t="s">
        <v>1531</v>
      </c>
      <c r="C158" s="677" t="s">
        <v>2997</v>
      </c>
      <c r="D158" s="677" t="s">
        <v>1636</v>
      </c>
      <c r="E158" s="677" t="s">
        <v>1637</v>
      </c>
      <c r="F158" s="677" t="s">
        <v>904</v>
      </c>
      <c r="G158" s="674"/>
      <c r="H158" s="674"/>
      <c r="I158" s="674"/>
      <c r="J158" s="674"/>
    </row>
    <row r="159" spans="2:10">
      <c r="B159" s="677" t="s">
        <v>1531</v>
      </c>
      <c r="C159" s="677" t="s">
        <v>2997</v>
      </c>
      <c r="D159" s="677" t="s">
        <v>1638</v>
      </c>
      <c r="E159" s="677" t="s">
        <v>1639</v>
      </c>
      <c r="F159" s="677" t="s">
        <v>904</v>
      </c>
      <c r="G159" s="674"/>
      <c r="H159" s="674"/>
      <c r="I159" s="674"/>
      <c r="J159" s="674"/>
    </row>
    <row r="160" spans="2:10">
      <c r="B160" s="677" t="s">
        <v>1531</v>
      </c>
      <c r="C160" s="677" t="s">
        <v>2997</v>
      </c>
      <c r="D160" s="677" t="s">
        <v>1640</v>
      </c>
      <c r="E160" s="677" t="s">
        <v>1584</v>
      </c>
      <c r="F160" s="677" t="s">
        <v>904</v>
      </c>
      <c r="G160" s="674"/>
      <c r="H160" s="674"/>
      <c r="I160" s="674"/>
      <c r="J160" s="674"/>
    </row>
    <row r="161" spans="2:10">
      <c r="B161" s="677" t="s">
        <v>390</v>
      </c>
      <c r="C161" s="677"/>
      <c r="D161" s="677"/>
      <c r="E161" s="677"/>
      <c r="F161" s="677"/>
      <c r="G161" s="674"/>
      <c r="H161" s="674"/>
      <c r="I161" s="674"/>
      <c r="J161" s="674"/>
    </row>
    <row r="162" spans="2:10">
      <c r="B162" s="683" t="s">
        <v>1641</v>
      </c>
      <c r="C162" s="681"/>
      <c r="D162" s="681"/>
      <c r="E162" s="681"/>
      <c r="F162" s="681"/>
      <c r="G162" s="682"/>
      <c r="H162" s="682"/>
      <c r="I162" s="682"/>
      <c r="J162" s="682"/>
    </row>
    <row r="163" spans="2:10">
      <c r="B163" s="677" t="s">
        <v>390</v>
      </c>
      <c r="C163" s="677"/>
      <c r="D163" s="677"/>
      <c r="E163" s="677"/>
      <c r="F163" s="677"/>
      <c r="G163" s="674"/>
      <c r="H163" s="674"/>
      <c r="I163" s="674"/>
      <c r="J163" s="674"/>
    </row>
    <row r="164" spans="2:10">
      <c r="B164" s="677" t="s">
        <v>1531</v>
      </c>
      <c r="C164" s="677" t="s">
        <v>2997</v>
      </c>
      <c r="D164" s="677" t="s">
        <v>1642</v>
      </c>
      <c r="E164" s="677" t="s">
        <v>1587</v>
      </c>
      <c r="F164" s="677" t="s">
        <v>904</v>
      </c>
      <c r="G164" s="674"/>
      <c r="H164" s="674"/>
      <c r="I164" s="674"/>
      <c r="J164" s="674"/>
    </row>
    <row r="165" spans="2:10">
      <c r="B165" s="677" t="s">
        <v>1531</v>
      </c>
      <c r="C165" s="677" t="s">
        <v>2997</v>
      </c>
      <c r="D165" s="677" t="s">
        <v>1643</v>
      </c>
      <c r="E165" s="677" t="s">
        <v>1587</v>
      </c>
      <c r="F165" s="677" t="s">
        <v>904</v>
      </c>
      <c r="G165" s="674"/>
      <c r="H165" s="674"/>
      <c r="I165" s="674"/>
      <c r="J165" s="674"/>
    </row>
    <row r="166" spans="2:10">
      <c r="B166" s="677" t="s">
        <v>1531</v>
      </c>
      <c r="C166" s="677" t="s">
        <v>2997</v>
      </c>
      <c r="D166" s="677" t="s">
        <v>1644</v>
      </c>
      <c r="E166" s="677" t="s">
        <v>1590</v>
      </c>
      <c r="F166" s="677" t="s">
        <v>904</v>
      </c>
      <c r="G166" s="674"/>
      <c r="H166" s="674"/>
      <c r="I166" s="674"/>
      <c r="J166" s="674"/>
    </row>
    <row r="167" spans="2:10">
      <c r="B167" s="677" t="s">
        <v>1531</v>
      </c>
      <c r="C167" s="677" t="s">
        <v>2997</v>
      </c>
      <c r="D167" s="677" t="s">
        <v>1645</v>
      </c>
      <c r="E167" s="677" t="s">
        <v>1590</v>
      </c>
      <c r="F167" s="677" t="s">
        <v>904</v>
      </c>
      <c r="G167" s="674"/>
      <c r="H167" s="674"/>
      <c r="I167" s="674"/>
      <c r="J167" s="674"/>
    </row>
    <row r="168" spans="2:10">
      <c r="B168" s="677" t="s">
        <v>1531</v>
      </c>
      <c r="C168" s="677" t="s">
        <v>2997</v>
      </c>
      <c r="D168" s="677" t="s">
        <v>1646</v>
      </c>
      <c r="E168" s="677" t="s">
        <v>1593</v>
      </c>
      <c r="F168" s="677" t="s">
        <v>904</v>
      </c>
      <c r="G168" s="674"/>
      <c r="H168" s="674"/>
      <c r="I168" s="674"/>
      <c r="J168" s="674"/>
    </row>
    <row r="169" spans="2:10">
      <c r="B169" s="677" t="s">
        <v>1531</v>
      </c>
      <c r="C169" s="677" t="s">
        <v>2997</v>
      </c>
      <c r="D169" s="677" t="s">
        <v>1647</v>
      </c>
      <c r="E169" s="677" t="s">
        <v>1593</v>
      </c>
      <c r="F169" s="677" t="s">
        <v>904</v>
      </c>
      <c r="G169" s="674"/>
      <c r="H169" s="674"/>
      <c r="I169" s="674"/>
      <c r="J169" s="674"/>
    </row>
    <row r="170" spans="2:10">
      <c r="B170" s="677" t="s">
        <v>1531</v>
      </c>
      <c r="C170" s="677" t="s">
        <v>2997</v>
      </c>
      <c r="D170" s="677" t="s">
        <v>1648</v>
      </c>
      <c r="E170" s="677" t="s">
        <v>1596</v>
      </c>
      <c r="F170" s="677" t="s">
        <v>904</v>
      </c>
      <c r="G170" s="674"/>
      <c r="H170" s="674"/>
      <c r="I170" s="674"/>
      <c r="J170" s="674"/>
    </row>
    <row r="171" spans="2:10">
      <c r="B171" s="677" t="s">
        <v>1531</v>
      </c>
      <c r="C171" s="677" t="s">
        <v>2997</v>
      </c>
      <c r="D171" s="677" t="s">
        <v>1649</v>
      </c>
      <c r="E171" s="677" t="s">
        <v>1596</v>
      </c>
      <c r="F171" s="677" t="s">
        <v>904</v>
      </c>
      <c r="G171" s="674"/>
      <c r="H171" s="674"/>
      <c r="I171" s="674"/>
      <c r="J171" s="674"/>
    </row>
    <row r="172" spans="2:10">
      <c r="B172" s="677" t="s">
        <v>1531</v>
      </c>
      <c r="C172" s="677" t="s">
        <v>2997</v>
      </c>
      <c r="D172" s="677" t="s">
        <v>1650</v>
      </c>
      <c r="E172" s="677" t="s">
        <v>1599</v>
      </c>
      <c r="F172" s="677" t="s">
        <v>904</v>
      </c>
      <c r="G172" s="674"/>
      <c r="H172" s="674"/>
      <c r="I172" s="674"/>
      <c r="J172" s="674"/>
    </row>
    <row r="173" spans="2:10">
      <c r="B173" s="677" t="s">
        <v>1531</v>
      </c>
      <c r="C173" s="677" t="s">
        <v>2997</v>
      </c>
      <c r="D173" s="677" t="s">
        <v>1651</v>
      </c>
      <c r="E173" s="677" t="s">
        <v>1599</v>
      </c>
      <c r="F173" s="677" t="s">
        <v>904</v>
      </c>
      <c r="G173" s="674"/>
      <c r="H173" s="674"/>
      <c r="I173" s="674"/>
      <c r="J173" s="674"/>
    </row>
    <row r="174" spans="2:10">
      <c r="B174" s="677" t="s">
        <v>1531</v>
      </c>
      <c r="C174" s="677" t="s">
        <v>2997</v>
      </c>
      <c r="D174" s="677" t="s">
        <v>1652</v>
      </c>
      <c r="E174" s="677" t="s">
        <v>1602</v>
      </c>
      <c r="F174" s="677" t="s">
        <v>904</v>
      </c>
      <c r="G174" s="674"/>
      <c r="H174" s="674"/>
      <c r="I174" s="674"/>
      <c r="J174" s="674"/>
    </row>
    <row r="175" spans="2:10">
      <c r="B175" s="677" t="s">
        <v>1531</v>
      </c>
      <c r="C175" s="677" t="s">
        <v>2997</v>
      </c>
      <c r="D175" s="677" t="s">
        <v>1653</v>
      </c>
      <c r="E175" s="677" t="s">
        <v>1602</v>
      </c>
      <c r="F175" s="677" t="s">
        <v>904</v>
      </c>
      <c r="G175" s="674"/>
      <c r="H175" s="674"/>
      <c r="I175" s="674"/>
      <c r="J175" s="674"/>
    </row>
    <row r="176" spans="2:10">
      <c r="B176" s="677" t="s">
        <v>1531</v>
      </c>
      <c r="C176" s="677" t="s">
        <v>2997</v>
      </c>
      <c r="D176" s="677" t="s">
        <v>1654</v>
      </c>
      <c r="E176" s="677" t="s">
        <v>1605</v>
      </c>
      <c r="F176" s="677" t="s">
        <v>904</v>
      </c>
      <c r="G176" s="674"/>
      <c r="H176" s="674"/>
      <c r="I176" s="674"/>
      <c r="J176" s="674"/>
    </row>
    <row r="177" spans="2:10">
      <c r="B177" s="677" t="s">
        <v>1531</v>
      </c>
      <c r="C177" s="677" t="s">
        <v>2997</v>
      </c>
      <c r="D177" s="677" t="s">
        <v>1655</v>
      </c>
      <c r="E177" s="677" t="s">
        <v>1605</v>
      </c>
      <c r="F177" s="677" t="s">
        <v>904</v>
      </c>
      <c r="G177" s="674"/>
      <c r="H177" s="674"/>
      <c r="I177" s="674"/>
      <c r="J177" s="674"/>
    </row>
    <row r="178" spans="2:10">
      <c r="B178" s="677" t="s">
        <v>1531</v>
      </c>
      <c r="C178" s="677" t="s">
        <v>2997</v>
      </c>
      <c r="D178" s="677" t="s">
        <v>1656</v>
      </c>
      <c r="E178" s="677" t="s">
        <v>1608</v>
      </c>
      <c r="F178" s="677" t="s">
        <v>904</v>
      </c>
      <c r="G178" s="674"/>
      <c r="H178" s="674"/>
      <c r="I178" s="674"/>
      <c r="J178" s="674"/>
    </row>
    <row r="179" spans="2:10">
      <c r="B179" s="677" t="s">
        <v>1531</v>
      </c>
      <c r="C179" s="677" t="s">
        <v>2997</v>
      </c>
      <c r="D179" s="677" t="s">
        <v>1657</v>
      </c>
      <c r="E179" s="677" t="s">
        <v>1610</v>
      </c>
      <c r="F179" s="677" t="s">
        <v>904</v>
      </c>
      <c r="G179" s="674"/>
      <c r="H179" s="674"/>
      <c r="I179" s="674"/>
      <c r="J179" s="674"/>
    </row>
    <row r="180" spans="2:10">
      <c r="B180" s="677" t="s">
        <v>1531</v>
      </c>
      <c r="C180" s="677" t="s">
        <v>2997</v>
      </c>
      <c r="D180" s="677" t="s">
        <v>1658</v>
      </c>
      <c r="E180" s="677" t="s">
        <v>1612</v>
      </c>
      <c r="F180" s="677" t="s">
        <v>904</v>
      </c>
      <c r="G180" s="674"/>
      <c r="H180" s="674"/>
      <c r="I180" s="674"/>
      <c r="J180" s="674"/>
    </row>
    <row r="181" spans="2:10">
      <c r="B181" s="677" t="s">
        <v>1531</v>
      </c>
      <c r="C181" s="677" t="s">
        <v>2997</v>
      </c>
      <c r="D181" s="677" t="s">
        <v>1659</v>
      </c>
      <c r="E181" s="677" t="s">
        <v>1612</v>
      </c>
      <c r="F181" s="677" t="s">
        <v>904</v>
      </c>
      <c r="G181" s="674"/>
      <c r="H181" s="674"/>
      <c r="I181" s="674"/>
      <c r="J181" s="674"/>
    </row>
    <row r="182" spans="2:10">
      <c r="B182" s="677" t="s">
        <v>1531</v>
      </c>
      <c r="C182" s="677" t="s">
        <v>2997</v>
      </c>
      <c r="D182" s="677" t="s">
        <v>1660</v>
      </c>
      <c r="E182" s="677" t="s">
        <v>1615</v>
      </c>
      <c r="F182" s="677" t="s">
        <v>904</v>
      </c>
      <c r="G182" s="674"/>
      <c r="H182" s="674"/>
      <c r="I182" s="674"/>
      <c r="J182" s="674"/>
    </row>
    <row r="183" spans="2:10">
      <c r="B183" s="677" t="s">
        <v>1531</v>
      </c>
      <c r="C183" s="677" t="s">
        <v>2997</v>
      </c>
      <c r="D183" s="677" t="s">
        <v>1661</v>
      </c>
      <c r="E183" s="677" t="s">
        <v>1617</v>
      </c>
      <c r="F183" s="677" t="s">
        <v>904</v>
      </c>
      <c r="G183" s="674"/>
      <c r="H183" s="674"/>
      <c r="I183" s="674"/>
      <c r="J183" s="674"/>
    </row>
    <row r="184" spans="2:10">
      <c r="B184" s="677" t="s">
        <v>1531</v>
      </c>
      <c r="C184" s="677" t="s">
        <v>2997</v>
      </c>
      <c r="D184" s="677" t="s">
        <v>1662</v>
      </c>
      <c r="E184" s="677" t="s">
        <v>1619</v>
      </c>
      <c r="F184" s="677" t="s">
        <v>904</v>
      </c>
      <c r="G184" s="674"/>
      <c r="H184" s="674"/>
      <c r="I184" s="674"/>
      <c r="J184" s="674"/>
    </row>
    <row r="185" spans="2:10">
      <c r="B185" s="677" t="s">
        <v>390</v>
      </c>
      <c r="C185" s="677"/>
      <c r="D185" s="677"/>
      <c r="E185" s="677"/>
      <c r="F185" s="677"/>
      <c r="G185" s="674"/>
      <c r="H185" s="674"/>
      <c r="I185" s="674"/>
      <c r="J185" s="674"/>
    </row>
    <row r="186" spans="2:10">
      <c r="B186" s="683" t="s">
        <v>1663</v>
      </c>
      <c r="C186" s="681"/>
      <c r="D186" s="681"/>
      <c r="E186" s="681"/>
      <c r="F186" s="681"/>
      <c r="G186" s="682"/>
      <c r="H186" s="682"/>
      <c r="I186" s="682"/>
      <c r="J186" s="682"/>
    </row>
    <row r="187" spans="2:10">
      <c r="B187" s="677" t="s">
        <v>390</v>
      </c>
      <c r="C187" s="677"/>
      <c r="D187" s="677"/>
      <c r="E187" s="677"/>
      <c r="F187" s="677"/>
      <c r="G187" s="674"/>
      <c r="H187" s="674"/>
      <c r="I187" s="674"/>
      <c r="J187" s="674"/>
    </row>
    <row r="188" spans="2:10">
      <c r="B188" s="677" t="s">
        <v>1528</v>
      </c>
      <c r="C188" s="677" t="s">
        <v>2996</v>
      </c>
      <c r="D188" s="677" t="s">
        <v>1664</v>
      </c>
      <c r="E188" s="677" t="s">
        <v>1562</v>
      </c>
      <c r="F188" s="677" t="s">
        <v>904</v>
      </c>
      <c r="G188" s="674"/>
      <c r="H188" s="674"/>
      <c r="I188" s="674"/>
      <c r="J188" s="674"/>
    </row>
    <row r="189" spans="2:10">
      <c r="B189" s="677" t="s">
        <v>1528</v>
      </c>
      <c r="C189" s="677" t="s">
        <v>2997</v>
      </c>
      <c r="D189" s="677" t="s">
        <v>1665</v>
      </c>
      <c r="E189" s="677" t="s">
        <v>1666</v>
      </c>
      <c r="F189" s="677" t="s">
        <v>904</v>
      </c>
      <c r="G189" s="674"/>
      <c r="H189" s="674"/>
      <c r="I189" s="674"/>
      <c r="J189" s="674"/>
    </row>
    <row r="190" spans="2:10">
      <c r="B190" s="677" t="s">
        <v>1528</v>
      </c>
      <c r="C190" s="677" t="s">
        <v>2997</v>
      </c>
      <c r="D190" s="677" t="s">
        <v>1667</v>
      </c>
      <c r="E190" s="677" t="s">
        <v>1566</v>
      </c>
      <c r="F190" s="677" t="s">
        <v>904</v>
      </c>
      <c r="G190" s="674"/>
      <c r="H190" s="674"/>
      <c r="I190" s="674"/>
      <c r="J190" s="674"/>
    </row>
    <row r="191" spans="2:10">
      <c r="B191" s="677" t="s">
        <v>1531</v>
      </c>
      <c r="C191" s="677" t="s">
        <v>2997</v>
      </c>
      <c r="D191" s="677" t="s">
        <v>1668</v>
      </c>
      <c r="E191" s="677" t="s">
        <v>1568</v>
      </c>
      <c r="F191" s="677" t="s">
        <v>904</v>
      </c>
      <c r="G191" s="674"/>
      <c r="H191" s="674"/>
      <c r="I191" s="674"/>
      <c r="J191" s="674"/>
    </row>
    <row r="192" spans="2:10">
      <c r="B192" s="677" t="s">
        <v>1531</v>
      </c>
      <c r="C192" s="677" t="s">
        <v>2997</v>
      </c>
      <c r="D192" s="677" t="s">
        <v>1669</v>
      </c>
      <c r="E192" s="677" t="s">
        <v>1670</v>
      </c>
      <c r="F192" s="677" t="s">
        <v>904</v>
      </c>
      <c r="G192" s="674"/>
      <c r="H192" s="674"/>
      <c r="I192" s="674"/>
      <c r="J192" s="674"/>
    </row>
    <row r="193" spans="2:10">
      <c r="B193" s="677" t="s">
        <v>1531</v>
      </c>
      <c r="C193" s="677" t="s">
        <v>2997</v>
      </c>
      <c r="D193" s="677" t="s">
        <v>1671</v>
      </c>
      <c r="E193" s="677" t="s">
        <v>1672</v>
      </c>
      <c r="F193" s="677" t="s">
        <v>904</v>
      </c>
      <c r="G193" s="674"/>
      <c r="H193" s="674"/>
      <c r="I193" s="674"/>
      <c r="J193" s="674"/>
    </row>
    <row r="194" spans="2:10">
      <c r="B194" s="677" t="s">
        <v>1531</v>
      </c>
      <c r="C194" s="677" t="s">
        <v>2997</v>
      </c>
      <c r="D194" s="677" t="s">
        <v>1673</v>
      </c>
      <c r="E194" s="677" t="s">
        <v>1674</v>
      </c>
      <c r="F194" s="677" t="s">
        <v>904</v>
      </c>
      <c r="G194" s="674"/>
      <c r="H194" s="674"/>
      <c r="I194" s="674"/>
      <c r="J194" s="674"/>
    </row>
    <row r="195" spans="2:10">
      <c r="B195" s="677" t="s">
        <v>1531</v>
      </c>
      <c r="C195" s="677" t="s">
        <v>2997</v>
      </c>
      <c r="D195" s="677" t="s">
        <v>1675</v>
      </c>
      <c r="E195" s="677" t="s">
        <v>1676</v>
      </c>
      <c r="F195" s="677" t="s">
        <v>904</v>
      </c>
      <c r="G195" s="674"/>
      <c r="H195" s="674"/>
      <c r="I195" s="674"/>
      <c r="J195" s="674"/>
    </row>
    <row r="196" spans="2:10">
      <c r="B196" s="677" t="s">
        <v>1531</v>
      </c>
      <c r="C196" s="677" t="s">
        <v>2997</v>
      </c>
      <c r="D196" s="677" t="s">
        <v>1677</v>
      </c>
      <c r="E196" s="677" t="s">
        <v>1678</v>
      </c>
      <c r="F196" s="677" t="s">
        <v>904</v>
      </c>
      <c r="G196" s="674"/>
      <c r="H196" s="674"/>
      <c r="I196" s="674"/>
      <c r="J196" s="674"/>
    </row>
    <row r="197" spans="2:10">
      <c r="B197" s="677" t="s">
        <v>1531</v>
      </c>
      <c r="C197" s="677" t="s">
        <v>2997</v>
      </c>
      <c r="D197" s="677" t="s">
        <v>1679</v>
      </c>
      <c r="E197" s="677" t="s">
        <v>1680</v>
      </c>
      <c r="F197" s="677" t="s">
        <v>904</v>
      </c>
      <c r="G197" s="674"/>
      <c r="H197" s="674"/>
      <c r="I197" s="674"/>
      <c r="J197" s="674"/>
    </row>
    <row r="198" spans="2:10">
      <c r="B198" s="677" t="s">
        <v>1531</v>
      </c>
      <c r="C198" s="677" t="s">
        <v>2997</v>
      </c>
      <c r="D198" s="677" t="s">
        <v>1681</v>
      </c>
      <c r="E198" s="677" t="s">
        <v>1682</v>
      </c>
      <c r="F198" s="677" t="s">
        <v>904</v>
      </c>
      <c r="G198" s="674"/>
      <c r="H198" s="674"/>
      <c r="I198" s="674"/>
      <c r="J198" s="674"/>
    </row>
    <row r="199" spans="2:10">
      <c r="B199" s="677" t="s">
        <v>1531</v>
      </c>
      <c r="C199" s="677" t="s">
        <v>2997</v>
      </c>
      <c r="D199" s="677" t="s">
        <v>1683</v>
      </c>
      <c r="E199" s="677" t="s">
        <v>1684</v>
      </c>
      <c r="F199" s="677" t="s">
        <v>904</v>
      </c>
      <c r="G199" s="674"/>
      <c r="H199" s="674"/>
      <c r="I199" s="674"/>
      <c r="J199" s="674"/>
    </row>
    <row r="200" spans="2:10">
      <c r="B200" s="677" t="s">
        <v>390</v>
      </c>
      <c r="C200" s="677"/>
      <c r="D200" s="677"/>
      <c r="E200" s="677"/>
      <c r="F200" s="677"/>
      <c r="G200" s="674"/>
      <c r="H200" s="674"/>
      <c r="I200" s="674"/>
      <c r="J200" s="674"/>
    </row>
    <row r="201" spans="2:10">
      <c r="B201" s="683" t="s">
        <v>1685</v>
      </c>
      <c r="C201" s="681"/>
      <c r="D201" s="681"/>
      <c r="E201" s="681"/>
      <c r="F201" s="681"/>
      <c r="G201" s="682"/>
      <c r="H201" s="682"/>
      <c r="I201" s="682"/>
      <c r="J201" s="682"/>
    </row>
    <row r="202" spans="2:10">
      <c r="B202" s="677" t="s">
        <v>390</v>
      </c>
      <c r="C202" s="677"/>
      <c r="D202" s="677"/>
      <c r="E202" s="677"/>
      <c r="F202" s="677"/>
      <c r="G202" s="674"/>
      <c r="H202" s="674"/>
      <c r="I202" s="674"/>
      <c r="J202" s="674"/>
    </row>
    <row r="203" spans="2:10">
      <c r="B203" s="677" t="s">
        <v>1528</v>
      </c>
      <c r="C203" s="677" t="s">
        <v>2997</v>
      </c>
      <c r="D203" s="677" t="s">
        <v>1686</v>
      </c>
      <c r="E203" s="677" t="s">
        <v>1587</v>
      </c>
      <c r="F203" s="677" t="s">
        <v>904</v>
      </c>
      <c r="G203" s="674"/>
      <c r="H203" s="674"/>
      <c r="I203" s="674"/>
      <c r="J203" s="674"/>
    </row>
    <row r="204" spans="2:10">
      <c r="B204" s="677" t="s">
        <v>1528</v>
      </c>
      <c r="C204" s="677" t="s">
        <v>2997</v>
      </c>
      <c r="D204" s="677" t="s">
        <v>1687</v>
      </c>
      <c r="E204" s="677" t="s">
        <v>1587</v>
      </c>
      <c r="F204" s="677" t="s">
        <v>904</v>
      </c>
      <c r="G204" s="674"/>
      <c r="H204" s="674"/>
      <c r="I204" s="674"/>
      <c r="J204" s="674"/>
    </row>
    <row r="205" spans="2:10">
      <c r="B205" s="677" t="s">
        <v>1528</v>
      </c>
      <c r="C205" s="677" t="s">
        <v>2997</v>
      </c>
      <c r="D205" s="677" t="s">
        <v>1688</v>
      </c>
      <c r="E205" s="677" t="s">
        <v>1590</v>
      </c>
      <c r="F205" s="677" t="s">
        <v>904</v>
      </c>
      <c r="G205" s="674"/>
      <c r="H205" s="674"/>
      <c r="I205" s="674"/>
      <c r="J205" s="674"/>
    </row>
    <row r="206" spans="2:10">
      <c r="B206" s="677" t="s">
        <v>1528</v>
      </c>
      <c r="C206" s="677" t="s">
        <v>2997</v>
      </c>
      <c r="D206" s="677" t="s">
        <v>1689</v>
      </c>
      <c r="E206" s="677" t="s">
        <v>1590</v>
      </c>
      <c r="F206" s="677" t="s">
        <v>904</v>
      </c>
      <c r="G206" s="674"/>
      <c r="H206" s="674"/>
      <c r="I206" s="674"/>
      <c r="J206" s="674"/>
    </row>
    <row r="207" spans="2:10">
      <c r="B207" s="677" t="s">
        <v>1528</v>
      </c>
      <c r="C207" s="677" t="s">
        <v>2997</v>
      </c>
      <c r="D207" s="677" t="s">
        <v>1690</v>
      </c>
      <c r="E207" s="677" t="s">
        <v>1593</v>
      </c>
      <c r="F207" s="677" t="s">
        <v>904</v>
      </c>
      <c r="G207" s="674"/>
      <c r="H207" s="674"/>
      <c r="I207" s="674"/>
      <c r="J207" s="674"/>
    </row>
    <row r="208" spans="2:10">
      <c r="B208" s="677" t="s">
        <v>1528</v>
      </c>
      <c r="C208" s="677" t="s">
        <v>2997</v>
      </c>
      <c r="D208" s="677" t="s">
        <v>1691</v>
      </c>
      <c r="E208" s="677" t="s">
        <v>1593</v>
      </c>
      <c r="F208" s="677" t="s">
        <v>904</v>
      </c>
      <c r="G208" s="674"/>
      <c r="H208" s="674"/>
      <c r="I208" s="674"/>
      <c r="J208" s="674"/>
    </row>
    <row r="209" spans="2:10">
      <c r="B209" s="677" t="s">
        <v>1528</v>
      </c>
      <c r="C209" s="677" t="s">
        <v>2997</v>
      </c>
      <c r="D209" s="677" t="s">
        <v>1692</v>
      </c>
      <c r="E209" s="677" t="s">
        <v>1593</v>
      </c>
      <c r="F209" s="677" t="s">
        <v>904</v>
      </c>
      <c r="G209" s="674"/>
      <c r="H209" s="674"/>
      <c r="I209" s="674"/>
      <c r="J209" s="674"/>
    </row>
    <row r="210" spans="2:10">
      <c r="B210" s="677" t="s">
        <v>1528</v>
      </c>
      <c r="C210" s="677" t="s">
        <v>2997</v>
      </c>
      <c r="D210" s="677" t="s">
        <v>1693</v>
      </c>
      <c r="E210" s="677" t="s">
        <v>1596</v>
      </c>
      <c r="F210" s="677" t="s">
        <v>904</v>
      </c>
      <c r="G210" s="674"/>
      <c r="H210" s="674"/>
      <c r="I210" s="674"/>
      <c r="J210" s="674"/>
    </row>
    <row r="211" spans="2:10">
      <c r="B211" s="677" t="s">
        <v>1528</v>
      </c>
      <c r="C211" s="677" t="s">
        <v>2997</v>
      </c>
      <c r="D211" s="677" t="s">
        <v>1694</v>
      </c>
      <c r="E211" s="677" t="s">
        <v>1593</v>
      </c>
      <c r="F211" s="677" t="s">
        <v>904</v>
      </c>
      <c r="G211" s="674"/>
      <c r="H211" s="674"/>
      <c r="I211" s="674"/>
      <c r="J211" s="674"/>
    </row>
    <row r="212" spans="2:10">
      <c r="B212" s="677" t="s">
        <v>1528</v>
      </c>
      <c r="C212" s="677" t="s">
        <v>2997</v>
      </c>
      <c r="D212" s="677" t="s">
        <v>1695</v>
      </c>
      <c r="E212" s="677" t="s">
        <v>1596</v>
      </c>
      <c r="F212" s="677" t="s">
        <v>904</v>
      </c>
      <c r="G212" s="674"/>
      <c r="H212" s="674"/>
      <c r="I212" s="674"/>
      <c r="J212" s="674"/>
    </row>
    <row r="213" spans="2:10">
      <c r="B213" s="677" t="s">
        <v>1528</v>
      </c>
      <c r="C213" s="677" t="s">
        <v>2997</v>
      </c>
      <c r="D213" s="677" t="s">
        <v>1696</v>
      </c>
      <c r="E213" s="677" t="s">
        <v>1599</v>
      </c>
      <c r="F213" s="677" t="s">
        <v>904</v>
      </c>
      <c r="G213" s="674"/>
      <c r="H213" s="674"/>
      <c r="I213" s="674"/>
      <c r="J213" s="674"/>
    </row>
    <row r="214" spans="2:10">
      <c r="B214" s="677" t="s">
        <v>1528</v>
      </c>
      <c r="C214" s="677" t="s">
        <v>2997</v>
      </c>
      <c r="D214" s="677" t="s">
        <v>1697</v>
      </c>
      <c r="E214" s="677" t="s">
        <v>1593</v>
      </c>
      <c r="F214" s="677" t="s">
        <v>904</v>
      </c>
      <c r="G214" s="674"/>
      <c r="H214" s="674"/>
      <c r="I214" s="674"/>
      <c r="J214" s="674"/>
    </row>
    <row r="215" spans="2:10">
      <c r="B215" s="677" t="s">
        <v>1528</v>
      </c>
      <c r="C215" s="677" t="s">
        <v>2997</v>
      </c>
      <c r="D215" s="677" t="s">
        <v>1698</v>
      </c>
      <c r="E215" s="677" t="s">
        <v>1599</v>
      </c>
      <c r="F215" s="677" t="s">
        <v>904</v>
      </c>
      <c r="G215" s="674"/>
      <c r="H215" s="674"/>
      <c r="I215" s="674"/>
      <c r="J215" s="674"/>
    </row>
    <row r="216" spans="2:10">
      <c r="B216" s="677" t="s">
        <v>1528</v>
      </c>
      <c r="C216" s="677" t="s">
        <v>2997</v>
      </c>
      <c r="D216" s="677" t="s">
        <v>1699</v>
      </c>
      <c r="E216" s="677" t="s">
        <v>1602</v>
      </c>
      <c r="F216" s="677" t="s">
        <v>904</v>
      </c>
      <c r="G216" s="674"/>
      <c r="H216" s="674"/>
      <c r="I216" s="674"/>
      <c r="J216" s="674"/>
    </row>
    <row r="217" spans="2:10">
      <c r="B217" s="677" t="s">
        <v>1528</v>
      </c>
      <c r="C217" s="677" t="s">
        <v>2997</v>
      </c>
      <c r="D217" s="677" t="s">
        <v>1700</v>
      </c>
      <c r="E217" s="677" t="s">
        <v>1602</v>
      </c>
      <c r="F217" s="677" t="s">
        <v>904</v>
      </c>
      <c r="G217" s="674"/>
      <c r="H217" s="674"/>
      <c r="I217" s="674"/>
      <c r="J217" s="674"/>
    </row>
    <row r="218" spans="2:10">
      <c r="B218" s="677" t="s">
        <v>1528</v>
      </c>
      <c r="C218" s="677" t="s">
        <v>2997</v>
      </c>
      <c r="D218" s="677" t="s">
        <v>1701</v>
      </c>
      <c r="E218" s="677" t="s">
        <v>1602</v>
      </c>
      <c r="F218" s="677" t="s">
        <v>904</v>
      </c>
      <c r="G218" s="674"/>
      <c r="H218" s="674"/>
      <c r="I218" s="674"/>
      <c r="J218" s="674"/>
    </row>
    <row r="219" spans="2:10">
      <c r="B219" s="677" t="s">
        <v>1528</v>
      </c>
      <c r="C219" s="677" t="s">
        <v>2997</v>
      </c>
      <c r="D219" s="677" t="s">
        <v>1702</v>
      </c>
      <c r="E219" s="677" t="s">
        <v>1605</v>
      </c>
      <c r="F219" s="677" t="s">
        <v>904</v>
      </c>
      <c r="G219" s="674"/>
      <c r="H219" s="674"/>
      <c r="I219" s="674"/>
      <c r="J219" s="674"/>
    </row>
    <row r="220" spans="2:10">
      <c r="B220" s="677" t="s">
        <v>1528</v>
      </c>
      <c r="C220" s="677" t="s">
        <v>2997</v>
      </c>
      <c r="D220" s="677" t="s">
        <v>1703</v>
      </c>
      <c r="E220" s="677" t="s">
        <v>1605</v>
      </c>
      <c r="F220" s="677" t="s">
        <v>904</v>
      </c>
      <c r="G220" s="674"/>
      <c r="H220" s="674"/>
      <c r="I220" s="674"/>
      <c r="J220" s="674"/>
    </row>
    <row r="221" spans="2:10">
      <c r="B221" s="677" t="s">
        <v>390</v>
      </c>
      <c r="C221" s="677"/>
      <c r="D221" s="677"/>
      <c r="E221" s="677"/>
      <c r="F221" s="677"/>
      <c r="G221" s="674"/>
      <c r="H221" s="674"/>
      <c r="I221" s="674"/>
      <c r="J221" s="674"/>
    </row>
    <row r="222" spans="2:10">
      <c r="B222" s="683" t="s">
        <v>1724</v>
      </c>
      <c r="C222" s="681"/>
      <c r="D222" s="681"/>
      <c r="E222" s="681"/>
      <c r="F222" s="681"/>
      <c r="G222" s="682"/>
      <c r="H222" s="682"/>
      <c r="I222" s="682"/>
      <c r="J222" s="682"/>
    </row>
    <row r="223" spans="2:10">
      <c r="B223" s="677" t="s">
        <v>390</v>
      </c>
      <c r="C223" s="677"/>
      <c r="D223" s="677"/>
      <c r="E223" s="677"/>
      <c r="F223" s="677"/>
      <c r="G223" s="674"/>
      <c r="H223" s="674"/>
      <c r="I223" s="674"/>
      <c r="J223" s="674"/>
    </row>
    <row r="224" spans="2:10">
      <c r="B224" s="677" t="s">
        <v>1531</v>
      </c>
      <c r="C224" s="677" t="s">
        <v>2997</v>
      </c>
      <c r="D224" s="677">
        <v>0</v>
      </c>
      <c r="E224" s="677" t="s">
        <v>1725</v>
      </c>
      <c r="F224" s="677" t="s">
        <v>904</v>
      </c>
      <c r="G224" s="674"/>
      <c r="H224" s="674"/>
      <c r="I224" s="674"/>
      <c r="J224" s="674"/>
    </row>
    <row r="225" spans="2:10">
      <c r="B225" s="677" t="s">
        <v>1531</v>
      </c>
      <c r="C225" s="677" t="s">
        <v>2997</v>
      </c>
      <c r="D225" s="677">
        <v>0</v>
      </c>
      <c r="E225" s="677" t="s">
        <v>1726</v>
      </c>
      <c r="F225" s="677" t="s">
        <v>904</v>
      </c>
      <c r="G225" s="674"/>
      <c r="H225" s="674"/>
      <c r="I225" s="674"/>
      <c r="J225" s="674"/>
    </row>
    <row r="226" spans="2:10">
      <c r="B226" s="677" t="s">
        <v>1531</v>
      </c>
      <c r="C226" s="677" t="s">
        <v>2997</v>
      </c>
      <c r="D226" s="677">
        <v>0</v>
      </c>
      <c r="E226" s="677" t="s">
        <v>1727</v>
      </c>
      <c r="F226" s="677" t="s">
        <v>904</v>
      </c>
      <c r="G226" s="674"/>
      <c r="H226" s="674"/>
      <c r="I226" s="674"/>
      <c r="J226" s="674"/>
    </row>
    <row r="227" spans="2:10">
      <c r="B227" s="677" t="s">
        <v>1531</v>
      </c>
      <c r="C227" s="677" t="s">
        <v>2997</v>
      </c>
      <c r="D227" s="677">
        <v>0</v>
      </c>
      <c r="E227" s="677" t="s">
        <v>1728</v>
      </c>
      <c r="F227" s="677" t="s">
        <v>904</v>
      </c>
      <c r="G227" s="674"/>
      <c r="H227" s="674"/>
      <c r="I227" s="674"/>
      <c r="J227" s="674"/>
    </row>
    <row r="228" spans="2:10">
      <c r="B228" s="677" t="s">
        <v>1531</v>
      </c>
      <c r="C228" s="677" t="s">
        <v>2997</v>
      </c>
      <c r="D228" s="677">
        <v>0</v>
      </c>
      <c r="E228" s="677" t="s">
        <v>1729</v>
      </c>
      <c r="F228" s="677" t="s">
        <v>904</v>
      </c>
      <c r="G228" s="674"/>
      <c r="H228" s="674"/>
      <c r="I228" s="674"/>
      <c r="J228" s="674"/>
    </row>
    <row r="229" spans="2:10">
      <c r="B229" s="677" t="s">
        <v>1531</v>
      </c>
      <c r="C229" s="677" t="s">
        <v>2997</v>
      </c>
      <c r="D229" s="677">
        <v>0</v>
      </c>
      <c r="E229" s="677" t="s">
        <v>1730</v>
      </c>
      <c r="F229" s="677" t="s">
        <v>904</v>
      </c>
      <c r="G229" s="674"/>
      <c r="H229" s="674"/>
      <c r="I229" s="674"/>
      <c r="J229" s="674"/>
    </row>
    <row r="230" spans="2:10">
      <c r="B230" s="677" t="s">
        <v>1531</v>
      </c>
      <c r="C230" s="677" t="s">
        <v>2997</v>
      </c>
      <c r="D230" s="677">
        <v>0</v>
      </c>
      <c r="E230" s="677" t="s">
        <v>1731</v>
      </c>
      <c r="F230" s="677" t="s">
        <v>904</v>
      </c>
      <c r="G230" s="674"/>
      <c r="H230" s="674"/>
      <c r="I230" s="674"/>
      <c r="J230" s="674"/>
    </row>
    <row r="231" spans="2:10">
      <c r="B231" s="677" t="s">
        <v>1531</v>
      </c>
      <c r="C231" s="677" t="s">
        <v>2997</v>
      </c>
      <c r="D231" s="677">
        <v>0</v>
      </c>
      <c r="E231" s="677" t="s">
        <v>1732</v>
      </c>
      <c r="F231" s="677" t="s">
        <v>904</v>
      </c>
      <c r="G231" s="674"/>
      <c r="H231" s="674"/>
      <c r="I231" s="674"/>
      <c r="J231" s="674"/>
    </row>
    <row r="232" spans="2:10">
      <c r="B232" s="677" t="s">
        <v>1531</v>
      </c>
      <c r="C232" s="677" t="s">
        <v>2997</v>
      </c>
      <c r="D232" s="677">
        <v>0</v>
      </c>
      <c r="E232" s="677" t="s">
        <v>1733</v>
      </c>
      <c r="F232" s="677" t="s">
        <v>904</v>
      </c>
      <c r="G232" s="674"/>
      <c r="H232" s="674"/>
      <c r="I232" s="674"/>
      <c r="J232" s="674"/>
    </row>
    <row r="233" spans="2:10">
      <c r="B233" s="677" t="s">
        <v>1531</v>
      </c>
      <c r="C233" s="677" t="s">
        <v>2997</v>
      </c>
      <c r="D233" s="677">
        <v>0</v>
      </c>
      <c r="E233" s="677" t="s">
        <v>1734</v>
      </c>
      <c r="F233" s="677" t="s">
        <v>904</v>
      </c>
      <c r="G233" s="674"/>
      <c r="H233" s="674"/>
      <c r="I233" s="674"/>
      <c r="J233" s="674"/>
    </row>
    <row r="234" spans="2:10">
      <c r="B234" s="677" t="s">
        <v>1531</v>
      </c>
      <c r="C234" s="677" t="s">
        <v>2997</v>
      </c>
      <c r="D234" s="677">
        <v>0</v>
      </c>
      <c r="E234" s="677" t="s">
        <v>1735</v>
      </c>
      <c r="F234" s="677" t="s">
        <v>904</v>
      </c>
      <c r="G234" s="674"/>
      <c r="H234" s="674"/>
      <c r="I234" s="674"/>
      <c r="J234" s="674"/>
    </row>
    <row r="235" spans="2:10">
      <c r="B235" s="677" t="s">
        <v>1531</v>
      </c>
      <c r="C235" s="677" t="s">
        <v>2997</v>
      </c>
      <c r="D235" s="677">
        <v>0</v>
      </c>
      <c r="E235" s="677" t="s">
        <v>1736</v>
      </c>
      <c r="F235" s="677" t="s">
        <v>904</v>
      </c>
      <c r="G235" s="674"/>
      <c r="H235" s="674"/>
      <c r="I235" s="674"/>
      <c r="J235" s="674"/>
    </row>
    <row r="236" spans="2:10">
      <c r="B236" s="677" t="s">
        <v>1531</v>
      </c>
      <c r="C236" s="677" t="s">
        <v>2997</v>
      </c>
      <c r="D236" s="677">
        <v>0</v>
      </c>
      <c r="E236" s="677" t="s">
        <v>1737</v>
      </c>
      <c r="F236" s="677" t="s">
        <v>904</v>
      </c>
      <c r="G236" s="674"/>
      <c r="H236" s="674"/>
      <c r="I236" s="674"/>
      <c r="J236" s="674"/>
    </row>
    <row r="237" spans="2:10">
      <c r="B237" s="677" t="s">
        <v>1531</v>
      </c>
      <c r="C237" s="677" t="s">
        <v>2997</v>
      </c>
      <c r="D237" s="677">
        <v>0</v>
      </c>
      <c r="E237" s="677" t="s">
        <v>1738</v>
      </c>
      <c r="F237" s="677" t="s">
        <v>904</v>
      </c>
      <c r="G237" s="674"/>
      <c r="H237" s="674"/>
      <c r="I237" s="674"/>
      <c r="J237" s="674"/>
    </row>
    <row r="238" spans="2:10">
      <c r="B238" s="677" t="s">
        <v>1531</v>
      </c>
      <c r="C238" s="677" t="s">
        <v>2997</v>
      </c>
      <c r="D238" s="677">
        <v>0</v>
      </c>
      <c r="E238" s="677" t="s">
        <v>1739</v>
      </c>
      <c r="F238" s="677" t="s">
        <v>904</v>
      </c>
      <c r="G238" s="674"/>
      <c r="H238" s="674"/>
      <c r="I238" s="674"/>
      <c r="J238" s="674"/>
    </row>
    <row r="239" spans="2:10">
      <c r="B239" s="677" t="s">
        <v>390</v>
      </c>
      <c r="C239" s="677"/>
      <c r="D239" s="677"/>
      <c r="E239" s="677"/>
      <c r="F239" s="677"/>
      <c r="G239" s="674"/>
      <c r="H239" s="674"/>
      <c r="I239" s="674"/>
      <c r="J239" s="674"/>
    </row>
    <row r="240" spans="2:10">
      <c r="B240" s="677" t="s">
        <v>390</v>
      </c>
      <c r="C240" s="677"/>
      <c r="D240" s="677"/>
      <c r="E240" s="677"/>
      <c r="F240" s="677"/>
      <c r="G240" s="674"/>
      <c r="H240" s="674"/>
      <c r="I240" s="674"/>
      <c r="J240" s="674"/>
    </row>
    <row r="241" spans="2:10">
      <c r="B241" s="683" t="s">
        <v>1740</v>
      </c>
      <c r="C241" s="681"/>
      <c r="D241" s="681"/>
      <c r="E241" s="681"/>
      <c r="F241" s="681"/>
      <c r="G241" s="682"/>
      <c r="H241" s="682"/>
      <c r="I241" s="682"/>
      <c r="J241" s="682"/>
    </row>
    <row r="242" spans="2:10">
      <c r="B242" s="677" t="s">
        <v>390</v>
      </c>
      <c r="C242" s="677"/>
      <c r="D242" s="677"/>
      <c r="E242" s="677"/>
      <c r="F242" s="677"/>
      <c r="G242" s="674"/>
      <c r="H242" s="674"/>
      <c r="I242" s="674"/>
      <c r="J242" s="674"/>
    </row>
    <row r="243" spans="2:10">
      <c r="B243" s="677" t="s">
        <v>1528</v>
      </c>
      <c r="C243" s="677" t="s">
        <v>2995</v>
      </c>
      <c r="D243" s="677" t="s">
        <v>1741</v>
      </c>
      <c r="E243" s="677" t="s">
        <v>1742</v>
      </c>
      <c r="F243" s="677" t="s">
        <v>348</v>
      </c>
      <c r="G243" s="674"/>
      <c r="H243" s="674"/>
      <c r="I243" s="674"/>
      <c r="J243" s="674"/>
    </row>
    <row r="244" spans="2:10">
      <c r="B244" s="677" t="s">
        <v>1528</v>
      </c>
      <c r="C244" s="677" t="s">
        <v>2995</v>
      </c>
      <c r="D244" s="677" t="s">
        <v>1743</v>
      </c>
      <c r="E244" s="677" t="s">
        <v>1744</v>
      </c>
      <c r="F244" s="677" t="s">
        <v>348</v>
      </c>
      <c r="G244" s="674"/>
      <c r="H244" s="674"/>
      <c r="I244" s="674"/>
      <c r="J244" s="674"/>
    </row>
    <row r="245" spans="2:10">
      <c r="B245" s="677" t="s">
        <v>1531</v>
      </c>
      <c r="C245" s="677" t="s">
        <v>2995</v>
      </c>
      <c r="D245" s="677" t="s">
        <v>1745</v>
      </c>
      <c r="E245" s="677" t="s">
        <v>1746</v>
      </c>
      <c r="F245" s="677" t="s">
        <v>348</v>
      </c>
      <c r="G245" s="674"/>
      <c r="H245" s="674"/>
      <c r="I245" s="674"/>
      <c r="J245" s="674"/>
    </row>
    <row r="246" spans="2:10">
      <c r="B246" s="677" t="s">
        <v>1528</v>
      </c>
      <c r="C246" s="677" t="s">
        <v>2995</v>
      </c>
      <c r="D246" s="677" t="s">
        <v>1747</v>
      </c>
      <c r="E246" s="677" t="s">
        <v>1748</v>
      </c>
      <c r="F246" s="677" t="s">
        <v>348</v>
      </c>
      <c r="G246" s="674"/>
      <c r="H246" s="674"/>
      <c r="I246" s="674"/>
      <c r="J246" s="674"/>
    </row>
    <row r="247" spans="2:10">
      <c r="B247" s="677" t="s">
        <v>1528</v>
      </c>
      <c r="C247" s="677" t="s">
        <v>2995</v>
      </c>
      <c r="D247" s="677" t="str">
        <f>CONCATENATE(D$19,"RB")</f>
        <v>RESELCRB</v>
      </c>
      <c r="E247" s="677" t="s">
        <v>1749</v>
      </c>
      <c r="F247" s="677" t="s">
        <v>348</v>
      </c>
      <c r="G247" s="674"/>
      <c r="H247" s="674"/>
      <c r="I247" s="674"/>
      <c r="J247" s="674"/>
    </row>
    <row r="248" spans="2:10">
      <c r="B248" s="677" t="s">
        <v>1528</v>
      </c>
      <c r="C248" s="677" t="s">
        <v>2995</v>
      </c>
      <c r="D248" s="677" t="str">
        <f>CONCATENATE(D$64,"RB")</f>
        <v>RESNGARB</v>
      </c>
      <c r="E248" s="677" t="s">
        <v>1750</v>
      </c>
      <c r="F248" s="677" t="s">
        <v>348</v>
      </c>
      <c r="G248" s="674"/>
      <c r="H248" s="674"/>
      <c r="I248" s="674"/>
      <c r="J248" s="674"/>
    </row>
    <row r="249" spans="2:10">
      <c r="B249" s="677" t="s">
        <v>1531</v>
      </c>
      <c r="C249" s="677" t="s">
        <v>2995</v>
      </c>
      <c r="D249" s="677" t="str">
        <f>CONCATENATE(D$20,"RB")</f>
        <v>RESNGAEARB</v>
      </c>
      <c r="E249" s="677" t="s">
        <v>1751</v>
      </c>
      <c r="F249" s="677" t="s">
        <v>348</v>
      </c>
      <c r="G249" s="674"/>
      <c r="H249" s="674"/>
      <c r="I249" s="674"/>
      <c r="J249" s="674"/>
    </row>
    <row r="250" spans="2:10">
      <c r="B250" s="677" t="s">
        <v>1528</v>
      </c>
      <c r="C250" s="677" t="s">
        <v>2995</v>
      </c>
      <c r="D250" s="677" t="str">
        <f>CONCATENATE(D$65,"RB")</f>
        <v>RESDSLRB</v>
      </c>
      <c r="E250" s="677" t="s">
        <v>1752</v>
      </c>
      <c r="F250" s="677" t="s">
        <v>348</v>
      </c>
      <c r="G250" s="674"/>
      <c r="H250" s="674"/>
      <c r="I250" s="674"/>
      <c r="J250" s="674"/>
    </row>
    <row r="251" spans="2:10">
      <c r="B251" s="677" t="s">
        <v>1528</v>
      </c>
      <c r="C251" s="677" t="s">
        <v>2995</v>
      </c>
      <c r="D251" s="677" t="str">
        <f>CONCATENATE(D$19,"RM")</f>
        <v>RESELCRM</v>
      </c>
      <c r="E251" s="677" t="s">
        <v>1753</v>
      </c>
      <c r="F251" s="677" t="s">
        <v>348</v>
      </c>
      <c r="G251" s="674"/>
      <c r="H251" s="674"/>
      <c r="I251" s="674"/>
      <c r="J251" s="674"/>
    </row>
    <row r="252" spans="2:10">
      <c r="B252" s="677" t="s">
        <v>1528</v>
      </c>
      <c r="C252" s="677" t="s">
        <v>2995</v>
      </c>
      <c r="D252" s="677" t="str">
        <f>CONCATENATE(D$64,"RM")</f>
        <v>RESNGARM</v>
      </c>
      <c r="E252" s="677" t="s">
        <v>1754</v>
      </c>
      <c r="F252" s="677" t="s">
        <v>348</v>
      </c>
      <c r="G252" s="674"/>
      <c r="H252" s="674"/>
      <c r="I252" s="674"/>
      <c r="J252" s="674"/>
    </row>
    <row r="253" spans="2:10">
      <c r="B253" s="677" t="s">
        <v>1531</v>
      </c>
      <c r="C253" s="677" t="s">
        <v>2995</v>
      </c>
      <c r="D253" s="677" t="str">
        <f>CONCATENATE(D$20,"RM")</f>
        <v>RESNGAEARM</v>
      </c>
      <c r="E253" s="677" t="s">
        <v>1755</v>
      </c>
      <c r="F253" s="677" t="s">
        <v>348</v>
      </c>
      <c r="G253" s="674"/>
      <c r="H253" s="674"/>
      <c r="I253" s="674"/>
      <c r="J253" s="674"/>
    </row>
    <row r="254" spans="2:10">
      <c r="B254" s="677" t="s">
        <v>1528</v>
      </c>
      <c r="C254" s="677" t="s">
        <v>2995</v>
      </c>
      <c r="D254" s="677" t="str">
        <f>CONCATENATE(D$65,"RM")</f>
        <v>RESDSLRM</v>
      </c>
      <c r="E254" s="677" t="s">
        <v>1756</v>
      </c>
      <c r="F254" s="677" t="s">
        <v>348</v>
      </c>
      <c r="G254" s="674"/>
      <c r="H254" s="674"/>
      <c r="I254" s="674"/>
      <c r="J254" s="674"/>
    </row>
    <row r="255" spans="2:10">
      <c r="B255" s="681" t="s">
        <v>390</v>
      </c>
      <c r="C255" s="681"/>
      <c r="D255" s="681"/>
      <c r="E255" s="681"/>
      <c r="F255" s="681"/>
      <c r="G255" s="682"/>
      <c r="H255" s="682"/>
      <c r="I255" s="682"/>
      <c r="J255" s="682"/>
    </row>
    <row r="256" spans="2:10">
      <c r="B256" s="668"/>
      <c r="C256" s="668"/>
      <c r="D256" s="668"/>
      <c r="E256" s="668"/>
      <c r="F256" s="669"/>
    </row>
    <row r="257" spans="2:6">
      <c r="B257" s="668"/>
      <c r="C257" s="668"/>
      <c r="D257" s="668"/>
      <c r="E257" s="668"/>
      <c r="F257" s="669"/>
    </row>
    <row r="258" spans="2:6">
      <c r="B258" s="668"/>
      <c r="C258" s="668"/>
      <c r="D258" s="668"/>
      <c r="E258" s="668"/>
      <c r="F258" s="669"/>
    </row>
    <row r="259" spans="2:6">
      <c r="B259" s="668"/>
      <c r="C259" s="668"/>
      <c r="D259" s="668"/>
      <c r="E259" s="668"/>
      <c r="F259" s="669"/>
    </row>
    <row r="260" spans="2:6">
      <c r="B260" s="668"/>
      <c r="C260" s="668"/>
      <c r="D260" s="668"/>
      <c r="E260" s="668"/>
      <c r="F260" s="669"/>
    </row>
    <row r="261" spans="2:6">
      <c r="B261" s="668"/>
      <c r="C261" s="668"/>
      <c r="D261" s="668"/>
      <c r="E261" s="668"/>
      <c r="F261" s="669"/>
    </row>
    <row r="262" spans="2:6">
      <c r="B262" s="668"/>
      <c r="C262" s="668"/>
      <c r="D262" s="668"/>
      <c r="E262" s="668"/>
      <c r="F262" s="669"/>
    </row>
    <row r="263" spans="2:6">
      <c r="B263" s="668"/>
      <c r="C263" s="668"/>
      <c r="D263" s="668"/>
      <c r="E263" s="668"/>
      <c r="F263" s="669"/>
    </row>
    <row r="264" spans="2:6">
      <c r="B264" s="668"/>
      <c r="C264" s="668"/>
      <c r="D264" s="668"/>
      <c r="E264" s="668"/>
      <c r="F264" s="669"/>
    </row>
    <row r="265" spans="2:6">
      <c r="B265" s="668"/>
      <c r="C265" s="668"/>
      <c r="D265" s="668"/>
      <c r="E265" s="668"/>
      <c r="F265" s="669"/>
    </row>
    <row r="266" spans="2:6">
      <c r="B266" s="668"/>
      <c r="C266" s="668"/>
      <c r="D266" s="668"/>
      <c r="E266" s="668"/>
      <c r="F266" s="669"/>
    </row>
    <row r="267" spans="2:6">
      <c r="B267" s="668"/>
      <c r="C267" s="668"/>
      <c r="D267" s="668"/>
      <c r="E267" s="668"/>
      <c r="F267" s="669"/>
    </row>
    <row r="268" spans="2:6">
      <c r="B268" s="668"/>
      <c r="C268" s="668"/>
      <c r="D268" s="668"/>
      <c r="E268" s="668"/>
      <c r="F268" s="669"/>
    </row>
    <row r="269" spans="2:6">
      <c r="B269" s="668"/>
      <c r="C269" s="668"/>
      <c r="D269" s="668"/>
      <c r="E269" s="668"/>
      <c r="F269" s="669"/>
    </row>
    <row r="270" spans="2:6">
      <c r="B270" s="668"/>
      <c r="C270" s="668"/>
      <c r="D270" s="668"/>
      <c r="E270" s="668"/>
      <c r="F270" s="669"/>
    </row>
    <row r="271" spans="2:6">
      <c r="B271" s="668"/>
      <c r="C271" s="668"/>
      <c r="D271" s="668"/>
      <c r="E271" s="668"/>
      <c r="F271" s="669"/>
    </row>
    <row r="272" spans="2:6">
      <c r="B272" s="668"/>
      <c r="C272" s="668"/>
      <c r="D272" s="668"/>
      <c r="E272" s="668"/>
      <c r="F272" s="669"/>
    </row>
    <row r="273" spans="2:6">
      <c r="B273" s="668"/>
      <c r="C273" s="668"/>
      <c r="D273" s="668"/>
      <c r="E273" s="668"/>
      <c r="F273" s="669"/>
    </row>
    <row r="274" spans="2:6">
      <c r="B274" s="668"/>
      <c r="C274" s="668"/>
      <c r="D274" s="668"/>
      <c r="E274" s="668"/>
      <c r="F274" s="669"/>
    </row>
    <row r="275" spans="2:6">
      <c r="B275" s="668"/>
      <c r="C275" s="668"/>
      <c r="D275" s="668"/>
      <c r="E275" s="668"/>
      <c r="F275" s="669"/>
    </row>
    <row r="276" spans="2:6">
      <c r="B276" s="668"/>
      <c r="C276" s="668"/>
      <c r="D276" s="668"/>
      <c r="E276" s="668"/>
      <c r="F276" s="669"/>
    </row>
    <row r="277" spans="2:6">
      <c r="B277" s="668"/>
      <c r="C277" s="668"/>
      <c r="D277" s="668"/>
      <c r="E277" s="668"/>
      <c r="F277" s="669"/>
    </row>
    <row r="278" spans="2:6">
      <c r="B278" s="668"/>
      <c r="C278" s="668"/>
      <c r="D278" s="668"/>
      <c r="E278" s="668"/>
      <c r="F278" s="669"/>
    </row>
    <row r="279" spans="2:6">
      <c r="B279" s="668"/>
      <c r="C279" s="668"/>
      <c r="D279" s="668"/>
      <c r="E279" s="668"/>
      <c r="F279" s="669"/>
    </row>
  </sheetData>
  <phoneticPr fontId="0" type="noConversion"/>
  <pageMargins left="0.75" right="0.75" top="1" bottom="1" header="0.5" footer="0.5"/>
  <pageSetup paperSize="9" orientation="portrait" horizontalDpi="1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rgb="FFFFC000"/>
  </sheetPr>
  <dimension ref="B1:I849"/>
  <sheetViews>
    <sheetView zoomScale="80" zoomScaleNormal="80" workbookViewId="0">
      <pane xSplit="5" ySplit="7" topLeftCell="F8" activePane="bottomRight" state="frozen"/>
      <selection activeCell="C33" sqref="C33"/>
      <selection pane="topRight" activeCell="C33" sqref="C33"/>
      <selection pane="bottomLeft" activeCell="C33" sqref="C33"/>
      <selection pane="bottomRight" activeCell="D31" sqref="D31"/>
    </sheetView>
  </sheetViews>
  <sheetFormatPr defaultColWidth="9.28515625" defaultRowHeight="12.75"/>
  <cols>
    <col min="1" max="1" width="9.28515625" style="13"/>
    <col min="2" max="2" width="16.28515625" style="13" customWidth="1"/>
    <col min="3" max="3" width="30.42578125" style="13" customWidth="1"/>
    <col min="4" max="4" width="30.28515625" style="13" bestFit="1" customWidth="1"/>
    <col min="5" max="5" width="44.42578125" style="13" customWidth="1"/>
    <col min="6" max="7" width="9.7109375" style="13" customWidth="1"/>
    <col min="8" max="8" width="10.42578125" style="13" customWidth="1"/>
    <col min="9" max="9" width="14.42578125" style="13" customWidth="1"/>
    <col min="10" max="16384" width="9.28515625" style="13"/>
  </cols>
  <sheetData>
    <row r="1" spans="2:9">
      <c r="B1" s="1" t="s">
        <v>384</v>
      </c>
      <c r="D1" s="13" t="s">
        <v>2339</v>
      </c>
    </row>
    <row r="4" spans="2:9" ht="18" customHeight="1"/>
    <row r="6" spans="2:9" s="668" customFormat="1">
      <c r="B6" s="670"/>
      <c r="C6"/>
      <c r="D6"/>
      <c r="E6"/>
      <c r="F6"/>
      <c r="G6"/>
      <c r="H6"/>
      <c r="I6"/>
    </row>
    <row r="7" spans="2:9" s="668" customFormat="1">
      <c r="B7" s="671" t="s">
        <v>664</v>
      </c>
      <c r="C7" s="671" t="s">
        <v>2992</v>
      </c>
      <c r="D7" s="671" t="s">
        <v>330</v>
      </c>
      <c r="E7" s="671" t="s">
        <v>331</v>
      </c>
      <c r="F7" s="672" t="s">
        <v>2990</v>
      </c>
      <c r="G7" s="672" t="s">
        <v>2991</v>
      </c>
      <c r="H7" s="672" t="s">
        <v>2993</v>
      </c>
      <c r="I7" s="672" t="s">
        <v>2994</v>
      </c>
    </row>
    <row r="8" spans="2:9">
      <c r="B8" s="684" t="s">
        <v>385</v>
      </c>
      <c r="C8" s="685"/>
      <c r="D8" s="682"/>
      <c r="E8" s="682"/>
      <c r="F8" s="685"/>
      <c r="G8" s="685"/>
      <c r="H8" s="682"/>
      <c r="I8" s="682"/>
    </row>
    <row r="9" spans="2:9">
      <c r="B9" s="684" t="s">
        <v>386</v>
      </c>
      <c r="C9" s="685"/>
      <c r="D9" s="682"/>
      <c r="E9" s="682"/>
      <c r="F9" s="685"/>
      <c r="G9" s="685"/>
      <c r="H9" s="682"/>
      <c r="I9" s="682"/>
    </row>
    <row r="10" spans="2:9">
      <c r="B10" s="674" t="str">
        <f>TechData_DMD!A10</f>
        <v>*</v>
      </c>
      <c r="C10" s="675" t="s">
        <v>2998</v>
      </c>
      <c r="D10" s="674" t="str">
        <f>TechData_DMD!B10</f>
        <v>RSHERDBS05</v>
      </c>
      <c r="E10" s="674" t="str">
        <f>TechData_DMD!C10</f>
        <v>Electric Radiant Base.RSH.ELC.05</v>
      </c>
      <c r="F10" s="675" t="s">
        <v>348</v>
      </c>
      <c r="G10" s="675" t="s">
        <v>387</v>
      </c>
      <c r="H10" s="674"/>
      <c r="I10" s="674"/>
    </row>
    <row r="11" spans="2:9">
      <c r="B11" s="674" t="str">
        <f>TechData_DMD!A11</f>
        <v>R2,R3,R4,R5,R6</v>
      </c>
      <c r="C11" s="675" t="s">
        <v>2998</v>
      </c>
      <c r="D11" s="674" t="str">
        <f>TechData_DMD!B11</f>
        <v>RSHERDV110</v>
      </c>
      <c r="E11" s="674" t="str">
        <f>TechData_DMD!C11</f>
        <v>Electric Radiant Ver1.RSH.ELC.10</v>
      </c>
      <c r="F11" s="675" t="s">
        <v>348</v>
      </c>
      <c r="G11" s="675" t="s">
        <v>387</v>
      </c>
      <c r="H11" s="674"/>
      <c r="I11" s="674"/>
    </row>
    <row r="12" spans="2:9">
      <c r="B12" s="684" t="s">
        <v>2745</v>
      </c>
      <c r="C12" s="685"/>
      <c r="D12" s="682"/>
      <c r="E12" s="682"/>
      <c r="F12" s="685"/>
      <c r="G12" s="685"/>
      <c r="H12" s="682"/>
      <c r="I12" s="682"/>
    </row>
    <row r="13" spans="2:9">
      <c r="B13" s="674" t="str">
        <f>TechData_DMD!A13</f>
        <v>*</v>
      </c>
      <c r="C13" s="675" t="s">
        <v>2998</v>
      </c>
      <c r="D13" s="674" t="str">
        <f>TechData_DMD!B13</f>
        <v>RSHEFRV120</v>
      </c>
      <c r="E13" s="674" t="str">
        <f>TechData_DMD!C13</f>
        <v>Electric Resistance Furnace Ver1.RSH.ELC.20</v>
      </c>
      <c r="F13" s="675" t="s">
        <v>348</v>
      </c>
      <c r="G13" s="675" t="s">
        <v>387</v>
      </c>
      <c r="H13" s="674"/>
      <c r="I13" s="674"/>
    </row>
    <row r="14" spans="2:9">
      <c r="B14" s="674" t="str">
        <f>TechData_DMD!A14</f>
        <v>*</v>
      </c>
      <c r="C14" s="675" t="s">
        <v>2998</v>
      </c>
      <c r="D14" s="674" t="str">
        <f>TechData_DMD!B14</f>
        <v>RSHEFRV130</v>
      </c>
      <c r="E14" s="674" t="str">
        <f>TechData_DMD!C14</f>
        <v>Electric Resistance Furnace Ver1.RSH.ELC.30</v>
      </c>
      <c r="F14" s="675" t="s">
        <v>348</v>
      </c>
      <c r="G14" s="675" t="s">
        <v>387</v>
      </c>
      <c r="H14" s="674"/>
      <c r="I14" s="674"/>
    </row>
    <row r="15" spans="2:9">
      <c r="B15" s="674" t="str">
        <f>TechData_DMD!A15</f>
        <v>*</v>
      </c>
      <c r="C15" s="675" t="s">
        <v>2998</v>
      </c>
      <c r="D15" s="674" t="str">
        <f>TechData_DMD!B15</f>
        <v>RSHEFRV230</v>
      </c>
      <c r="E15" s="674" t="str">
        <f>TechData_DMD!C15</f>
        <v>Electric Resistance Furnace Ver2.RSH.ELC.30</v>
      </c>
      <c r="F15" s="675" t="s">
        <v>348</v>
      </c>
      <c r="G15" s="675" t="s">
        <v>387</v>
      </c>
      <c r="H15" s="674"/>
      <c r="I15" s="674"/>
    </row>
    <row r="16" spans="2:9">
      <c r="B16" s="674" t="str">
        <f>TechData_DMD!A16</f>
        <v>*</v>
      </c>
      <c r="C16" s="675" t="s">
        <v>2998</v>
      </c>
      <c r="D16" s="674" t="str">
        <f>TechData_DMD!B16</f>
        <v>RSHEFRV140</v>
      </c>
      <c r="E16" s="674" t="str">
        <f>TechData_DMD!C16</f>
        <v>Electric Resistance Furnace Ver1.RSH.ELC.40</v>
      </c>
      <c r="F16" s="675" t="s">
        <v>348</v>
      </c>
      <c r="G16" s="675" t="s">
        <v>387</v>
      </c>
      <c r="H16" s="674"/>
      <c r="I16" s="674"/>
    </row>
    <row r="17" spans="2:9">
      <c r="B17" s="674" t="str">
        <f>TechData_DMD!A17</f>
        <v>*</v>
      </c>
      <c r="C17" s="675" t="s">
        <v>2998</v>
      </c>
      <c r="D17" s="674" t="str">
        <f>TechData_DMD!B17</f>
        <v>RSHEFRV240</v>
      </c>
      <c r="E17" s="674" t="str">
        <f>TechData_DMD!C17</f>
        <v>Electric Resistance Furnace Ver2.RSH.ELC.40</v>
      </c>
      <c r="F17" s="675" t="s">
        <v>348</v>
      </c>
      <c r="G17" s="675" t="s">
        <v>387</v>
      </c>
      <c r="H17" s="674"/>
      <c r="I17" s="674"/>
    </row>
    <row r="18" spans="2:9">
      <c r="B18" s="674" t="str">
        <f>TechData_DMD!A18</f>
        <v>*</v>
      </c>
      <c r="C18" s="675" t="s">
        <v>2998</v>
      </c>
      <c r="D18" s="674" t="str">
        <f>TechData_DMD!B18</f>
        <v>RSHEFRV250</v>
      </c>
      <c r="E18" s="674" t="str">
        <f>TechData_DMD!C18</f>
        <v>Electric Resistance Furnace Ver2.RSH.ELC.50</v>
      </c>
      <c r="F18" s="675" t="s">
        <v>348</v>
      </c>
      <c r="G18" s="675" t="s">
        <v>387</v>
      </c>
      <c r="H18" s="674"/>
      <c r="I18" s="674"/>
    </row>
    <row r="19" spans="2:9">
      <c r="B19" s="674" t="str">
        <f>TechData_DMD!A19</f>
        <v>*</v>
      </c>
      <c r="C19" s="675" t="s">
        <v>2998</v>
      </c>
      <c r="D19" s="674" t="str">
        <f>TechData_DMD!B19</f>
        <v>RSHEFRV220</v>
      </c>
      <c r="E19" s="674" t="str">
        <f>TechData_DMD!C19</f>
        <v>Electric Resistance Furnace Ver2.RSH.ELC.20</v>
      </c>
      <c r="F19" s="675" t="s">
        <v>348</v>
      </c>
      <c r="G19" s="675" t="s">
        <v>387</v>
      </c>
      <c r="H19" s="674"/>
      <c r="I19" s="674"/>
    </row>
    <row r="20" spans="2:9">
      <c r="B20" s="674" t="str">
        <f>TechData_DMD!A20</f>
        <v>*</v>
      </c>
      <c r="C20" s="675" t="s">
        <v>2998</v>
      </c>
      <c r="D20" s="674" t="str">
        <f>TechData_DMD!B20</f>
        <v>RSHEFRV130</v>
      </c>
      <c r="E20" s="674" t="str">
        <f>TechData_DMD!C20</f>
        <v>Electric Resistance Furnace Ver1.RSH.ELC.30</v>
      </c>
      <c r="F20" s="675" t="s">
        <v>348</v>
      </c>
      <c r="G20" s="675" t="s">
        <v>387</v>
      </c>
      <c r="H20" s="674"/>
      <c r="I20" s="674"/>
    </row>
    <row r="21" spans="2:9">
      <c r="B21" s="674" t="str">
        <f>TechData_DMD!A21</f>
        <v>*</v>
      </c>
      <c r="C21" s="675" t="s">
        <v>2998</v>
      </c>
      <c r="D21" s="674" t="str">
        <f>TechData_DMD!B21</f>
        <v>RSHEFRV230</v>
      </c>
      <c r="E21" s="674" t="str">
        <f>TechData_DMD!C21</f>
        <v>Electric Resistance Furnace Ver2.RSH.ELC.30</v>
      </c>
      <c r="F21" s="675" t="s">
        <v>348</v>
      </c>
      <c r="G21" s="675" t="s">
        <v>387</v>
      </c>
      <c r="H21" s="674"/>
      <c r="I21" s="674"/>
    </row>
    <row r="22" spans="2:9">
      <c r="B22" s="674" t="str">
        <f>TechData_DMD!A22</f>
        <v>*</v>
      </c>
      <c r="C22" s="675" t="s">
        <v>2998</v>
      </c>
      <c r="D22" s="674" t="str">
        <f>TechData_DMD!B22</f>
        <v>RSHEFRV140</v>
      </c>
      <c r="E22" s="674" t="str">
        <f>TechData_DMD!C22</f>
        <v>Electric Resistance Furnace Ver1.RSH.ELC.40</v>
      </c>
      <c r="F22" s="675" t="s">
        <v>348</v>
      </c>
      <c r="G22" s="675" t="s">
        <v>387</v>
      </c>
      <c r="H22" s="674"/>
      <c r="I22" s="674"/>
    </row>
    <row r="23" spans="2:9">
      <c r="B23" s="674" t="str">
        <f>TechData_DMD!A23</f>
        <v>*</v>
      </c>
      <c r="C23" s="675" t="s">
        <v>2998</v>
      </c>
      <c r="D23" s="674" t="str">
        <f>TechData_DMD!B23</f>
        <v>RSHEFRV240</v>
      </c>
      <c r="E23" s="674" t="str">
        <f>TechData_DMD!C23</f>
        <v>Electric Resistance Furnace Ver2.RSH.ELC.40</v>
      </c>
      <c r="F23" s="675" t="s">
        <v>348</v>
      </c>
      <c r="G23" s="675" t="s">
        <v>387</v>
      </c>
      <c r="H23" s="674"/>
      <c r="I23" s="674"/>
    </row>
    <row r="24" spans="2:9">
      <c r="B24" s="674" t="str">
        <f>TechData_DMD!A24</f>
        <v>*</v>
      </c>
      <c r="C24" s="675" t="s">
        <v>2998</v>
      </c>
      <c r="D24" s="674" t="str">
        <f>TechData_DMD!B24</f>
        <v>RSHEFRV150</v>
      </c>
      <c r="E24" s="674" t="str">
        <f>TechData_DMD!C24</f>
        <v>Electric Resistance Furnace Ver1.RSH.ELC.50</v>
      </c>
      <c r="F24" s="675" t="s">
        <v>348</v>
      </c>
      <c r="G24" s="675" t="s">
        <v>387</v>
      </c>
      <c r="H24" s="674"/>
      <c r="I24" s="674"/>
    </row>
    <row r="25" spans="2:9">
      <c r="B25" s="674" t="str">
        <f>TechData_DMD!A25</f>
        <v>*</v>
      </c>
      <c r="C25" s="675" t="s">
        <v>2998</v>
      </c>
      <c r="D25" s="674" t="str">
        <f>TechData_DMD!B25</f>
        <v>RSHEFRV250</v>
      </c>
      <c r="E25" s="674" t="str">
        <f>TechData_DMD!C25</f>
        <v>Electric Resistance Furnace Ver2.RSH.ELC.50</v>
      </c>
      <c r="F25" s="675" t="s">
        <v>348</v>
      </c>
      <c r="G25" s="675" t="s">
        <v>387</v>
      </c>
      <c r="H25" s="674"/>
      <c r="I25" s="674"/>
    </row>
    <row r="26" spans="2:9">
      <c r="B26" s="684" t="s">
        <v>388</v>
      </c>
      <c r="C26" s="685"/>
      <c r="D26" s="682"/>
      <c r="E26" s="682"/>
      <c r="F26" s="685"/>
      <c r="G26" s="685"/>
      <c r="H26" s="682"/>
      <c r="I26" s="682"/>
    </row>
    <row r="27" spans="2:9">
      <c r="B27" s="674" t="str">
        <f>TechData_DMD!A27</f>
        <v>*</v>
      </c>
      <c r="C27" s="675" t="s">
        <v>2998</v>
      </c>
      <c r="D27" s="674" t="str">
        <f>TechData_DMD!B27</f>
        <v>RSHEHPBS05</v>
      </c>
      <c r="E27" s="674" t="str">
        <f>TechData_DMD!C27</f>
        <v>Electric Heat Pump Base.RSH.ELC.05</v>
      </c>
      <c r="F27" s="675" t="s">
        <v>348</v>
      </c>
      <c r="G27" s="675" t="s">
        <v>387</v>
      </c>
      <c r="H27" s="674"/>
      <c r="I27" s="674"/>
    </row>
    <row r="28" spans="2:9">
      <c r="B28" s="674" t="str">
        <f>TechData_DMD!A28</f>
        <v>R2,R3,R4,R5,R6</v>
      </c>
      <c r="C28" s="675" t="s">
        <v>2998</v>
      </c>
      <c r="D28" s="674" t="str">
        <f>TechData_DMD!B28</f>
        <v>RSHEHPV110</v>
      </c>
      <c r="E28" s="674" t="str">
        <f>TechData_DMD!C28</f>
        <v>Electric Heat Pump Ver1.RSH.ELC.10</v>
      </c>
      <c r="F28" s="675" t="s">
        <v>348</v>
      </c>
      <c r="G28" s="675" t="s">
        <v>387</v>
      </c>
      <c r="H28" s="674"/>
      <c r="I28" s="674"/>
    </row>
    <row r="29" spans="2:9">
      <c r="B29" s="674" t="str">
        <f>TechData_DMD!A29</f>
        <v>*</v>
      </c>
      <c r="C29" s="675" t="s">
        <v>2998</v>
      </c>
      <c r="D29" s="674" t="str">
        <f>TechData_DMD!B29</f>
        <v>RSHEHPV115</v>
      </c>
      <c r="E29" s="674" t="str">
        <f>TechData_DMD!C29</f>
        <v>Electric Heat Pump Ver1.RSH.ELC.15</v>
      </c>
      <c r="F29" s="675" t="s">
        <v>348</v>
      </c>
      <c r="G29" s="675" t="s">
        <v>387</v>
      </c>
      <c r="H29" s="674"/>
      <c r="I29" s="674"/>
    </row>
    <row r="30" spans="2:9">
      <c r="B30" s="674" t="str">
        <f>TechData_DMD!A30</f>
        <v>*</v>
      </c>
      <c r="C30" s="675" t="s">
        <v>2998</v>
      </c>
      <c r="D30" s="674" t="str">
        <f>TechData_DMD!B30</f>
        <v>RSHEHPV215</v>
      </c>
      <c r="E30" s="674" t="str">
        <f>TechData_DMD!C30</f>
        <v>Electric Heat Pump Ver2.RSH.ELC.15</v>
      </c>
      <c r="F30" s="675" t="s">
        <v>348</v>
      </c>
      <c r="G30" s="675" t="s">
        <v>387</v>
      </c>
      <c r="H30" s="674"/>
      <c r="I30" s="674"/>
    </row>
    <row r="31" spans="2:9">
      <c r="B31" s="674" t="str">
        <f>TechData_DMD!A31</f>
        <v>*</v>
      </c>
      <c r="C31" s="675" t="s">
        <v>2998</v>
      </c>
      <c r="D31" s="674" t="str">
        <f>TechData_DMD!B31</f>
        <v>RSHEHPV320</v>
      </c>
      <c r="E31" s="674" t="str">
        <f>TechData_DMD!C31</f>
        <v>Electric Heat Pump Ver3.RSH.ELC.20</v>
      </c>
      <c r="F31" s="675" t="s">
        <v>348</v>
      </c>
      <c r="G31" s="675" t="s">
        <v>387</v>
      </c>
      <c r="H31" s="674"/>
      <c r="I31" s="674"/>
    </row>
    <row r="32" spans="2:9">
      <c r="B32" s="674" t="str">
        <f>TechData_DMD!A32</f>
        <v>*</v>
      </c>
      <c r="C32" s="675" t="s">
        <v>2998</v>
      </c>
      <c r="D32" s="674" t="str">
        <f>TechData_DMD!B32</f>
        <v>RSHEHPV520</v>
      </c>
      <c r="E32" s="674" t="str">
        <f>TechData_DMD!C32</f>
        <v>Electric Heat Pump Ver5.RSH.ELC.20</v>
      </c>
      <c r="F32" s="675" t="s">
        <v>348</v>
      </c>
      <c r="G32" s="675" t="s">
        <v>387</v>
      </c>
      <c r="H32" s="674"/>
      <c r="I32" s="674"/>
    </row>
    <row r="33" spans="2:9">
      <c r="B33" s="674" t="str">
        <f>TechData_DMD!A33</f>
        <v>*</v>
      </c>
      <c r="C33" s="675" t="s">
        <v>2998</v>
      </c>
      <c r="D33" s="674" t="str">
        <f>TechData_DMD!B33</f>
        <v>RSHEHPV430</v>
      </c>
      <c r="E33" s="674" t="str">
        <f>TechData_DMD!C33</f>
        <v>Electric Heat Pump Ver4.RSH.ELC.30</v>
      </c>
      <c r="F33" s="675" t="s">
        <v>348</v>
      </c>
      <c r="G33" s="675" t="s">
        <v>387</v>
      </c>
      <c r="H33" s="674"/>
      <c r="I33" s="674"/>
    </row>
    <row r="34" spans="2:9">
      <c r="B34" s="674" t="str">
        <f>TechData_DMD!A34</f>
        <v>*</v>
      </c>
      <c r="C34" s="675" t="s">
        <v>2998</v>
      </c>
      <c r="D34" s="674" t="str">
        <f>TechData_DMD!B34</f>
        <v>RSHEHPV630</v>
      </c>
      <c r="E34" s="674" t="str">
        <f>TechData_DMD!C34</f>
        <v>Electric Heat Pump Ver6.RSH.ELC.30</v>
      </c>
      <c r="F34" s="675" t="s">
        <v>348</v>
      </c>
      <c r="G34" s="675" t="s">
        <v>387</v>
      </c>
      <c r="H34" s="674"/>
      <c r="I34" s="674"/>
    </row>
    <row r="35" spans="2:9">
      <c r="B35" s="674" t="str">
        <f>TechData_DMD!A35</f>
        <v>*</v>
      </c>
      <c r="C35" s="675" t="s">
        <v>2998</v>
      </c>
      <c r="D35" s="674" t="str">
        <f>TechData_DMD!B35</f>
        <v>RSHEHPV440</v>
      </c>
      <c r="E35" s="674" t="str">
        <f>TechData_DMD!C35</f>
        <v>Electric Heat Pump Ver4.RSH.ELC.40</v>
      </c>
      <c r="F35" s="675" t="s">
        <v>348</v>
      </c>
      <c r="G35" s="675" t="s">
        <v>387</v>
      </c>
      <c r="H35" s="674"/>
      <c r="I35" s="674"/>
    </row>
    <row r="36" spans="2:9">
      <c r="B36" s="674" t="str">
        <f>TechData_DMD!A36</f>
        <v>*</v>
      </c>
      <c r="C36" s="675" t="s">
        <v>2998</v>
      </c>
      <c r="D36" s="674" t="str">
        <f>TechData_DMD!B36</f>
        <v>RSHEHPV640</v>
      </c>
      <c r="E36" s="674" t="str">
        <f>TechData_DMD!C36</f>
        <v>Electric Heat Pump Ver6.RSH.ELC.40</v>
      </c>
      <c r="F36" s="675" t="s">
        <v>348</v>
      </c>
      <c r="G36" s="675" t="s">
        <v>387</v>
      </c>
      <c r="H36" s="674"/>
      <c r="I36" s="674"/>
    </row>
    <row r="37" spans="2:9">
      <c r="B37" s="674" t="str">
        <f>TechData_DMD!A37</f>
        <v>*</v>
      </c>
      <c r="C37" s="675" t="s">
        <v>2998</v>
      </c>
      <c r="D37" s="674" t="str">
        <f>TechData_DMD!B37</f>
        <v>RSHEHPV210</v>
      </c>
      <c r="E37" s="674" t="str">
        <f>TechData_DMD!C37</f>
        <v>Electric Heat Pump Ver2.RSH.ELC.10</v>
      </c>
      <c r="F37" s="675" t="s">
        <v>348</v>
      </c>
      <c r="G37" s="675" t="s">
        <v>387</v>
      </c>
      <c r="H37" s="674"/>
      <c r="I37" s="674"/>
    </row>
    <row r="38" spans="2:9">
      <c r="B38" s="674" t="str">
        <f>TechData_DMD!A38</f>
        <v>*</v>
      </c>
      <c r="C38" s="675" t="s">
        <v>2998</v>
      </c>
      <c r="D38" s="674" t="str">
        <f>TechData_DMD!B38</f>
        <v>RSHEHPV215</v>
      </c>
      <c r="E38" s="674" t="str">
        <f>TechData_DMD!C38</f>
        <v>Electric Heat Pump Ver2.RSH.ELC.15</v>
      </c>
      <c r="F38" s="675" t="s">
        <v>348</v>
      </c>
      <c r="G38" s="675" t="s">
        <v>387</v>
      </c>
      <c r="H38" s="674"/>
      <c r="I38" s="674"/>
    </row>
    <row r="39" spans="2:9">
      <c r="B39" s="674" t="str">
        <f>TechData_DMD!A39</f>
        <v>*</v>
      </c>
      <c r="C39" s="675" t="s">
        <v>2998</v>
      </c>
      <c r="D39" s="674" t="str">
        <f>TechData_DMD!B39</f>
        <v>RSHEHPV310</v>
      </c>
      <c r="E39" s="674" t="str">
        <f>TechData_DMD!C39</f>
        <v>Electric Heat Pump Ver3.RSH.ELC.10</v>
      </c>
      <c r="F39" s="675" t="s">
        <v>348</v>
      </c>
      <c r="G39" s="675" t="s">
        <v>387</v>
      </c>
      <c r="H39" s="674"/>
      <c r="I39" s="674"/>
    </row>
    <row r="40" spans="2:9">
      <c r="B40" s="674" t="str">
        <f>TechData_DMD!A40</f>
        <v>*</v>
      </c>
      <c r="C40" s="675" t="s">
        <v>2998</v>
      </c>
      <c r="D40" s="674" t="str">
        <f>TechData_DMD!B40</f>
        <v>RSHEHPV315</v>
      </c>
      <c r="E40" s="674" t="str">
        <f>TechData_DMD!C40</f>
        <v>Electric Heat Pump Ver3.RSH.ELC.15</v>
      </c>
      <c r="F40" s="675" t="s">
        <v>348</v>
      </c>
      <c r="G40" s="675" t="s">
        <v>387</v>
      </c>
      <c r="H40" s="674"/>
      <c r="I40" s="674"/>
    </row>
    <row r="41" spans="2:9">
      <c r="B41" s="674" t="str">
        <f>TechData_DMD!A41</f>
        <v>*</v>
      </c>
      <c r="C41" s="675" t="s">
        <v>2998</v>
      </c>
      <c r="D41" s="674" t="str">
        <f>TechData_DMD!B41</f>
        <v>RSHEHPV320</v>
      </c>
      <c r="E41" s="674" t="str">
        <f>TechData_DMD!C41</f>
        <v>Electric Heat Pump Ver3.RSH.ELC.20</v>
      </c>
      <c r="F41" s="675" t="s">
        <v>348</v>
      </c>
      <c r="G41" s="675" t="s">
        <v>387</v>
      </c>
      <c r="H41" s="674"/>
      <c r="I41" s="674"/>
    </row>
    <row r="42" spans="2:9">
      <c r="B42" s="674" t="str">
        <f>TechData_DMD!A42</f>
        <v>*</v>
      </c>
      <c r="C42" s="675" t="s">
        <v>2998</v>
      </c>
      <c r="D42" s="674" t="str">
        <f>TechData_DMD!B42</f>
        <v>RSHEHPV330</v>
      </c>
      <c r="E42" s="674" t="str">
        <f>TechData_DMD!C42</f>
        <v>Electric Heat Pump Ver3.RSH.ELC.30</v>
      </c>
      <c r="F42" s="675" t="s">
        <v>348</v>
      </c>
      <c r="G42" s="675" t="s">
        <v>387</v>
      </c>
      <c r="H42" s="674"/>
      <c r="I42" s="674"/>
    </row>
    <row r="43" spans="2:9">
      <c r="B43" s="674" t="str">
        <f>TechData_DMD!A43</f>
        <v>*</v>
      </c>
      <c r="C43" s="675" t="s">
        <v>2998</v>
      </c>
      <c r="D43" s="674" t="str">
        <f>TechData_DMD!B43</f>
        <v>RSHEHPV410</v>
      </c>
      <c r="E43" s="674" t="str">
        <f>TechData_DMD!C43</f>
        <v>Electric Heat Pump Ver4.RSH.ELC.10</v>
      </c>
      <c r="F43" s="675" t="s">
        <v>348</v>
      </c>
      <c r="G43" s="675" t="s">
        <v>387</v>
      </c>
      <c r="H43" s="674"/>
      <c r="I43" s="674"/>
    </row>
    <row r="44" spans="2:9">
      <c r="B44" s="674" t="str">
        <f>TechData_DMD!A44</f>
        <v>*</v>
      </c>
      <c r="C44" s="675" t="s">
        <v>2998</v>
      </c>
      <c r="D44" s="674" t="str">
        <f>TechData_DMD!B44</f>
        <v>RSHEHPV420</v>
      </c>
      <c r="E44" s="674" t="str">
        <f>TechData_DMD!C44</f>
        <v>Electric Heat Pump Ver4.RSH.ELC.20</v>
      </c>
      <c r="F44" s="675" t="s">
        <v>348</v>
      </c>
      <c r="G44" s="675" t="s">
        <v>387</v>
      </c>
      <c r="H44" s="674"/>
      <c r="I44" s="674"/>
    </row>
    <row r="45" spans="2:9">
      <c r="B45" s="674" t="str">
        <f>TechData_DMD!A45</f>
        <v>*</v>
      </c>
      <c r="C45" s="675" t="s">
        <v>2998</v>
      </c>
      <c r="D45" s="674" t="str">
        <f>TechData_DMD!B45</f>
        <v>RSHEHPV430</v>
      </c>
      <c r="E45" s="674" t="str">
        <f>TechData_DMD!C45</f>
        <v>Electric Heat Pump Ver4.RSH.ELC.30</v>
      </c>
      <c r="F45" s="675" t="s">
        <v>348</v>
      </c>
      <c r="G45" s="675" t="s">
        <v>387</v>
      </c>
      <c r="H45" s="674"/>
      <c r="I45" s="674"/>
    </row>
    <row r="46" spans="2:9">
      <c r="B46" s="674" t="str">
        <f>TechData_DMD!A46</f>
        <v>*</v>
      </c>
      <c r="C46" s="675" t="s">
        <v>2998</v>
      </c>
      <c r="D46" s="674" t="str">
        <f>TechData_DMD!B46</f>
        <v>RSHEHPV435</v>
      </c>
      <c r="E46" s="674" t="str">
        <f>TechData_DMD!C46</f>
        <v>Electric Heat Pump Ver4.RSH.ELC.35</v>
      </c>
      <c r="F46" s="675" t="s">
        <v>348</v>
      </c>
      <c r="G46" s="675" t="s">
        <v>387</v>
      </c>
      <c r="H46" s="674"/>
      <c r="I46" s="674"/>
    </row>
    <row r="47" spans="2:9">
      <c r="B47" s="684" t="s">
        <v>389</v>
      </c>
      <c r="C47" s="685"/>
      <c r="D47" s="682"/>
      <c r="E47" s="682"/>
      <c r="F47" s="685"/>
      <c r="G47" s="685"/>
      <c r="H47" s="682"/>
      <c r="I47" s="682"/>
    </row>
    <row r="48" spans="2:9">
      <c r="B48" s="674" t="str">
        <f>TechData_DMD!A48</f>
        <v>*</v>
      </c>
      <c r="C48" s="675" t="s">
        <v>2998</v>
      </c>
      <c r="D48" s="674" t="str">
        <f>TechData_DMD!B48</f>
        <v>RSHNFRBS05</v>
      </c>
      <c r="E48" s="674" t="str">
        <f>TechData_DMD!C48</f>
        <v>Natural Gas Furnace Base.RSH.NGA.05</v>
      </c>
      <c r="F48" s="675" t="s">
        <v>348</v>
      </c>
      <c r="G48" s="675" t="s">
        <v>387</v>
      </c>
      <c r="H48" s="674"/>
      <c r="I48" s="674"/>
    </row>
    <row r="49" spans="2:9">
      <c r="B49" s="674" t="str">
        <f>TechData_DMD!A49</f>
        <v>R2,R3,R4,R5,R6</v>
      </c>
      <c r="C49" s="675" t="s">
        <v>2998</v>
      </c>
      <c r="D49" s="674" t="str">
        <f>TechData_DMD!B49</f>
        <v>RSHNFRV110</v>
      </c>
      <c r="E49" s="674" t="str">
        <f>TechData_DMD!C49</f>
        <v>Natural Gas Furnace Ver1.RSH.NGA.10</v>
      </c>
      <c r="F49" s="675" t="s">
        <v>348</v>
      </c>
      <c r="G49" s="675" t="s">
        <v>387</v>
      </c>
      <c r="H49" s="674"/>
      <c r="I49" s="674"/>
    </row>
    <row r="50" spans="2:9">
      <c r="B50" s="674" t="str">
        <f>TechData_DMD!A50</f>
        <v>*</v>
      </c>
      <c r="C50" s="675" t="s">
        <v>2998</v>
      </c>
      <c r="D50" s="674" t="str">
        <f>TechData_DMD!B50</f>
        <v>RSHNFRV115</v>
      </c>
      <c r="E50" s="674" t="str">
        <f>TechData_DMD!C50</f>
        <v>Natural Gas Furnace Ver1.RSH.NGA.15</v>
      </c>
      <c r="F50" s="675" t="s">
        <v>348</v>
      </c>
      <c r="G50" s="675" t="s">
        <v>387</v>
      </c>
      <c r="H50" s="674"/>
      <c r="I50" s="674"/>
    </row>
    <row r="51" spans="2:9">
      <c r="B51" s="674" t="str">
        <f>TechData_DMD!A51</f>
        <v>*</v>
      </c>
      <c r="C51" s="675" t="s">
        <v>2998</v>
      </c>
      <c r="D51" s="674" t="str">
        <f>TechData_DMD!B51</f>
        <v>RSHNFRV215</v>
      </c>
      <c r="E51" s="674" t="str">
        <f>TechData_DMD!C51</f>
        <v>Natural Gas Furnace Ver2.RSH.NGA.15</v>
      </c>
      <c r="F51" s="675" t="s">
        <v>348</v>
      </c>
      <c r="G51" s="675" t="s">
        <v>387</v>
      </c>
      <c r="H51" s="674"/>
      <c r="I51" s="674"/>
    </row>
    <row r="52" spans="2:9">
      <c r="B52" s="674" t="str">
        <f>TechData_DMD!A52</f>
        <v>*</v>
      </c>
      <c r="C52" s="675" t="s">
        <v>2998</v>
      </c>
      <c r="D52" s="674" t="str">
        <f>TechData_DMD!B52</f>
        <v>RSHNFRV320</v>
      </c>
      <c r="E52" s="674" t="str">
        <f>TechData_DMD!C52</f>
        <v>Natural Gas Furnace Ver3.RSH.NGA.20</v>
      </c>
      <c r="F52" s="675" t="s">
        <v>348</v>
      </c>
      <c r="G52" s="675" t="s">
        <v>387</v>
      </c>
      <c r="H52" s="674"/>
      <c r="I52" s="674"/>
    </row>
    <row r="53" spans="2:9">
      <c r="B53" s="674" t="str">
        <f>TechData_DMD!A53</f>
        <v>*</v>
      </c>
      <c r="C53" s="675" t="s">
        <v>2998</v>
      </c>
      <c r="D53" s="674" t="str">
        <f>TechData_DMD!B53</f>
        <v>RSHNFRV520</v>
      </c>
      <c r="E53" s="674" t="str">
        <f>TechData_DMD!C53</f>
        <v>Natural Gas Furnace Ver5.RSH.NGA.20</v>
      </c>
      <c r="F53" s="675" t="s">
        <v>348</v>
      </c>
      <c r="G53" s="675" t="s">
        <v>387</v>
      </c>
      <c r="H53" s="674"/>
      <c r="I53" s="674"/>
    </row>
    <row r="54" spans="2:9">
      <c r="B54" s="674" t="str">
        <f>TechData_DMD!A54</f>
        <v>*</v>
      </c>
      <c r="C54" s="675" t="s">
        <v>2998</v>
      </c>
      <c r="D54" s="674" t="str">
        <f>TechData_DMD!B54</f>
        <v>RSHNFRV430</v>
      </c>
      <c r="E54" s="674" t="str">
        <f>TechData_DMD!C54</f>
        <v>Natural Gas Furnace Ver4.RSH.NGA.30</v>
      </c>
      <c r="F54" s="675" t="s">
        <v>348</v>
      </c>
      <c r="G54" s="675" t="s">
        <v>387</v>
      </c>
      <c r="H54" s="674"/>
      <c r="I54" s="674"/>
    </row>
    <row r="55" spans="2:9">
      <c r="B55" s="674" t="str">
        <f>TechData_DMD!A55</f>
        <v>*</v>
      </c>
      <c r="C55" s="675" t="s">
        <v>2998</v>
      </c>
      <c r="D55" s="674" t="str">
        <f>TechData_DMD!B55</f>
        <v>RSHNFRV630</v>
      </c>
      <c r="E55" s="674" t="str">
        <f>TechData_DMD!C55</f>
        <v>Natural Gas Furnace Ver6.RSH.NGA.30</v>
      </c>
      <c r="F55" s="675" t="s">
        <v>348</v>
      </c>
      <c r="G55" s="675" t="s">
        <v>387</v>
      </c>
      <c r="H55" s="674"/>
      <c r="I55" s="674"/>
    </row>
    <row r="56" spans="2:9">
      <c r="B56" s="674" t="str">
        <f>TechData_DMD!A56</f>
        <v>*</v>
      </c>
      <c r="C56" s="675" t="s">
        <v>2998</v>
      </c>
      <c r="D56" s="674" t="str">
        <f>TechData_DMD!B56</f>
        <v>RSHNFRV440</v>
      </c>
      <c r="E56" s="674" t="str">
        <f>TechData_DMD!C56</f>
        <v>Natural Gas Furnace Ver4.RSH.NGA.40</v>
      </c>
      <c r="F56" s="675" t="s">
        <v>348</v>
      </c>
      <c r="G56" s="675" t="s">
        <v>387</v>
      </c>
      <c r="H56" s="674"/>
      <c r="I56" s="674"/>
    </row>
    <row r="57" spans="2:9">
      <c r="B57" s="674" t="str">
        <f>TechData_DMD!A57</f>
        <v>*</v>
      </c>
      <c r="C57" s="675" t="s">
        <v>2998</v>
      </c>
      <c r="D57" s="674" t="str">
        <f>TechData_DMD!B57</f>
        <v>RSHNFRV640</v>
      </c>
      <c r="E57" s="674" t="str">
        <f>TechData_DMD!C57</f>
        <v>Natural Gas Furnace Ver6.RSH.NGA.40</v>
      </c>
      <c r="F57" s="675" t="s">
        <v>348</v>
      </c>
      <c r="G57" s="675" t="s">
        <v>387</v>
      </c>
      <c r="H57" s="674"/>
      <c r="I57" s="674"/>
    </row>
    <row r="58" spans="2:9">
      <c r="B58" s="674" t="str">
        <f>TechData_DMD!A58</f>
        <v>*</v>
      </c>
      <c r="C58" s="675" t="s">
        <v>2998</v>
      </c>
      <c r="D58" s="674" t="str">
        <f>TechData_DMD!B58</f>
        <v>RSHNFRV210</v>
      </c>
      <c r="E58" s="674" t="str">
        <f>TechData_DMD!C58</f>
        <v>Natural Gas Furnace Ver2.RSH.NGA.10</v>
      </c>
      <c r="F58" s="675" t="s">
        <v>348</v>
      </c>
      <c r="G58" s="675" t="s">
        <v>387</v>
      </c>
      <c r="H58" s="674"/>
      <c r="I58" s="674"/>
    </row>
    <row r="59" spans="2:9">
      <c r="B59" s="674" t="str">
        <f>TechData_DMD!A59</f>
        <v>*</v>
      </c>
      <c r="C59" s="675" t="s">
        <v>2998</v>
      </c>
      <c r="D59" s="674" t="str">
        <f>TechData_DMD!B59</f>
        <v>RSHNFRV310</v>
      </c>
      <c r="E59" s="674" t="str">
        <f>TechData_DMD!C59</f>
        <v>Natural Gas Furnace Ver3.RSH.NGA.10</v>
      </c>
      <c r="F59" s="675" t="s">
        <v>348</v>
      </c>
      <c r="G59" s="675" t="s">
        <v>387</v>
      </c>
      <c r="H59" s="674"/>
      <c r="I59" s="674"/>
    </row>
    <row r="60" spans="2:9">
      <c r="B60" s="674" t="str">
        <f>TechData_DMD!A60</f>
        <v>*</v>
      </c>
      <c r="C60" s="675" t="s">
        <v>2998</v>
      </c>
      <c r="D60" s="674" t="str">
        <f>TechData_DMD!B60</f>
        <v>RSHNFRV410</v>
      </c>
      <c r="E60" s="674" t="str">
        <f>TechData_DMD!C60</f>
        <v>Natural Gas Furnace Ver4.RSH.NGA.10</v>
      </c>
      <c r="F60" s="675" t="s">
        <v>348</v>
      </c>
      <c r="G60" s="675" t="s">
        <v>387</v>
      </c>
      <c r="H60" s="674"/>
      <c r="I60" s="674"/>
    </row>
    <row r="61" spans="2:9">
      <c r="B61" s="674" t="str">
        <f>TechData_DMD!A61</f>
        <v>*</v>
      </c>
      <c r="C61" s="675" t="s">
        <v>2998</v>
      </c>
      <c r="D61" s="674" t="str">
        <f>TechData_DMD!B61</f>
        <v>RSHNFRV510</v>
      </c>
      <c r="E61" s="674" t="str">
        <f>TechData_DMD!C61</f>
        <v>Natural Gas Furnace Ver5.RSH.NGA.10</v>
      </c>
      <c r="F61" s="675" t="s">
        <v>348</v>
      </c>
      <c r="G61" s="675" t="s">
        <v>387</v>
      </c>
      <c r="H61" s="674"/>
      <c r="I61" s="674"/>
    </row>
    <row r="62" spans="2:9">
      <c r="B62" s="674" t="str">
        <f>TechData_DMD!A62</f>
        <v>*</v>
      </c>
      <c r="C62" s="675" t="s">
        <v>2998</v>
      </c>
      <c r="D62" s="674" t="str">
        <f>TechData_DMD!B62</f>
        <v>RSHNFRV120</v>
      </c>
      <c r="E62" s="674" t="str">
        <f>TechData_DMD!C62</f>
        <v>Natural Gas Furnace Ver1.RSH.NGA.20</v>
      </c>
      <c r="F62" s="675" t="s">
        <v>348</v>
      </c>
      <c r="G62" s="675" t="s">
        <v>387</v>
      </c>
      <c r="H62" s="674"/>
      <c r="I62" s="674"/>
    </row>
    <row r="63" spans="2:9">
      <c r="B63" s="674" t="str">
        <f>TechData_DMD!A63</f>
        <v>*</v>
      </c>
      <c r="C63" s="675" t="s">
        <v>2998</v>
      </c>
      <c r="D63" s="674" t="str">
        <f>TechData_DMD!B63</f>
        <v>RSHNFRV220</v>
      </c>
      <c r="E63" s="674" t="str">
        <f>TechData_DMD!C63</f>
        <v>Natural Gas Furnace Ver2.RSH.NGA.20</v>
      </c>
      <c r="F63" s="675" t="s">
        <v>348</v>
      </c>
      <c r="G63" s="675" t="s">
        <v>387</v>
      </c>
      <c r="H63" s="674"/>
      <c r="I63" s="674"/>
    </row>
    <row r="64" spans="2:9">
      <c r="B64" s="674" t="str">
        <f>TechData_DMD!A64</f>
        <v>*</v>
      </c>
      <c r="C64" s="675" t="s">
        <v>2998</v>
      </c>
      <c r="D64" s="674" t="str">
        <f>TechData_DMD!B64</f>
        <v>RSHNFRV130</v>
      </c>
      <c r="E64" s="674" t="str">
        <f>TechData_DMD!C64</f>
        <v>Natural Gas Furnace Ver1.RSH.NGA.30</v>
      </c>
      <c r="F64" s="675" t="s">
        <v>348</v>
      </c>
      <c r="G64" s="675" t="s">
        <v>387</v>
      </c>
      <c r="H64" s="674"/>
      <c r="I64" s="674"/>
    </row>
    <row r="65" spans="2:9">
      <c r="B65" s="674" t="str">
        <f>TechData_DMD!A65</f>
        <v>*</v>
      </c>
      <c r="C65" s="675" t="s">
        <v>2998</v>
      </c>
      <c r="D65" s="674" t="str">
        <f>TechData_DMD!B65</f>
        <v>RSHNFRV230</v>
      </c>
      <c r="E65" s="674" t="str">
        <f>TechData_DMD!C65</f>
        <v>Natural Gas Furnace Ver1.RSH.NGA.30</v>
      </c>
      <c r="F65" s="675" t="s">
        <v>348</v>
      </c>
      <c r="G65" s="675" t="s">
        <v>387</v>
      </c>
      <c r="H65" s="674"/>
      <c r="I65" s="674"/>
    </row>
    <row r="66" spans="2:9">
      <c r="B66" s="674" t="str">
        <f>TechData_DMD!A66</f>
        <v>*</v>
      </c>
      <c r="C66" s="675" t="s">
        <v>2998</v>
      </c>
      <c r="D66" s="674" t="str">
        <f>TechData_DMD!B66</f>
        <v>RSHNFRV140</v>
      </c>
      <c r="E66" s="674" t="str">
        <f>TechData_DMD!C66</f>
        <v>Natural Gas Furnace Ver1.RSH.NGA.40</v>
      </c>
      <c r="F66" s="675" t="s">
        <v>348</v>
      </c>
      <c r="G66" s="675" t="s">
        <v>387</v>
      </c>
      <c r="H66" s="674"/>
      <c r="I66" s="674"/>
    </row>
    <row r="67" spans="2:9">
      <c r="B67" s="674" t="str">
        <f>TechData_DMD!A67</f>
        <v>*</v>
      </c>
      <c r="C67" s="675" t="s">
        <v>2998</v>
      </c>
      <c r="D67" s="674" t="str">
        <f>TechData_DMD!B67</f>
        <v>RSHNFRV240</v>
      </c>
      <c r="E67" s="674" t="str">
        <f>TechData_DMD!C67</f>
        <v>Natural Gas Furnace Ver1.RSH.NGA.40</v>
      </c>
      <c r="F67" s="675" t="s">
        <v>348</v>
      </c>
      <c r="G67" s="675" t="s">
        <v>387</v>
      </c>
      <c r="H67" s="674"/>
      <c r="I67" s="674"/>
    </row>
    <row r="68" spans="2:9">
      <c r="B68" s="674" t="str">
        <f>TechData_DMD!A68</f>
        <v>*</v>
      </c>
      <c r="C68" s="675" t="s">
        <v>2998</v>
      </c>
      <c r="D68" s="674" t="str">
        <f>TechData_DMD!B68</f>
        <v>RSHNFRV150</v>
      </c>
      <c r="E68" s="674" t="str">
        <f>TechData_DMD!C68</f>
        <v>Natural Gas Furnace Ver1.RSH.NGA.50</v>
      </c>
      <c r="F68" s="675" t="s">
        <v>348</v>
      </c>
      <c r="G68" s="675" t="s">
        <v>387</v>
      </c>
      <c r="H68" s="674"/>
      <c r="I68" s="674"/>
    </row>
    <row r="69" spans="2:9">
      <c r="B69" s="674" t="str">
        <f>TechData_DMD!A69</f>
        <v>*</v>
      </c>
      <c r="C69" s="675" t="s">
        <v>2998</v>
      </c>
      <c r="D69" s="674" t="str">
        <f>TechData_DMD!B69</f>
        <v>RSHNFRV250</v>
      </c>
      <c r="E69" s="674" t="str">
        <f>TechData_DMD!C69</f>
        <v>Natural Gas Furnace Ver1.RSH.NGA.50</v>
      </c>
      <c r="F69" s="675" t="s">
        <v>348</v>
      </c>
      <c r="G69" s="675" t="s">
        <v>387</v>
      </c>
      <c r="H69" s="674"/>
      <c r="I69" s="674"/>
    </row>
    <row r="70" spans="2:9">
      <c r="B70" s="684" t="s">
        <v>391</v>
      </c>
      <c r="C70" s="685"/>
      <c r="D70" s="682"/>
      <c r="E70" s="682"/>
      <c r="F70" s="685"/>
      <c r="G70" s="685"/>
      <c r="H70" s="682"/>
      <c r="I70" s="682"/>
    </row>
    <row r="71" spans="2:9">
      <c r="B71" s="674" t="str">
        <f>TechData_DMD!A71</f>
        <v>*</v>
      </c>
      <c r="C71" s="675" t="s">
        <v>2998</v>
      </c>
      <c r="D71" s="674" t="str">
        <f>TechData_DMD!B71</f>
        <v>RSHNRDBS05</v>
      </c>
      <c r="E71" s="674" t="str">
        <f>TechData_DMD!C71</f>
        <v>Natural Gas Radiant Base.RSH.NGA.05</v>
      </c>
      <c r="F71" s="675" t="s">
        <v>348</v>
      </c>
      <c r="G71" s="675" t="s">
        <v>387</v>
      </c>
      <c r="H71" s="674"/>
      <c r="I71" s="674"/>
    </row>
    <row r="72" spans="2:9">
      <c r="B72" s="674" t="str">
        <f>TechData_DMD!A72</f>
        <v>R2,R3,R4,R5,R6</v>
      </c>
      <c r="C72" s="675" t="s">
        <v>2998</v>
      </c>
      <c r="D72" s="674" t="str">
        <f>TechData_DMD!B72</f>
        <v>RSHNRDV110</v>
      </c>
      <c r="E72" s="674" t="str">
        <f>TechData_DMD!C72</f>
        <v>Natural Gas Radiant Ver1.RSH.NGA.10</v>
      </c>
      <c r="F72" s="675" t="s">
        <v>348</v>
      </c>
      <c r="G72" s="675" t="s">
        <v>387</v>
      </c>
      <c r="H72" s="674"/>
      <c r="I72" s="674"/>
    </row>
    <row r="73" spans="2:9">
      <c r="B73" s="674" t="str">
        <f>TechData_DMD!A73</f>
        <v>*</v>
      </c>
      <c r="C73" s="675" t="s">
        <v>2998</v>
      </c>
      <c r="D73" s="674" t="str">
        <f>TechData_DMD!B73</f>
        <v>RSHNRDV115</v>
      </c>
      <c r="E73" s="674" t="str">
        <f>TechData_DMD!C73</f>
        <v>Natural Gas Radiant Ver1.RSH.NGA.15</v>
      </c>
      <c r="F73" s="675" t="s">
        <v>348</v>
      </c>
      <c r="G73" s="675" t="s">
        <v>387</v>
      </c>
      <c r="H73" s="674"/>
      <c r="I73" s="674"/>
    </row>
    <row r="74" spans="2:9">
      <c r="B74" s="674" t="str">
        <f>TechData_DMD!A74</f>
        <v>*</v>
      </c>
      <c r="C74" s="675" t="s">
        <v>2998</v>
      </c>
      <c r="D74" s="674" t="str">
        <f>TechData_DMD!B74</f>
        <v>RSHNRDV120</v>
      </c>
      <c r="E74" s="674" t="str">
        <f>TechData_DMD!C74</f>
        <v>Natural Gas Radiant Ver1.RSH.NGA.20</v>
      </c>
      <c r="F74" s="675" t="s">
        <v>348</v>
      </c>
      <c r="G74" s="675" t="s">
        <v>387</v>
      </c>
      <c r="H74" s="674"/>
      <c r="I74" s="674"/>
    </row>
    <row r="75" spans="2:9">
      <c r="B75" s="674" t="str">
        <f>TechData_DMD!A75</f>
        <v>*</v>
      </c>
      <c r="C75" s="675" t="s">
        <v>2998</v>
      </c>
      <c r="D75" s="674" t="str">
        <f>TechData_DMD!B75</f>
        <v>RSHNRDV215</v>
      </c>
      <c r="E75" s="674" t="str">
        <f>TechData_DMD!C75</f>
        <v>Natural Gas Radiant Ver2.RSH.NGA.15</v>
      </c>
      <c r="F75" s="675" t="s">
        <v>348</v>
      </c>
      <c r="G75" s="675" t="s">
        <v>387</v>
      </c>
      <c r="H75" s="674"/>
      <c r="I75" s="674"/>
    </row>
    <row r="76" spans="2:9">
      <c r="B76" s="674" t="str">
        <f>TechData_DMD!A76</f>
        <v>*</v>
      </c>
      <c r="C76" s="675" t="s">
        <v>2998</v>
      </c>
      <c r="D76" s="674" t="str">
        <f>TechData_DMD!B76</f>
        <v>RSHNRDV220</v>
      </c>
      <c r="E76" s="674" t="str">
        <f>TechData_DMD!C76</f>
        <v>Natural Gas Radiant Ver2.RSH.NGA.20</v>
      </c>
      <c r="F76" s="675" t="s">
        <v>348</v>
      </c>
      <c r="G76" s="675" t="s">
        <v>387</v>
      </c>
      <c r="H76" s="674"/>
      <c r="I76" s="674"/>
    </row>
    <row r="77" spans="2:9">
      <c r="B77" s="674" t="str">
        <f>TechData_DMD!A77</f>
        <v>*</v>
      </c>
      <c r="C77" s="675" t="s">
        <v>2998</v>
      </c>
      <c r="D77" s="674" t="str">
        <f>TechData_DMD!B77</f>
        <v>RSHNRDV315</v>
      </c>
      <c r="E77" s="674" t="str">
        <f>TechData_DMD!C77</f>
        <v>Natural Gas Radiant Ver3.RSH.NGA.15</v>
      </c>
      <c r="F77" s="675" t="s">
        <v>348</v>
      </c>
      <c r="G77" s="675" t="s">
        <v>387</v>
      </c>
      <c r="H77" s="674"/>
      <c r="I77" s="674"/>
    </row>
    <row r="78" spans="2:9">
      <c r="B78" s="674" t="str">
        <f>TechData_DMD!A78</f>
        <v>*</v>
      </c>
      <c r="C78" s="675" t="s">
        <v>2998</v>
      </c>
      <c r="D78" s="674" t="str">
        <f>TechData_DMD!B78</f>
        <v>RSHNRDV210</v>
      </c>
      <c r="E78" s="674" t="str">
        <f>TechData_DMD!C78</f>
        <v>Natural Gas Radiant Ver2.RSH.NGA.10</v>
      </c>
      <c r="F78" s="675" t="s">
        <v>348</v>
      </c>
      <c r="G78" s="675" t="s">
        <v>387</v>
      </c>
      <c r="H78" s="674"/>
      <c r="I78" s="674"/>
    </row>
    <row r="79" spans="2:9">
      <c r="B79" s="674" t="str">
        <f>TechData_DMD!A79</f>
        <v>*</v>
      </c>
      <c r="C79" s="675" t="s">
        <v>2998</v>
      </c>
      <c r="D79" s="674" t="str">
        <f>TechData_DMD!B79</f>
        <v>RSHNRDV310</v>
      </c>
      <c r="E79" s="674" t="str">
        <f>TechData_DMD!C79</f>
        <v>Natural Gas Radiant Ver3.RSH.NGA.10</v>
      </c>
      <c r="F79" s="675" t="s">
        <v>348</v>
      </c>
      <c r="G79" s="675" t="s">
        <v>387</v>
      </c>
      <c r="H79" s="674"/>
      <c r="I79" s="674"/>
    </row>
    <row r="80" spans="2:9">
      <c r="B80" s="684" t="s">
        <v>392</v>
      </c>
      <c r="C80" s="685"/>
      <c r="D80" s="682"/>
      <c r="E80" s="682"/>
      <c r="F80" s="685"/>
      <c r="G80" s="685"/>
      <c r="H80" s="682"/>
      <c r="I80" s="682"/>
    </row>
    <row r="81" spans="2:9">
      <c r="B81" s="674" t="str">
        <f>TechData_DMD!A81</f>
        <v>*</v>
      </c>
      <c r="C81" s="675" t="s">
        <v>2998</v>
      </c>
      <c r="D81" s="674" t="str">
        <f>TechData_DMD!B81</f>
        <v>RSHKFRBS05</v>
      </c>
      <c r="E81" s="674" t="str">
        <f>TechData_DMD!C81</f>
        <v>Kerosene Furnace Base.RSH.KER.05</v>
      </c>
      <c r="F81" s="675" t="s">
        <v>348</v>
      </c>
      <c r="G81" s="675" t="s">
        <v>387</v>
      </c>
      <c r="H81" s="674"/>
      <c r="I81" s="674"/>
    </row>
    <row r="82" spans="2:9">
      <c r="B82" s="674" t="str">
        <f>TechData_DMD!A82</f>
        <v>*</v>
      </c>
      <c r="C82" s="675" t="s">
        <v>2998</v>
      </c>
      <c r="D82" s="674" t="str">
        <f>TechData_DMD!B82</f>
        <v>RSHKFRV110</v>
      </c>
      <c r="E82" s="674" t="str">
        <f>TechData_DMD!C82</f>
        <v>Kerosene Furnace Ver1.RSH.KER.10</v>
      </c>
      <c r="F82" s="675" t="s">
        <v>348</v>
      </c>
      <c r="G82" s="675" t="s">
        <v>387</v>
      </c>
      <c r="H82" s="674"/>
      <c r="I82" s="674"/>
    </row>
    <row r="83" spans="2:9">
      <c r="B83" s="674" t="str">
        <f>TechData_DMD!A83</f>
        <v>*</v>
      </c>
      <c r="C83" s="675" t="s">
        <v>2998</v>
      </c>
      <c r="D83" s="674" t="str">
        <f>TechData_DMD!B83</f>
        <v>RSHKFRV115</v>
      </c>
      <c r="E83" s="674" t="str">
        <f>TechData_DMD!C83</f>
        <v>Kerosene Furnace Ver1.RSH.KER.15</v>
      </c>
      <c r="F83" s="675" t="s">
        <v>348</v>
      </c>
      <c r="G83" s="675" t="s">
        <v>387</v>
      </c>
      <c r="H83" s="674"/>
      <c r="I83" s="674"/>
    </row>
    <row r="84" spans="2:9">
      <c r="B84" s="674" t="str">
        <f>TechData_DMD!A84</f>
        <v>*</v>
      </c>
      <c r="C84" s="675" t="s">
        <v>2998</v>
      </c>
      <c r="D84" s="674" t="str">
        <f>TechData_DMD!B84</f>
        <v>RSHKFRV210</v>
      </c>
      <c r="E84" s="674" t="str">
        <f>TechData_DMD!C84</f>
        <v>Kerosene Furnace Ver2.RSH.KER.10</v>
      </c>
      <c r="F84" s="675" t="s">
        <v>348</v>
      </c>
      <c r="G84" s="675" t="s">
        <v>387</v>
      </c>
      <c r="H84" s="674"/>
      <c r="I84" s="674"/>
    </row>
    <row r="85" spans="2:9">
      <c r="B85" s="674" t="str">
        <f>TechData_DMD!A85</f>
        <v>*</v>
      </c>
      <c r="C85" s="675" t="s">
        <v>2998</v>
      </c>
      <c r="D85" s="674" t="str">
        <f>TechData_DMD!B85</f>
        <v>RSHKFRV310</v>
      </c>
      <c r="E85" s="674" t="str">
        <f>TechData_DMD!C85</f>
        <v>Kerosene Furnace Ver3.RSH.KER.10</v>
      </c>
      <c r="F85" s="675" t="s">
        <v>348</v>
      </c>
      <c r="G85" s="675" t="s">
        <v>387</v>
      </c>
      <c r="H85" s="674"/>
      <c r="I85" s="674"/>
    </row>
    <row r="86" spans="2:9">
      <c r="B86" s="684" t="s">
        <v>393</v>
      </c>
      <c r="C86" s="685"/>
      <c r="D86" s="682"/>
      <c r="E86" s="682"/>
      <c r="F86" s="685"/>
      <c r="G86" s="685"/>
      <c r="H86" s="682"/>
      <c r="I86" s="682"/>
    </row>
    <row r="87" spans="2:9">
      <c r="B87" s="674" t="str">
        <f>TechData_DMD!A87</f>
        <v>*</v>
      </c>
      <c r="C87" s="675" t="s">
        <v>2998</v>
      </c>
      <c r="D87" s="674" t="str">
        <f>TechData_DMD!B87</f>
        <v>RSHLFRBS05</v>
      </c>
      <c r="E87" s="674" t="str">
        <f>TechData_DMD!C87</f>
        <v>Liquid Gas Furnace Base.RSH.LPG.05</v>
      </c>
      <c r="F87" s="675" t="s">
        <v>348</v>
      </c>
      <c r="G87" s="675" t="s">
        <v>387</v>
      </c>
      <c r="H87" s="674"/>
      <c r="I87" s="674"/>
    </row>
    <row r="88" spans="2:9">
      <c r="B88" s="674" t="str">
        <f>TechData_DMD!A88</f>
        <v>*</v>
      </c>
      <c r="C88" s="675" t="s">
        <v>2998</v>
      </c>
      <c r="D88" s="674" t="str">
        <f>TechData_DMD!B88</f>
        <v>RSHLFRV110</v>
      </c>
      <c r="E88" s="674" t="str">
        <f>TechData_DMD!C88</f>
        <v>Liquid Gas Furnace Ver1.RSH.LPG.10</v>
      </c>
      <c r="F88" s="675" t="s">
        <v>348</v>
      </c>
      <c r="G88" s="675" t="s">
        <v>387</v>
      </c>
      <c r="H88" s="674"/>
      <c r="I88" s="674"/>
    </row>
    <row r="89" spans="2:9">
      <c r="B89" s="674" t="str">
        <f>TechData_DMD!A89</f>
        <v>*</v>
      </c>
      <c r="C89" s="675" t="s">
        <v>2998</v>
      </c>
      <c r="D89" s="674" t="str">
        <f>TechData_DMD!B89</f>
        <v>RSHLFRV210</v>
      </c>
      <c r="E89" s="674" t="str">
        <f>TechData_DMD!C89</f>
        <v>Liquid Gas Furnace Ver2.RSH.LPG.10</v>
      </c>
      <c r="F89" s="675" t="s">
        <v>348</v>
      </c>
      <c r="G89" s="675" t="s">
        <v>387</v>
      </c>
      <c r="H89" s="674"/>
      <c r="I89" s="674"/>
    </row>
    <row r="90" spans="2:9">
      <c r="B90" s="674" t="str">
        <f>TechData_DMD!A90</f>
        <v>*</v>
      </c>
      <c r="C90" s="675" t="s">
        <v>2998</v>
      </c>
      <c r="D90" s="674" t="str">
        <f>TechData_DMD!B90</f>
        <v>RSHLFRV310</v>
      </c>
      <c r="E90" s="674" t="str">
        <f>TechData_DMD!C90</f>
        <v>Liquid Gas Furnace Ver3.RSH.LPG.10</v>
      </c>
      <c r="F90" s="675" t="s">
        <v>348</v>
      </c>
      <c r="G90" s="675" t="s">
        <v>387</v>
      </c>
      <c r="H90" s="674"/>
      <c r="I90" s="674"/>
    </row>
    <row r="91" spans="2:9">
      <c r="B91" s="674" t="str">
        <f>TechData_DMD!A91</f>
        <v>*</v>
      </c>
      <c r="C91" s="675" t="s">
        <v>2998</v>
      </c>
      <c r="D91" s="674" t="str">
        <f>TechData_DMD!B91</f>
        <v>RSHLFRV410</v>
      </c>
      <c r="E91" s="674" t="str">
        <f>TechData_DMD!C91</f>
        <v>Liquid Gas Furnace Ver4.RSH.LPG.10</v>
      </c>
      <c r="F91" s="675" t="s">
        <v>348</v>
      </c>
      <c r="G91" s="675" t="s">
        <v>387</v>
      </c>
      <c r="H91" s="674"/>
      <c r="I91" s="674"/>
    </row>
    <row r="92" spans="2:9">
      <c r="B92" s="674" t="str">
        <f>TechData_DMD!A92</f>
        <v>*</v>
      </c>
      <c r="C92" s="675" t="s">
        <v>2998</v>
      </c>
      <c r="D92" s="674" t="str">
        <f>TechData_DMD!B92</f>
        <v>RSHLFRV510</v>
      </c>
      <c r="E92" s="674" t="str">
        <f>TechData_DMD!C92</f>
        <v>Liquid Gas Furnace Ver5.RSH.LPG.10</v>
      </c>
      <c r="F92" s="675" t="s">
        <v>348</v>
      </c>
      <c r="G92" s="675" t="s">
        <v>387</v>
      </c>
      <c r="H92" s="674"/>
      <c r="I92" s="674"/>
    </row>
    <row r="93" spans="2:9">
      <c r="B93" s="684" t="s">
        <v>394</v>
      </c>
      <c r="C93" s="685"/>
      <c r="D93" s="682"/>
      <c r="E93" s="682"/>
      <c r="F93" s="685"/>
      <c r="G93" s="685"/>
      <c r="H93" s="682"/>
      <c r="I93" s="682"/>
    </row>
    <row r="94" spans="2:9">
      <c r="B94" s="674" t="str">
        <f>TechData_DMD!A94</f>
        <v>*</v>
      </c>
      <c r="C94" s="675" t="s">
        <v>2998</v>
      </c>
      <c r="D94" s="674" t="str">
        <f>TechData_DMD!B94</f>
        <v>RSHDFRBS05</v>
      </c>
      <c r="E94" s="674" t="str">
        <f>TechData_DMD!C94</f>
        <v>Distillate Furnace Base.RSH.DST.05</v>
      </c>
      <c r="F94" s="675" t="s">
        <v>348</v>
      </c>
      <c r="G94" s="675" t="s">
        <v>387</v>
      </c>
      <c r="H94" s="674"/>
      <c r="I94" s="674"/>
    </row>
    <row r="95" spans="2:9">
      <c r="B95" s="674" t="str">
        <f>TechData_DMD!A95</f>
        <v>R2,R3,R4,R5,R6</v>
      </c>
      <c r="C95" s="675" t="s">
        <v>2998</v>
      </c>
      <c r="D95" s="674" t="str">
        <f>TechData_DMD!B95</f>
        <v>RSHDFRV110</v>
      </c>
      <c r="E95" s="674" t="str">
        <f>TechData_DMD!C95</f>
        <v>Distillate Furnace Ver1.RSH.DST.10</v>
      </c>
      <c r="F95" s="675" t="s">
        <v>348</v>
      </c>
      <c r="G95" s="675" t="s">
        <v>387</v>
      </c>
      <c r="H95" s="674"/>
      <c r="I95" s="674"/>
    </row>
    <row r="96" spans="2:9">
      <c r="B96" s="674" t="str">
        <f>TechData_DMD!A96</f>
        <v>*</v>
      </c>
      <c r="C96" s="675" t="s">
        <v>2998</v>
      </c>
      <c r="D96" s="674" t="str">
        <f>TechData_DMD!B96</f>
        <v>RSHDFRV115</v>
      </c>
      <c r="E96" s="674" t="str">
        <f>TechData_DMD!C96</f>
        <v>Distillate Furnace Ver1.RSH.DST.15</v>
      </c>
      <c r="F96" s="675" t="s">
        <v>348</v>
      </c>
      <c r="G96" s="675" t="s">
        <v>387</v>
      </c>
      <c r="H96" s="674"/>
      <c r="I96" s="674"/>
    </row>
    <row r="97" spans="2:9">
      <c r="B97" s="674" t="str">
        <f>TechData_DMD!A97</f>
        <v>R2,R3,R4,R5,R6</v>
      </c>
      <c r="C97" s="675" t="s">
        <v>2998</v>
      </c>
      <c r="D97" s="674" t="str">
        <f>TechData_DMD!B97</f>
        <v>RSHDFRV210</v>
      </c>
      <c r="E97" s="674" t="str">
        <f>TechData_DMD!C97</f>
        <v>Distillate Furnace Ver2.RSH.DST.10</v>
      </c>
      <c r="F97" s="675" t="s">
        <v>348</v>
      </c>
      <c r="G97" s="675" t="s">
        <v>387</v>
      </c>
      <c r="H97" s="674"/>
      <c r="I97" s="674"/>
    </row>
    <row r="98" spans="2:9">
      <c r="B98" s="674" t="str">
        <f>TechData_DMD!A98</f>
        <v>R2,R3,R4,R5,R6</v>
      </c>
      <c r="C98" s="675" t="s">
        <v>2998</v>
      </c>
      <c r="D98" s="674" t="str">
        <f>TechData_DMD!B98</f>
        <v>RSHDFRV310</v>
      </c>
      <c r="E98" s="674" t="str">
        <f>TechData_DMD!C98</f>
        <v>Distillate Furnace Ver3.RSH.DST.10</v>
      </c>
      <c r="F98" s="675" t="s">
        <v>348</v>
      </c>
      <c r="G98" s="675" t="s">
        <v>387</v>
      </c>
      <c r="H98" s="674"/>
      <c r="I98" s="674"/>
    </row>
    <row r="99" spans="2:9">
      <c r="B99" s="684" t="s">
        <v>395</v>
      </c>
      <c r="C99" s="685"/>
      <c r="D99" s="682"/>
      <c r="E99" s="682"/>
      <c r="F99" s="685"/>
      <c r="G99" s="685"/>
      <c r="H99" s="682"/>
      <c r="I99" s="682"/>
    </row>
    <row r="100" spans="2:9">
      <c r="B100" s="674" t="str">
        <f>TechData_DMD!A100</f>
        <v>*</v>
      </c>
      <c r="C100" s="675" t="s">
        <v>2998</v>
      </c>
      <c r="D100" s="674" t="str">
        <f>TechData_DMD!B100</f>
        <v>RSHDRDBS05</v>
      </c>
      <c r="E100" s="674" t="str">
        <f>TechData_DMD!C100</f>
        <v>Distillate Radiant Base.RSH.DST.05</v>
      </c>
      <c r="F100" s="675" t="s">
        <v>348</v>
      </c>
      <c r="G100" s="675" t="s">
        <v>387</v>
      </c>
      <c r="H100" s="674"/>
      <c r="I100" s="674"/>
    </row>
    <row r="101" spans="2:9">
      <c r="B101" s="674" t="str">
        <f>TechData_DMD!A101</f>
        <v>R2,R3,R4,R5,R6</v>
      </c>
      <c r="C101" s="675" t="s">
        <v>2998</v>
      </c>
      <c r="D101" s="674" t="str">
        <f>TechData_DMD!B101</f>
        <v>RSHDRDV110</v>
      </c>
      <c r="E101" s="674" t="str">
        <f>TechData_DMD!C101</f>
        <v>Distillate Radiant Ver1.RSH.DST.10</v>
      </c>
      <c r="F101" s="675" t="s">
        <v>348</v>
      </c>
      <c r="G101" s="675" t="s">
        <v>387</v>
      </c>
      <c r="H101" s="674"/>
      <c r="I101" s="674"/>
    </row>
    <row r="102" spans="2:9">
      <c r="B102" s="674" t="str">
        <f>TechData_DMD!A102</f>
        <v>*</v>
      </c>
      <c r="C102" s="675" t="s">
        <v>2998</v>
      </c>
      <c r="D102" s="674" t="str">
        <f>TechData_DMD!B102</f>
        <v>RSHDRDV115</v>
      </c>
      <c r="E102" s="674" t="str">
        <f>TechData_DMD!C102</f>
        <v>Distillate Radiant Ver1.RSH.DST.15</v>
      </c>
      <c r="F102" s="675" t="s">
        <v>348</v>
      </c>
      <c r="G102" s="675" t="s">
        <v>387</v>
      </c>
      <c r="H102" s="674"/>
      <c r="I102" s="674"/>
    </row>
    <row r="103" spans="2:9">
      <c r="B103" s="674" t="str">
        <f>TechData_DMD!A103</f>
        <v>R2,R3,R4,R5,R6</v>
      </c>
      <c r="C103" s="675" t="s">
        <v>2998</v>
      </c>
      <c r="D103" s="674" t="str">
        <f>TechData_DMD!B103</f>
        <v>RSHDRDV210</v>
      </c>
      <c r="E103" s="674" t="str">
        <f>TechData_DMD!C103</f>
        <v>Distillate Radiant Ver2.RSH.DST.10</v>
      </c>
      <c r="F103" s="675" t="s">
        <v>348</v>
      </c>
      <c r="G103" s="675" t="s">
        <v>387</v>
      </c>
      <c r="H103" s="674"/>
      <c r="I103" s="674"/>
    </row>
    <row r="104" spans="2:9">
      <c r="B104" s="674" t="str">
        <f>TechData_DMD!A104</f>
        <v>R2,R3,R4,R5,R6</v>
      </c>
      <c r="C104" s="675" t="s">
        <v>2998</v>
      </c>
      <c r="D104" s="674" t="str">
        <f>TechData_DMD!B104</f>
        <v>RSHDRDV310</v>
      </c>
      <c r="E104" s="674" t="str">
        <f>TechData_DMD!C104</f>
        <v>Distillate Radiant Ver3.RSH.DST.10</v>
      </c>
      <c r="F104" s="675" t="s">
        <v>348</v>
      </c>
      <c r="G104" s="675" t="s">
        <v>387</v>
      </c>
      <c r="H104" s="674"/>
      <c r="I104" s="674"/>
    </row>
    <row r="105" spans="2:9">
      <c r="B105" s="684" t="s">
        <v>396</v>
      </c>
      <c r="C105" s="685"/>
      <c r="D105" s="682"/>
      <c r="E105" s="682"/>
      <c r="F105" s="685"/>
      <c r="G105" s="685"/>
      <c r="H105" s="682"/>
      <c r="I105" s="682"/>
    </row>
    <row r="106" spans="2:9">
      <c r="B106" s="674" t="str">
        <f>TechData_DMD!A106</f>
        <v>*</v>
      </c>
      <c r="C106" s="675" t="s">
        <v>2998</v>
      </c>
      <c r="D106" s="674" t="str">
        <f>TechData_DMD!B106</f>
        <v>RSHWDHBS05</v>
      </c>
      <c r="E106" s="674" t="str">
        <f>TechData_DMD!C106</f>
        <v>Wood Heat Base.RSH.BWD.05</v>
      </c>
      <c r="F106" s="675" t="s">
        <v>348</v>
      </c>
      <c r="G106" s="675" t="s">
        <v>387</v>
      </c>
      <c r="H106" s="674"/>
      <c r="I106" s="674"/>
    </row>
    <row r="107" spans="2:9">
      <c r="B107" s="674" t="str">
        <f>TechData_DMD!A107</f>
        <v>*</v>
      </c>
      <c r="C107" s="675" t="s">
        <v>2998</v>
      </c>
      <c r="D107" s="674" t="str">
        <f>TechData_DMD!B107</f>
        <v>RSHWDHV110</v>
      </c>
      <c r="E107" s="674" t="str">
        <f>TechData_DMD!C107</f>
        <v>Wood Heat Ver1.RSH.BWD.10</v>
      </c>
      <c r="F107" s="675" t="s">
        <v>348</v>
      </c>
      <c r="G107" s="675" t="s">
        <v>387</v>
      </c>
      <c r="H107" s="674"/>
      <c r="I107" s="674"/>
    </row>
    <row r="108" spans="2:9">
      <c r="B108" s="684" t="s">
        <v>397</v>
      </c>
      <c r="C108" s="685"/>
      <c r="D108" s="682"/>
      <c r="E108" s="682"/>
      <c r="F108" s="685"/>
      <c r="G108" s="685"/>
      <c r="H108" s="682"/>
      <c r="I108" s="682"/>
    </row>
    <row r="109" spans="2:9">
      <c r="B109" s="674" t="str">
        <f>TechData_DMD!A109</f>
        <v>*</v>
      </c>
      <c r="C109" s="675" t="s">
        <v>2998</v>
      </c>
      <c r="D109" s="674" t="str">
        <f>TechData_DMD!B109</f>
        <v>RSHGHPBS05</v>
      </c>
      <c r="E109" s="674" t="str">
        <f>TechData_DMD!C109</f>
        <v>Geothermal Heat Pump Base.RSH.ELC.05</v>
      </c>
      <c r="F109" s="675" t="s">
        <v>348</v>
      </c>
      <c r="G109" s="675" t="s">
        <v>387</v>
      </c>
      <c r="H109" s="674"/>
      <c r="I109" s="674"/>
    </row>
    <row r="110" spans="2:9">
      <c r="B110" s="674" t="str">
        <f>TechData_DMD!A110</f>
        <v>*</v>
      </c>
      <c r="C110" s="675" t="s">
        <v>2998</v>
      </c>
      <c r="D110" s="674" t="str">
        <f>TechData_DMD!B110</f>
        <v>RSHGHPV110</v>
      </c>
      <c r="E110" s="674" t="str">
        <f>TechData_DMD!C110</f>
        <v>Geothermal Heat Pump Ver1.RSH.ELC.10</v>
      </c>
      <c r="F110" s="675" t="s">
        <v>348</v>
      </c>
      <c r="G110" s="675" t="s">
        <v>387</v>
      </c>
      <c r="H110" s="674"/>
      <c r="I110" s="674"/>
    </row>
    <row r="111" spans="2:9">
      <c r="B111" s="674" t="str">
        <f>TechData_DMD!A111</f>
        <v>*</v>
      </c>
      <c r="C111" s="675" t="s">
        <v>2998</v>
      </c>
      <c r="D111" s="674" t="str">
        <f>TechData_DMD!B111</f>
        <v>RSHGHPV210</v>
      </c>
      <c r="E111" s="674" t="str">
        <f>TechData_DMD!C111</f>
        <v>Geothermal Heat Pump Ver2.RSH.ELC.10</v>
      </c>
      <c r="F111" s="675" t="s">
        <v>348</v>
      </c>
      <c r="G111" s="675" t="s">
        <v>387</v>
      </c>
      <c r="H111" s="674"/>
      <c r="I111" s="674"/>
    </row>
    <row r="112" spans="2:9">
      <c r="B112" s="674" t="str">
        <f>TechData_DMD!A112</f>
        <v>*</v>
      </c>
      <c r="C112" s="675" t="s">
        <v>2998</v>
      </c>
      <c r="D112" s="674" t="str">
        <f>TechData_DMD!B112</f>
        <v>RSHGHPV220</v>
      </c>
      <c r="E112" s="674" t="str">
        <f>TechData_DMD!C112</f>
        <v>Geothermal Heat Pump Ver2.RSH.ELC.20</v>
      </c>
      <c r="F112" s="675" t="s">
        <v>348</v>
      </c>
      <c r="G112" s="675" t="s">
        <v>387</v>
      </c>
      <c r="H112" s="674"/>
      <c r="I112" s="674"/>
    </row>
    <row r="113" spans="2:9">
      <c r="B113" s="684" t="s">
        <v>398</v>
      </c>
      <c r="C113" s="685"/>
      <c r="D113" s="682"/>
      <c r="E113" s="682"/>
      <c r="F113" s="685"/>
      <c r="G113" s="685"/>
      <c r="H113" s="682"/>
      <c r="I113" s="682"/>
    </row>
    <row r="114" spans="2:9">
      <c r="B114" s="674" t="str">
        <f>TechData_DMD!A114</f>
        <v>*</v>
      </c>
      <c r="C114" s="675" t="s">
        <v>2998</v>
      </c>
      <c r="D114" s="674" t="str">
        <f>TechData_DMD!B114</f>
        <v>RSHNHPBS05</v>
      </c>
      <c r="E114" s="674" t="str">
        <f>TechData_DMD!C114</f>
        <v>Natural Gas Heat Pump Base.RSH.NGA.05</v>
      </c>
      <c r="F114" s="675" t="s">
        <v>348</v>
      </c>
      <c r="G114" s="675" t="s">
        <v>387</v>
      </c>
      <c r="H114" s="674"/>
      <c r="I114" s="674"/>
    </row>
    <row r="115" spans="2:9">
      <c r="B115" s="674" t="str">
        <f>TechData_DMD!A115</f>
        <v>R2,R3,R4,R5,R6</v>
      </c>
      <c r="C115" s="675" t="s">
        <v>2998</v>
      </c>
      <c r="D115" s="674" t="str">
        <f>TechData_DMD!B115</f>
        <v>RSHNHPV110</v>
      </c>
      <c r="E115" s="674" t="str">
        <f>TechData_DMD!C115</f>
        <v>Natural Gas Heat Pump Ver1.RSH.NGA.10</v>
      </c>
      <c r="F115" s="675" t="s">
        <v>348</v>
      </c>
      <c r="G115" s="675" t="s">
        <v>387</v>
      </c>
      <c r="H115" s="674"/>
      <c r="I115" s="674"/>
    </row>
    <row r="116" spans="2:9">
      <c r="B116" s="674" t="str">
        <f>TechData_DMD!A116</f>
        <v>*</v>
      </c>
      <c r="C116" s="675" t="s">
        <v>2998</v>
      </c>
      <c r="D116" s="674" t="str">
        <f>TechData_DMD!B116</f>
        <v>RSHNHPV120</v>
      </c>
      <c r="E116" s="674" t="str">
        <f>TechData_DMD!C116</f>
        <v>Natural Gas Heat Pump Ver1.RSH.NGA.20</v>
      </c>
      <c r="F116" s="675" t="s">
        <v>348</v>
      </c>
      <c r="G116" s="675" t="s">
        <v>387</v>
      </c>
      <c r="H116" s="674"/>
      <c r="I116" s="674"/>
    </row>
    <row r="117" spans="2:9">
      <c r="B117" s="674" t="str">
        <f>TechData_DMD!A117</f>
        <v>*</v>
      </c>
      <c r="C117" s="675" t="s">
        <v>2998</v>
      </c>
      <c r="D117" s="674" t="str">
        <f>TechData_DMD!B117</f>
        <v>RSHNHPV220</v>
      </c>
      <c r="E117" s="674" t="str">
        <f>TechData_DMD!C117</f>
        <v>Natural Gas Heat Pump Ver2.RSH.NGA.20</v>
      </c>
      <c r="F117" s="675" t="s">
        <v>348</v>
      </c>
      <c r="G117" s="675" t="s">
        <v>387</v>
      </c>
      <c r="H117" s="674"/>
      <c r="I117" s="674"/>
    </row>
    <row r="118" spans="2:9">
      <c r="B118" s="674" t="str">
        <f>TechData_DMD!A118</f>
        <v>*</v>
      </c>
      <c r="C118" s="675" t="s">
        <v>2998</v>
      </c>
      <c r="D118" s="674" t="str">
        <f>TechData_DMD!B118</f>
        <v>RSHNHPV130</v>
      </c>
      <c r="E118" s="674" t="str">
        <f>TechData_DMD!C118</f>
        <v>Natural Gas Heat Pump Ver1.RSH.NGA.30</v>
      </c>
      <c r="F118" s="675" t="s">
        <v>348</v>
      </c>
      <c r="G118" s="675" t="s">
        <v>387</v>
      </c>
      <c r="H118" s="674"/>
      <c r="I118" s="674"/>
    </row>
    <row r="119" spans="2:9">
      <c r="B119" s="674" t="str">
        <f>TechData_DMD!A119</f>
        <v>*</v>
      </c>
      <c r="C119" s="675" t="s">
        <v>2998</v>
      </c>
      <c r="D119" s="674" t="str">
        <f>TechData_DMD!B119</f>
        <v>RSHNHPV230</v>
      </c>
      <c r="E119" s="674" t="str">
        <f>TechData_DMD!C119</f>
        <v>Natural Gas Heat Pump Ver2.RSH.NGA.30</v>
      </c>
      <c r="F119" s="675" t="s">
        <v>348</v>
      </c>
      <c r="G119" s="675" t="s">
        <v>387</v>
      </c>
      <c r="H119" s="674"/>
      <c r="I119" s="674"/>
    </row>
    <row r="120" spans="2:9">
      <c r="B120" s="674" t="str">
        <f>TechData_DMD!A120</f>
        <v>*</v>
      </c>
      <c r="C120" s="675" t="s">
        <v>2998</v>
      </c>
      <c r="D120" s="674" t="str">
        <f>TechData_DMD!B120</f>
        <v>RSHNHPV140</v>
      </c>
      <c r="E120" s="674" t="str">
        <f>TechData_DMD!C120</f>
        <v>Natural Gas Heat Pump Ver1.RSH.NGA.40</v>
      </c>
      <c r="F120" s="675" t="s">
        <v>348</v>
      </c>
      <c r="G120" s="675" t="s">
        <v>387</v>
      </c>
      <c r="H120" s="674"/>
      <c r="I120" s="674"/>
    </row>
    <row r="121" spans="2:9">
      <c r="B121" s="674" t="str">
        <f>TechData_DMD!A121</f>
        <v>*</v>
      </c>
      <c r="C121" s="675" t="s">
        <v>2998</v>
      </c>
      <c r="D121" s="674" t="str">
        <f>TechData_DMD!B121</f>
        <v>RSHNHPV240</v>
      </c>
      <c r="E121" s="674" t="str">
        <f>TechData_DMD!C121</f>
        <v>Natural Gas Heat Pump Ver2.RSH.NGA.40</v>
      </c>
      <c r="F121" s="675" t="s">
        <v>348</v>
      </c>
      <c r="G121" s="675" t="s">
        <v>387</v>
      </c>
      <c r="H121" s="674"/>
      <c r="I121" s="674"/>
    </row>
    <row r="122" spans="2:9">
      <c r="B122" s="674" t="str">
        <f>TechData_DMD!A122</f>
        <v>*</v>
      </c>
      <c r="C122" s="675" t="s">
        <v>2998</v>
      </c>
      <c r="D122" s="674" t="str">
        <f>TechData_DMD!B122</f>
        <v>RSHNHPV150</v>
      </c>
      <c r="E122" s="674" t="str">
        <f>TechData_DMD!C122</f>
        <v>Natural Gas Heat Pump Ver1.RSH.NGA.50</v>
      </c>
      <c r="F122" s="675" t="s">
        <v>348</v>
      </c>
      <c r="G122" s="675" t="s">
        <v>387</v>
      </c>
      <c r="H122" s="674"/>
      <c r="I122" s="674"/>
    </row>
    <row r="123" spans="2:9">
      <c r="B123" s="674" t="str">
        <f>TechData_DMD!A123</f>
        <v>*</v>
      </c>
      <c r="C123" s="675" t="s">
        <v>2998</v>
      </c>
      <c r="D123" s="674" t="str">
        <f>TechData_DMD!B123</f>
        <v>RSHNHPV250</v>
      </c>
      <c r="E123" s="674" t="str">
        <f>TechData_DMD!C123</f>
        <v>Natural Gas Heat Pump Ver2.RSH.NGA.50</v>
      </c>
      <c r="F123" s="675" t="s">
        <v>348</v>
      </c>
      <c r="G123" s="675" t="s">
        <v>387</v>
      </c>
      <c r="H123" s="674"/>
      <c r="I123" s="674"/>
    </row>
    <row r="124" spans="2:9" ht="13.5" customHeight="1">
      <c r="B124" s="684" t="s">
        <v>399</v>
      </c>
      <c r="C124" s="685"/>
      <c r="D124" s="682"/>
      <c r="E124" s="682"/>
      <c r="F124" s="685"/>
      <c r="G124" s="685"/>
      <c r="H124" s="682"/>
      <c r="I124" s="682"/>
    </row>
    <row r="125" spans="2:9">
      <c r="B125" s="684" t="s">
        <v>400</v>
      </c>
      <c r="C125" s="685"/>
      <c r="D125" s="682"/>
      <c r="E125" s="682"/>
      <c r="F125" s="685"/>
      <c r="G125" s="685"/>
      <c r="H125" s="682"/>
      <c r="I125" s="682"/>
    </row>
    <row r="126" spans="2:9">
      <c r="B126" s="674" t="str">
        <f>TechData_DMD!A126</f>
        <v>*</v>
      </c>
      <c r="C126" s="675" t="s">
        <v>2998</v>
      </c>
      <c r="D126" s="674" t="str">
        <f>TechData_DMD!B126</f>
        <v>RSCRACBS05</v>
      </c>
      <c r="E126" s="674" t="str">
        <f>TechData_DMD!C126</f>
        <v>Room AC Base.RSC.ELC.05</v>
      </c>
      <c r="F126" s="675" t="s">
        <v>348</v>
      </c>
      <c r="G126" s="675" t="s">
        <v>387</v>
      </c>
      <c r="H126" s="674"/>
      <c r="I126" s="674"/>
    </row>
    <row r="127" spans="2:9">
      <c r="B127" s="674" t="str">
        <f>TechData_DMD!A127</f>
        <v>R2,R3,R4,R5,R6</v>
      </c>
      <c r="C127" s="675" t="s">
        <v>2998</v>
      </c>
      <c r="D127" s="674" t="str">
        <f>TechData_DMD!B127</f>
        <v>RSCRACV110</v>
      </c>
      <c r="E127" s="674" t="str">
        <f>TechData_DMD!C127</f>
        <v>Room AC Ver1.RSC.ELC.10</v>
      </c>
      <c r="F127" s="675" t="s">
        <v>348</v>
      </c>
      <c r="G127" s="675" t="s">
        <v>387</v>
      </c>
      <c r="H127" s="674"/>
      <c r="I127" s="674"/>
    </row>
    <row r="128" spans="2:9">
      <c r="B128" s="674" t="str">
        <f>TechData_DMD!A128</f>
        <v>*</v>
      </c>
      <c r="C128" s="675" t="s">
        <v>2998</v>
      </c>
      <c r="D128" s="674" t="str">
        <f>TechData_DMD!B128</f>
        <v>RSCRACV115</v>
      </c>
      <c r="E128" s="674" t="str">
        <f>TechData_DMD!C128</f>
        <v>Room AC Ver1.RSC.ELC.15</v>
      </c>
      <c r="F128" s="675" t="s">
        <v>348</v>
      </c>
      <c r="G128" s="675" t="s">
        <v>387</v>
      </c>
      <c r="H128" s="674"/>
      <c r="I128" s="674"/>
    </row>
    <row r="129" spans="2:9">
      <c r="B129" s="674" t="str">
        <f>TechData_DMD!A129</f>
        <v>*</v>
      </c>
      <c r="C129" s="675" t="s">
        <v>2998</v>
      </c>
      <c r="D129" s="674" t="str">
        <f>TechData_DMD!B129</f>
        <v>RSCRACV215</v>
      </c>
      <c r="E129" s="674" t="str">
        <f>TechData_DMD!C129</f>
        <v>Room AC Ver2.RSC.ELC.15</v>
      </c>
      <c r="F129" s="675" t="s">
        <v>348</v>
      </c>
      <c r="G129" s="675" t="s">
        <v>387</v>
      </c>
      <c r="H129" s="674"/>
      <c r="I129" s="674"/>
    </row>
    <row r="130" spans="2:9">
      <c r="B130" s="674" t="str">
        <f>TechData_DMD!A130</f>
        <v>*</v>
      </c>
      <c r="C130" s="675" t="s">
        <v>2998</v>
      </c>
      <c r="D130" s="674" t="str">
        <f>TechData_DMD!B130</f>
        <v>RSCRACV320</v>
      </c>
      <c r="E130" s="674" t="str">
        <f>TechData_DMD!C130</f>
        <v>Room AC  Ver3.RSC.ELC.20</v>
      </c>
      <c r="F130" s="675" t="s">
        <v>348</v>
      </c>
      <c r="G130" s="675" t="s">
        <v>387</v>
      </c>
      <c r="H130" s="674"/>
      <c r="I130" s="674"/>
    </row>
    <row r="131" spans="2:9">
      <c r="B131" s="674" t="str">
        <f>TechData_DMD!A131</f>
        <v>*</v>
      </c>
      <c r="C131" s="675" t="s">
        <v>2998</v>
      </c>
      <c r="D131" s="674" t="str">
        <f>TechData_DMD!B131</f>
        <v>RSCRACV520</v>
      </c>
      <c r="E131" s="674" t="str">
        <f>TechData_DMD!C131</f>
        <v>Room AC  Ver5.RSC.ELC.20</v>
      </c>
      <c r="F131" s="675" t="s">
        <v>348</v>
      </c>
      <c r="G131" s="675" t="s">
        <v>387</v>
      </c>
      <c r="H131" s="674"/>
      <c r="I131" s="674"/>
    </row>
    <row r="132" spans="2:9">
      <c r="B132" s="674" t="str">
        <f>TechData_DMD!A132</f>
        <v>*</v>
      </c>
      <c r="C132" s="675" t="s">
        <v>2998</v>
      </c>
      <c r="D132" s="674" t="str">
        <f>TechData_DMD!B132</f>
        <v>RSCRACV430</v>
      </c>
      <c r="E132" s="674" t="str">
        <f>TechData_DMD!C132</f>
        <v>Room AC  Ver4.RSC.ELC.30</v>
      </c>
      <c r="F132" s="675" t="s">
        <v>348</v>
      </c>
      <c r="G132" s="675" t="s">
        <v>387</v>
      </c>
      <c r="H132" s="674"/>
      <c r="I132" s="674"/>
    </row>
    <row r="133" spans="2:9">
      <c r="B133" s="674" t="str">
        <f>TechData_DMD!A133</f>
        <v>*</v>
      </c>
      <c r="C133" s="675" t="s">
        <v>2998</v>
      </c>
      <c r="D133" s="674" t="str">
        <f>TechData_DMD!B133</f>
        <v>RSCRACV630</v>
      </c>
      <c r="E133" s="674" t="str">
        <f>TechData_DMD!C133</f>
        <v>Room AC  Ver6.RSC.ELC.30</v>
      </c>
      <c r="F133" s="675" t="s">
        <v>348</v>
      </c>
      <c r="G133" s="675" t="s">
        <v>387</v>
      </c>
      <c r="H133" s="674"/>
      <c r="I133" s="674"/>
    </row>
    <row r="134" spans="2:9">
      <c r="B134" s="674" t="str">
        <f>TechData_DMD!A134</f>
        <v>*</v>
      </c>
      <c r="C134" s="675" t="s">
        <v>2998</v>
      </c>
      <c r="D134" s="674" t="str">
        <f>TechData_DMD!B134</f>
        <v>RSCRACV440</v>
      </c>
      <c r="E134" s="674" t="str">
        <f>TechData_DMD!C134</f>
        <v>Room AC  Ver4.RSC.ELC.40</v>
      </c>
      <c r="F134" s="675" t="s">
        <v>348</v>
      </c>
      <c r="G134" s="675" t="s">
        <v>387</v>
      </c>
      <c r="H134" s="674"/>
      <c r="I134" s="674"/>
    </row>
    <row r="135" spans="2:9">
      <c r="B135" s="674" t="str">
        <f>TechData_DMD!A135</f>
        <v>*</v>
      </c>
      <c r="C135" s="675" t="s">
        <v>2998</v>
      </c>
      <c r="D135" s="674" t="str">
        <f>TechData_DMD!B135</f>
        <v>RSCRACV640</v>
      </c>
      <c r="E135" s="674" t="str">
        <f>TechData_DMD!C135</f>
        <v>Room AC Ver6.RSC.ELC.40</v>
      </c>
      <c r="F135" s="675" t="s">
        <v>348</v>
      </c>
      <c r="G135" s="675" t="s">
        <v>387</v>
      </c>
      <c r="H135" s="674"/>
      <c r="I135" s="674"/>
    </row>
    <row r="136" spans="2:9">
      <c r="B136" s="674" t="str">
        <f>TechData_DMD!A136</f>
        <v>*</v>
      </c>
      <c r="C136" s="675" t="s">
        <v>2998</v>
      </c>
      <c r="D136" s="674" t="str">
        <f>TechData_DMD!B136</f>
        <v>RSCRACV210</v>
      </c>
      <c r="E136" s="674" t="str">
        <f>TechData_DMD!C136</f>
        <v>Room AC Ver2.RSC.ELC.10</v>
      </c>
      <c r="F136" s="675" t="s">
        <v>348</v>
      </c>
      <c r="G136" s="675" t="s">
        <v>387</v>
      </c>
      <c r="H136" s="674"/>
      <c r="I136" s="674"/>
    </row>
    <row r="137" spans="2:9">
      <c r="B137" s="674" t="str">
        <f>TechData_DMD!A137</f>
        <v>*</v>
      </c>
      <c r="C137" s="675" t="s">
        <v>2998</v>
      </c>
      <c r="D137" s="674" t="str">
        <f>TechData_DMD!B137</f>
        <v>RSCRACV215</v>
      </c>
      <c r="E137" s="674" t="str">
        <f>TechData_DMD!C137</f>
        <v>Room AC Ver2.RSC.ELC.15</v>
      </c>
      <c r="F137" s="675" t="s">
        <v>348</v>
      </c>
      <c r="G137" s="675" t="s">
        <v>387</v>
      </c>
      <c r="H137" s="674"/>
      <c r="I137" s="674"/>
    </row>
    <row r="138" spans="2:9">
      <c r="B138" s="674" t="str">
        <f>TechData_DMD!A138</f>
        <v>*</v>
      </c>
      <c r="C138" s="675" t="s">
        <v>2998</v>
      </c>
      <c r="D138" s="674" t="str">
        <f>TechData_DMD!B138</f>
        <v>RSCRACV130</v>
      </c>
      <c r="E138" s="674" t="str">
        <f>TechData_DMD!C138</f>
        <v>Room AC Ver1.RSC.ELC.30</v>
      </c>
      <c r="F138" s="675" t="s">
        <v>348</v>
      </c>
      <c r="G138" s="675" t="s">
        <v>387</v>
      </c>
      <c r="H138" s="674"/>
      <c r="I138" s="674"/>
    </row>
    <row r="139" spans="2:9">
      <c r="B139" s="674" t="str">
        <f>TechData_DMD!A139</f>
        <v>*</v>
      </c>
      <c r="C139" s="675" t="s">
        <v>2998</v>
      </c>
      <c r="D139" s="674" t="str">
        <f>TechData_DMD!B139</f>
        <v>RSCRACV310</v>
      </c>
      <c r="E139" s="674" t="str">
        <f>TechData_DMD!C139</f>
        <v>Room AC Ver3.RSC.ELC.10</v>
      </c>
      <c r="F139" s="675" t="s">
        <v>348</v>
      </c>
      <c r="G139" s="675" t="s">
        <v>387</v>
      </c>
      <c r="H139" s="674"/>
      <c r="I139" s="674"/>
    </row>
    <row r="140" spans="2:9">
      <c r="B140" s="674" t="str">
        <f>TechData_DMD!A140</f>
        <v>*</v>
      </c>
      <c r="C140" s="675" t="s">
        <v>2998</v>
      </c>
      <c r="D140" s="674" t="str">
        <f>TechData_DMD!B140</f>
        <v>RSCRACV120</v>
      </c>
      <c r="E140" s="674" t="str">
        <f>TechData_DMD!C140</f>
        <v>Room AC Ver1.RSC.ELC.20</v>
      </c>
      <c r="F140" s="675" t="s">
        <v>348</v>
      </c>
      <c r="G140" s="675" t="s">
        <v>387</v>
      </c>
      <c r="H140" s="674"/>
      <c r="I140" s="674"/>
    </row>
    <row r="141" spans="2:9">
      <c r="B141" s="674" t="str">
        <f>TechData_DMD!A141</f>
        <v>*</v>
      </c>
      <c r="C141" s="675" t="s">
        <v>2998</v>
      </c>
      <c r="D141" s="674" t="str">
        <f>TechData_DMD!B141</f>
        <v>RSCRACV220</v>
      </c>
      <c r="E141" s="674" t="str">
        <f>TechData_DMD!C141</f>
        <v>Room AC Ver2.RSC.ELC.20</v>
      </c>
      <c r="F141" s="675" t="s">
        <v>348</v>
      </c>
      <c r="G141" s="675" t="s">
        <v>387</v>
      </c>
      <c r="H141" s="674"/>
      <c r="I141" s="674"/>
    </row>
    <row r="142" spans="2:9">
      <c r="B142" s="674" t="str">
        <f>TechData_DMD!A142</f>
        <v>*</v>
      </c>
      <c r="C142" s="675" t="s">
        <v>2998</v>
      </c>
      <c r="D142" s="674" t="str">
        <f>TechData_DMD!B142</f>
        <v>RSCRACV230</v>
      </c>
      <c r="E142" s="674" t="str">
        <f>TechData_DMD!C142</f>
        <v>Room AC Ver2.RSC.ELC.30</v>
      </c>
      <c r="F142" s="675" t="s">
        <v>348</v>
      </c>
      <c r="G142" s="675" t="s">
        <v>387</v>
      </c>
      <c r="H142" s="674"/>
      <c r="I142" s="674"/>
    </row>
    <row r="143" spans="2:9">
      <c r="B143" s="674" t="str">
        <f>TechData_DMD!A143</f>
        <v>*</v>
      </c>
      <c r="C143" s="675" t="s">
        <v>2998</v>
      </c>
      <c r="D143" s="674" t="str">
        <f>TechData_DMD!B143</f>
        <v>RSCRACV140</v>
      </c>
      <c r="E143" s="674" t="str">
        <f>TechData_DMD!C143</f>
        <v>Room AC Ver1.RSC.ELC.40</v>
      </c>
      <c r="F143" s="675" t="s">
        <v>348</v>
      </c>
      <c r="G143" s="675" t="s">
        <v>387</v>
      </c>
      <c r="H143" s="674"/>
      <c r="I143" s="674"/>
    </row>
    <row r="144" spans="2:9">
      <c r="B144" s="674" t="str">
        <f>TechData_DMD!A144</f>
        <v>*</v>
      </c>
      <c r="C144" s="675" t="s">
        <v>2998</v>
      </c>
      <c r="D144" s="674" t="str">
        <f>TechData_DMD!B144</f>
        <v>RSCRACV240</v>
      </c>
      <c r="E144" s="674" t="str">
        <f>TechData_DMD!C144</f>
        <v>Room AC Ver2.RSC.ELC.40</v>
      </c>
      <c r="F144" s="675" t="s">
        <v>348</v>
      </c>
      <c r="G144" s="675" t="s">
        <v>387</v>
      </c>
      <c r="H144" s="674"/>
      <c r="I144" s="674"/>
    </row>
    <row r="145" spans="2:9">
      <c r="B145" s="674" t="str">
        <f>TechData_DMD!A145</f>
        <v>*</v>
      </c>
      <c r="C145" s="675" t="s">
        <v>2998</v>
      </c>
      <c r="D145" s="674" t="str">
        <f>TechData_DMD!B145</f>
        <v>RSCRACV150</v>
      </c>
      <c r="E145" s="674" t="str">
        <f>TechData_DMD!C145</f>
        <v>Room AC Ver1.RSC.ELC.50</v>
      </c>
      <c r="F145" s="675" t="s">
        <v>348</v>
      </c>
      <c r="G145" s="675" t="s">
        <v>387</v>
      </c>
      <c r="H145" s="674"/>
      <c r="I145" s="674"/>
    </row>
    <row r="146" spans="2:9">
      <c r="B146" s="674" t="str">
        <f>TechData_DMD!A146</f>
        <v>*</v>
      </c>
      <c r="C146" s="675" t="s">
        <v>2998</v>
      </c>
      <c r="D146" s="674" t="str">
        <f>TechData_DMD!B146</f>
        <v>RSCRACV250</v>
      </c>
      <c r="E146" s="674" t="str">
        <f>TechData_DMD!C146</f>
        <v>Room AC Ver2.RSC.ELC.50</v>
      </c>
      <c r="F146" s="675" t="s">
        <v>348</v>
      </c>
      <c r="G146" s="675" t="s">
        <v>387</v>
      </c>
      <c r="H146" s="674"/>
      <c r="I146" s="674"/>
    </row>
    <row r="147" spans="2:9">
      <c r="B147" s="684" t="s">
        <v>401</v>
      </c>
      <c r="C147" s="685"/>
      <c r="D147" s="682"/>
      <c r="E147" s="682"/>
      <c r="F147" s="685"/>
      <c r="G147" s="685"/>
      <c r="H147" s="682"/>
      <c r="I147" s="682"/>
    </row>
    <row r="148" spans="2:9">
      <c r="B148" s="674" t="str">
        <f>TechData_DMD!A148</f>
        <v>*</v>
      </c>
      <c r="C148" s="675" t="s">
        <v>2998</v>
      </c>
      <c r="D148" s="674" t="str">
        <f>TechData_DMD!B148</f>
        <v>RSCCACBS05</v>
      </c>
      <c r="E148" s="674" t="str">
        <f>TechData_DMD!C148</f>
        <v>Central AC Base.RSC.ELC.05</v>
      </c>
      <c r="F148" s="675" t="s">
        <v>348</v>
      </c>
      <c r="G148" s="675" t="s">
        <v>387</v>
      </c>
      <c r="H148" s="674"/>
      <c r="I148" s="674"/>
    </row>
    <row r="149" spans="2:9">
      <c r="B149" s="674" t="str">
        <f>TechData_DMD!A149</f>
        <v>R2,R3,R4,R5,R6</v>
      </c>
      <c r="C149" s="675" t="s">
        <v>2998</v>
      </c>
      <c r="D149" s="674" t="str">
        <f>TechData_DMD!B149</f>
        <v>RSCCACV110</v>
      </c>
      <c r="E149" s="674" t="str">
        <f>TechData_DMD!C149</f>
        <v>Central AC Ver1.RSC.ELC.10</v>
      </c>
      <c r="F149" s="675" t="s">
        <v>348</v>
      </c>
      <c r="G149" s="675" t="s">
        <v>387</v>
      </c>
      <c r="H149" s="674"/>
      <c r="I149" s="674"/>
    </row>
    <row r="150" spans="2:9">
      <c r="B150" s="674" t="str">
        <f>TechData_DMD!A150</f>
        <v>*</v>
      </c>
      <c r="C150" s="675" t="s">
        <v>2998</v>
      </c>
      <c r="D150" s="674" t="str">
        <f>TechData_DMD!B150</f>
        <v>RSCCACV115</v>
      </c>
      <c r="E150" s="674" t="str">
        <f>TechData_DMD!C150</f>
        <v>Central AC Ver1.RSC.ELC.15</v>
      </c>
      <c r="F150" s="675" t="s">
        <v>348</v>
      </c>
      <c r="G150" s="675" t="s">
        <v>387</v>
      </c>
      <c r="H150" s="674"/>
      <c r="I150" s="674"/>
    </row>
    <row r="151" spans="2:9">
      <c r="B151" s="674" t="str">
        <f>TechData_DMD!A151</f>
        <v>*</v>
      </c>
      <c r="C151" s="675" t="s">
        <v>2998</v>
      </c>
      <c r="D151" s="674" t="str">
        <f>TechData_DMD!B151</f>
        <v>RSCCACV215</v>
      </c>
      <c r="E151" s="674" t="str">
        <f>TechData_DMD!C151</f>
        <v>Central AC Ver2.RSC.ELC.15</v>
      </c>
      <c r="F151" s="675" t="s">
        <v>348</v>
      </c>
      <c r="G151" s="675" t="s">
        <v>387</v>
      </c>
      <c r="H151" s="674"/>
      <c r="I151" s="674"/>
    </row>
    <row r="152" spans="2:9">
      <c r="B152" s="674" t="str">
        <f>TechData_DMD!A152</f>
        <v>*</v>
      </c>
      <c r="C152" s="675" t="s">
        <v>2998</v>
      </c>
      <c r="D152" s="674" t="str">
        <f>TechData_DMD!B152</f>
        <v>RSCCACV320</v>
      </c>
      <c r="E152" s="674" t="str">
        <f>TechData_DMD!C152</f>
        <v>Central AC Ver3.RSC.ELC.20</v>
      </c>
      <c r="F152" s="675" t="s">
        <v>348</v>
      </c>
      <c r="G152" s="675" t="s">
        <v>387</v>
      </c>
      <c r="H152" s="674"/>
      <c r="I152" s="674"/>
    </row>
    <row r="153" spans="2:9">
      <c r="B153" s="674" t="str">
        <f>TechData_DMD!A153</f>
        <v>*</v>
      </c>
      <c r="C153" s="675" t="s">
        <v>2998</v>
      </c>
      <c r="D153" s="674" t="str">
        <f>TechData_DMD!B153</f>
        <v>RSCCACV520</v>
      </c>
      <c r="E153" s="674" t="str">
        <f>TechData_DMD!C153</f>
        <v>Central AC Ver5.RSC.ELC.20</v>
      </c>
      <c r="F153" s="675" t="s">
        <v>348</v>
      </c>
      <c r="G153" s="675" t="s">
        <v>387</v>
      </c>
      <c r="H153" s="674"/>
      <c r="I153" s="674"/>
    </row>
    <row r="154" spans="2:9">
      <c r="B154" s="674" t="str">
        <f>TechData_DMD!A154</f>
        <v>*</v>
      </c>
      <c r="C154" s="675" t="s">
        <v>2998</v>
      </c>
      <c r="D154" s="674" t="str">
        <f>TechData_DMD!B154</f>
        <v>RSCCACV430</v>
      </c>
      <c r="E154" s="674" t="str">
        <f>TechData_DMD!C154</f>
        <v>Central AC Ver4.RSC.ELC.30</v>
      </c>
      <c r="F154" s="675" t="s">
        <v>348</v>
      </c>
      <c r="G154" s="675" t="s">
        <v>387</v>
      </c>
      <c r="H154" s="674"/>
      <c r="I154" s="674"/>
    </row>
    <row r="155" spans="2:9">
      <c r="B155" s="674" t="str">
        <f>TechData_DMD!A155</f>
        <v>*</v>
      </c>
      <c r="C155" s="675" t="s">
        <v>2998</v>
      </c>
      <c r="D155" s="674" t="str">
        <f>TechData_DMD!B155</f>
        <v>RSCCACV630</v>
      </c>
      <c r="E155" s="674" t="str">
        <f>TechData_DMD!C155</f>
        <v>Central AC Ver6.RSC.ELC.30</v>
      </c>
      <c r="F155" s="675" t="s">
        <v>348</v>
      </c>
      <c r="G155" s="675" t="s">
        <v>387</v>
      </c>
      <c r="H155" s="674"/>
      <c r="I155" s="674"/>
    </row>
    <row r="156" spans="2:9">
      <c r="B156" s="674" t="str">
        <f>TechData_DMD!A156</f>
        <v>*</v>
      </c>
      <c r="C156" s="675" t="s">
        <v>2998</v>
      </c>
      <c r="D156" s="674" t="str">
        <f>TechData_DMD!B156</f>
        <v>RSCCACV440</v>
      </c>
      <c r="E156" s="674" t="str">
        <f>TechData_DMD!C156</f>
        <v>Central AC Ver4.RSC.ELC.40</v>
      </c>
      <c r="F156" s="675" t="s">
        <v>348</v>
      </c>
      <c r="G156" s="675" t="s">
        <v>387</v>
      </c>
      <c r="H156" s="674"/>
      <c r="I156" s="674"/>
    </row>
    <row r="157" spans="2:9">
      <c r="B157" s="674" t="str">
        <f>TechData_DMD!A157</f>
        <v>*</v>
      </c>
      <c r="C157" s="675" t="s">
        <v>2998</v>
      </c>
      <c r="D157" s="674" t="str">
        <f>TechData_DMD!B157</f>
        <v>RSCCACV640</v>
      </c>
      <c r="E157" s="674" t="str">
        <f>TechData_DMD!C157</f>
        <v>Central AC Ver6.RSC.ELC.40</v>
      </c>
      <c r="F157" s="675" t="s">
        <v>348</v>
      </c>
      <c r="G157" s="675" t="s">
        <v>387</v>
      </c>
      <c r="H157" s="674"/>
      <c r="I157" s="674"/>
    </row>
    <row r="158" spans="2:9">
      <c r="B158" s="674" t="str">
        <f>TechData_DMD!A158</f>
        <v>*</v>
      </c>
      <c r="C158" s="675" t="s">
        <v>2998</v>
      </c>
      <c r="D158" s="674" t="str">
        <f>TechData_DMD!B158</f>
        <v>RSCCACV120</v>
      </c>
      <c r="E158" s="674" t="str">
        <f>TechData_DMD!C158</f>
        <v>Central AC Ver1.RSC.ELC.20</v>
      </c>
      <c r="F158" s="675" t="s">
        <v>348</v>
      </c>
      <c r="G158" s="675" t="s">
        <v>387</v>
      </c>
      <c r="H158" s="674"/>
      <c r="I158" s="674"/>
    </row>
    <row r="159" spans="2:9">
      <c r="B159" s="674" t="str">
        <f>TechData_DMD!A159</f>
        <v>*</v>
      </c>
      <c r="C159" s="675" t="s">
        <v>2998</v>
      </c>
      <c r="D159" s="674" t="str">
        <f>TechData_DMD!B159</f>
        <v>RSCCACV310</v>
      </c>
      <c r="E159" s="674" t="str">
        <f>TechData_DMD!C159</f>
        <v xml:space="preserve">Central AC Ver3.RSC.ELC.10 </v>
      </c>
      <c r="F159" s="675" t="s">
        <v>348</v>
      </c>
      <c r="G159" s="675" t="s">
        <v>387</v>
      </c>
      <c r="H159" s="674"/>
      <c r="I159" s="674"/>
    </row>
    <row r="160" spans="2:9">
      <c r="B160" s="674" t="str">
        <f>TechData_DMD!A160</f>
        <v>*</v>
      </c>
      <c r="C160" s="675" t="s">
        <v>2998</v>
      </c>
      <c r="D160" s="674" t="str">
        <f>TechData_DMD!B160</f>
        <v>RSCCACV220</v>
      </c>
      <c r="E160" s="674" t="str">
        <f>TechData_DMD!C160</f>
        <v>Central AC Ver2.RSC.ELC.20</v>
      </c>
      <c r="F160" s="675" t="s">
        <v>348</v>
      </c>
      <c r="G160" s="675" t="s">
        <v>387</v>
      </c>
      <c r="H160" s="674"/>
      <c r="I160" s="674"/>
    </row>
    <row r="161" spans="2:9">
      <c r="B161" s="674" t="str">
        <f>TechData_DMD!A161</f>
        <v>*</v>
      </c>
      <c r="C161" s="675" t="s">
        <v>2998</v>
      </c>
      <c r="D161" s="674" t="str">
        <f>TechData_DMD!B161</f>
        <v>RSCCACV410</v>
      </c>
      <c r="E161" s="674" t="str">
        <f>TechData_DMD!C161</f>
        <v>Central AC Ver4.RSC.ELC.10</v>
      </c>
      <c r="F161" s="675" t="s">
        <v>348</v>
      </c>
      <c r="G161" s="675" t="s">
        <v>387</v>
      </c>
      <c r="H161" s="674"/>
      <c r="I161" s="674"/>
    </row>
    <row r="162" spans="2:9">
      <c r="B162" s="674" t="str">
        <f>TechData_DMD!A162</f>
        <v>*</v>
      </c>
      <c r="C162" s="675" t="s">
        <v>2998</v>
      </c>
      <c r="D162" s="674" t="str">
        <f>TechData_DMD!B162</f>
        <v>RSCCACV415</v>
      </c>
      <c r="E162" s="674" t="str">
        <f>TechData_DMD!C162</f>
        <v>Central AC Ver4.RSC.ELC.15</v>
      </c>
      <c r="F162" s="675" t="s">
        <v>348</v>
      </c>
      <c r="G162" s="675" t="s">
        <v>387</v>
      </c>
      <c r="H162" s="674"/>
      <c r="I162" s="674"/>
    </row>
    <row r="163" spans="2:9">
      <c r="B163" s="674" t="str">
        <f>TechData_DMD!A163</f>
        <v>*</v>
      </c>
      <c r="C163" s="675" t="s">
        <v>2998</v>
      </c>
      <c r="D163" s="674" t="str">
        <f>TechData_DMD!B163</f>
        <v>RSCCACV130</v>
      </c>
      <c r="E163" s="674" t="str">
        <f>TechData_DMD!C163</f>
        <v>Central AC Ver1.RSC.ELC.30</v>
      </c>
      <c r="F163" s="675" t="s">
        <v>348</v>
      </c>
      <c r="G163" s="675" t="s">
        <v>387</v>
      </c>
      <c r="H163" s="674"/>
      <c r="I163" s="674"/>
    </row>
    <row r="164" spans="2:9">
      <c r="B164" s="674" t="str">
        <f>TechData_DMD!A164</f>
        <v>*</v>
      </c>
      <c r="C164" s="675" t="s">
        <v>2998</v>
      </c>
      <c r="D164" s="674" t="str">
        <f>TechData_DMD!B164</f>
        <v>RSCCACV230</v>
      </c>
      <c r="E164" s="674" t="str">
        <f>TechData_DMD!C164</f>
        <v>Central AC Ver2.RSC.ELC.30</v>
      </c>
      <c r="F164" s="675" t="s">
        <v>348</v>
      </c>
      <c r="G164" s="675" t="s">
        <v>387</v>
      </c>
      <c r="H164" s="674"/>
      <c r="I164" s="674"/>
    </row>
    <row r="165" spans="2:9">
      <c r="B165" s="674" t="str">
        <f>TechData_DMD!A165</f>
        <v>*</v>
      </c>
      <c r="C165" s="675" t="s">
        <v>2998</v>
      </c>
      <c r="D165" s="674" t="str">
        <f>TechData_DMD!B165</f>
        <v>RSCCACV140</v>
      </c>
      <c r="E165" s="674" t="str">
        <f>TechData_DMD!C165</f>
        <v>Central AC Ver1.RSC.ELC.40</v>
      </c>
      <c r="F165" s="675" t="s">
        <v>348</v>
      </c>
      <c r="G165" s="675" t="s">
        <v>387</v>
      </c>
      <c r="H165" s="674"/>
      <c r="I165" s="674"/>
    </row>
    <row r="166" spans="2:9">
      <c r="B166" s="674" t="str">
        <f>TechData_DMD!A166</f>
        <v>*</v>
      </c>
      <c r="C166" s="675" t="s">
        <v>2998</v>
      </c>
      <c r="D166" s="674" t="str">
        <f>TechData_DMD!B166</f>
        <v>RSCCACV240</v>
      </c>
      <c r="E166" s="674" t="str">
        <f>TechData_DMD!C166</f>
        <v>Central AC Ver2.RSC.ELC.40</v>
      </c>
      <c r="F166" s="675" t="s">
        <v>348</v>
      </c>
      <c r="G166" s="675" t="s">
        <v>387</v>
      </c>
      <c r="H166" s="674"/>
      <c r="I166" s="674"/>
    </row>
    <row r="167" spans="2:9">
      <c r="B167" s="674" t="str">
        <f>TechData_DMD!A167</f>
        <v>*</v>
      </c>
      <c r="C167" s="675" t="s">
        <v>2998</v>
      </c>
      <c r="D167" s="674" t="str">
        <f>TechData_DMD!B167</f>
        <v>RSCCACV150</v>
      </c>
      <c r="E167" s="674" t="str">
        <f>TechData_DMD!C167</f>
        <v>Central AC Ver1.RSC.ELC.50</v>
      </c>
      <c r="F167" s="675" t="s">
        <v>348</v>
      </c>
      <c r="G167" s="675" t="s">
        <v>387</v>
      </c>
      <c r="H167" s="674"/>
      <c r="I167" s="674"/>
    </row>
    <row r="168" spans="2:9">
      <c r="B168" s="674" t="str">
        <f>TechData_DMD!A168</f>
        <v>*</v>
      </c>
      <c r="C168" s="675" t="s">
        <v>2998</v>
      </c>
      <c r="D168" s="674" t="str">
        <f>TechData_DMD!B168</f>
        <v>RSCCACV250</v>
      </c>
      <c r="E168" s="674" t="str">
        <f>TechData_DMD!C168</f>
        <v>Central AC Ver2.RSC.ELC.50</v>
      </c>
      <c r="F168" s="675" t="s">
        <v>348</v>
      </c>
      <c r="G168" s="675" t="s">
        <v>387</v>
      </c>
      <c r="H168" s="674"/>
      <c r="I168" s="674"/>
    </row>
    <row r="169" spans="2:9">
      <c r="B169" s="684" t="s">
        <v>2727</v>
      </c>
      <c r="C169" s="685"/>
      <c r="D169" s="682"/>
      <c r="E169" s="682"/>
      <c r="F169" s="685"/>
      <c r="G169" s="685"/>
      <c r="H169" s="682"/>
      <c r="I169" s="682"/>
    </row>
    <row r="170" spans="2:9">
      <c r="B170" s="674" t="str">
        <f>TechData_DMD!A170</f>
        <v>*</v>
      </c>
      <c r="C170" s="675" t="s">
        <v>2998</v>
      </c>
      <c r="D170" s="674" t="str">
        <f>TechData_DMD!B170</f>
        <v>RSCCACP120</v>
      </c>
      <c r="E170" s="674" t="str">
        <f>TechData_DMD!C170</f>
        <v>Portable AC Ver1.RSC.ELC.20</v>
      </c>
      <c r="F170" s="675" t="s">
        <v>348</v>
      </c>
      <c r="G170" s="675" t="s">
        <v>387</v>
      </c>
      <c r="H170" s="674"/>
      <c r="I170" s="674"/>
    </row>
    <row r="171" spans="2:9">
      <c r="B171" s="674" t="str">
        <f>TechData_DMD!A171</f>
        <v>*</v>
      </c>
      <c r="C171" s="675" t="s">
        <v>2998</v>
      </c>
      <c r="D171" s="674" t="str">
        <f>TechData_DMD!B171</f>
        <v>RSCCACP220</v>
      </c>
      <c r="E171" s="674" t="str">
        <f>TechData_DMD!C171</f>
        <v>Portable AC Ver2.RSC.ELC.20</v>
      </c>
      <c r="F171" s="675" t="s">
        <v>348</v>
      </c>
      <c r="G171" s="675" t="s">
        <v>387</v>
      </c>
      <c r="H171" s="674"/>
      <c r="I171" s="674"/>
    </row>
    <row r="172" spans="2:9">
      <c r="B172" s="674" t="str">
        <f>TechData_DMD!A172</f>
        <v>*</v>
      </c>
      <c r="C172" s="675" t="s">
        <v>2998</v>
      </c>
      <c r="D172" s="674" t="str">
        <f>TechData_DMD!B172</f>
        <v>RSCCACP130</v>
      </c>
      <c r="E172" s="674" t="str">
        <f>TechData_DMD!C172</f>
        <v>Portable AC Ver4.RSC.ELC.30</v>
      </c>
      <c r="F172" s="675" t="s">
        <v>348</v>
      </c>
      <c r="G172" s="675" t="s">
        <v>387</v>
      </c>
      <c r="H172" s="674"/>
      <c r="I172" s="674"/>
    </row>
    <row r="173" spans="2:9">
      <c r="B173" s="674" t="str">
        <f>TechData_DMD!A173</f>
        <v>*</v>
      </c>
      <c r="C173" s="675" t="s">
        <v>2998</v>
      </c>
      <c r="D173" s="674" t="str">
        <f>TechData_DMD!B173</f>
        <v>RSCCACP230</v>
      </c>
      <c r="E173" s="674" t="str">
        <f>TechData_DMD!C173</f>
        <v>Portable AC Ver6.RSC.ELC.30</v>
      </c>
      <c r="F173" s="675" t="s">
        <v>348</v>
      </c>
      <c r="G173" s="675" t="s">
        <v>387</v>
      </c>
      <c r="H173" s="674"/>
      <c r="I173" s="674"/>
    </row>
    <row r="174" spans="2:9">
      <c r="B174" s="674" t="str">
        <f>TechData_DMD!A174</f>
        <v>*</v>
      </c>
      <c r="C174" s="675" t="s">
        <v>2998</v>
      </c>
      <c r="D174" s="674" t="str">
        <f>TechData_DMD!B174</f>
        <v>RSCCACP140</v>
      </c>
      <c r="E174" s="674" t="str">
        <f>TechData_DMD!C174</f>
        <v>Portable AC Ver4.RSC.ELC.40</v>
      </c>
      <c r="F174" s="675" t="s">
        <v>348</v>
      </c>
      <c r="G174" s="675" t="s">
        <v>387</v>
      </c>
      <c r="H174" s="674"/>
      <c r="I174" s="674"/>
    </row>
    <row r="175" spans="2:9">
      <c r="B175" s="674" t="str">
        <f>TechData_DMD!A175</f>
        <v>*</v>
      </c>
      <c r="C175" s="675" t="s">
        <v>2998</v>
      </c>
      <c r="D175" s="674" t="str">
        <f>TechData_DMD!B175</f>
        <v>RSCCACP240</v>
      </c>
      <c r="E175" s="674" t="str">
        <f>TechData_DMD!C175</f>
        <v>Portable AC Ver6.RSC.ELC.40</v>
      </c>
      <c r="F175" s="675" t="s">
        <v>348</v>
      </c>
      <c r="G175" s="675" t="s">
        <v>387</v>
      </c>
      <c r="H175" s="674"/>
      <c r="I175" s="674"/>
    </row>
    <row r="176" spans="2:9">
      <c r="B176" s="674" t="str">
        <f>TechData_DMD!A176</f>
        <v>*</v>
      </c>
      <c r="C176" s="675" t="s">
        <v>2998</v>
      </c>
      <c r="D176" s="674" t="str">
        <f>TechData_DMD!B176</f>
        <v>RSCCACP130</v>
      </c>
      <c r="E176" s="674" t="str">
        <f>TechData_DMD!C176</f>
        <v>Portable AC Ver1.RSC.ELC.30</v>
      </c>
      <c r="F176" s="675" t="s">
        <v>348</v>
      </c>
      <c r="G176" s="675" t="s">
        <v>387</v>
      </c>
      <c r="H176" s="674"/>
      <c r="I176" s="674"/>
    </row>
    <row r="177" spans="2:9">
      <c r="B177" s="674" t="str">
        <f>TechData_DMD!A177</f>
        <v>*</v>
      </c>
      <c r="C177" s="675" t="s">
        <v>2998</v>
      </c>
      <c r="D177" s="674" t="str">
        <f>TechData_DMD!B177</f>
        <v>RSCCACP230</v>
      </c>
      <c r="E177" s="674" t="str">
        <f>TechData_DMD!C177</f>
        <v>Portable AC Ver2.RSC.ELC.30</v>
      </c>
      <c r="F177" s="675" t="s">
        <v>348</v>
      </c>
      <c r="G177" s="675" t="s">
        <v>387</v>
      </c>
      <c r="H177" s="674"/>
      <c r="I177" s="674"/>
    </row>
    <row r="178" spans="2:9">
      <c r="B178" s="674" t="str">
        <f>TechData_DMD!A178</f>
        <v>*</v>
      </c>
      <c r="C178" s="675" t="s">
        <v>2998</v>
      </c>
      <c r="D178" s="674" t="str">
        <f>TechData_DMD!B178</f>
        <v>RSCCACP140</v>
      </c>
      <c r="E178" s="674" t="str">
        <f>TechData_DMD!C178</f>
        <v>Portable AC Ver1.RSC.ELC.40</v>
      </c>
      <c r="F178" s="675" t="s">
        <v>348</v>
      </c>
      <c r="G178" s="675" t="s">
        <v>387</v>
      </c>
      <c r="H178" s="674"/>
      <c r="I178" s="674"/>
    </row>
    <row r="179" spans="2:9">
      <c r="B179" s="674" t="str">
        <f>TechData_DMD!A179</f>
        <v>*</v>
      </c>
      <c r="C179" s="675" t="s">
        <v>2998</v>
      </c>
      <c r="D179" s="674" t="str">
        <f>TechData_DMD!B179</f>
        <v>RSCCACP240</v>
      </c>
      <c r="E179" s="674" t="str">
        <f>TechData_DMD!C179</f>
        <v>Portable AC Ver2.RSC.ELC.40</v>
      </c>
      <c r="F179" s="675" t="s">
        <v>348</v>
      </c>
      <c r="G179" s="675" t="s">
        <v>387</v>
      </c>
      <c r="H179" s="674"/>
      <c r="I179" s="674"/>
    </row>
    <row r="180" spans="2:9">
      <c r="B180" s="674" t="str">
        <f>TechData_DMD!A180</f>
        <v>*</v>
      </c>
      <c r="C180" s="675" t="s">
        <v>2998</v>
      </c>
      <c r="D180" s="674" t="str">
        <f>TechData_DMD!B180</f>
        <v>RSCCACP150</v>
      </c>
      <c r="E180" s="674" t="str">
        <f>TechData_DMD!C180</f>
        <v>Portable AC Ver1.RSC.ELC.50</v>
      </c>
      <c r="F180" s="675" t="s">
        <v>348</v>
      </c>
      <c r="G180" s="675" t="s">
        <v>387</v>
      </c>
      <c r="H180" s="674"/>
      <c r="I180" s="674"/>
    </row>
    <row r="181" spans="2:9">
      <c r="B181" s="674" t="str">
        <f>TechData_DMD!A181</f>
        <v>*</v>
      </c>
      <c r="C181" s="675" t="s">
        <v>2998</v>
      </c>
      <c r="D181" s="674" t="str">
        <f>TechData_DMD!B181</f>
        <v>RSCCACP250</v>
      </c>
      <c r="E181" s="674" t="str">
        <f>TechData_DMD!C181</f>
        <v>Portable AC Ver2.RSC.ELC.50</v>
      </c>
      <c r="F181" s="675" t="s">
        <v>348</v>
      </c>
      <c r="G181" s="675" t="s">
        <v>387</v>
      </c>
      <c r="H181" s="674"/>
      <c r="I181" s="674"/>
    </row>
    <row r="182" spans="2:9">
      <c r="B182" s="684" t="s">
        <v>388</v>
      </c>
      <c r="C182" s="685"/>
      <c r="D182" s="682"/>
      <c r="E182" s="682"/>
      <c r="F182" s="685"/>
      <c r="G182" s="685"/>
      <c r="H182" s="682"/>
      <c r="I182" s="682"/>
    </row>
    <row r="183" spans="2:9">
      <c r="B183" s="674" t="str">
        <f>TechData_DMD!A183</f>
        <v>*</v>
      </c>
      <c r="C183" s="675" t="s">
        <v>2998</v>
      </c>
      <c r="D183" s="674" t="str">
        <f>TechData_DMD!B183</f>
        <v>RSCEHPBS05</v>
      </c>
      <c r="E183" s="674" t="str">
        <f>TechData_DMD!C183</f>
        <v>Electric Heat Pump Base.RSC.ELC.05</v>
      </c>
      <c r="F183" s="675" t="s">
        <v>348</v>
      </c>
      <c r="G183" s="675" t="s">
        <v>387</v>
      </c>
      <c r="H183" s="674"/>
      <c r="I183" s="674"/>
    </row>
    <row r="184" spans="2:9">
      <c r="B184" s="674" t="str">
        <f>TechData_DMD!A184</f>
        <v>R2,R3,R4,R5,R6</v>
      </c>
      <c r="C184" s="675" t="s">
        <v>2998</v>
      </c>
      <c r="D184" s="674" t="str">
        <f>TechData_DMD!B184</f>
        <v>RSCEHPV110</v>
      </c>
      <c r="E184" s="674" t="str">
        <f>TechData_DMD!C184</f>
        <v>Electric Heat Pump Ver1.RSC.ELC.10</v>
      </c>
      <c r="F184" s="675" t="s">
        <v>348</v>
      </c>
      <c r="G184" s="675" t="s">
        <v>387</v>
      </c>
      <c r="H184" s="674"/>
      <c r="I184" s="674"/>
    </row>
    <row r="185" spans="2:9">
      <c r="B185" s="674" t="str">
        <f>TechData_DMD!A185</f>
        <v>*</v>
      </c>
      <c r="C185" s="675" t="s">
        <v>2998</v>
      </c>
      <c r="D185" s="674" t="str">
        <f>TechData_DMD!B185</f>
        <v>RSCEHPV115</v>
      </c>
      <c r="E185" s="674" t="str">
        <f>TechData_DMD!C185</f>
        <v>Electric Heat Pump Ver1.RSC.ELC.15</v>
      </c>
      <c r="F185" s="675" t="s">
        <v>348</v>
      </c>
      <c r="G185" s="675" t="s">
        <v>387</v>
      </c>
      <c r="H185" s="674"/>
      <c r="I185" s="674"/>
    </row>
    <row r="186" spans="2:9">
      <c r="B186" s="674" t="str">
        <f>TechData_DMD!A186</f>
        <v>*</v>
      </c>
      <c r="C186" s="675" t="s">
        <v>2998</v>
      </c>
      <c r="D186" s="674" t="str">
        <f>TechData_DMD!B186</f>
        <v>RSCEHPV215</v>
      </c>
      <c r="E186" s="674" t="str">
        <f>TechData_DMD!C186</f>
        <v>Electric Heat Pump Ver2.RSC.ELC.15</v>
      </c>
      <c r="F186" s="675" t="s">
        <v>348</v>
      </c>
      <c r="G186" s="675" t="s">
        <v>387</v>
      </c>
      <c r="H186" s="674"/>
      <c r="I186" s="674"/>
    </row>
    <row r="187" spans="2:9">
      <c r="B187" s="674" t="str">
        <f>TechData_DMD!A187</f>
        <v>*</v>
      </c>
      <c r="C187" s="675" t="s">
        <v>2998</v>
      </c>
      <c r="D187" s="674" t="str">
        <f>TechData_DMD!B187</f>
        <v>RSCEHPV320</v>
      </c>
      <c r="E187" s="674" t="str">
        <f>TechData_DMD!C187</f>
        <v>Electric Heat Pump Ver3.RSC.ELC.20</v>
      </c>
      <c r="F187" s="675" t="s">
        <v>348</v>
      </c>
      <c r="G187" s="675" t="s">
        <v>387</v>
      </c>
      <c r="H187" s="674"/>
      <c r="I187" s="674"/>
    </row>
    <row r="188" spans="2:9">
      <c r="B188" s="674" t="str">
        <f>TechData_DMD!A188</f>
        <v>*</v>
      </c>
      <c r="C188" s="675" t="s">
        <v>2998</v>
      </c>
      <c r="D188" s="674" t="str">
        <f>TechData_DMD!B188</f>
        <v>RSCEHPV520</v>
      </c>
      <c r="E188" s="674" t="str">
        <f>TechData_DMD!C188</f>
        <v>Electric Heat Pump Ver5.RSC.ELC.20</v>
      </c>
      <c r="F188" s="675" t="s">
        <v>348</v>
      </c>
      <c r="G188" s="675" t="s">
        <v>387</v>
      </c>
      <c r="H188" s="674"/>
      <c r="I188" s="674"/>
    </row>
    <row r="189" spans="2:9">
      <c r="B189" s="674" t="str">
        <f>TechData_DMD!A189</f>
        <v>*</v>
      </c>
      <c r="C189" s="675" t="s">
        <v>2998</v>
      </c>
      <c r="D189" s="674" t="str">
        <f>TechData_DMD!B189</f>
        <v>RSCEHPV430</v>
      </c>
      <c r="E189" s="674" t="str">
        <f>TechData_DMD!C189</f>
        <v>Electric Heat Pump Ver4.RSC.ELC.30</v>
      </c>
      <c r="F189" s="675" t="s">
        <v>348</v>
      </c>
      <c r="G189" s="675" t="s">
        <v>387</v>
      </c>
      <c r="H189" s="674"/>
      <c r="I189" s="674"/>
    </row>
    <row r="190" spans="2:9">
      <c r="B190" s="674" t="str">
        <f>TechData_DMD!A190</f>
        <v>*</v>
      </c>
      <c r="C190" s="675" t="s">
        <v>2998</v>
      </c>
      <c r="D190" s="674" t="str">
        <f>TechData_DMD!B190</f>
        <v>RSCEHPV630</v>
      </c>
      <c r="E190" s="674" t="str">
        <f>TechData_DMD!C190</f>
        <v>Electric Heat Pump Ver6.RSC.ELC.30</v>
      </c>
      <c r="F190" s="675" t="s">
        <v>348</v>
      </c>
      <c r="G190" s="675" t="s">
        <v>387</v>
      </c>
      <c r="H190" s="674"/>
      <c r="I190" s="674"/>
    </row>
    <row r="191" spans="2:9">
      <c r="B191" s="674" t="str">
        <f>TechData_DMD!A191</f>
        <v>*</v>
      </c>
      <c r="C191" s="675" t="s">
        <v>2998</v>
      </c>
      <c r="D191" s="674" t="str">
        <f>TechData_DMD!B191</f>
        <v>RSCEHPV440</v>
      </c>
      <c r="E191" s="674" t="str">
        <f>TechData_DMD!C191</f>
        <v>Electric Heat Pump Ver4.RSC.ELC.40</v>
      </c>
      <c r="F191" s="675" t="s">
        <v>348</v>
      </c>
      <c r="G191" s="675" t="s">
        <v>387</v>
      </c>
      <c r="H191" s="674"/>
      <c r="I191" s="674"/>
    </row>
    <row r="192" spans="2:9">
      <c r="B192" s="674" t="str">
        <f>TechData_DMD!A192</f>
        <v>*</v>
      </c>
      <c r="C192" s="675" t="s">
        <v>2998</v>
      </c>
      <c r="D192" s="674" t="str">
        <f>TechData_DMD!B192</f>
        <v>RSCEHPV640</v>
      </c>
      <c r="E192" s="674" t="str">
        <f>TechData_DMD!C192</f>
        <v>Electric Heat Pump Ver6.RSC.ELC.40</v>
      </c>
      <c r="F192" s="675" t="s">
        <v>348</v>
      </c>
      <c r="G192" s="675" t="s">
        <v>387</v>
      </c>
      <c r="H192" s="674"/>
      <c r="I192" s="674"/>
    </row>
    <row r="193" spans="2:9">
      <c r="B193" s="674" t="str">
        <f>TechData_DMD!A193</f>
        <v>*</v>
      </c>
      <c r="C193" s="675" t="s">
        <v>2998</v>
      </c>
      <c r="D193" s="674" t="str">
        <f>TechData_DMD!B193</f>
        <v>RSCEHPV210</v>
      </c>
      <c r="E193" s="674" t="str">
        <f>TechData_DMD!C193</f>
        <v>Electric Heat Pump Ver2.RSC.ELC.10</v>
      </c>
      <c r="F193" s="675" t="s">
        <v>348</v>
      </c>
      <c r="G193" s="675" t="s">
        <v>387</v>
      </c>
      <c r="H193" s="674"/>
      <c r="I193" s="674"/>
    </row>
    <row r="194" spans="2:9">
      <c r="B194" s="674" t="str">
        <f>TechData_DMD!A194</f>
        <v>*</v>
      </c>
      <c r="C194" s="675" t="s">
        <v>2998</v>
      </c>
      <c r="D194" s="674" t="str">
        <f>TechData_DMD!B194</f>
        <v>RSCEHPV215</v>
      </c>
      <c r="E194" s="674" t="str">
        <f>TechData_DMD!C194</f>
        <v>Electric Heat Pump Ver2.RSC.ELC.15</v>
      </c>
      <c r="F194" s="675" t="s">
        <v>348</v>
      </c>
      <c r="G194" s="675" t="s">
        <v>387</v>
      </c>
      <c r="H194" s="674"/>
      <c r="I194" s="674"/>
    </row>
    <row r="195" spans="2:9">
      <c r="B195" s="674" t="str">
        <f>TechData_DMD!A195</f>
        <v>*</v>
      </c>
      <c r="C195" s="675" t="s">
        <v>2998</v>
      </c>
      <c r="D195" s="674" t="str">
        <f>TechData_DMD!B195</f>
        <v>RSCEHPV310</v>
      </c>
      <c r="E195" s="674" t="str">
        <f>TechData_DMD!C195</f>
        <v>Electric Heat Pump Ver3.RSC.ELC.10</v>
      </c>
      <c r="F195" s="675" t="s">
        <v>348</v>
      </c>
      <c r="G195" s="675" t="s">
        <v>387</v>
      </c>
      <c r="H195" s="674"/>
      <c r="I195" s="674"/>
    </row>
    <row r="196" spans="2:9">
      <c r="B196" s="674" t="str">
        <f>TechData_DMD!A196</f>
        <v>*</v>
      </c>
      <c r="C196" s="675" t="s">
        <v>2998</v>
      </c>
      <c r="D196" s="674" t="str">
        <f>TechData_DMD!B196</f>
        <v>RSCEHPV315</v>
      </c>
      <c r="E196" s="674" t="str">
        <f>TechData_DMD!C196</f>
        <v>Electric Heat Pump Ver3.RSC.ELC.15</v>
      </c>
      <c r="F196" s="675" t="s">
        <v>348</v>
      </c>
      <c r="G196" s="675" t="s">
        <v>387</v>
      </c>
      <c r="H196" s="674"/>
      <c r="I196" s="674"/>
    </row>
    <row r="197" spans="2:9">
      <c r="B197" s="674" t="str">
        <f>TechData_DMD!A197</f>
        <v>*</v>
      </c>
      <c r="C197" s="675" t="s">
        <v>2998</v>
      </c>
      <c r="D197" s="674" t="str">
        <f>TechData_DMD!B197</f>
        <v>RSCEHPV320</v>
      </c>
      <c r="E197" s="674" t="str">
        <f>TechData_DMD!C197</f>
        <v>Electric Heat Pump Ver3.RSC.ELC.20</v>
      </c>
      <c r="F197" s="675" t="s">
        <v>348</v>
      </c>
      <c r="G197" s="675" t="s">
        <v>387</v>
      </c>
      <c r="H197" s="674"/>
      <c r="I197" s="674"/>
    </row>
    <row r="198" spans="2:9">
      <c r="B198" s="674" t="str">
        <f>TechData_DMD!A198</f>
        <v>*</v>
      </c>
      <c r="C198" s="675" t="s">
        <v>2998</v>
      </c>
      <c r="D198" s="674" t="str">
        <f>TechData_DMD!B198</f>
        <v>RSCEHPV330</v>
      </c>
      <c r="E198" s="674" t="str">
        <f>TechData_DMD!C198</f>
        <v>Electric Heat Pump Ver3.RSC.ELC.30</v>
      </c>
      <c r="F198" s="675" t="s">
        <v>348</v>
      </c>
      <c r="G198" s="675" t="s">
        <v>387</v>
      </c>
      <c r="H198" s="674"/>
      <c r="I198" s="674"/>
    </row>
    <row r="199" spans="2:9">
      <c r="B199" s="674" t="str">
        <f>TechData_DMD!A199</f>
        <v>*</v>
      </c>
      <c r="C199" s="675" t="s">
        <v>2998</v>
      </c>
      <c r="D199" s="674" t="str">
        <f>TechData_DMD!B199</f>
        <v>RSCEHPV410</v>
      </c>
      <c r="E199" s="674" t="str">
        <f>TechData_DMD!C199</f>
        <v>Electric Heat Pump Ver4.RSC.ELC.10</v>
      </c>
      <c r="F199" s="675" t="s">
        <v>348</v>
      </c>
      <c r="G199" s="675" t="s">
        <v>387</v>
      </c>
      <c r="H199" s="674"/>
      <c r="I199" s="674"/>
    </row>
    <row r="200" spans="2:9">
      <c r="B200" s="674" t="str">
        <f>TechData_DMD!A200</f>
        <v>*</v>
      </c>
      <c r="C200" s="675" t="s">
        <v>2998</v>
      </c>
      <c r="D200" s="674" t="str">
        <f>TechData_DMD!B200</f>
        <v>RSCEHPV420</v>
      </c>
      <c r="E200" s="674" t="str">
        <f>TechData_DMD!C200</f>
        <v>Electric Heat Pump Ver4.RSC.ELC.20</v>
      </c>
      <c r="F200" s="675" t="s">
        <v>348</v>
      </c>
      <c r="G200" s="675" t="s">
        <v>387</v>
      </c>
      <c r="H200" s="674"/>
      <c r="I200" s="674"/>
    </row>
    <row r="201" spans="2:9">
      <c r="B201" s="674" t="str">
        <f>TechData_DMD!A201</f>
        <v>*</v>
      </c>
      <c r="C201" s="675" t="s">
        <v>2998</v>
      </c>
      <c r="D201" s="674" t="str">
        <f>TechData_DMD!B201</f>
        <v>RSCEHPV430</v>
      </c>
      <c r="E201" s="674" t="str">
        <f>TechData_DMD!C201</f>
        <v>Electric Heat Pump Ver4.RSC.ELC.30</v>
      </c>
      <c r="F201" s="675" t="s">
        <v>348</v>
      </c>
      <c r="G201" s="675" t="s">
        <v>387</v>
      </c>
      <c r="H201" s="674"/>
      <c r="I201" s="674"/>
    </row>
    <row r="202" spans="2:9">
      <c r="B202" s="674" t="str">
        <f>TechData_DMD!A202</f>
        <v>*</v>
      </c>
      <c r="C202" s="675" t="s">
        <v>2998</v>
      </c>
      <c r="D202" s="674" t="str">
        <f>TechData_DMD!B202</f>
        <v>RSCEHPV435</v>
      </c>
      <c r="E202" s="674" t="str">
        <f>TechData_DMD!C202</f>
        <v>Electric Heat Pump Ver4.RSC.ELC.35</v>
      </c>
      <c r="F202" s="675" t="s">
        <v>348</v>
      </c>
      <c r="G202" s="675" t="s">
        <v>387</v>
      </c>
      <c r="H202" s="674"/>
      <c r="I202" s="674"/>
    </row>
    <row r="203" spans="2:9">
      <c r="B203" s="684" t="s">
        <v>397</v>
      </c>
      <c r="C203" s="685"/>
      <c r="D203" s="682"/>
      <c r="E203" s="682"/>
      <c r="F203" s="685"/>
      <c r="G203" s="685"/>
      <c r="H203" s="682"/>
      <c r="I203" s="682"/>
    </row>
    <row r="204" spans="2:9">
      <c r="B204" s="674" t="str">
        <f>TechData_DMD!A204</f>
        <v>*</v>
      </c>
      <c r="C204" s="675" t="s">
        <v>2998</v>
      </c>
      <c r="D204" s="674" t="str">
        <f>TechData_DMD!B204</f>
        <v>RSCGHPBS05</v>
      </c>
      <c r="E204" s="674" t="str">
        <f>TechData_DMD!C204</f>
        <v>Geothermal Heat Pump Base.RSC.ELC.05</v>
      </c>
      <c r="F204" s="675" t="s">
        <v>348</v>
      </c>
      <c r="G204" s="675" t="s">
        <v>387</v>
      </c>
      <c r="H204" s="674"/>
      <c r="I204" s="674"/>
    </row>
    <row r="205" spans="2:9">
      <c r="B205" s="674" t="str">
        <f>TechData_DMD!A205</f>
        <v>*</v>
      </c>
      <c r="C205" s="675" t="s">
        <v>2998</v>
      </c>
      <c r="D205" s="674" t="str">
        <f>TechData_DMD!B205</f>
        <v>RSCGHPV110</v>
      </c>
      <c r="E205" s="674" t="str">
        <f>TechData_DMD!C205</f>
        <v>Geothermal Heat Pump Ver1.RSC.ELC.10</v>
      </c>
      <c r="F205" s="675" t="s">
        <v>348</v>
      </c>
      <c r="G205" s="675" t="s">
        <v>387</v>
      </c>
      <c r="H205" s="674"/>
      <c r="I205" s="674"/>
    </row>
    <row r="206" spans="2:9">
      <c r="B206" s="674" t="str">
        <f>TechData_DMD!A206</f>
        <v>*</v>
      </c>
      <c r="C206" s="675" t="s">
        <v>2998</v>
      </c>
      <c r="D206" s="674" t="str">
        <f>TechData_DMD!B206</f>
        <v>RSCGHPV210</v>
      </c>
      <c r="E206" s="674" t="str">
        <f>TechData_DMD!C206</f>
        <v>Geothermal Heat Pump Ver2.RSC.ELC.10</v>
      </c>
      <c r="F206" s="675" t="s">
        <v>348</v>
      </c>
      <c r="G206" s="675" t="s">
        <v>387</v>
      </c>
      <c r="H206" s="674"/>
      <c r="I206" s="674"/>
    </row>
    <row r="207" spans="2:9">
      <c r="B207" s="674" t="str">
        <f>TechData_DMD!A207</f>
        <v>*</v>
      </c>
      <c r="C207" s="675" t="s">
        <v>2998</v>
      </c>
      <c r="D207" s="674" t="str">
        <f>TechData_DMD!B207</f>
        <v>RSCGHPV220</v>
      </c>
      <c r="E207" s="674" t="str">
        <f>TechData_DMD!C207</f>
        <v>Geothermal Heat Pump Ver2.RSC.ELC.20</v>
      </c>
      <c r="F207" s="675" t="s">
        <v>348</v>
      </c>
      <c r="G207" s="675" t="s">
        <v>387</v>
      </c>
      <c r="H207" s="674"/>
      <c r="I207" s="674"/>
    </row>
    <row r="208" spans="2:9">
      <c r="B208" s="684" t="s">
        <v>398</v>
      </c>
      <c r="C208" s="685"/>
      <c r="D208" s="682"/>
      <c r="E208" s="682"/>
      <c r="F208" s="685"/>
      <c r="G208" s="685"/>
      <c r="H208" s="682"/>
      <c r="I208" s="682"/>
    </row>
    <row r="209" spans="2:9">
      <c r="B209" s="674" t="str">
        <f>TechData_DMD!A209</f>
        <v>*</v>
      </c>
      <c r="C209" s="675" t="s">
        <v>2998</v>
      </c>
      <c r="D209" s="674" t="str">
        <f>TechData_DMD!B209</f>
        <v>RSCNHPBS05</v>
      </c>
      <c r="E209" s="674" t="str">
        <f>TechData_DMD!C209</f>
        <v>Natural Gas Heat Pump Base.RSC.NGA.05</v>
      </c>
      <c r="F209" s="675" t="s">
        <v>348</v>
      </c>
      <c r="G209" s="675" t="s">
        <v>387</v>
      </c>
      <c r="H209" s="674"/>
      <c r="I209" s="674"/>
    </row>
    <row r="210" spans="2:9">
      <c r="B210" s="674" t="str">
        <f>TechData_DMD!A210</f>
        <v>R2,R3,R4,R5,R6</v>
      </c>
      <c r="C210" s="675" t="s">
        <v>2998</v>
      </c>
      <c r="D210" s="674" t="str">
        <f>TechData_DMD!B210</f>
        <v>RSCNHPV110</v>
      </c>
      <c r="E210" s="674" t="str">
        <f>TechData_DMD!C210</f>
        <v>Natural Gas Heat Pump Ver1.RSC.NGA.10</v>
      </c>
      <c r="F210" s="675" t="s">
        <v>348</v>
      </c>
      <c r="G210" s="675" t="s">
        <v>387</v>
      </c>
      <c r="H210" s="674"/>
      <c r="I210" s="674"/>
    </row>
    <row r="211" spans="2:9">
      <c r="B211" s="674" t="str">
        <f>TechData_DMD!A211</f>
        <v>*</v>
      </c>
      <c r="C211" s="675" t="s">
        <v>2998</v>
      </c>
      <c r="D211" s="674" t="str">
        <f>TechData_DMD!B211</f>
        <v>RSCNHPV120</v>
      </c>
      <c r="E211" s="674" t="str">
        <f>TechData_DMD!C211</f>
        <v>Natural Gas Heat Pump Ver1.RSC.NGA.20</v>
      </c>
      <c r="F211" s="675" t="s">
        <v>348</v>
      </c>
      <c r="G211" s="675" t="s">
        <v>387</v>
      </c>
      <c r="H211" s="674"/>
      <c r="I211" s="674"/>
    </row>
    <row r="212" spans="2:9">
      <c r="B212" s="674" t="str">
        <f>TechData_DMD!A212</f>
        <v>*</v>
      </c>
      <c r="C212" s="675" t="s">
        <v>2998</v>
      </c>
      <c r="D212" s="674" t="str">
        <f>TechData_DMD!B212</f>
        <v>RSCNHPV220</v>
      </c>
      <c r="E212" s="674" t="str">
        <f>TechData_DMD!C212</f>
        <v>Natural Gas Heat Pump Ver2.RSC.NGA.20</v>
      </c>
      <c r="F212" s="675" t="s">
        <v>348</v>
      </c>
      <c r="G212" s="675" t="s">
        <v>387</v>
      </c>
      <c r="H212" s="674"/>
      <c r="I212" s="674"/>
    </row>
    <row r="213" spans="2:9">
      <c r="B213" s="674" t="str">
        <f>TechData_DMD!A213</f>
        <v>*</v>
      </c>
      <c r="C213" s="675" t="s">
        <v>2998</v>
      </c>
      <c r="D213" s="674" t="str">
        <f>TechData_DMD!B213</f>
        <v>RSCNHPV130</v>
      </c>
      <c r="E213" s="674" t="str">
        <f>TechData_DMD!C213</f>
        <v>Natural Gas Heat Pump Ver1.RSC.NGA.30</v>
      </c>
      <c r="F213" s="675" t="s">
        <v>348</v>
      </c>
      <c r="G213" s="675" t="s">
        <v>387</v>
      </c>
      <c r="H213" s="674"/>
      <c r="I213" s="674"/>
    </row>
    <row r="214" spans="2:9">
      <c r="B214" s="674" t="str">
        <f>TechData_DMD!A214</f>
        <v>*</v>
      </c>
      <c r="C214" s="675" t="s">
        <v>2998</v>
      </c>
      <c r="D214" s="674" t="str">
        <f>TechData_DMD!B214</f>
        <v>RSCNHPV230</v>
      </c>
      <c r="E214" s="674" t="str">
        <f>TechData_DMD!C214</f>
        <v>Natural Gas Heat Pump Ver2.RSC.NGA.30</v>
      </c>
      <c r="F214" s="675" t="s">
        <v>348</v>
      </c>
      <c r="G214" s="675" t="s">
        <v>387</v>
      </c>
      <c r="H214" s="674"/>
      <c r="I214" s="674"/>
    </row>
    <row r="215" spans="2:9">
      <c r="B215" s="674" t="str">
        <f>TechData_DMD!A215</f>
        <v>*</v>
      </c>
      <c r="C215" s="675" t="s">
        <v>2998</v>
      </c>
      <c r="D215" s="674" t="str">
        <f>TechData_DMD!B215</f>
        <v>RSCNHPV140</v>
      </c>
      <c r="E215" s="674" t="str">
        <f>TechData_DMD!C215</f>
        <v>Natural Gas Heat Pump Ver1.RSC.NGA.40</v>
      </c>
      <c r="F215" s="675" t="s">
        <v>348</v>
      </c>
      <c r="G215" s="675" t="s">
        <v>387</v>
      </c>
      <c r="H215" s="674"/>
      <c r="I215" s="674"/>
    </row>
    <row r="216" spans="2:9">
      <c r="B216" s="674" t="str">
        <f>TechData_DMD!A216</f>
        <v>*</v>
      </c>
      <c r="C216" s="675" t="s">
        <v>2998</v>
      </c>
      <c r="D216" s="674" t="str">
        <f>TechData_DMD!B216</f>
        <v>RSCNHPV240</v>
      </c>
      <c r="E216" s="674" t="str">
        <f>TechData_DMD!C216</f>
        <v>Natural Gas Heat Pump Ver2.RSC.NGA.40</v>
      </c>
      <c r="F216" s="675" t="s">
        <v>348</v>
      </c>
      <c r="G216" s="675" t="s">
        <v>387</v>
      </c>
      <c r="H216" s="674"/>
      <c r="I216" s="674"/>
    </row>
    <row r="217" spans="2:9">
      <c r="B217" s="674" t="str">
        <f>TechData_DMD!A217</f>
        <v>*</v>
      </c>
      <c r="C217" s="675" t="s">
        <v>2998</v>
      </c>
      <c r="D217" s="674" t="str">
        <f>TechData_DMD!B217</f>
        <v>RSCNHPV150</v>
      </c>
      <c r="E217" s="674" t="str">
        <f>TechData_DMD!C217</f>
        <v>Natural Gas Heat Pump Ver1.RSC.NGA.50</v>
      </c>
      <c r="F217" s="675" t="s">
        <v>348</v>
      </c>
      <c r="G217" s="675" t="s">
        <v>387</v>
      </c>
      <c r="H217" s="674"/>
      <c r="I217" s="674"/>
    </row>
    <row r="218" spans="2:9">
      <c r="B218" s="674" t="str">
        <f>TechData_DMD!A218</f>
        <v>*</v>
      </c>
      <c r="C218" s="675" t="s">
        <v>2998</v>
      </c>
      <c r="D218" s="674" t="str">
        <f>TechData_DMD!B218</f>
        <v>RSCNHPV250</v>
      </c>
      <c r="E218" s="674" t="str">
        <f>TechData_DMD!C218</f>
        <v>Natural Gas Heat Pump Ver2.RSC.NGA.50</v>
      </c>
      <c r="F218" s="675" t="s">
        <v>348</v>
      </c>
      <c r="G218" s="675" t="s">
        <v>387</v>
      </c>
      <c r="H218" s="674"/>
      <c r="I218" s="674"/>
    </row>
    <row r="219" spans="2:9">
      <c r="B219" s="684" t="s">
        <v>402</v>
      </c>
      <c r="C219" s="685"/>
      <c r="D219" s="682"/>
      <c r="E219" s="682"/>
      <c r="F219" s="685"/>
      <c r="G219" s="685"/>
      <c r="H219" s="682"/>
      <c r="I219" s="682"/>
    </row>
    <row r="220" spans="2:9">
      <c r="B220" s="684" t="s">
        <v>403</v>
      </c>
      <c r="C220" s="685"/>
      <c r="D220" s="682"/>
      <c r="E220" s="682"/>
      <c r="F220" s="685"/>
      <c r="G220" s="685"/>
      <c r="H220" s="682"/>
      <c r="I220" s="682"/>
    </row>
    <row r="221" spans="2:9">
      <c r="B221" s="674" t="str">
        <f>TechData_DMD!A221</f>
        <v>*</v>
      </c>
      <c r="C221" s="675" t="s">
        <v>2998</v>
      </c>
      <c r="D221" s="674" t="str">
        <f>TechData_DMD!B221</f>
        <v>RWHNWHBS05</v>
      </c>
      <c r="E221" s="674" t="str">
        <f>TechData_DMD!C221</f>
        <v>Natural Gas Base.RWH.NGA.05</v>
      </c>
      <c r="F221" s="675" t="s">
        <v>348</v>
      </c>
      <c r="G221" s="675" t="s">
        <v>387</v>
      </c>
      <c r="H221" s="674"/>
      <c r="I221" s="674"/>
    </row>
    <row r="222" spans="2:9">
      <c r="B222" s="674" t="str">
        <f>TechData_DMD!A222</f>
        <v>R2,R3,R4,R5,R6</v>
      </c>
      <c r="C222" s="675" t="s">
        <v>2998</v>
      </c>
      <c r="D222" s="674" t="str">
        <f>TechData_DMD!B222</f>
        <v>RWHNWHV110</v>
      </c>
      <c r="E222" s="674" t="str">
        <f>TechData_DMD!C222</f>
        <v>Natural Gas Ver1.RWH.NGA.10</v>
      </c>
      <c r="F222" s="675" t="s">
        <v>348</v>
      </c>
      <c r="G222" s="675" t="s">
        <v>387</v>
      </c>
      <c r="H222" s="674"/>
      <c r="I222" s="674"/>
    </row>
    <row r="223" spans="2:9">
      <c r="B223" s="674" t="str">
        <f>TechData_DMD!A223</f>
        <v>*</v>
      </c>
      <c r="C223" s="675" t="s">
        <v>2998</v>
      </c>
      <c r="D223" s="674" t="str">
        <f>TechData_DMD!B223</f>
        <v>RWHNWHV115</v>
      </c>
      <c r="E223" s="674" t="str">
        <f>TechData_DMD!C223</f>
        <v>Natural Gas Ver1.RWH.NGA.15</v>
      </c>
      <c r="F223" s="675" t="s">
        <v>348</v>
      </c>
      <c r="G223" s="675" t="s">
        <v>387</v>
      </c>
      <c r="H223" s="674"/>
      <c r="I223" s="674"/>
    </row>
    <row r="224" spans="2:9">
      <c r="B224" s="674" t="str">
        <f>TechData_DMD!A224</f>
        <v>*</v>
      </c>
      <c r="C224" s="675" t="s">
        <v>2998</v>
      </c>
      <c r="D224" s="674" t="str">
        <f>TechData_DMD!B224</f>
        <v>RWHNWHV215</v>
      </c>
      <c r="E224" s="674" t="str">
        <f>TechData_DMD!C224</f>
        <v>Natural Gas Ver2.RWH.NGA.15</v>
      </c>
      <c r="F224" s="675" t="s">
        <v>348</v>
      </c>
      <c r="G224" s="675" t="s">
        <v>387</v>
      </c>
      <c r="H224" s="674"/>
      <c r="I224" s="674"/>
    </row>
    <row r="225" spans="2:9">
      <c r="B225" s="674" t="str">
        <f>TechData_DMD!A225</f>
        <v>*</v>
      </c>
      <c r="C225" s="675" t="s">
        <v>2998</v>
      </c>
      <c r="D225" s="674" t="str">
        <f>TechData_DMD!B225</f>
        <v>RWHNWHV320</v>
      </c>
      <c r="E225" s="674" t="str">
        <f>TechData_DMD!C225</f>
        <v>Natural Gas Ver3.RWH.NGA.20</v>
      </c>
      <c r="F225" s="675" t="s">
        <v>348</v>
      </c>
      <c r="G225" s="675" t="s">
        <v>387</v>
      </c>
      <c r="H225" s="674"/>
      <c r="I225" s="674"/>
    </row>
    <row r="226" spans="2:9">
      <c r="B226" s="674" t="str">
        <f>TechData_DMD!A226</f>
        <v>*</v>
      </c>
      <c r="C226" s="675" t="s">
        <v>2998</v>
      </c>
      <c r="D226" s="674" t="str">
        <f>TechData_DMD!B226</f>
        <v>RWHNWHV520</v>
      </c>
      <c r="E226" s="674" t="str">
        <f>TechData_DMD!C226</f>
        <v>Natural Gas Ver5.RWH.NGA.20</v>
      </c>
      <c r="F226" s="675" t="s">
        <v>348</v>
      </c>
      <c r="G226" s="675" t="s">
        <v>387</v>
      </c>
      <c r="H226" s="674"/>
      <c r="I226" s="674"/>
    </row>
    <row r="227" spans="2:9">
      <c r="B227" s="674" t="str">
        <f>TechData_DMD!A227</f>
        <v>*</v>
      </c>
      <c r="C227" s="675" t="s">
        <v>2998</v>
      </c>
      <c r="D227" s="674" t="str">
        <f>TechData_DMD!B227</f>
        <v>RWHNWHV430</v>
      </c>
      <c r="E227" s="674" t="str">
        <f>TechData_DMD!C227</f>
        <v>Natural Gas Ver4.RWH.NGA.30</v>
      </c>
      <c r="F227" s="675" t="s">
        <v>348</v>
      </c>
      <c r="G227" s="675" t="s">
        <v>387</v>
      </c>
      <c r="H227" s="674"/>
      <c r="I227" s="674"/>
    </row>
    <row r="228" spans="2:9">
      <c r="B228" s="674" t="str">
        <f>TechData_DMD!A228</f>
        <v>*</v>
      </c>
      <c r="C228" s="675" t="s">
        <v>2998</v>
      </c>
      <c r="D228" s="674" t="str">
        <f>TechData_DMD!B228</f>
        <v>RWHNWHV630</v>
      </c>
      <c r="E228" s="674" t="str">
        <f>TechData_DMD!C228</f>
        <v>Natural Gas Ver6.RWH.NGA.30</v>
      </c>
      <c r="F228" s="675" t="s">
        <v>348</v>
      </c>
      <c r="G228" s="675" t="s">
        <v>387</v>
      </c>
      <c r="H228" s="674"/>
      <c r="I228" s="674"/>
    </row>
    <row r="229" spans="2:9">
      <c r="B229" s="674" t="str">
        <f>TechData_DMD!A229</f>
        <v>*</v>
      </c>
      <c r="C229" s="675" t="s">
        <v>2998</v>
      </c>
      <c r="D229" s="674" t="str">
        <f>TechData_DMD!B229</f>
        <v>RWHNWHV440</v>
      </c>
      <c r="E229" s="674" t="str">
        <f>TechData_DMD!C229</f>
        <v>Natural Gas Ver4.RWH.NGA.40</v>
      </c>
      <c r="F229" s="675" t="s">
        <v>348</v>
      </c>
      <c r="G229" s="675" t="s">
        <v>387</v>
      </c>
      <c r="H229" s="674"/>
      <c r="I229" s="674"/>
    </row>
    <row r="230" spans="2:9">
      <c r="B230" s="674" t="str">
        <f>TechData_DMD!A230</f>
        <v>*</v>
      </c>
      <c r="C230" s="675" t="s">
        <v>2998</v>
      </c>
      <c r="D230" s="674" t="str">
        <f>TechData_DMD!B230</f>
        <v>RWHNWHV640</v>
      </c>
      <c r="E230" s="674" t="str">
        <f>TechData_DMD!C230</f>
        <v>Natural Gas Ver6.RWH.NGA.40</v>
      </c>
      <c r="F230" s="675" t="s">
        <v>348</v>
      </c>
      <c r="G230" s="675" t="s">
        <v>387</v>
      </c>
      <c r="H230" s="674"/>
      <c r="I230" s="674"/>
    </row>
    <row r="231" spans="2:9">
      <c r="B231" s="674" t="str">
        <f>TechData_DMD!A231</f>
        <v>*</v>
      </c>
      <c r="C231" s="675" t="s">
        <v>2998</v>
      </c>
      <c r="D231" s="674" t="str">
        <f>TechData_DMD!B231</f>
        <v>RWHNWHV210</v>
      </c>
      <c r="E231" s="674" t="str">
        <f>TechData_DMD!C231</f>
        <v>Natural Gas Ver2.RWH.NGA.10</v>
      </c>
      <c r="F231" s="675" t="s">
        <v>348</v>
      </c>
      <c r="G231" s="675" t="s">
        <v>387</v>
      </c>
      <c r="H231" s="674"/>
      <c r="I231" s="674"/>
    </row>
    <row r="232" spans="2:9">
      <c r="B232" s="674" t="str">
        <f>TechData_DMD!A232</f>
        <v>*</v>
      </c>
      <c r="C232" s="675" t="s">
        <v>2998</v>
      </c>
      <c r="D232" s="674" t="str">
        <f>TechData_DMD!B232</f>
        <v>RWHNWHV310</v>
      </c>
      <c r="E232" s="674" t="str">
        <f>TechData_DMD!C232</f>
        <v>Natural Gas Ver3.RWH.NGA.10</v>
      </c>
      <c r="F232" s="675" t="s">
        <v>348</v>
      </c>
      <c r="G232" s="675" t="s">
        <v>387</v>
      </c>
      <c r="H232" s="674"/>
      <c r="I232" s="674"/>
    </row>
    <row r="233" spans="2:9">
      <c r="B233" s="674" t="str">
        <f>TechData_DMD!A233</f>
        <v>*</v>
      </c>
      <c r="C233" s="675" t="s">
        <v>2998</v>
      </c>
      <c r="D233" s="674" t="str">
        <f>TechData_DMD!B233</f>
        <v>RWHNWHV120</v>
      </c>
      <c r="E233" s="674" t="str">
        <f>TechData_DMD!C233</f>
        <v>Natural Gas Ver1.RWH.NGA.20</v>
      </c>
      <c r="F233" s="675" t="s">
        <v>348</v>
      </c>
      <c r="G233" s="675" t="s">
        <v>387</v>
      </c>
      <c r="H233" s="674"/>
      <c r="I233" s="674"/>
    </row>
    <row r="234" spans="2:9">
      <c r="B234" s="674" t="str">
        <f>TechData_DMD!A234</f>
        <v>*</v>
      </c>
      <c r="C234" s="675" t="s">
        <v>2998</v>
      </c>
      <c r="D234" s="674" t="str">
        <f>TechData_DMD!B234</f>
        <v>RWHNWHV220</v>
      </c>
      <c r="E234" s="674" t="str">
        <f>TechData_DMD!C234</f>
        <v>Natural Gas Ver2.RWH.NGA.20</v>
      </c>
      <c r="F234" s="675" t="s">
        <v>348</v>
      </c>
      <c r="G234" s="675" t="s">
        <v>387</v>
      </c>
      <c r="H234" s="674"/>
      <c r="I234" s="674"/>
    </row>
    <row r="235" spans="2:9">
      <c r="B235" s="674" t="str">
        <f>TechData_DMD!A235</f>
        <v>*</v>
      </c>
      <c r="C235" s="675" t="s">
        <v>2998</v>
      </c>
      <c r="D235" s="674" t="str">
        <f>TechData_DMD!B235</f>
        <v>RWHNWHV130</v>
      </c>
      <c r="E235" s="674" t="str">
        <f>TechData_DMD!C235</f>
        <v>Natural Gas Ver1.RWH.NGA.30</v>
      </c>
      <c r="F235" s="675" t="s">
        <v>348</v>
      </c>
      <c r="G235" s="675" t="s">
        <v>387</v>
      </c>
      <c r="H235" s="674"/>
      <c r="I235" s="674"/>
    </row>
    <row r="236" spans="2:9">
      <c r="B236" s="674" t="str">
        <f>TechData_DMD!A236</f>
        <v>*</v>
      </c>
      <c r="C236" s="675" t="s">
        <v>2998</v>
      </c>
      <c r="D236" s="674" t="str">
        <f>TechData_DMD!B236</f>
        <v>RWHNWHV230</v>
      </c>
      <c r="E236" s="674" t="str">
        <f>TechData_DMD!C236</f>
        <v>Natural Gas Ver2.RWH.NGA.30</v>
      </c>
      <c r="F236" s="675" t="s">
        <v>348</v>
      </c>
      <c r="G236" s="675" t="s">
        <v>387</v>
      </c>
      <c r="H236" s="674"/>
      <c r="I236" s="674"/>
    </row>
    <row r="237" spans="2:9">
      <c r="B237" s="674" t="str">
        <f>TechData_DMD!A237</f>
        <v>*</v>
      </c>
      <c r="C237" s="675" t="s">
        <v>2998</v>
      </c>
      <c r="D237" s="674" t="str">
        <f>TechData_DMD!B237</f>
        <v>RWHNWHV140</v>
      </c>
      <c r="E237" s="674" t="str">
        <f>TechData_DMD!C237</f>
        <v>Natural Gas Ver1.RWH.NGA.40</v>
      </c>
      <c r="F237" s="675" t="s">
        <v>348</v>
      </c>
      <c r="G237" s="675" t="s">
        <v>387</v>
      </c>
      <c r="H237" s="674"/>
      <c r="I237" s="674"/>
    </row>
    <row r="238" spans="2:9">
      <c r="B238" s="674" t="str">
        <f>TechData_DMD!A238</f>
        <v>*</v>
      </c>
      <c r="C238" s="675" t="s">
        <v>2998</v>
      </c>
      <c r="D238" s="674" t="str">
        <f>TechData_DMD!B238</f>
        <v>RWHNWHV240</v>
      </c>
      <c r="E238" s="674" t="str">
        <f>TechData_DMD!C238</f>
        <v>Natural Gas Ver2.RWH.NGA.40</v>
      </c>
      <c r="F238" s="675" t="s">
        <v>348</v>
      </c>
      <c r="G238" s="675" t="s">
        <v>387</v>
      </c>
      <c r="H238" s="674"/>
      <c r="I238" s="674"/>
    </row>
    <row r="239" spans="2:9">
      <c r="B239" s="674" t="str">
        <f>TechData_DMD!A239</f>
        <v>*</v>
      </c>
      <c r="C239" s="675" t="s">
        <v>2998</v>
      </c>
      <c r="D239" s="674" t="str">
        <f>TechData_DMD!B239</f>
        <v>RWHNWHV150</v>
      </c>
      <c r="E239" s="674" t="str">
        <f>TechData_DMD!C239</f>
        <v>Natural Gas Ver1.RWH.NGA.50</v>
      </c>
      <c r="F239" s="675" t="s">
        <v>348</v>
      </c>
      <c r="G239" s="675" t="s">
        <v>387</v>
      </c>
      <c r="H239" s="674"/>
      <c r="I239" s="674"/>
    </row>
    <row r="240" spans="2:9">
      <c r="B240" s="674" t="str">
        <f>TechData_DMD!A240</f>
        <v>*</v>
      </c>
      <c r="C240" s="675" t="s">
        <v>2998</v>
      </c>
      <c r="D240" s="674" t="str">
        <f>TechData_DMD!B240</f>
        <v>RWHNWHV250</v>
      </c>
      <c r="E240" s="674" t="str">
        <f>TechData_DMD!C240</f>
        <v>Natural Gas Ver2.RWH.NGA.50</v>
      </c>
      <c r="F240" s="675" t="s">
        <v>348</v>
      </c>
      <c r="G240" s="675" t="s">
        <v>387</v>
      </c>
      <c r="H240" s="674"/>
      <c r="I240" s="674"/>
    </row>
    <row r="241" spans="2:9">
      <c r="B241" s="684" t="s">
        <v>404</v>
      </c>
      <c r="C241" s="685"/>
      <c r="D241" s="682"/>
      <c r="E241" s="682"/>
      <c r="F241" s="685"/>
      <c r="G241" s="685"/>
      <c r="H241" s="682"/>
      <c r="I241" s="682"/>
    </row>
    <row r="242" spans="2:9">
      <c r="B242" s="674" t="str">
        <f>TechData_DMD!A242</f>
        <v>*</v>
      </c>
      <c r="C242" s="675" t="s">
        <v>2998</v>
      </c>
      <c r="D242" s="674" t="str">
        <f>TechData_DMD!B242</f>
        <v>RWHEWHBS05</v>
      </c>
      <c r="E242" s="674" t="str">
        <f>TechData_DMD!C242</f>
        <v>Electric Base.RWH.ELC.05</v>
      </c>
      <c r="F242" s="675" t="s">
        <v>348</v>
      </c>
      <c r="G242" s="675" t="s">
        <v>387</v>
      </c>
      <c r="H242" s="674"/>
      <c r="I242" s="674"/>
    </row>
    <row r="243" spans="2:9">
      <c r="B243" s="674" t="str">
        <f>TechData_DMD!A243</f>
        <v>R2,R3,R4,R5,R6</v>
      </c>
      <c r="C243" s="675" t="s">
        <v>2998</v>
      </c>
      <c r="D243" s="674" t="str">
        <f>TechData_DMD!B243</f>
        <v>RWHEWHV110</v>
      </c>
      <c r="E243" s="674" t="str">
        <f>TechData_DMD!C243</f>
        <v>Electric Ver1.RWH.ELC.10</v>
      </c>
      <c r="F243" s="675" t="s">
        <v>348</v>
      </c>
      <c r="G243" s="675" t="s">
        <v>387</v>
      </c>
      <c r="H243" s="674"/>
      <c r="I243" s="674"/>
    </row>
    <row r="244" spans="2:9">
      <c r="B244" s="674" t="str">
        <f>TechData_DMD!A244</f>
        <v>*</v>
      </c>
      <c r="C244" s="675" t="s">
        <v>2998</v>
      </c>
      <c r="D244" s="674" t="str">
        <f>TechData_DMD!B244</f>
        <v>RWHEWHV115</v>
      </c>
      <c r="E244" s="674" t="str">
        <f>TechData_DMD!C244</f>
        <v>Electric Ver1.RWH.ELC.15</v>
      </c>
      <c r="F244" s="675" t="s">
        <v>348</v>
      </c>
      <c r="G244" s="675" t="s">
        <v>387</v>
      </c>
      <c r="H244" s="674"/>
      <c r="I244" s="674"/>
    </row>
    <row r="245" spans="2:9">
      <c r="B245" s="674" t="str">
        <f>TechData_DMD!A245</f>
        <v>*</v>
      </c>
      <c r="C245" s="675" t="s">
        <v>2998</v>
      </c>
      <c r="D245" s="674" t="str">
        <f>TechData_DMD!B245</f>
        <v>RWHEWHV215</v>
      </c>
      <c r="E245" s="674" t="str">
        <f>TechData_DMD!C245</f>
        <v>Electric Ver2.RWH.ELC.15</v>
      </c>
      <c r="F245" s="675" t="s">
        <v>348</v>
      </c>
      <c r="G245" s="675" t="s">
        <v>387</v>
      </c>
      <c r="H245" s="674"/>
      <c r="I245" s="674"/>
    </row>
    <row r="246" spans="2:9">
      <c r="B246" s="674" t="str">
        <f>TechData_DMD!A246</f>
        <v>*</v>
      </c>
      <c r="C246" s="675" t="s">
        <v>2998</v>
      </c>
      <c r="D246" s="674" t="str">
        <f>TechData_DMD!B246</f>
        <v>RWHEWHV320</v>
      </c>
      <c r="E246" s="674" t="str">
        <f>TechData_DMD!C246</f>
        <v>Electric Ver3.RWH.ELC.20</v>
      </c>
      <c r="F246" s="675" t="s">
        <v>348</v>
      </c>
      <c r="G246" s="675" t="s">
        <v>387</v>
      </c>
      <c r="H246" s="674"/>
      <c r="I246" s="674"/>
    </row>
    <row r="247" spans="2:9">
      <c r="B247" s="674" t="str">
        <f>TechData_DMD!A247</f>
        <v>*</v>
      </c>
      <c r="C247" s="675" t="s">
        <v>2998</v>
      </c>
      <c r="D247" s="674" t="str">
        <f>TechData_DMD!B247</f>
        <v>RWHEWHV520</v>
      </c>
      <c r="E247" s="674" t="str">
        <f>TechData_DMD!C247</f>
        <v>Electric Ver5.RWH.ELC.20</v>
      </c>
      <c r="F247" s="675" t="s">
        <v>348</v>
      </c>
      <c r="G247" s="675" t="s">
        <v>387</v>
      </c>
      <c r="H247" s="674"/>
      <c r="I247" s="674"/>
    </row>
    <row r="248" spans="2:9">
      <c r="B248" s="674" t="str">
        <f>TechData_DMD!A248</f>
        <v>*</v>
      </c>
      <c r="C248" s="675" t="s">
        <v>2998</v>
      </c>
      <c r="D248" s="674" t="str">
        <f>TechData_DMD!B248</f>
        <v>RWHEWHV430</v>
      </c>
      <c r="E248" s="674" t="str">
        <f>TechData_DMD!C248</f>
        <v>Electric Ver4.RWH.ELC.30</v>
      </c>
      <c r="F248" s="675" t="s">
        <v>348</v>
      </c>
      <c r="G248" s="675" t="s">
        <v>387</v>
      </c>
      <c r="H248" s="674"/>
      <c r="I248" s="674"/>
    </row>
    <row r="249" spans="2:9">
      <c r="B249" s="674" t="str">
        <f>TechData_DMD!A249</f>
        <v>*</v>
      </c>
      <c r="C249" s="675" t="s">
        <v>2998</v>
      </c>
      <c r="D249" s="674" t="str">
        <f>TechData_DMD!B249</f>
        <v>RWHEWHV630</v>
      </c>
      <c r="E249" s="674" t="str">
        <f>TechData_DMD!C249</f>
        <v>Electric Ver6.RWH.ELC.30</v>
      </c>
      <c r="F249" s="675" t="s">
        <v>348</v>
      </c>
      <c r="G249" s="675" t="s">
        <v>387</v>
      </c>
      <c r="H249" s="674"/>
      <c r="I249" s="674"/>
    </row>
    <row r="250" spans="2:9">
      <c r="B250" s="674" t="str">
        <f>TechData_DMD!A250</f>
        <v>*</v>
      </c>
      <c r="C250" s="675" t="s">
        <v>2998</v>
      </c>
      <c r="D250" s="674" t="str">
        <f>TechData_DMD!B250</f>
        <v>RWHEWHV440</v>
      </c>
      <c r="E250" s="674" t="str">
        <f>TechData_DMD!C250</f>
        <v>Electric Ver4.RWH.ELC.40</v>
      </c>
      <c r="F250" s="675" t="s">
        <v>348</v>
      </c>
      <c r="G250" s="675" t="s">
        <v>387</v>
      </c>
      <c r="H250" s="674"/>
      <c r="I250" s="674"/>
    </row>
    <row r="251" spans="2:9">
      <c r="B251" s="674" t="str">
        <f>TechData_DMD!A251</f>
        <v>*</v>
      </c>
      <c r="C251" s="675" t="s">
        <v>2998</v>
      </c>
      <c r="D251" s="674" t="str">
        <f>TechData_DMD!B251</f>
        <v>RWHEWHV640</v>
      </c>
      <c r="E251" s="674" t="str">
        <f>TechData_DMD!C251</f>
        <v>Electric Ver6.RWH.ELC.40</v>
      </c>
      <c r="F251" s="675" t="s">
        <v>348</v>
      </c>
      <c r="G251" s="675" t="s">
        <v>387</v>
      </c>
      <c r="H251" s="674"/>
      <c r="I251" s="674"/>
    </row>
    <row r="252" spans="2:9">
      <c r="B252" s="674" t="str">
        <f>TechData_DMD!A252</f>
        <v>*</v>
      </c>
      <c r="C252" s="675" t="s">
        <v>2998</v>
      </c>
      <c r="D252" s="674" t="str">
        <f>TechData_DMD!B252</f>
        <v>RWHEWHV210</v>
      </c>
      <c r="E252" s="674" t="str">
        <f>TechData_DMD!C252</f>
        <v>Electric Ver2.RWH.ELC.10</v>
      </c>
      <c r="F252" s="675" t="s">
        <v>348</v>
      </c>
      <c r="G252" s="675" t="s">
        <v>387</v>
      </c>
      <c r="H252" s="674"/>
      <c r="I252" s="674"/>
    </row>
    <row r="253" spans="2:9">
      <c r="B253" s="674" t="str">
        <f>TechData_DMD!A253</f>
        <v>*</v>
      </c>
      <c r="C253" s="675" t="s">
        <v>2998</v>
      </c>
      <c r="D253" s="674" t="str">
        <f>TechData_DMD!B253</f>
        <v>RWHEWHV215</v>
      </c>
      <c r="E253" s="674" t="str">
        <f>TechData_DMD!C253</f>
        <v>Electric Ver2.RWH.ELC.15</v>
      </c>
      <c r="F253" s="675" t="s">
        <v>348</v>
      </c>
      <c r="G253" s="675" t="s">
        <v>387</v>
      </c>
      <c r="H253" s="674"/>
      <c r="I253" s="674"/>
    </row>
    <row r="254" spans="2:9">
      <c r="B254" s="674" t="str">
        <f>TechData_DMD!A254</f>
        <v>*</v>
      </c>
      <c r="C254" s="675" t="s">
        <v>2998</v>
      </c>
      <c r="D254" s="674" t="str">
        <f>TechData_DMD!B254</f>
        <v>RWHEWHV310</v>
      </c>
      <c r="E254" s="674" t="str">
        <f>TechData_DMD!C254</f>
        <v>Electric Ver3.RWH.ELC.10</v>
      </c>
      <c r="F254" s="675" t="s">
        <v>348</v>
      </c>
      <c r="G254" s="675" t="s">
        <v>387</v>
      </c>
      <c r="H254" s="674"/>
      <c r="I254" s="674"/>
    </row>
    <row r="255" spans="2:9">
      <c r="B255" s="674" t="str">
        <f>TechData_DMD!A255</f>
        <v>*</v>
      </c>
      <c r="C255" s="675" t="s">
        <v>2998</v>
      </c>
      <c r="D255" s="674" t="str">
        <f>TechData_DMD!B255</f>
        <v>RWHEWHV410</v>
      </c>
      <c r="E255" s="674" t="str">
        <f>TechData_DMD!C255</f>
        <v>Electric Ver4.RWH.ELC.10</v>
      </c>
      <c r="F255" s="675" t="s">
        <v>348</v>
      </c>
      <c r="G255" s="675" t="s">
        <v>387</v>
      </c>
      <c r="H255" s="674"/>
      <c r="I255" s="674"/>
    </row>
    <row r="256" spans="2:9">
      <c r="B256" s="674" t="str">
        <f>TechData_DMD!A256</f>
        <v>*</v>
      </c>
      <c r="C256" s="675" t="s">
        <v>2998</v>
      </c>
      <c r="D256" s="674" t="str">
        <f>TechData_DMD!B256</f>
        <v>RWHEWHV510</v>
      </c>
      <c r="E256" s="674" t="str">
        <f>TechData_DMD!C256</f>
        <v>Electric Ver5.RWH.ELC.10</v>
      </c>
      <c r="F256" s="675" t="s">
        <v>348</v>
      </c>
      <c r="G256" s="675" t="s">
        <v>387</v>
      </c>
      <c r="H256" s="674"/>
      <c r="I256" s="674"/>
    </row>
    <row r="257" spans="2:9">
      <c r="B257" s="674" t="str">
        <f>TechData_DMD!A257</f>
        <v>*</v>
      </c>
      <c r="C257" s="675" t="s">
        <v>2998</v>
      </c>
      <c r="D257" s="674" t="str">
        <f>TechData_DMD!B257</f>
        <v>RWHEWHV120</v>
      </c>
      <c r="E257" s="674" t="str">
        <f>TechData_DMD!C257</f>
        <v>Electric Ver1.RWH.ELC.20</v>
      </c>
      <c r="F257" s="675" t="s">
        <v>348</v>
      </c>
      <c r="G257" s="675" t="s">
        <v>387</v>
      </c>
      <c r="H257" s="674"/>
      <c r="I257" s="674"/>
    </row>
    <row r="258" spans="2:9">
      <c r="B258" s="674" t="str">
        <f>TechData_DMD!A258</f>
        <v>*</v>
      </c>
      <c r="C258" s="675" t="s">
        <v>2998</v>
      </c>
      <c r="D258" s="674" t="str">
        <f>TechData_DMD!B258</f>
        <v>RWHEWHV220</v>
      </c>
      <c r="E258" s="674" t="str">
        <f>TechData_DMD!C258</f>
        <v>Electric Ver2.RWH.ELC.20</v>
      </c>
      <c r="F258" s="675" t="s">
        <v>348</v>
      </c>
      <c r="G258" s="675" t="s">
        <v>387</v>
      </c>
      <c r="H258" s="674"/>
      <c r="I258" s="674"/>
    </row>
    <row r="259" spans="2:9">
      <c r="B259" s="674" t="str">
        <f>TechData_DMD!A259</f>
        <v>*</v>
      </c>
      <c r="C259" s="675" t="s">
        <v>2998</v>
      </c>
      <c r="D259" s="674" t="str">
        <f>TechData_DMD!B259</f>
        <v>RWHEWHV130</v>
      </c>
      <c r="E259" s="674" t="str">
        <f>TechData_DMD!C259</f>
        <v>Electric Ver1.RWH.ELC.30</v>
      </c>
      <c r="F259" s="675" t="s">
        <v>348</v>
      </c>
      <c r="G259" s="675" t="s">
        <v>387</v>
      </c>
      <c r="H259" s="674"/>
      <c r="I259" s="674"/>
    </row>
    <row r="260" spans="2:9">
      <c r="B260" s="674" t="str">
        <f>TechData_DMD!A260</f>
        <v>*</v>
      </c>
      <c r="C260" s="675" t="s">
        <v>2998</v>
      </c>
      <c r="D260" s="674" t="str">
        <f>TechData_DMD!B260</f>
        <v>RWHEWHV230</v>
      </c>
      <c r="E260" s="674" t="str">
        <f>TechData_DMD!C260</f>
        <v>Electric Ver2.RWH.ELC.30</v>
      </c>
      <c r="F260" s="675" t="s">
        <v>348</v>
      </c>
      <c r="G260" s="675" t="s">
        <v>387</v>
      </c>
      <c r="H260" s="674"/>
      <c r="I260" s="674"/>
    </row>
    <row r="261" spans="2:9">
      <c r="B261" s="674" t="str">
        <f>TechData_DMD!A261</f>
        <v>*</v>
      </c>
      <c r="C261" s="675" t="s">
        <v>2998</v>
      </c>
      <c r="D261" s="674" t="str">
        <f>TechData_DMD!B261</f>
        <v>RWHEWHV140</v>
      </c>
      <c r="E261" s="674" t="str">
        <f>TechData_DMD!C261</f>
        <v>Electric Ver1.RWH.ELC.40</v>
      </c>
      <c r="F261" s="675" t="s">
        <v>348</v>
      </c>
      <c r="G261" s="675" t="s">
        <v>387</v>
      </c>
      <c r="H261" s="674"/>
      <c r="I261" s="674"/>
    </row>
    <row r="262" spans="2:9">
      <c r="B262" s="674" t="str">
        <f>TechData_DMD!A262</f>
        <v>*</v>
      </c>
      <c r="C262" s="675" t="s">
        <v>2998</v>
      </c>
      <c r="D262" s="674" t="str">
        <f>TechData_DMD!B262</f>
        <v>RWHEWHV240</v>
      </c>
      <c r="E262" s="674" t="str">
        <f>TechData_DMD!C262</f>
        <v>Electric Ver2.RWH.ELC.40</v>
      </c>
      <c r="F262" s="675" t="s">
        <v>348</v>
      </c>
      <c r="G262" s="675" t="s">
        <v>387</v>
      </c>
      <c r="H262" s="674"/>
      <c r="I262" s="674"/>
    </row>
    <row r="263" spans="2:9">
      <c r="B263" s="674" t="str">
        <f>TechData_DMD!A263</f>
        <v>*</v>
      </c>
      <c r="C263" s="675" t="s">
        <v>2998</v>
      </c>
      <c r="D263" s="674" t="str">
        <f>TechData_DMD!B263</f>
        <v>RWHEWHV150</v>
      </c>
      <c r="E263" s="674" t="str">
        <f>TechData_DMD!C263</f>
        <v>Electric Ver1.RWH.ELC.50</v>
      </c>
      <c r="F263" s="675" t="s">
        <v>348</v>
      </c>
      <c r="G263" s="675" t="s">
        <v>387</v>
      </c>
      <c r="H263" s="674"/>
      <c r="I263" s="674"/>
    </row>
    <row r="264" spans="2:9">
      <c r="B264" s="674" t="str">
        <f>TechData_DMD!A264</f>
        <v>*</v>
      </c>
      <c r="C264" s="675" t="s">
        <v>2998</v>
      </c>
      <c r="D264" s="674" t="str">
        <f>TechData_DMD!B264</f>
        <v>RWHEWHV250</v>
      </c>
      <c r="E264" s="674" t="str">
        <f>TechData_DMD!C264</f>
        <v>Electric Ver2.RWH.ELC.50</v>
      </c>
      <c r="F264" s="675" t="s">
        <v>348</v>
      </c>
      <c r="G264" s="675" t="s">
        <v>387</v>
      </c>
      <c r="H264" s="674"/>
      <c r="I264" s="674"/>
    </row>
    <row r="265" spans="2:9">
      <c r="B265" s="684" t="s">
        <v>405</v>
      </c>
      <c r="C265" s="685"/>
      <c r="D265" s="682"/>
      <c r="E265" s="682"/>
      <c r="F265" s="685"/>
      <c r="G265" s="685"/>
      <c r="H265" s="682"/>
      <c r="I265" s="682"/>
    </row>
    <row r="266" spans="2:9">
      <c r="B266" s="674" t="str">
        <f>TechData_DMD!A266</f>
        <v>R2,R3,R4,R5,R6</v>
      </c>
      <c r="C266" s="675" t="s">
        <v>2998</v>
      </c>
      <c r="D266" s="674" t="str">
        <f>TechData_DMD!B266</f>
        <v>RWHDWHBS05</v>
      </c>
      <c r="E266" s="674" t="str">
        <f>TechData_DMD!C266</f>
        <v>Distillate Base.RWH.DSL.05</v>
      </c>
      <c r="F266" s="675" t="s">
        <v>348</v>
      </c>
      <c r="G266" s="675" t="s">
        <v>387</v>
      </c>
      <c r="H266" s="674"/>
      <c r="I266" s="674"/>
    </row>
    <row r="267" spans="2:9">
      <c r="B267" s="674" t="str">
        <f>TechData_DMD!A267</f>
        <v>R2,R3,R4,R5,R6</v>
      </c>
      <c r="C267" s="675" t="s">
        <v>2998</v>
      </c>
      <c r="D267" s="674" t="str">
        <f>TechData_DMD!B267</f>
        <v>RWHDWHV110</v>
      </c>
      <c r="E267" s="674" t="str">
        <f>TechData_DMD!C267</f>
        <v>Distillate Ver1.RWH.DSL.10</v>
      </c>
      <c r="F267" s="675" t="s">
        <v>348</v>
      </c>
      <c r="G267" s="675" t="s">
        <v>387</v>
      </c>
      <c r="H267" s="674"/>
      <c r="I267" s="674"/>
    </row>
    <row r="268" spans="2:9">
      <c r="B268" s="674" t="str">
        <f>TechData_DMD!A268</f>
        <v>R2,R3,R4,R5,R6</v>
      </c>
      <c r="C268" s="675" t="s">
        <v>2998</v>
      </c>
      <c r="D268" s="674" t="str">
        <f>TechData_DMD!B268</f>
        <v>RWHDWHV210</v>
      </c>
      <c r="E268" s="674" t="str">
        <f>TechData_DMD!C268</f>
        <v>Distillate Ver2.RWH.DSL.10</v>
      </c>
      <c r="F268" s="675" t="s">
        <v>348</v>
      </c>
      <c r="G268" s="675" t="s">
        <v>387</v>
      </c>
      <c r="H268" s="674"/>
      <c r="I268" s="674"/>
    </row>
    <row r="269" spans="2:9">
      <c r="B269" s="674" t="str">
        <f>TechData_DMD!A269</f>
        <v>R2,R3,R4,R5,R6</v>
      </c>
      <c r="C269" s="675" t="s">
        <v>2998</v>
      </c>
      <c r="D269" s="674" t="str">
        <f>TechData_DMD!B269</f>
        <v>RWHDWHV310</v>
      </c>
      <c r="E269" s="674" t="str">
        <f>TechData_DMD!C269</f>
        <v>Distillate Ver3.RWH.DSL.10</v>
      </c>
      <c r="F269" s="675" t="s">
        <v>348</v>
      </c>
      <c r="G269" s="675" t="s">
        <v>387</v>
      </c>
      <c r="H269" s="674"/>
      <c r="I269" s="674"/>
    </row>
    <row r="270" spans="2:9">
      <c r="B270" s="684" t="s">
        <v>406</v>
      </c>
      <c r="C270" s="685"/>
      <c r="D270" s="682"/>
      <c r="E270" s="682"/>
      <c r="F270" s="685"/>
      <c r="G270" s="685"/>
      <c r="H270" s="682"/>
      <c r="I270" s="682"/>
    </row>
    <row r="271" spans="2:9">
      <c r="B271" s="674" t="str">
        <f>TechData_DMD!A271</f>
        <v>*</v>
      </c>
      <c r="C271" s="675" t="s">
        <v>2998</v>
      </c>
      <c r="D271" s="674" t="str">
        <f>TechData_DMD!B271</f>
        <v>RWHLWHBS05</v>
      </c>
      <c r="E271" s="674" t="str">
        <f>TechData_DMD!C271</f>
        <v>Liquid Gas Base.RWH.LPG.05</v>
      </c>
      <c r="F271" s="675" t="s">
        <v>348</v>
      </c>
      <c r="G271" s="675" t="s">
        <v>387</v>
      </c>
      <c r="H271" s="674"/>
      <c r="I271" s="674"/>
    </row>
    <row r="272" spans="2:9">
      <c r="B272" s="674" t="str">
        <f>TechData_DMD!A272</f>
        <v>*</v>
      </c>
      <c r="C272" s="675" t="s">
        <v>2998</v>
      </c>
      <c r="D272" s="674" t="str">
        <f>TechData_DMD!B272</f>
        <v>RWHLWHV110</v>
      </c>
      <c r="E272" s="674" t="str">
        <f>TechData_DMD!C272</f>
        <v>Liquid Gas Ver1.RWH.LPG.10</v>
      </c>
      <c r="F272" s="675" t="s">
        <v>348</v>
      </c>
      <c r="G272" s="675" t="s">
        <v>387</v>
      </c>
      <c r="H272" s="674"/>
      <c r="I272" s="674"/>
    </row>
    <row r="273" spans="2:9">
      <c r="B273" s="674" t="str">
        <f>TechData_DMD!A273</f>
        <v>*</v>
      </c>
      <c r="C273" s="675" t="s">
        <v>2998</v>
      </c>
      <c r="D273" s="674" t="str">
        <f>TechData_DMD!B273</f>
        <v>RWHLWHV115</v>
      </c>
      <c r="E273" s="674" t="str">
        <f>TechData_DMD!C273</f>
        <v>Liquid Gas Ver1.RWH.LPG.15</v>
      </c>
      <c r="F273" s="675" t="s">
        <v>348</v>
      </c>
      <c r="G273" s="675" t="s">
        <v>387</v>
      </c>
      <c r="H273" s="674"/>
      <c r="I273" s="674"/>
    </row>
    <row r="274" spans="2:9">
      <c r="B274" s="674" t="str">
        <f>TechData_DMD!A274</f>
        <v>*</v>
      </c>
      <c r="C274" s="675" t="s">
        <v>2998</v>
      </c>
      <c r="D274" s="674" t="str">
        <f>TechData_DMD!B274</f>
        <v>RWHLWHV210</v>
      </c>
      <c r="E274" s="674" t="str">
        <f>TechData_DMD!C274</f>
        <v>Liquid Gas Ver2.RWH.LPG.10</v>
      </c>
      <c r="F274" s="675" t="s">
        <v>348</v>
      </c>
      <c r="G274" s="675" t="s">
        <v>387</v>
      </c>
      <c r="H274" s="674"/>
      <c r="I274" s="674"/>
    </row>
    <row r="275" spans="2:9">
      <c r="B275" s="674" t="str">
        <f>TechData_DMD!A275</f>
        <v>*</v>
      </c>
      <c r="C275" s="675" t="s">
        <v>2998</v>
      </c>
      <c r="D275" s="674" t="str">
        <f>TechData_DMD!B275</f>
        <v>RWHLWHV310</v>
      </c>
      <c r="E275" s="674" t="str">
        <f>TechData_DMD!C275</f>
        <v>Liquid Gas Ver3.RWH.LPG.10</v>
      </c>
      <c r="F275" s="675" t="s">
        <v>348</v>
      </c>
      <c r="G275" s="675" t="s">
        <v>387</v>
      </c>
      <c r="H275" s="674"/>
      <c r="I275" s="674"/>
    </row>
    <row r="276" spans="2:9">
      <c r="B276" s="674" t="str">
        <f>TechData_DMD!A276</f>
        <v>*</v>
      </c>
      <c r="C276" s="675" t="s">
        <v>2998</v>
      </c>
      <c r="D276" s="674" t="str">
        <f>TechData_DMD!B276</f>
        <v>RWHLWHV320</v>
      </c>
      <c r="E276" s="674" t="str">
        <f>TechData_DMD!C276</f>
        <v>Liquid Gas Ver3.RWH.LPG.20</v>
      </c>
      <c r="F276" s="675" t="s">
        <v>348</v>
      </c>
      <c r="G276" s="675" t="s">
        <v>387</v>
      </c>
      <c r="H276" s="674"/>
      <c r="I276" s="674"/>
    </row>
    <row r="277" spans="2:9">
      <c r="B277" s="674" t="str">
        <f>TechData_DMD!A277</f>
        <v>*</v>
      </c>
      <c r="C277" s="675" t="s">
        <v>2998</v>
      </c>
      <c r="D277" s="674" t="str">
        <f>TechData_DMD!B277</f>
        <v>RWHLWHV410</v>
      </c>
      <c r="E277" s="674" t="str">
        <f>TechData_DMD!C277</f>
        <v xml:space="preserve">Liquid Gas Ver4.RWH.LPG.10 </v>
      </c>
      <c r="F277" s="675" t="s">
        <v>348</v>
      </c>
      <c r="G277" s="675" t="s">
        <v>387</v>
      </c>
      <c r="H277" s="674"/>
      <c r="I277" s="674"/>
    </row>
    <row r="278" spans="2:9">
      <c r="B278" s="674" t="str">
        <f>TechData_DMD!A278</f>
        <v>*</v>
      </c>
      <c r="C278" s="675" t="s">
        <v>2998</v>
      </c>
      <c r="D278" s="674" t="str">
        <f>TechData_DMD!B278</f>
        <v>RWHLWHV420</v>
      </c>
      <c r="E278" s="674" t="str">
        <f>TechData_DMD!C278</f>
        <v>Liquid Gas Ver4.RWH.LPG.20</v>
      </c>
      <c r="F278" s="675" t="s">
        <v>348</v>
      </c>
      <c r="G278" s="675" t="s">
        <v>387</v>
      </c>
      <c r="H278" s="674"/>
      <c r="I278" s="674"/>
    </row>
    <row r="279" spans="2:9">
      <c r="B279" s="684" t="s">
        <v>407</v>
      </c>
      <c r="C279" s="685"/>
      <c r="D279" s="682"/>
      <c r="E279" s="682"/>
      <c r="F279" s="685"/>
      <c r="G279" s="685"/>
      <c r="H279" s="682"/>
      <c r="I279" s="682"/>
    </row>
    <row r="280" spans="2:9">
      <c r="B280" s="674" t="str">
        <f>TechData_DMD!A280</f>
        <v>R2,R3,R4,R5,R6</v>
      </c>
      <c r="C280" s="675" t="s">
        <v>2998</v>
      </c>
      <c r="D280" s="674" t="str">
        <f>TechData_DMD!B280</f>
        <v>RWHSWHV110</v>
      </c>
      <c r="E280" s="674" t="str">
        <f>TechData_DMD!C280</f>
        <v>Solar Ver1.RWH.ELC.10</v>
      </c>
      <c r="F280" s="675" t="s">
        <v>348</v>
      </c>
      <c r="G280" s="675" t="s">
        <v>387</v>
      </c>
      <c r="H280" s="674"/>
      <c r="I280" s="674"/>
    </row>
    <row r="281" spans="2:9">
      <c r="B281" s="674" t="str">
        <f>TechData_DMD!A283</f>
        <v>*</v>
      </c>
      <c r="C281" s="675" t="s">
        <v>2998</v>
      </c>
      <c r="D281" s="674" t="str">
        <f>TechData_DMD!B283</f>
        <v>RWHSWHV115</v>
      </c>
      <c r="E281" s="674" t="str">
        <f>TechData_DMD!C283</f>
        <v>Solar Ver1.RWH.ELC.15</v>
      </c>
      <c r="F281" s="675" t="s">
        <v>348</v>
      </c>
      <c r="G281" s="675" t="s">
        <v>387</v>
      </c>
      <c r="H281" s="674"/>
      <c r="I281" s="674"/>
    </row>
    <row r="282" spans="2:9">
      <c r="B282" s="674" t="str">
        <f>TechData_DMD!A286</f>
        <v>*</v>
      </c>
      <c r="C282" s="675" t="s">
        <v>2998</v>
      </c>
      <c r="D282" s="674" t="str">
        <f>TechData_DMD!B286</f>
        <v>RWHSWHV220</v>
      </c>
      <c r="E282" s="674" t="str">
        <f>TechData_DMD!C286</f>
        <v>Solar Ver2.RWH.ELC.20</v>
      </c>
      <c r="F282" s="675" t="s">
        <v>348</v>
      </c>
      <c r="G282" s="675" t="s">
        <v>387</v>
      </c>
      <c r="H282" s="674"/>
      <c r="I282" s="674"/>
    </row>
    <row r="283" spans="2:9">
      <c r="B283" s="674" t="str">
        <f>TechData_DMD!A289</f>
        <v>*</v>
      </c>
      <c r="C283" s="675" t="s">
        <v>2998</v>
      </c>
      <c r="D283" s="674" t="str">
        <f>TechData_DMD!B289</f>
        <v>RWHSWHV330</v>
      </c>
      <c r="E283" s="674" t="str">
        <f>TechData_DMD!C289</f>
        <v>Solar Ver3.RWH.ELC.30</v>
      </c>
      <c r="F283" s="675" t="s">
        <v>348</v>
      </c>
      <c r="G283" s="675" t="s">
        <v>387</v>
      </c>
      <c r="H283" s="674"/>
      <c r="I283" s="674"/>
    </row>
    <row r="284" spans="2:9">
      <c r="B284" s="674" t="str">
        <f>TechData_DMD!A292</f>
        <v>*</v>
      </c>
      <c r="C284" s="675" t="s">
        <v>2998</v>
      </c>
      <c r="D284" s="674" t="str">
        <f>TechData_DMD!B292</f>
        <v>RWHSWHV430</v>
      </c>
      <c r="E284" s="674" t="str">
        <f>TechData_DMD!C292</f>
        <v>Solar Ver4.RWH.ELC.30</v>
      </c>
      <c r="F284" s="675" t="s">
        <v>348</v>
      </c>
      <c r="G284" s="675" t="s">
        <v>387</v>
      </c>
      <c r="H284" s="674"/>
      <c r="I284" s="674"/>
    </row>
    <row r="285" spans="2:9">
      <c r="B285" s="674" t="str">
        <f>TechData_DMD!A295</f>
        <v>*</v>
      </c>
      <c r="C285" s="675" t="s">
        <v>2998</v>
      </c>
      <c r="D285" s="674" t="str">
        <f>TechData_DMD!B295</f>
        <v>RWHSWHV340</v>
      </c>
      <c r="E285" s="674" t="str">
        <f>TechData_DMD!C295</f>
        <v>Solar Ver3.RWH.ELC.40</v>
      </c>
      <c r="F285" s="675" t="s">
        <v>348</v>
      </c>
      <c r="G285" s="675" t="s">
        <v>387</v>
      </c>
      <c r="H285" s="674"/>
      <c r="I285" s="674"/>
    </row>
    <row r="286" spans="2:9">
      <c r="B286" s="674" t="str">
        <f>TechData_DMD!A298</f>
        <v>*</v>
      </c>
      <c r="C286" s="675" t="s">
        <v>2998</v>
      </c>
      <c r="D286" s="674" t="str">
        <f>TechData_DMD!B298</f>
        <v>RWHSWHV440</v>
      </c>
      <c r="E286" s="674" t="str">
        <f>TechData_DMD!C298</f>
        <v>Solar Ver4.RWH.ELC.40</v>
      </c>
      <c r="F286" s="675" t="s">
        <v>348</v>
      </c>
      <c r="G286" s="675" t="s">
        <v>387</v>
      </c>
      <c r="H286" s="674"/>
      <c r="I286" s="674"/>
    </row>
    <row r="287" spans="2:9">
      <c r="B287" s="674" t="str">
        <f>TechData_DMD!A301</f>
        <v>*</v>
      </c>
      <c r="C287" s="675" t="s">
        <v>2998</v>
      </c>
      <c r="D287" s="674" t="str">
        <f>TechData_DMD!B301</f>
        <v>RWHSWHV120</v>
      </c>
      <c r="E287" s="674" t="str">
        <f>TechData_DMD!C301</f>
        <v>Solar Ver1.RWH.ELC.20</v>
      </c>
      <c r="F287" s="675" t="s">
        <v>348</v>
      </c>
      <c r="G287" s="675" t="s">
        <v>387</v>
      </c>
      <c r="H287" s="674"/>
      <c r="I287" s="674"/>
    </row>
    <row r="288" spans="2:9">
      <c r="B288" s="674" t="str">
        <f>TechData_DMD!A304</f>
        <v>*</v>
      </c>
      <c r="C288" s="675" t="s">
        <v>2998</v>
      </c>
      <c r="D288" s="674" t="str">
        <f>TechData_DMD!B304</f>
        <v>RWHSWHV130</v>
      </c>
      <c r="E288" s="674" t="str">
        <f>TechData_DMD!C304</f>
        <v>Solar Ver1.RWH.ELC.30</v>
      </c>
      <c r="F288" s="675" t="s">
        <v>348</v>
      </c>
      <c r="G288" s="675" t="s">
        <v>387</v>
      </c>
      <c r="H288" s="674"/>
      <c r="I288" s="674"/>
    </row>
    <row r="289" spans="2:9">
      <c r="B289" s="674" t="str">
        <f>TechData_DMD!A307</f>
        <v>*</v>
      </c>
      <c r="C289" s="675" t="s">
        <v>2998</v>
      </c>
      <c r="D289" s="674" t="str">
        <f>TechData_DMD!B307</f>
        <v>RWHSWHV220</v>
      </c>
      <c r="E289" s="674" t="str">
        <f>TechData_DMD!C307</f>
        <v>Solar Ver2.RWH.ELC.20</v>
      </c>
      <c r="F289" s="675" t="s">
        <v>348</v>
      </c>
      <c r="G289" s="675" t="s">
        <v>387</v>
      </c>
      <c r="H289" s="674"/>
      <c r="I289" s="674"/>
    </row>
    <row r="290" spans="2:9">
      <c r="B290" s="674" t="str">
        <f>TechData_DMD!A310</f>
        <v>*</v>
      </c>
      <c r="C290" s="675" t="s">
        <v>2998</v>
      </c>
      <c r="D290" s="674" t="str">
        <f>TechData_DMD!B310</f>
        <v>RWHSWHV230</v>
      </c>
      <c r="E290" s="674" t="str">
        <f>TechData_DMD!C310</f>
        <v>Solar Ver2.RWH.ELC.30</v>
      </c>
      <c r="F290" s="675" t="s">
        <v>348</v>
      </c>
      <c r="G290" s="675" t="s">
        <v>387</v>
      </c>
      <c r="H290" s="674"/>
      <c r="I290" s="674"/>
    </row>
    <row r="291" spans="2:9">
      <c r="B291" s="674" t="str">
        <f>TechData_DMD!A313</f>
        <v>*</v>
      </c>
      <c r="C291" s="675" t="s">
        <v>2998</v>
      </c>
      <c r="D291" s="674" t="str">
        <f>TechData_DMD!B313</f>
        <v>RWHSWHV140</v>
      </c>
      <c r="E291" s="674" t="str">
        <f>TechData_DMD!C313</f>
        <v>Solar Ver1.RWH.ELC.40</v>
      </c>
      <c r="F291" s="675" t="s">
        <v>348</v>
      </c>
      <c r="G291" s="675" t="s">
        <v>387</v>
      </c>
      <c r="H291" s="674"/>
      <c r="I291" s="674"/>
    </row>
    <row r="292" spans="2:9">
      <c r="B292" s="674" t="str">
        <f>TechData_DMD!A316</f>
        <v>*</v>
      </c>
      <c r="C292" s="675" t="s">
        <v>2998</v>
      </c>
      <c r="D292" s="674" t="str">
        <f>TechData_DMD!B316</f>
        <v>RWHSWHV240</v>
      </c>
      <c r="E292" s="674" t="str">
        <f>TechData_DMD!C316</f>
        <v>Solar Ver2.RWH.ELC.40</v>
      </c>
      <c r="F292" s="675" t="s">
        <v>348</v>
      </c>
      <c r="G292" s="675" t="s">
        <v>387</v>
      </c>
      <c r="H292" s="674"/>
      <c r="I292" s="674"/>
    </row>
    <row r="293" spans="2:9">
      <c r="B293" s="674" t="str">
        <f>TechData_DMD!A319</f>
        <v>*</v>
      </c>
      <c r="C293" s="675" t="s">
        <v>2998</v>
      </c>
      <c r="D293" s="674" t="str">
        <f>TechData_DMD!B319</f>
        <v>RWHSWHV150</v>
      </c>
      <c r="E293" s="674" t="str">
        <f>TechData_DMD!C319</f>
        <v>Solar Ver1.RWH.ELC.50</v>
      </c>
      <c r="F293" s="675" t="s">
        <v>348</v>
      </c>
      <c r="G293" s="675" t="s">
        <v>387</v>
      </c>
      <c r="H293" s="674"/>
      <c r="I293" s="674"/>
    </row>
    <row r="294" spans="2:9">
      <c r="B294" s="674" t="str">
        <f>TechData_DMD!A322</f>
        <v>*</v>
      </c>
      <c r="C294" s="675" t="s">
        <v>2998</v>
      </c>
      <c r="D294" s="674" t="str">
        <f>TechData_DMD!B322</f>
        <v>RWHSWHV250</v>
      </c>
      <c r="E294" s="674" t="str">
        <f>TechData_DMD!C322</f>
        <v>Solar Ver1.RWH.ELC.50</v>
      </c>
      <c r="F294" s="675" t="s">
        <v>348</v>
      </c>
      <c r="G294" s="675" t="s">
        <v>387</v>
      </c>
      <c r="H294" s="674"/>
      <c r="I294" s="674"/>
    </row>
    <row r="295" spans="2:9">
      <c r="B295" s="684" t="s">
        <v>408</v>
      </c>
      <c r="C295" s="685"/>
      <c r="D295" s="682"/>
      <c r="E295" s="682"/>
      <c r="F295" s="685"/>
      <c r="G295" s="685"/>
      <c r="H295" s="682"/>
      <c r="I295" s="682"/>
    </row>
    <row r="296" spans="2:9">
      <c r="B296" s="674" t="str">
        <f>TechData_DMD!A326</f>
        <v>*</v>
      </c>
      <c r="C296" s="675" t="s">
        <v>2998</v>
      </c>
      <c r="D296" s="674" t="str">
        <f>TechData_DMD!B326</f>
        <v>RRFBS05</v>
      </c>
      <c r="E296" s="674" t="str">
        <f>TechData_DMD!C326</f>
        <v>Base.RRF.BS.ELC.05</v>
      </c>
      <c r="F296" s="675" t="s">
        <v>348</v>
      </c>
      <c r="G296" s="675" t="s">
        <v>387</v>
      </c>
      <c r="H296" s="674"/>
      <c r="I296" s="674"/>
    </row>
    <row r="297" spans="2:9">
      <c r="B297" s="674" t="str">
        <f>TechData_DMD!A327</f>
        <v>*</v>
      </c>
      <c r="C297" s="675" t="s">
        <v>2998</v>
      </c>
      <c r="D297" s="674" t="str">
        <f>TechData_DMD!B327</f>
        <v>RRFTFV110</v>
      </c>
      <c r="E297" s="674" t="str">
        <f>TechData_DMD!C327</f>
        <v>TF Ver1.RRF.ELC.10</v>
      </c>
      <c r="F297" s="675" t="s">
        <v>348</v>
      </c>
      <c r="G297" s="675" t="s">
        <v>387</v>
      </c>
      <c r="H297" s="674"/>
      <c r="I297" s="674"/>
    </row>
    <row r="298" spans="2:9">
      <c r="B298" s="674" t="str">
        <f>TechData_DMD!A328</f>
        <v>*</v>
      </c>
      <c r="C298" s="675" t="s">
        <v>2998</v>
      </c>
      <c r="D298" s="674" t="str">
        <f>TechData_DMD!B328</f>
        <v>RRFTFV115</v>
      </c>
      <c r="E298" s="674" t="str">
        <f>TechData_DMD!C328</f>
        <v>TF Ver1.RRF.ELC.15</v>
      </c>
      <c r="F298" s="675" t="s">
        <v>348</v>
      </c>
      <c r="G298" s="675" t="s">
        <v>387</v>
      </c>
      <c r="H298" s="674"/>
      <c r="I298" s="674"/>
    </row>
    <row r="299" spans="2:9">
      <c r="B299" s="674" t="str">
        <f>TechData_DMD!A329</f>
        <v>*</v>
      </c>
      <c r="C299" s="675" t="s">
        <v>2998</v>
      </c>
      <c r="D299" s="674" t="str">
        <f>TechData_DMD!B329</f>
        <v>RRFTFV210</v>
      </c>
      <c r="E299" s="674" t="str">
        <f>TechData_DMD!C329</f>
        <v>TF VerC.RRF.ELC.10</v>
      </c>
      <c r="F299" s="675" t="s">
        <v>348</v>
      </c>
      <c r="G299" s="675" t="s">
        <v>387</v>
      </c>
      <c r="H299" s="674"/>
      <c r="I299" s="674"/>
    </row>
    <row r="300" spans="2:9">
      <c r="B300" s="674" t="str">
        <f>TechData_DMD!A330</f>
        <v>*</v>
      </c>
      <c r="C300" s="675" t="s">
        <v>2998</v>
      </c>
      <c r="D300" s="674" t="str">
        <f>TechData_DMD!B330</f>
        <v>RRFTFV215</v>
      </c>
      <c r="E300" s="674" t="str">
        <f>TechData_DMD!C330</f>
        <v>TF Ver2.RRF.ELC.15</v>
      </c>
      <c r="F300" s="675" t="s">
        <v>348</v>
      </c>
      <c r="G300" s="675" t="s">
        <v>387</v>
      </c>
      <c r="H300" s="674"/>
      <c r="I300" s="674"/>
    </row>
    <row r="301" spans="2:9">
      <c r="B301" s="674" t="str">
        <f>TechData_DMD!A331</f>
        <v>*</v>
      </c>
      <c r="C301" s="675" t="s">
        <v>2998</v>
      </c>
      <c r="D301" s="674" t="str">
        <f>TechData_DMD!B331</f>
        <v>RRFTFV310</v>
      </c>
      <c r="E301" s="674" t="str">
        <f>TechData_DMD!C331</f>
        <v>TF Ver3.RRF.ELC.10</v>
      </c>
      <c r="F301" s="675" t="s">
        <v>348</v>
      </c>
      <c r="G301" s="675" t="s">
        <v>387</v>
      </c>
      <c r="H301" s="674"/>
      <c r="I301" s="674"/>
    </row>
    <row r="302" spans="2:9">
      <c r="B302" s="674" t="str">
        <f>TechData_DMD!A332</f>
        <v>*</v>
      </c>
      <c r="C302" s="675" t="s">
        <v>2998</v>
      </c>
      <c r="D302" s="674" t="str">
        <f>TechData_DMD!B332</f>
        <v>RRFTFV315</v>
      </c>
      <c r="E302" s="674" t="str">
        <f>TechData_DMD!C332</f>
        <v>TF Ver3.RRF.ELC.15</v>
      </c>
      <c r="F302" s="675" t="s">
        <v>348</v>
      </c>
      <c r="G302" s="675" t="s">
        <v>387</v>
      </c>
      <c r="H302" s="674"/>
      <c r="I302" s="674"/>
    </row>
    <row r="303" spans="2:9">
      <c r="B303" s="674" t="str">
        <f>TechData_DMD!A333</f>
        <v>*</v>
      </c>
      <c r="C303" s="675" t="s">
        <v>2998</v>
      </c>
      <c r="D303" s="674" t="str">
        <f>TechData_DMD!B333</f>
        <v>RRFSFV110</v>
      </c>
      <c r="E303" s="674" t="str">
        <f>TechData_DMD!C333</f>
        <v>SF Ver1.RRF.ELC.10</v>
      </c>
      <c r="F303" s="675" t="s">
        <v>348</v>
      </c>
      <c r="G303" s="675" t="s">
        <v>387</v>
      </c>
      <c r="H303" s="674"/>
      <c r="I303" s="674"/>
    </row>
    <row r="304" spans="2:9">
      <c r="B304" s="674" t="str">
        <f>TechData_DMD!A334</f>
        <v>*</v>
      </c>
      <c r="C304" s="675" t="s">
        <v>2998</v>
      </c>
      <c r="D304" s="674" t="str">
        <f>TechData_DMD!B334</f>
        <v>RRFSFV210</v>
      </c>
      <c r="E304" s="674" t="str">
        <f>TechData_DMD!C334</f>
        <v>SF Ver2.RRF.ELC.10</v>
      </c>
      <c r="F304" s="675" t="s">
        <v>348</v>
      </c>
      <c r="G304" s="675" t="s">
        <v>387</v>
      </c>
      <c r="H304" s="674"/>
      <c r="I304" s="674"/>
    </row>
    <row r="305" spans="2:9">
      <c r="B305" s="674" t="str">
        <f>TechData_DMD!A335</f>
        <v>*</v>
      </c>
      <c r="C305" s="675" t="s">
        <v>2998</v>
      </c>
      <c r="D305" s="674" t="str">
        <f>TechData_DMD!B335</f>
        <v>RRFSFV215</v>
      </c>
      <c r="E305" s="674" t="str">
        <f>TechData_DMD!C335</f>
        <v>SF Ver2.RRF.ELC.15</v>
      </c>
      <c r="F305" s="675" t="s">
        <v>348</v>
      </c>
      <c r="G305" s="675" t="s">
        <v>387</v>
      </c>
      <c r="H305" s="674"/>
      <c r="I305" s="674"/>
    </row>
    <row r="306" spans="2:9">
      <c r="B306" s="674" t="str">
        <f>TechData_DMD!A336</f>
        <v>*</v>
      </c>
      <c r="C306" s="675" t="s">
        <v>2998</v>
      </c>
      <c r="D306" s="674" t="str">
        <f>TechData_DMD!B336</f>
        <v>RRFBFV110</v>
      </c>
      <c r="E306" s="674" t="str">
        <f>TechData_DMD!C336</f>
        <v>BF Ver1.RRF.ELC.10</v>
      </c>
      <c r="F306" s="675" t="s">
        <v>348</v>
      </c>
      <c r="G306" s="675" t="s">
        <v>387</v>
      </c>
      <c r="H306" s="674"/>
      <c r="I306" s="674"/>
    </row>
    <row r="307" spans="2:9">
      <c r="B307" s="674" t="str">
        <f>TechData_DMD!A337</f>
        <v>*</v>
      </c>
      <c r="C307" s="675" t="s">
        <v>2998</v>
      </c>
      <c r="D307" s="674" t="str">
        <f>TechData_DMD!B337</f>
        <v>RRFBFV210</v>
      </c>
      <c r="E307" s="674" t="str">
        <f>TechData_DMD!C337</f>
        <v>BF Ver2.RRF.ELC.10</v>
      </c>
      <c r="F307" s="675" t="s">
        <v>348</v>
      </c>
      <c r="G307" s="675" t="s">
        <v>387</v>
      </c>
      <c r="H307" s="674"/>
      <c r="I307" s="674"/>
    </row>
    <row r="308" spans="2:9">
      <c r="B308" s="674" t="str">
        <f>TechData_DMD!A338</f>
        <v>*</v>
      </c>
      <c r="C308" s="675" t="s">
        <v>2998</v>
      </c>
      <c r="D308" s="674" t="str">
        <f>TechData_DMD!B338</f>
        <v>RRFBFV215</v>
      </c>
      <c r="E308" s="674" t="str">
        <f>TechData_DMD!C338</f>
        <v>BF Ver2.RRF.ELC.15</v>
      </c>
      <c r="F308" s="675" t="s">
        <v>348</v>
      </c>
      <c r="G308" s="675" t="s">
        <v>387</v>
      </c>
      <c r="H308" s="674"/>
      <c r="I308" s="674"/>
    </row>
    <row r="309" spans="2:9">
      <c r="B309" s="684" t="s">
        <v>477</v>
      </c>
      <c r="C309" s="685"/>
      <c r="D309" s="682"/>
      <c r="E309" s="682"/>
      <c r="F309" s="685"/>
      <c r="G309" s="685"/>
      <c r="H309" s="682"/>
      <c r="I309" s="682"/>
    </row>
    <row r="310" spans="2:9">
      <c r="B310" s="674" t="str">
        <f>TechData_DMD!A340</f>
        <v>*</v>
      </c>
      <c r="C310" s="675" t="s">
        <v>2998</v>
      </c>
      <c r="D310" s="674" t="str">
        <f>TechData_DMD!B340</f>
        <v>RFZBS05</v>
      </c>
      <c r="E310" s="674" t="str">
        <f>TechData_DMD!C340</f>
        <v>Base.RFZ.BS.ELC.05</v>
      </c>
      <c r="F310" s="675" t="s">
        <v>348</v>
      </c>
      <c r="G310" s="675" t="s">
        <v>387</v>
      </c>
      <c r="H310" s="674"/>
      <c r="I310" s="674"/>
    </row>
    <row r="311" spans="2:9">
      <c r="B311" s="674" t="str">
        <f>TechData_DMD!A341</f>
        <v>*</v>
      </c>
      <c r="C311" s="675" t="s">
        <v>2998</v>
      </c>
      <c r="D311" s="674" t="str">
        <f>TechData_DMD!B341</f>
        <v>RFZCV110</v>
      </c>
      <c r="E311" s="674" t="str">
        <f>TechData_DMD!C341</f>
        <v>C Ver1.RFZ.ELC.10</v>
      </c>
      <c r="F311" s="675" t="s">
        <v>348</v>
      </c>
      <c r="G311" s="675" t="s">
        <v>387</v>
      </c>
      <c r="H311" s="674"/>
      <c r="I311" s="674"/>
    </row>
    <row r="312" spans="2:9">
      <c r="B312" s="674" t="str">
        <f>TechData_DMD!A342</f>
        <v>*</v>
      </c>
      <c r="C312" s="675" t="s">
        <v>2998</v>
      </c>
      <c r="D312" s="674" t="str">
        <f>TechData_DMD!B342</f>
        <v>RFZCV210</v>
      </c>
      <c r="E312" s="674" t="str">
        <f>TechData_DMD!C342</f>
        <v>C Ver2.RFZ.ELC.10</v>
      </c>
      <c r="F312" s="675" t="s">
        <v>348</v>
      </c>
      <c r="G312" s="675" t="s">
        <v>387</v>
      </c>
      <c r="H312" s="674"/>
      <c r="I312" s="674"/>
    </row>
    <row r="313" spans="2:9">
      <c r="B313" s="674" t="str">
        <f>TechData_DMD!A343</f>
        <v>*</v>
      </c>
      <c r="C313" s="675" t="s">
        <v>2998</v>
      </c>
      <c r="D313" s="674" t="str">
        <f>TechData_DMD!B343</f>
        <v>RFZCV215</v>
      </c>
      <c r="E313" s="674" t="str">
        <f>TechData_DMD!C343</f>
        <v>C Ver2.RFZ.ELC.15</v>
      </c>
      <c r="F313" s="675" t="s">
        <v>348</v>
      </c>
      <c r="G313" s="675" t="s">
        <v>387</v>
      </c>
      <c r="H313" s="674"/>
      <c r="I313" s="674"/>
    </row>
    <row r="314" spans="2:9">
      <c r="B314" s="674" t="str">
        <f>TechData_DMD!A344</f>
        <v>*</v>
      </c>
      <c r="C314" s="675" t="s">
        <v>2998</v>
      </c>
      <c r="D314" s="674" t="str">
        <f>TechData_DMD!B344</f>
        <v>RFZUV110</v>
      </c>
      <c r="E314" s="674" t="str">
        <f>TechData_DMD!C344</f>
        <v>U Ver1.RFZ.ELC.10</v>
      </c>
      <c r="F314" s="675" t="s">
        <v>348</v>
      </c>
      <c r="G314" s="675" t="s">
        <v>387</v>
      </c>
      <c r="H314" s="674"/>
      <c r="I314" s="674"/>
    </row>
    <row r="315" spans="2:9">
      <c r="B315" s="674" t="str">
        <f>TechData_DMD!A345</f>
        <v>*</v>
      </c>
      <c r="C315" s="675" t="s">
        <v>2998</v>
      </c>
      <c r="D315" s="674" t="str">
        <f>TechData_DMD!B345</f>
        <v>RFZUV210</v>
      </c>
      <c r="E315" s="674" t="str">
        <f>TechData_DMD!C345</f>
        <v>U Ver2.RFZ.ELC.10</v>
      </c>
      <c r="F315" s="675" t="s">
        <v>348</v>
      </c>
      <c r="G315" s="675" t="s">
        <v>387</v>
      </c>
      <c r="H315" s="674"/>
      <c r="I315" s="674"/>
    </row>
    <row r="316" spans="2:9">
      <c r="B316" s="674" t="str">
        <f>TechData_DMD!A346</f>
        <v>*</v>
      </c>
      <c r="C316" s="675" t="s">
        <v>2998</v>
      </c>
      <c r="D316" s="674" t="str">
        <f>TechData_DMD!B346</f>
        <v>RFZUV215</v>
      </c>
      <c r="E316" s="674" t="str">
        <f>TechData_DMD!C346</f>
        <v>U Ver2.RFZ.ELC.15</v>
      </c>
      <c r="F316" s="675" t="s">
        <v>348</v>
      </c>
      <c r="G316" s="675" t="s">
        <v>387</v>
      </c>
      <c r="H316" s="674"/>
      <c r="I316" s="674"/>
    </row>
    <row r="317" spans="2:9">
      <c r="B317" s="684" t="str">
        <f>'RTEKTY Conv'!B174</f>
        <v>* Lighting General Services</v>
      </c>
      <c r="C317" s="685"/>
      <c r="D317" s="682"/>
      <c r="E317" s="682"/>
      <c r="F317" s="685" t="str">
        <f>IF('RTEKTY Conv'!D174=0,"",'RTEKTY Conv'!D174)</f>
        <v/>
      </c>
      <c r="G317" s="685"/>
      <c r="H317" s="682"/>
      <c r="I317" s="682"/>
    </row>
    <row r="318" spans="2:9">
      <c r="B318" s="674" t="str">
        <f>TechData_DMD!A348</f>
        <v>R2,R3,R4,R5,R6</v>
      </c>
      <c r="C318" s="675" t="s">
        <v>2998</v>
      </c>
      <c r="D318" s="674" t="str">
        <f>TechData_DMD!B348</f>
        <v>RLTGINCBS</v>
      </c>
      <c r="E318" s="674" t="str">
        <f>TechData_DMD!C348</f>
        <v>RLT.GSL.INC.BS</v>
      </c>
      <c r="F318" s="675" t="s">
        <v>376</v>
      </c>
      <c r="G318" s="675" t="s">
        <v>409</v>
      </c>
      <c r="H318" s="674"/>
      <c r="I318" s="674"/>
    </row>
    <row r="319" spans="2:9">
      <c r="B319" s="674" t="str">
        <f>TechData_DMD!A349</f>
        <v>R2,R3,R4,R5,R6</v>
      </c>
      <c r="C319" s="675" t="s">
        <v>2998</v>
      </c>
      <c r="D319" s="674" t="str">
        <f>TechData_DMD!B349</f>
        <v>RLTGINC10</v>
      </c>
      <c r="E319" s="674" t="str">
        <f>TechData_DMD!C349</f>
        <v>RLT.GSL.INC.10</v>
      </c>
      <c r="F319" s="675" t="s">
        <v>376</v>
      </c>
      <c r="G319" s="675" t="s">
        <v>409</v>
      </c>
      <c r="H319" s="674"/>
      <c r="I319" s="674"/>
    </row>
    <row r="320" spans="2:9">
      <c r="B320" s="674" t="str">
        <f>TechData_DMD!A350</f>
        <v>*</v>
      </c>
      <c r="C320" s="675" t="s">
        <v>2998</v>
      </c>
      <c r="D320" s="674" t="str">
        <f>TechData_DMD!B350</f>
        <v>RLTGINC15</v>
      </c>
      <c r="E320" s="674" t="str">
        <f>TechData_DMD!C350</f>
        <v>RLT.GSL.INC.15</v>
      </c>
      <c r="F320" s="675" t="s">
        <v>376</v>
      </c>
      <c r="G320" s="675" t="s">
        <v>409</v>
      </c>
      <c r="H320" s="674"/>
      <c r="I320" s="674"/>
    </row>
    <row r="321" spans="2:9">
      <c r="B321" s="674" t="str">
        <f>TechData_DMD!A352</f>
        <v>R2,R3,R4,R5,R6</v>
      </c>
      <c r="C321" s="675" t="s">
        <v>2998</v>
      </c>
      <c r="D321" s="674" t="str">
        <f>TechData_DMD!B352</f>
        <v>RLTGCFLBS</v>
      </c>
      <c r="E321" s="674" t="str">
        <f>TechData_DMD!C352</f>
        <v>RLT.GSL.CFL.BS</v>
      </c>
      <c r="F321" s="675" t="s">
        <v>376</v>
      </c>
      <c r="G321" s="675" t="s">
        <v>409</v>
      </c>
      <c r="H321" s="674"/>
      <c r="I321" s="674"/>
    </row>
    <row r="322" spans="2:9">
      <c r="B322" s="674" t="str">
        <f>TechData_DMD!A353</f>
        <v>R2,R3,R4,R5,R6</v>
      </c>
      <c r="C322" s="675" t="s">
        <v>2998</v>
      </c>
      <c r="D322" s="674" t="str">
        <f>TechData_DMD!B353</f>
        <v>RLTGCFL10</v>
      </c>
      <c r="E322" s="674" t="str">
        <f>TechData_DMD!C353</f>
        <v>RLT.GSL.CFL.10</v>
      </c>
      <c r="F322" s="675" t="s">
        <v>376</v>
      </c>
      <c r="G322" s="675" t="s">
        <v>409</v>
      </c>
      <c r="H322" s="674"/>
      <c r="I322" s="674"/>
    </row>
    <row r="323" spans="2:9">
      <c r="B323" s="674" t="str">
        <f>TechData_DMD!A354</f>
        <v>*</v>
      </c>
      <c r="C323" s="675" t="s">
        <v>2998</v>
      </c>
      <c r="D323" s="674" t="str">
        <f>TechData_DMD!B354</f>
        <v>RLTGCFL15</v>
      </c>
      <c r="E323" s="674" t="str">
        <f>TechData_DMD!C354</f>
        <v>RLT.GSL.CFL.15</v>
      </c>
      <c r="F323" s="675" t="s">
        <v>376</v>
      </c>
      <c r="G323" s="675" t="s">
        <v>409</v>
      </c>
      <c r="H323" s="674"/>
      <c r="I323" s="674"/>
    </row>
    <row r="324" spans="2:9">
      <c r="B324" s="674" t="str">
        <f>TechData_DMD!A355</f>
        <v>*</v>
      </c>
      <c r="C324" s="675" t="s">
        <v>2998</v>
      </c>
      <c r="D324" s="674" t="str">
        <f>TechData_DMD!B355</f>
        <v>RLTGCFL20</v>
      </c>
      <c r="E324" s="674" t="str">
        <f>TechData_DMD!C355</f>
        <v>RLT.GSL.CFL.20</v>
      </c>
      <c r="F324" s="675" t="s">
        <v>376</v>
      </c>
      <c r="G324" s="675" t="s">
        <v>409</v>
      </c>
      <c r="H324" s="674"/>
      <c r="I324" s="674"/>
    </row>
    <row r="325" spans="2:9">
      <c r="B325" s="674" t="str">
        <f>TechData_DMD!A356</f>
        <v>*</v>
      </c>
      <c r="C325" s="675" t="s">
        <v>2998</v>
      </c>
      <c r="D325" s="674" t="str">
        <f>TechData_DMD!B356</f>
        <v>RLTGCFL30</v>
      </c>
      <c r="E325" s="674" t="str">
        <f>TechData_DMD!C356</f>
        <v>RLT.GSL.CFL.30</v>
      </c>
      <c r="F325" s="675" t="s">
        <v>376</v>
      </c>
      <c r="G325" s="675" t="s">
        <v>409</v>
      </c>
      <c r="H325" s="674"/>
      <c r="I325" s="674"/>
    </row>
    <row r="326" spans="2:9">
      <c r="B326" s="674" t="str">
        <f>TechData_DMD!A357</f>
        <v>*</v>
      </c>
      <c r="C326" s="675" t="s">
        <v>2998</v>
      </c>
      <c r="D326" s="674" t="str">
        <f>TechData_DMD!B357</f>
        <v>RLTGCFL40</v>
      </c>
      <c r="E326" s="674" t="str">
        <f>TechData_DMD!C357</f>
        <v>RLT.GSL.CFL.40</v>
      </c>
      <c r="F326" s="675" t="s">
        <v>376</v>
      </c>
      <c r="G326" s="675" t="s">
        <v>409</v>
      </c>
      <c r="H326" s="674"/>
      <c r="I326" s="674"/>
    </row>
    <row r="327" spans="2:9">
      <c r="B327" s="674" t="str">
        <f>TechData_DMD!A359</f>
        <v>R2,R3,R4,R5,R6</v>
      </c>
      <c r="C327" s="675" t="s">
        <v>2998</v>
      </c>
      <c r="D327" s="674" t="str">
        <f>TechData_DMD!B359</f>
        <v>RLTGLED10</v>
      </c>
      <c r="E327" s="674" t="str">
        <f>TechData_DMD!C359</f>
        <v>RLT.GSL.LED.10</v>
      </c>
      <c r="F327" s="675" t="s">
        <v>376</v>
      </c>
      <c r="G327" s="675" t="s">
        <v>409</v>
      </c>
      <c r="H327" s="674"/>
      <c r="I327" s="674"/>
    </row>
    <row r="328" spans="2:9">
      <c r="B328" s="674" t="str">
        <f>TechData_DMD!A360</f>
        <v>*</v>
      </c>
      <c r="C328" s="675" t="s">
        <v>2998</v>
      </c>
      <c r="D328" s="674" t="str">
        <f>TechData_DMD!B360</f>
        <v>RLTGLED15</v>
      </c>
      <c r="E328" s="674" t="str">
        <f>TechData_DMD!C360</f>
        <v>RLT.GSL.LED.15</v>
      </c>
      <c r="F328" s="675" t="s">
        <v>376</v>
      </c>
      <c r="G328" s="675" t="s">
        <v>409</v>
      </c>
      <c r="H328" s="674"/>
      <c r="I328" s="674"/>
    </row>
    <row r="329" spans="2:9">
      <c r="B329" s="674" t="str">
        <f>TechData_DMD!A361</f>
        <v>*</v>
      </c>
      <c r="C329" s="675" t="s">
        <v>2998</v>
      </c>
      <c r="D329" s="674" t="str">
        <f>TechData_DMD!B361</f>
        <v>RLTGLED20</v>
      </c>
      <c r="E329" s="674" t="str">
        <f>TechData_DMD!C361</f>
        <v>RLT.GSL.LED.20</v>
      </c>
      <c r="F329" s="675" t="s">
        <v>376</v>
      </c>
      <c r="G329" s="675" t="s">
        <v>409</v>
      </c>
      <c r="H329" s="674"/>
      <c r="I329" s="674"/>
    </row>
    <row r="330" spans="2:9">
      <c r="B330" s="674" t="str">
        <f>TechData_DMD!A362</f>
        <v>*</v>
      </c>
      <c r="C330" s="675" t="s">
        <v>2998</v>
      </c>
      <c r="D330" s="674" t="str">
        <f>TechData_DMD!B362</f>
        <v>RLTGLED25</v>
      </c>
      <c r="E330" s="674" t="str">
        <f>TechData_DMD!C362</f>
        <v>RLT.GSL.LED.25</v>
      </c>
      <c r="F330" s="675" t="s">
        <v>376</v>
      </c>
      <c r="G330" s="675" t="s">
        <v>409</v>
      </c>
      <c r="H330" s="674"/>
      <c r="I330" s="674"/>
    </row>
    <row r="331" spans="2:9">
      <c r="B331" s="674" t="str">
        <f>TechData_DMD!A363</f>
        <v>*</v>
      </c>
      <c r="C331" s="675" t="s">
        <v>2998</v>
      </c>
      <c r="D331" s="674" t="str">
        <f>TechData_DMD!B363</f>
        <v>RLTGLED30</v>
      </c>
      <c r="E331" s="674" t="str">
        <f>TechData_DMD!C363</f>
        <v>RLT.GSL.LED.30</v>
      </c>
      <c r="F331" s="675" t="s">
        <v>376</v>
      </c>
      <c r="G331" s="675" t="s">
        <v>409</v>
      </c>
      <c r="H331" s="674"/>
      <c r="I331" s="674"/>
    </row>
    <row r="332" spans="2:9">
      <c r="B332" s="674" t="str">
        <f>TechData_DMD!A364</f>
        <v>*</v>
      </c>
      <c r="C332" s="675" t="s">
        <v>2998</v>
      </c>
      <c r="D332" s="674" t="str">
        <f>TechData_DMD!B364</f>
        <v>RLTGLED40</v>
      </c>
      <c r="E332" s="674" t="str">
        <f>TechData_DMD!C364</f>
        <v>RLT.GSL.LED.40</v>
      </c>
      <c r="F332" s="675" t="s">
        <v>376</v>
      </c>
      <c r="G332" s="675" t="s">
        <v>409</v>
      </c>
      <c r="H332" s="674"/>
      <c r="I332" s="674"/>
    </row>
    <row r="333" spans="2:9">
      <c r="B333" s="674" t="str">
        <f>TechData_DMD!A366</f>
        <v>R2,R3,R4,R5,R6</v>
      </c>
      <c r="C333" s="675" t="s">
        <v>2998</v>
      </c>
      <c r="D333" s="674" t="str">
        <f>TechData_DMD!B366</f>
        <v>RLTRINC10</v>
      </c>
      <c r="E333" s="674" t="str">
        <f>TechData_DMD!C366</f>
        <v>RLT.REF.INC.10</v>
      </c>
      <c r="F333" s="675" t="s">
        <v>376</v>
      </c>
      <c r="G333" s="675" t="s">
        <v>409</v>
      </c>
      <c r="H333" s="674"/>
      <c r="I333" s="674"/>
    </row>
    <row r="334" spans="2:9">
      <c r="B334" s="674" t="str">
        <f>TechData_DMD!A367</f>
        <v>*</v>
      </c>
      <c r="C334" s="675" t="s">
        <v>2998</v>
      </c>
      <c r="D334" s="674" t="str">
        <f>TechData_DMD!B367</f>
        <v>RLTRINC20</v>
      </c>
      <c r="E334" s="674" t="str">
        <f>TechData_DMD!C367</f>
        <v>RLT.REF.INC.20</v>
      </c>
      <c r="F334" s="675" t="s">
        <v>376</v>
      </c>
      <c r="G334" s="675" t="s">
        <v>409</v>
      </c>
      <c r="H334" s="674"/>
      <c r="I334" s="674"/>
    </row>
    <row r="335" spans="2:9">
      <c r="B335" s="674" t="str">
        <f>TechData_DMD!A368</f>
        <v>*</v>
      </c>
      <c r="C335" s="675" t="s">
        <v>2998</v>
      </c>
      <c r="D335" s="674" t="str">
        <f>TechData_DMD!B368</f>
        <v>RLTRINC30</v>
      </c>
      <c r="E335" s="674" t="str">
        <f>TechData_DMD!C368</f>
        <v>RLT.REF.INC.30</v>
      </c>
      <c r="F335" s="675" t="s">
        <v>376</v>
      </c>
      <c r="G335" s="675" t="s">
        <v>409</v>
      </c>
      <c r="H335" s="674"/>
      <c r="I335" s="674"/>
    </row>
    <row r="336" spans="2:9">
      <c r="B336" s="674" t="str">
        <f>TechData_DMD!A369</f>
        <v>*</v>
      </c>
      <c r="C336" s="675" t="s">
        <v>2998</v>
      </c>
      <c r="D336" s="674" t="str">
        <f>TechData_DMD!B369</f>
        <v>RLTRINC40</v>
      </c>
      <c r="E336" s="674" t="str">
        <f>TechData_DMD!C369</f>
        <v>RLT.REF.INC.40</v>
      </c>
      <c r="F336" s="675" t="s">
        <v>376</v>
      </c>
      <c r="G336" s="675" t="s">
        <v>409</v>
      </c>
      <c r="H336" s="674"/>
      <c r="I336" s="674"/>
    </row>
    <row r="337" spans="2:9">
      <c r="B337" s="674" t="str">
        <f>TechData_DMD!A370</f>
        <v>R2,R3,R4,R5,R6</v>
      </c>
      <c r="C337" s="675" t="s">
        <v>2998</v>
      </c>
      <c r="D337" s="674" t="str">
        <f>TechData_DMD!B370</f>
        <v>RLTRCFL10</v>
      </c>
      <c r="E337" s="674" t="str">
        <f>TechData_DMD!C370</f>
        <v>RLT.REF.CFL.10</v>
      </c>
      <c r="F337" s="675" t="s">
        <v>376</v>
      </c>
      <c r="G337" s="675" t="s">
        <v>409</v>
      </c>
      <c r="H337" s="674"/>
      <c r="I337" s="674"/>
    </row>
    <row r="338" spans="2:9">
      <c r="B338" s="674" t="str">
        <f>TechData_DMD!A371</f>
        <v>*</v>
      </c>
      <c r="C338" s="675" t="s">
        <v>2998</v>
      </c>
      <c r="D338" s="674" t="str">
        <f>TechData_DMD!B371</f>
        <v>RLTRCFL20</v>
      </c>
      <c r="E338" s="674" t="str">
        <f>TechData_DMD!C371</f>
        <v>RLT.REF.CFL.20</v>
      </c>
      <c r="F338" s="675" t="s">
        <v>376</v>
      </c>
      <c r="G338" s="675" t="s">
        <v>409</v>
      </c>
      <c r="H338" s="674"/>
      <c r="I338" s="674"/>
    </row>
    <row r="339" spans="2:9">
      <c r="B339" s="674" t="str">
        <f>TechData_DMD!A372</f>
        <v>*</v>
      </c>
      <c r="C339" s="675" t="s">
        <v>2998</v>
      </c>
      <c r="D339" s="674" t="str">
        <f>TechData_DMD!B372</f>
        <v>RLTRCFL30</v>
      </c>
      <c r="E339" s="674" t="str">
        <f>TechData_DMD!C372</f>
        <v>RLT.REF.CFL.30</v>
      </c>
      <c r="F339" s="675" t="s">
        <v>376</v>
      </c>
      <c r="G339" s="675" t="s">
        <v>409</v>
      </c>
      <c r="H339" s="674"/>
      <c r="I339" s="674"/>
    </row>
    <row r="340" spans="2:9">
      <c r="B340" s="674" t="str">
        <f>TechData_DMD!A373</f>
        <v>*</v>
      </c>
      <c r="C340" s="675" t="s">
        <v>2998</v>
      </c>
      <c r="D340" s="674" t="str">
        <f>TechData_DMD!B373</f>
        <v>RLTRCFL40</v>
      </c>
      <c r="E340" s="674" t="str">
        <f>TechData_DMD!C373</f>
        <v>RLT.REF.CFL.40</v>
      </c>
      <c r="F340" s="675" t="s">
        <v>376</v>
      </c>
      <c r="G340" s="675" t="s">
        <v>409</v>
      </c>
      <c r="H340" s="674"/>
      <c r="I340" s="674"/>
    </row>
    <row r="341" spans="2:9">
      <c r="B341" s="674" t="str">
        <f>TechData_DMD!A374</f>
        <v>R2,R3,R4,R5,R6</v>
      </c>
      <c r="C341" s="675" t="s">
        <v>2998</v>
      </c>
      <c r="D341" s="674" t="str">
        <f>TechData_DMD!B374</f>
        <v>RLTRHAL10</v>
      </c>
      <c r="E341" s="674" t="str">
        <f>TechData_DMD!C374</f>
        <v>RLT.REF.HAL.10</v>
      </c>
      <c r="F341" s="675" t="s">
        <v>376</v>
      </c>
      <c r="G341" s="675" t="s">
        <v>409</v>
      </c>
      <c r="H341" s="674"/>
      <c r="I341" s="674"/>
    </row>
    <row r="342" spans="2:9">
      <c r="B342" s="674" t="str">
        <f>TechData_DMD!A375</f>
        <v>*</v>
      </c>
      <c r="C342" s="675" t="s">
        <v>2998</v>
      </c>
      <c r="D342" s="674" t="str">
        <f>TechData_DMD!B375</f>
        <v>RLTRHAL20</v>
      </c>
      <c r="E342" s="674" t="str">
        <f>TechData_DMD!C375</f>
        <v>RLT.REF.HAL.20</v>
      </c>
      <c r="F342" s="675" t="s">
        <v>376</v>
      </c>
      <c r="G342" s="675" t="s">
        <v>409</v>
      </c>
      <c r="H342" s="674"/>
      <c r="I342" s="674"/>
    </row>
    <row r="343" spans="2:9">
      <c r="B343" s="674" t="str">
        <f>TechData_DMD!A376</f>
        <v>*</v>
      </c>
      <c r="C343" s="675" t="s">
        <v>2998</v>
      </c>
      <c r="D343" s="674" t="str">
        <f>TechData_DMD!B376</f>
        <v>RLTRHAL30</v>
      </c>
      <c r="E343" s="674" t="str">
        <f>TechData_DMD!C376</f>
        <v>RLT.REF.HAL.30</v>
      </c>
      <c r="F343" s="675" t="s">
        <v>376</v>
      </c>
      <c r="G343" s="675" t="s">
        <v>409</v>
      </c>
      <c r="H343" s="674"/>
      <c r="I343" s="674"/>
    </row>
    <row r="344" spans="2:9">
      <c r="B344" s="674" t="str">
        <f>TechData_DMD!A377</f>
        <v>*</v>
      </c>
      <c r="C344" s="675" t="s">
        <v>2998</v>
      </c>
      <c r="D344" s="674" t="str">
        <f>TechData_DMD!B377</f>
        <v>RLTRHAL40</v>
      </c>
      <c r="E344" s="674" t="str">
        <f>TechData_DMD!C377</f>
        <v>RLT.REF.HAL.40</v>
      </c>
      <c r="F344" s="675" t="s">
        <v>376</v>
      </c>
      <c r="G344" s="675" t="s">
        <v>409</v>
      </c>
      <c r="H344" s="674"/>
      <c r="I344" s="674"/>
    </row>
    <row r="345" spans="2:9">
      <c r="B345" s="674" t="str">
        <f>TechData_DMD!A378</f>
        <v>R2,R3,R4,R5,R6</v>
      </c>
      <c r="C345" s="675" t="s">
        <v>2998</v>
      </c>
      <c r="D345" s="674" t="str">
        <f>TechData_DMD!B378</f>
        <v>RLTRLED10</v>
      </c>
      <c r="E345" s="674" t="str">
        <f>TechData_DMD!C378</f>
        <v>RLT.REF.LED.10</v>
      </c>
      <c r="F345" s="675" t="s">
        <v>376</v>
      </c>
      <c r="G345" s="675" t="s">
        <v>409</v>
      </c>
      <c r="H345" s="674"/>
      <c r="I345" s="674"/>
    </row>
    <row r="346" spans="2:9">
      <c r="B346" s="674" t="str">
        <f>TechData_DMD!A379</f>
        <v>*</v>
      </c>
      <c r="C346" s="675" t="s">
        <v>2998</v>
      </c>
      <c r="D346" s="674" t="str">
        <f>TechData_DMD!B379</f>
        <v>RLTRLED15</v>
      </c>
      <c r="E346" s="674" t="str">
        <f>TechData_DMD!C379</f>
        <v>RLT.REF.LED.15</v>
      </c>
      <c r="F346" s="675" t="s">
        <v>376</v>
      </c>
      <c r="G346" s="675" t="s">
        <v>409</v>
      </c>
      <c r="H346" s="674"/>
      <c r="I346" s="674"/>
    </row>
    <row r="347" spans="2:9">
      <c r="B347" s="674" t="str">
        <f>TechData_DMD!A380</f>
        <v>*</v>
      </c>
      <c r="C347" s="675" t="s">
        <v>2998</v>
      </c>
      <c r="D347" s="674" t="str">
        <f>TechData_DMD!B380</f>
        <v>RLTRLED20</v>
      </c>
      <c r="E347" s="674" t="str">
        <f>TechData_DMD!C380</f>
        <v>RLT.REF.LED.20</v>
      </c>
      <c r="F347" s="675" t="s">
        <v>376</v>
      </c>
      <c r="G347" s="675" t="s">
        <v>409</v>
      </c>
      <c r="H347" s="674"/>
      <c r="I347" s="674"/>
    </row>
    <row r="348" spans="2:9">
      <c r="B348" s="674" t="str">
        <f>TechData_DMD!A381</f>
        <v>*</v>
      </c>
      <c r="C348" s="675" t="s">
        <v>2998</v>
      </c>
      <c r="D348" s="674" t="str">
        <f>TechData_DMD!B381</f>
        <v>RLTRLED25</v>
      </c>
      <c r="E348" s="674" t="str">
        <f>TechData_DMD!C381</f>
        <v>RLT.REF.LED.25</v>
      </c>
      <c r="F348" s="675" t="s">
        <v>376</v>
      </c>
      <c r="G348" s="675" t="s">
        <v>409</v>
      </c>
      <c r="H348" s="674"/>
      <c r="I348" s="674"/>
    </row>
    <row r="349" spans="2:9">
      <c r="B349" s="674" t="str">
        <f>TechData_DMD!A382</f>
        <v>*</v>
      </c>
      <c r="C349" s="675" t="s">
        <v>2998</v>
      </c>
      <c r="D349" s="674" t="str">
        <f>TechData_DMD!B382</f>
        <v>RLTRLED30</v>
      </c>
      <c r="E349" s="674" t="str">
        <f>TechData_DMD!C382</f>
        <v>RLT.REF.LED.30</v>
      </c>
      <c r="F349" s="675" t="s">
        <v>376</v>
      </c>
      <c r="G349" s="675" t="s">
        <v>409</v>
      </c>
      <c r="H349" s="674"/>
      <c r="I349" s="674"/>
    </row>
    <row r="350" spans="2:9">
      <c r="B350" s="674" t="str">
        <f>TechData_DMD!A384</f>
        <v>R2,R3,R4,R5,R6</v>
      </c>
      <c r="C350" s="675" t="s">
        <v>2998</v>
      </c>
      <c r="D350" s="674" t="str">
        <f>TechData_DMD!B384</f>
        <v>RLTLT1210</v>
      </c>
      <c r="E350" s="674" t="str">
        <f>TechData_DMD!C384</f>
        <v>RLT.LFL.T12.10</v>
      </c>
      <c r="F350" s="675" t="s">
        <v>376</v>
      </c>
      <c r="G350" s="675" t="s">
        <v>409</v>
      </c>
      <c r="H350" s="674"/>
      <c r="I350" s="674"/>
    </row>
    <row r="351" spans="2:9">
      <c r="B351" s="674" t="str">
        <f>TechData_DMD!A385</f>
        <v>R2,R3,R4,R5,R6</v>
      </c>
      <c r="C351" s="675" t="s">
        <v>2998</v>
      </c>
      <c r="D351" s="674" t="str">
        <f>TechData_DMD!B385</f>
        <v>RLTLFL10</v>
      </c>
      <c r="E351" s="674" t="str">
        <f>TechData_DMD!C385</f>
        <v>RLT.LFL.10</v>
      </c>
      <c r="F351" s="675" t="s">
        <v>376</v>
      </c>
      <c r="G351" s="675" t="s">
        <v>409</v>
      </c>
      <c r="H351" s="674"/>
      <c r="I351" s="674"/>
    </row>
    <row r="352" spans="2:9">
      <c r="B352" s="674" t="str">
        <f>TechData_DMD!A386</f>
        <v>R2,R3,R4,R5,R6</v>
      </c>
      <c r="C352" s="675" t="s">
        <v>2998</v>
      </c>
      <c r="D352" s="674" t="str">
        <f>TechData_DMD!B386</f>
        <v>RLTLT810</v>
      </c>
      <c r="E352" s="674" t="str">
        <f>TechData_DMD!C386</f>
        <v>RLT.LFL.T8.10</v>
      </c>
      <c r="F352" s="675" t="s">
        <v>376</v>
      </c>
      <c r="G352" s="675" t="s">
        <v>409</v>
      </c>
      <c r="H352" s="674"/>
      <c r="I352" s="674"/>
    </row>
    <row r="353" spans="2:9">
      <c r="B353" s="674" t="str">
        <f>TechData_DMD!A387</f>
        <v>*</v>
      </c>
      <c r="C353" s="675" t="s">
        <v>2998</v>
      </c>
      <c r="D353" s="674" t="str">
        <f>TechData_DMD!B387</f>
        <v>RLTLT830</v>
      </c>
      <c r="E353" s="674" t="str">
        <f>TechData_DMD!C387</f>
        <v>RLT.LFL.T8.30</v>
      </c>
      <c r="F353" s="675" t="s">
        <v>376</v>
      </c>
      <c r="G353" s="675" t="s">
        <v>409</v>
      </c>
      <c r="H353" s="674"/>
      <c r="I353" s="674"/>
    </row>
    <row r="354" spans="2:9">
      <c r="B354" s="674" t="str">
        <f>TechData_DMD!A388</f>
        <v>R2,R3,R4,R5,R6</v>
      </c>
      <c r="C354" s="675" t="s">
        <v>2998</v>
      </c>
      <c r="D354" s="674" t="str">
        <f>TechData_DMD!B388</f>
        <v>RLTLLED10</v>
      </c>
      <c r="E354" s="674" t="str">
        <f>TechData_DMD!C388</f>
        <v>RLT.LFL.LED.10</v>
      </c>
      <c r="F354" s="675" t="s">
        <v>376</v>
      </c>
      <c r="G354" s="675" t="s">
        <v>409</v>
      </c>
      <c r="H354" s="674"/>
      <c r="I354" s="674"/>
    </row>
    <row r="355" spans="2:9">
      <c r="B355" s="674" t="str">
        <f>TechData_DMD!A389</f>
        <v>*</v>
      </c>
      <c r="C355" s="675" t="s">
        <v>2998</v>
      </c>
      <c r="D355" s="674" t="str">
        <f>TechData_DMD!B389</f>
        <v>RLTLLED15</v>
      </c>
      <c r="E355" s="674" t="str">
        <f>TechData_DMD!C389</f>
        <v>RLT.LFL.LED.15</v>
      </c>
      <c r="F355" s="675" t="s">
        <v>376</v>
      </c>
      <c r="G355" s="675" t="s">
        <v>409</v>
      </c>
      <c r="H355" s="674"/>
      <c r="I355" s="674"/>
    </row>
    <row r="356" spans="2:9">
      <c r="B356" s="674" t="str">
        <f>TechData_DMD!A390</f>
        <v>*</v>
      </c>
      <c r="C356" s="675" t="s">
        <v>2998</v>
      </c>
      <c r="D356" s="674" t="str">
        <f>TechData_DMD!B390</f>
        <v>RLTLLED20</v>
      </c>
      <c r="E356" s="674" t="str">
        <f>TechData_DMD!C390</f>
        <v>RLT.LFL.LED.20</v>
      </c>
      <c r="F356" s="675" t="s">
        <v>376</v>
      </c>
      <c r="G356" s="675" t="s">
        <v>409</v>
      </c>
      <c r="H356" s="674"/>
      <c r="I356" s="674"/>
    </row>
    <row r="357" spans="2:9">
      <c r="B357" s="674" t="str">
        <f>TechData_DMD!A391</f>
        <v>*</v>
      </c>
      <c r="C357" s="675" t="s">
        <v>2998</v>
      </c>
      <c r="D357" s="674" t="str">
        <f>TechData_DMD!B391</f>
        <v>RLTLLED30</v>
      </c>
      <c r="E357" s="674" t="str">
        <f>TechData_DMD!C391</f>
        <v>RLT.LFL.LED.30</v>
      </c>
      <c r="F357" s="675" t="s">
        <v>376</v>
      </c>
      <c r="G357" s="675" t="s">
        <v>409</v>
      </c>
      <c r="H357" s="674"/>
      <c r="I357" s="674"/>
    </row>
    <row r="358" spans="2:9">
      <c r="B358" s="674" t="str">
        <f>TechData_DMD!A393</f>
        <v>R2,R3,R4,R5,R6</v>
      </c>
      <c r="C358" s="675" t="s">
        <v>2998</v>
      </c>
      <c r="D358" s="674" t="str">
        <f>TechData_DMD!B393</f>
        <v>RLTEXTBS</v>
      </c>
      <c r="E358" s="674" t="str">
        <f>TechData_DMD!C393</f>
        <v>RLT.EXT.BS</v>
      </c>
      <c r="F358" s="675" t="s">
        <v>376</v>
      </c>
      <c r="G358" s="675" t="s">
        <v>409</v>
      </c>
      <c r="H358" s="674"/>
      <c r="I358" s="674"/>
    </row>
    <row r="359" spans="2:9">
      <c r="B359" s="674" t="str">
        <f>TechData_DMD!A394</f>
        <v>R2,R3,R4,R5,R6</v>
      </c>
      <c r="C359" s="675" t="s">
        <v>2998</v>
      </c>
      <c r="D359" s="674" t="str">
        <f>TechData_DMD!B394</f>
        <v>RLTEINC10</v>
      </c>
      <c r="E359" s="674" t="str">
        <f>TechData_DMD!C394</f>
        <v>RLT.EXT.INC.10</v>
      </c>
      <c r="F359" s="675" t="s">
        <v>376</v>
      </c>
      <c r="G359" s="675" t="s">
        <v>409</v>
      </c>
      <c r="H359" s="674"/>
      <c r="I359" s="674"/>
    </row>
    <row r="360" spans="2:9">
      <c r="B360" s="674" t="str">
        <f>TechData_DMD!A395</f>
        <v>*</v>
      </c>
      <c r="C360" s="675" t="s">
        <v>2998</v>
      </c>
      <c r="D360" s="674" t="str">
        <f>TechData_DMD!B395</f>
        <v>RLTEINC15</v>
      </c>
      <c r="E360" s="674" t="str">
        <f>TechData_DMD!C395</f>
        <v>RLT.EXT.INC.15</v>
      </c>
      <c r="F360" s="675" t="s">
        <v>376</v>
      </c>
      <c r="G360" s="675" t="s">
        <v>409</v>
      </c>
      <c r="H360" s="674"/>
      <c r="I360" s="674"/>
    </row>
    <row r="361" spans="2:9">
      <c r="B361" s="674" t="str">
        <f>TechData_DMD!A396</f>
        <v>*</v>
      </c>
      <c r="C361" s="675" t="s">
        <v>2998</v>
      </c>
      <c r="D361" s="674" t="str">
        <f>TechData_DMD!B396</f>
        <v>RLTEINC20</v>
      </c>
      <c r="E361" s="674" t="str">
        <f>TechData_DMD!C396</f>
        <v>RLT.EXT.INC.20</v>
      </c>
      <c r="F361" s="675" t="s">
        <v>376</v>
      </c>
      <c r="G361" s="675" t="s">
        <v>409</v>
      </c>
      <c r="H361" s="674"/>
      <c r="I361" s="674"/>
    </row>
    <row r="362" spans="2:9">
      <c r="B362" s="674" t="str">
        <f>TechData_DMD!A397</f>
        <v>*</v>
      </c>
      <c r="C362" s="675" t="s">
        <v>2998</v>
      </c>
      <c r="D362" s="674" t="str">
        <f>TechData_DMD!B397</f>
        <v>RLTEINC30</v>
      </c>
      <c r="E362" s="674" t="str">
        <f>TechData_DMD!C397</f>
        <v>RLT.EXT.INC.30</v>
      </c>
      <c r="F362" s="675" t="s">
        <v>376</v>
      </c>
      <c r="G362" s="675" t="s">
        <v>409</v>
      </c>
      <c r="H362" s="674"/>
      <c r="I362" s="674"/>
    </row>
    <row r="363" spans="2:9">
      <c r="B363" s="674" t="str">
        <f>TechData_DMD!A398</f>
        <v>*</v>
      </c>
      <c r="C363" s="675" t="s">
        <v>2998</v>
      </c>
      <c r="D363" s="674" t="str">
        <f>TechData_DMD!B398</f>
        <v>RLTEINC40</v>
      </c>
      <c r="E363" s="674" t="str">
        <f>TechData_DMD!C398</f>
        <v>RLT.EXT.INC.40</v>
      </c>
      <c r="F363" s="675" t="s">
        <v>376</v>
      </c>
      <c r="G363" s="675" t="s">
        <v>409</v>
      </c>
      <c r="H363" s="674"/>
      <c r="I363" s="674"/>
    </row>
    <row r="364" spans="2:9">
      <c r="B364" s="674" t="str">
        <f>TechData_DMD!A399</f>
        <v>R2,R3,R4,R5,R6</v>
      </c>
      <c r="C364" s="675" t="s">
        <v>2998</v>
      </c>
      <c r="D364" s="674" t="str">
        <f>TechData_DMD!B399</f>
        <v>RLTECFL10</v>
      </c>
      <c r="E364" s="674" t="str">
        <f>TechData_DMD!C399</f>
        <v>RLT.EXT.CFL.10</v>
      </c>
      <c r="F364" s="675" t="s">
        <v>376</v>
      </c>
      <c r="G364" s="675" t="s">
        <v>409</v>
      </c>
      <c r="H364" s="674"/>
      <c r="I364" s="674"/>
    </row>
    <row r="365" spans="2:9">
      <c r="B365" s="674" t="str">
        <f>TechData_DMD!A400</f>
        <v>*</v>
      </c>
      <c r="C365" s="675" t="s">
        <v>2998</v>
      </c>
      <c r="D365" s="674" t="str">
        <f>TechData_DMD!B400</f>
        <v>RLTECFL20</v>
      </c>
      <c r="E365" s="674" t="str">
        <f>TechData_DMD!C400</f>
        <v>RLT.EXT.CFL.20</v>
      </c>
      <c r="F365" s="675" t="s">
        <v>376</v>
      </c>
      <c r="G365" s="675" t="s">
        <v>409</v>
      </c>
      <c r="H365" s="674"/>
      <c r="I365" s="674"/>
    </row>
    <row r="366" spans="2:9">
      <c r="B366" s="674" t="str">
        <f>TechData_DMD!A401</f>
        <v>*</v>
      </c>
      <c r="C366" s="675" t="s">
        <v>2998</v>
      </c>
      <c r="D366" s="674" t="str">
        <f>TechData_DMD!B401</f>
        <v>RLTECFL30</v>
      </c>
      <c r="E366" s="674" t="str">
        <f>TechData_DMD!C401</f>
        <v>RLT.EXT.CFL.30</v>
      </c>
      <c r="F366" s="675" t="s">
        <v>376</v>
      </c>
      <c r="G366" s="675" t="s">
        <v>409</v>
      </c>
      <c r="H366" s="674"/>
      <c r="I366" s="674"/>
    </row>
    <row r="367" spans="2:9">
      <c r="B367" s="674" t="str">
        <f>TechData_DMD!A402</f>
        <v>*</v>
      </c>
      <c r="C367" s="675" t="s">
        <v>2998</v>
      </c>
      <c r="D367" s="674" t="str">
        <f>TechData_DMD!B402</f>
        <v>RLTECFL40</v>
      </c>
      <c r="E367" s="674" t="str">
        <f>TechData_DMD!C402</f>
        <v>RLT.EXT.CFL.40</v>
      </c>
      <c r="F367" s="675" t="s">
        <v>376</v>
      </c>
      <c r="G367" s="675" t="s">
        <v>409</v>
      </c>
      <c r="H367" s="674"/>
      <c r="I367" s="674"/>
    </row>
    <row r="368" spans="2:9">
      <c r="B368" s="674" t="str">
        <f>TechData_DMD!A403</f>
        <v>R2,R3,R4,R5,R6</v>
      </c>
      <c r="C368" s="675" t="s">
        <v>2998</v>
      </c>
      <c r="D368" s="674" t="str">
        <f>TechData_DMD!B403</f>
        <v>RLTEHPS10</v>
      </c>
      <c r="E368" s="674" t="str">
        <f>TechData_DMD!C403</f>
        <v>RLT.EXT.HPS.10</v>
      </c>
      <c r="F368" s="675" t="s">
        <v>376</v>
      </c>
      <c r="G368" s="675" t="s">
        <v>409</v>
      </c>
      <c r="H368" s="674"/>
      <c r="I368" s="674"/>
    </row>
    <row r="369" spans="2:9">
      <c r="B369" s="674" t="str">
        <f>TechData_DMD!A404</f>
        <v>*</v>
      </c>
      <c r="C369" s="675" t="s">
        <v>2998</v>
      </c>
      <c r="D369" s="674" t="str">
        <f>TechData_DMD!B404</f>
        <v>RLTEHPS20</v>
      </c>
      <c r="E369" s="674" t="str">
        <f>TechData_DMD!C404</f>
        <v>RLT.EXT.HPS.20</v>
      </c>
      <c r="F369" s="675" t="s">
        <v>376</v>
      </c>
      <c r="G369" s="675" t="s">
        <v>409</v>
      </c>
      <c r="H369" s="674"/>
      <c r="I369" s="674"/>
    </row>
    <row r="370" spans="2:9">
      <c r="B370" s="674" t="str">
        <f>TechData_DMD!A405</f>
        <v>R2,R3,R4,R5,R6</v>
      </c>
      <c r="C370" s="675" t="s">
        <v>2998</v>
      </c>
      <c r="D370" s="674" t="str">
        <f>TechData_DMD!B405</f>
        <v>RLTELED10</v>
      </c>
      <c r="E370" s="674" t="str">
        <f>TechData_DMD!C405</f>
        <v>RLT.EXT.LED.10</v>
      </c>
      <c r="F370" s="675" t="s">
        <v>376</v>
      </c>
      <c r="G370" s="675" t="s">
        <v>409</v>
      </c>
      <c r="H370" s="674"/>
      <c r="I370" s="674"/>
    </row>
    <row r="371" spans="2:9">
      <c r="B371" s="674" t="str">
        <f>TechData_DMD!A406</f>
        <v>*</v>
      </c>
      <c r="C371" s="675" t="s">
        <v>2998</v>
      </c>
      <c r="D371" s="674" t="str">
        <f>TechData_DMD!B406</f>
        <v>RLTELED15</v>
      </c>
      <c r="E371" s="674" t="str">
        <f>TechData_DMD!C406</f>
        <v>RLT.EXT.LED.15</v>
      </c>
      <c r="F371" s="675" t="s">
        <v>376</v>
      </c>
      <c r="G371" s="675" t="s">
        <v>409</v>
      </c>
      <c r="H371" s="674"/>
      <c r="I371" s="674"/>
    </row>
    <row r="372" spans="2:9">
      <c r="B372" s="674" t="str">
        <f>TechData_DMD!A407</f>
        <v>*</v>
      </c>
      <c r="C372" s="675" t="s">
        <v>2998</v>
      </c>
      <c r="D372" s="674" t="str">
        <f>TechData_DMD!B407</f>
        <v>RLTELED20</v>
      </c>
      <c r="E372" s="674" t="str">
        <f>TechData_DMD!C407</f>
        <v>RLT.EXT.LED.20</v>
      </c>
      <c r="F372" s="675" t="s">
        <v>376</v>
      </c>
      <c r="G372" s="675" t="s">
        <v>409</v>
      </c>
      <c r="H372" s="674"/>
      <c r="I372" s="674"/>
    </row>
    <row r="373" spans="2:9">
      <c r="B373" s="674" t="str">
        <f>TechData_DMD!A408</f>
        <v>*</v>
      </c>
      <c r="C373" s="675" t="s">
        <v>2998</v>
      </c>
      <c r="D373" s="674" t="str">
        <f>TechData_DMD!B408</f>
        <v>RLTELED25</v>
      </c>
      <c r="E373" s="674" t="str">
        <f>TechData_DMD!C408</f>
        <v>RLT.EXT.LED.25</v>
      </c>
      <c r="F373" s="675" t="s">
        <v>376</v>
      </c>
      <c r="G373" s="675" t="s">
        <v>409</v>
      </c>
      <c r="H373" s="674"/>
      <c r="I373" s="674"/>
    </row>
    <row r="374" spans="2:9">
      <c r="B374" s="674" t="str">
        <f>TechData_DMD!A409</f>
        <v>*</v>
      </c>
      <c r="C374" s="675" t="s">
        <v>2998</v>
      </c>
      <c r="D374" s="674" t="str">
        <f>TechData_DMD!B409</f>
        <v>RLTELED30</v>
      </c>
      <c r="E374" s="674" t="str">
        <f>TechData_DMD!C409</f>
        <v>RLT.EXT.LED.30</v>
      </c>
      <c r="F374" s="675" t="s">
        <v>376</v>
      </c>
      <c r="G374" s="675" t="s">
        <v>409</v>
      </c>
      <c r="H374" s="674"/>
      <c r="I374" s="674"/>
    </row>
    <row r="375" spans="2:9" s="1" customFormat="1">
      <c r="B375" s="684" t="s">
        <v>1094</v>
      </c>
      <c r="C375" s="685"/>
      <c r="D375" s="682"/>
      <c r="E375" s="682"/>
      <c r="F375" s="685"/>
      <c r="G375" s="685"/>
      <c r="H375" s="682"/>
      <c r="I375" s="682"/>
    </row>
    <row r="376" spans="2:9">
      <c r="B376" s="674" t="str">
        <f>TechData_DMD!A411</f>
        <v>R2,R3,R4,R5,R6</v>
      </c>
      <c r="C376" s="675" t="s">
        <v>2998</v>
      </c>
      <c r="D376" s="674" t="str">
        <f>TechData_DMD!B411</f>
        <v>ROTHCELC</v>
      </c>
      <c r="E376" s="674" t="str">
        <f>TechData_DMD!C411</f>
        <v>Residential Other - Electric</v>
      </c>
      <c r="F376" s="675" t="s">
        <v>348</v>
      </c>
      <c r="G376" s="675" t="s">
        <v>387</v>
      </c>
      <c r="H376" s="674"/>
      <c r="I376" s="674"/>
    </row>
    <row r="377" spans="2:9">
      <c r="B377" s="674" t="str">
        <f>TechData_DMD!A412</f>
        <v>R2,R3,R4,R5,R6</v>
      </c>
      <c r="C377" s="675" t="s">
        <v>2998</v>
      </c>
      <c r="D377" s="674" t="str">
        <f>TechData_DMD!B412</f>
        <v>ROTHNGA</v>
      </c>
      <c r="E377" s="674" t="str">
        <f>TechData_DMD!C412</f>
        <v>Residential Other - NGA</v>
      </c>
      <c r="F377" s="675" t="s">
        <v>348</v>
      </c>
      <c r="G377" s="675" t="s">
        <v>387</v>
      </c>
      <c r="H377" s="674"/>
      <c r="I377" s="674"/>
    </row>
    <row r="378" spans="2:9">
      <c r="B378" s="674" t="str">
        <f>TechData_DMD!A413</f>
        <v>*</v>
      </c>
      <c r="C378" s="675" t="s">
        <v>2998</v>
      </c>
      <c r="D378" s="674" t="str">
        <f>TechData_DMD!B413</f>
        <v>ROTHLPG</v>
      </c>
      <c r="E378" s="674" t="str">
        <f>TechData_DMD!C413</f>
        <v>Residential Other - LPG</v>
      </c>
      <c r="F378" s="675" t="s">
        <v>348</v>
      </c>
      <c r="G378" s="675" t="s">
        <v>387</v>
      </c>
      <c r="H378" s="674"/>
      <c r="I378" s="674"/>
    </row>
    <row r="379" spans="2:9">
      <c r="B379" s="684" t="str">
        <f>TechData_DMD!A414</f>
        <v>* Dummy/Pass Through Technologies for NYC LITE Model to Meet Populaiton Demand</v>
      </c>
      <c r="C379" s="685"/>
      <c r="D379" s="682"/>
      <c r="E379" s="682"/>
      <c r="F379" s="685" t="s">
        <v>348</v>
      </c>
      <c r="G379" s="685" t="s">
        <v>387</v>
      </c>
      <c r="H379" s="682"/>
      <c r="I379" s="682"/>
    </row>
    <row r="380" spans="2:9">
      <c r="B380" s="674" t="str">
        <f>TechData_DMD!A416</f>
        <v>R2,R3,R4,R5,R6</v>
      </c>
      <c r="C380" s="675" t="s">
        <v>2998</v>
      </c>
      <c r="D380" s="674" t="str">
        <f>TechData_DMD!B416</f>
        <v>RBLDHEDM</v>
      </c>
      <c r="E380" s="674" t="str">
        <f>TechData_DMD!C416</f>
        <v>Residential Building High Eff</v>
      </c>
      <c r="F380" s="675" t="s">
        <v>348</v>
      </c>
      <c r="G380" s="675" t="s">
        <v>387</v>
      </c>
      <c r="H380" s="674"/>
      <c r="I380" s="674"/>
    </row>
    <row r="381" spans="2:9">
      <c r="B381" s="674" t="str">
        <f>TechData_DMD!A417</f>
        <v>*</v>
      </c>
      <c r="C381" s="675" t="s">
        <v>2998</v>
      </c>
      <c r="D381" s="674" t="str">
        <f>TechData_DMD!B417</f>
        <v>RBLDMEDM</v>
      </c>
      <c r="E381" s="674" t="str">
        <f>TechData_DMD!C417</f>
        <v>Residential Building Medium Eff</v>
      </c>
      <c r="F381" s="675" t="s">
        <v>348</v>
      </c>
      <c r="G381" s="675" t="s">
        <v>387</v>
      </c>
      <c r="H381" s="674"/>
      <c r="I381" s="674"/>
    </row>
    <row r="382" spans="2:9">
      <c r="B382" s="674" t="str">
        <f>TechData_DMD!A418</f>
        <v>R2,R3,R4,R5,R6</v>
      </c>
      <c r="C382" s="675" t="s">
        <v>2998</v>
      </c>
      <c r="D382" s="674" t="str">
        <f>TechData_DMD!B418</f>
        <v>RBLDLEDM</v>
      </c>
      <c r="E382" s="674" t="str">
        <f>TechData_DMD!C418</f>
        <v>Residential Building Low Eff</v>
      </c>
      <c r="F382" s="675" t="s">
        <v>348</v>
      </c>
      <c r="G382" s="675" t="s">
        <v>387</v>
      </c>
      <c r="H382" s="674"/>
      <c r="I382" s="674"/>
    </row>
    <row r="383" spans="2:9">
      <c r="B383" s="674" t="str">
        <f>TechData_DMD!A420</f>
        <v>R2,R3,R4,R5,R6</v>
      </c>
      <c r="C383" s="675" t="s">
        <v>2998</v>
      </c>
      <c r="D383" s="674" t="str">
        <f>TechData_DMD!B420</f>
        <v>RBROOFDM</v>
      </c>
      <c r="E383" s="674" t="str">
        <f>TechData_DMD!C420</f>
        <v>Residential Sector Black Roof</v>
      </c>
      <c r="F383" s="675" t="s">
        <v>348</v>
      </c>
      <c r="G383" s="675" t="s">
        <v>387</v>
      </c>
      <c r="H383" s="674"/>
      <c r="I383" s="674"/>
    </row>
    <row r="384" spans="2:9">
      <c r="B384" s="674" t="str">
        <f>TechData_DMD!A421</f>
        <v>R2,R3,R4,R5,R6</v>
      </c>
      <c r="C384" s="675" t="s">
        <v>2998</v>
      </c>
      <c r="D384" s="674" t="str">
        <f>TechData_DMD!B421</f>
        <v>RWTROOFDM</v>
      </c>
      <c r="E384" s="674" t="str">
        <f>TechData_DMD!C421</f>
        <v>Residential Sector White Roof</v>
      </c>
      <c r="F384" s="675" t="s">
        <v>348</v>
      </c>
      <c r="G384" s="675" t="s">
        <v>387</v>
      </c>
      <c r="H384" s="674"/>
      <c r="I384" s="674"/>
    </row>
    <row r="385" spans="2:9">
      <c r="B385" s="674" t="str">
        <f>TechData_DMD!A422</f>
        <v>R2,R3,R4,R5,R6</v>
      </c>
      <c r="C385" s="675" t="s">
        <v>2998</v>
      </c>
      <c r="D385" s="674" t="str">
        <f>TechData_DMD!B422</f>
        <v>RGROOF6DM</v>
      </c>
      <c r="E385" s="674" t="str">
        <f>TechData_DMD!C422</f>
        <v>Residential Sector Green Roof 6 Inch Depth</v>
      </c>
      <c r="F385" s="675" t="s">
        <v>348</v>
      </c>
      <c r="G385" s="675" t="s">
        <v>387</v>
      </c>
      <c r="H385" s="674"/>
      <c r="I385" s="674"/>
    </row>
    <row r="386" spans="2:9">
      <c r="B386" s="674" t="str">
        <f>TechData_DMD!A423</f>
        <v>R2,R3,R4,R5,R6</v>
      </c>
      <c r="C386" s="675" t="s">
        <v>2998</v>
      </c>
      <c r="D386" s="674" t="str">
        <f>TechData_DMD!B423</f>
        <v>RGROOF12DM</v>
      </c>
      <c r="E386" s="674" t="str">
        <f>TechData_DMD!C423</f>
        <v>Residential Sector Green Roof 12 Inch Depth</v>
      </c>
      <c r="F386" s="675" t="s">
        <v>348</v>
      </c>
      <c r="G386" s="675" t="s">
        <v>387</v>
      </c>
      <c r="H386" s="674"/>
      <c r="I386" s="674"/>
    </row>
    <row r="387" spans="2:9">
      <c r="B387" s="684" t="str">
        <f>TechData_DMD!A425</f>
        <v>* Green Infrastructure Heating &amp; Cooling Technologies</v>
      </c>
      <c r="C387" s="685"/>
      <c r="D387" s="682"/>
      <c r="E387" s="682"/>
      <c r="F387" s="685" t="s">
        <v>348</v>
      </c>
      <c r="G387" s="685" t="s">
        <v>387</v>
      </c>
      <c r="H387" s="682"/>
      <c r="I387" s="682"/>
    </row>
    <row r="388" spans="2:9">
      <c r="B388" s="674" t="str">
        <f>TechData_DMD!A427</f>
        <v>*</v>
      </c>
      <c r="C388" s="675" t="s">
        <v>2998</v>
      </c>
      <c r="D388" s="674" t="str">
        <f>TechData_DMD!B427</f>
        <v>RSHRFBLK</v>
      </c>
      <c r="E388" s="674" t="str">
        <f>TechData_DMD!C427</f>
        <v>Heating provided by black roofs</v>
      </c>
      <c r="F388" s="675" t="s">
        <v>348</v>
      </c>
      <c r="G388" s="675" t="s">
        <v>387</v>
      </c>
      <c r="H388" s="674"/>
      <c r="I388" s="674"/>
    </row>
    <row r="389" spans="2:9">
      <c r="B389" s="674" t="str">
        <f>TechData_DMD!A428</f>
        <v>*</v>
      </c>
      <c r="C389" s="675" t="s">
        <v>2998</v>
      </c>
      <c r="D389" s="674" t="str">
        <f>TechData_DMD!B428</f>
        <v>RSHRFWT</v>
      </c>
      <c r="E389" s="674" t="str">
        <f>TechData_DMD!C428</f>
        <v>Heating provided by white roofs</v>
      </c>
      <c r="F389" s="675" t="s">
        <v>348</v>
      </c>
      <c r="G389" s="675" t="s">
        <v>387</v>
      </c>
      <c r="H389" s="674"/>
      <c r="I389" s="674"/>
    </row>
    <row r="390" spans="2:9">
      <c r="B390" s="674" t="str">
        <f>TechData_DMD!A429</f>
        <v>*</v>
      </c>
      <c r="C390" s="675" t="s">
        <v>2998</v>
      </c>
      <c r="D390" s="674" t="str">
        <f>TechData_DMD!B429</f>
        <v>RSHRFG6</v>
      </c>
      <c r="E390" s="674" t="str">
        <f>TechData_DMD!C429</f>
        <v>Heating provided by 6 inch green roofs</v>
      </c>
      <c r="F390" s="675" t="s">
        <v>348</v>
      </c>
      <c r="G390" s="675" t="s">
        <v>387</v>
      </c>
      <c r="H390" s="674"/>
      <c r="I390" s="674"/>
    </row>
    <row r="391" spans="2:9">
      <c r="B391" s="674" t="str">
        <f>TechData_DMD!A430</f>
        <v>*</v>
      </c>
      <c r="C391" s="675" t="s">
        <v>2998</v>
      </c>
      <c r="D391" s="674" t="str">
        <f>TechData_DMD!B430</f>
        <v>RSHRFG12</v>
      </c>
      <c r="E391" s="674" t="str">
        <f>TechData_DMD!C430</f>
        <v>Heating provided by 12 inch green roofs</v>
      </c>
      <c r="F391" s="675" t="s">
        <v>348</v>
      </c>
      <c r="G391" s="675" t="s">
        <v>387</v>
      </c>
      <c r="H391" s="674"/>
      <c r="I391" s="674"/>
    </row>
    <row r="392" spans="2:9">
      <c r="B392" s="674" t="str">
        <f>TechData_DMD!A431</f>
        <v>*</v>
      </c>
      <c r="C392" s="675" t="s">
        <v>2998</v>
      </c>
      <c r="D392" s="674" t="str">
        <f>TechData_DMD!B431</f>
        <v>RSCRFBLK</v>
      </c>
      <c r="E392" s="674" t="str">
        <f>TechData_DMD!C431</f>
        <v>Cooling provided by black roofs</v>
      </c>
      <c r="F392" s="675" t="s">
        <v>348</v>
      </c>
      <c r="G392" s="675" t="s">
        <v>387</v>
      </c>
      <c r="H392" s="674"/>
      <c r="I392" s="674"/>
    </row>
    <row r="393" spans="2:9">
      <c r="B393" s="674" t="str">
        <f>TechData_DMD!A432</f>
        <v>*</v>
      </c>
      <c r="C393" s="675" t="s">
        <v>2998</v>
      </c>
      <c r="D393" s="674" t="str">
        <f>TechData_DMD!B432</f>
        <v>RSCRFWT</v>
      </c>
      <c r="E393" s="674" t="str">
        <f>TechData_DMD!C432</f>
        <v>Cooling provided by white roofs</v>
      </c>
      <c r="F393" s="675" t="s">
        <v>348</v>
      </c>
      <c r="G393" s="675" t="s">
        <v>387</v>
      </c>
      <c r="H393" s="674"/>
      <c r="I393" s="674"/>
    </row>
    <row r="394" spans="2:9">
      <c r="B394" s="674" t="str">
        <f>TechData_DMD!A433</f>
        <v>*</v>
      </c>
      <c r="C394" s="675" t="s">
        <v>2998</v>
      </c>
      <c r="D394" s="674" t="str">
        <f>TechData_DMD!B433</f>
        <v>RSCRFG6</v>
      </c>
      <c r="E394" s="674" t="str">
        <f>TechData_DMD!C433</f>
        <v>Cooling provided by 6 inch green roofs</v>
      </c>
      <c r="F394" s="675" t="s">
        <v>348</v>
      </c>
      <c r="G394" s="675" t="s">
        <v>387</v>
      </c>
      <c r="H394" s="674"/>
      <c r="I394" s="674"/>
    </row>
    <row r="395" spans="2:9">
      <c r="B395" s="674" t="str">
        <f>TechData_DMD!A434</f>
        <v>*</v>
      </c>
      <c r="C395" s="675" t="s">
        <v>2998</v>
      </c>
      <c r="D395" s="674" t="str">
        <f>TechData_DMD!B434</f>
        <v>RSCRFG12</v>
      </c>
      <c r="E395" s="674" t="str">
        <f>TechData_DMD!C434</f>
        <v>Cooling provided by 12 inch green roofs</v>
      </c>
      <c r="F395" s="675" t="s">
        <v>348</v>
      </c>
      <c r="G395" s="675" t="s">
        <v>387</v>
      </c>
      <c r="H395" s="674"/>
      <c r="I395" s="674"/>
    </row>
    <row r="396" spans="2:9">
      <c r="B396" s="684" t="s">
        <v>432</v>
      </c>
      <c r="C396" s="685"/>
      <c r="D396" s="682"/>
      <c r="E396" s="682"/>
      <c r="F396" s="685"/>
      <c r="G396" s="685"/>
      <c r="H396" s="682"/>
      <c r="I396" s="682"/>
    </row>
    <row r="397" spans="2:9">
      <c r="B397" s="674" t="e">
        <f>#REF!</f>
        <v>#REF!</v>
      </c>
      <c r="C397" s="675" t="s">
        <v>2999</v>
      </c>
      <c r="D397" s="674" t="e">
        <f>#REF!</f>
        <v>#REF!</v>
      </c>
      <c r="E397" s="674" t="e">
        <f>#REF!</f>
        <v>#REF!</v>
      </c>
      <c r="F397" s="675" t="s">
        <v>348</v>
      </c>
      <c r="G397" s="675" t="s">
        <v>387</v>
      </c>
      <c r="H397" s="674"/>
      <c r="I397" s="674"/>
    </row>
    <row r="398" spans="2:9">
      <c r="B398" s="684" t="s">
        <v>865</v>
      </c>
      <c r="C398" s="685"/>
      <c r="D398" s="682"/>
      <c r="E398" s="682"/>
      <c r="F398" s="685"/>
      <c r="G398" s="685"/>
      <c r="H398" s="682"/>
      <c r="I398" s="682"/>
    </row>
    <row r="399" spans="2:9">
      <c r="B399" s="674" t="s">
        <v>1528</v>
      </c>
      <c r="C399" s="675" t="s">
        <v>2999</v>
      </c>
      <c r="D399" s="680" t="str">
        <f>TechData_SolarPV!B7</f>
        <v>ESOLPVRES</v>
      </c>
      <c r="E399" s="680" t="str">
        <f>TechData_SolarPV!C7</f>
        <v>Solar PV Distributed Residential Generation</v>
      </c>
      <c r="F399" s="675" t="s">
        <v>348</v>
      </c>
      <c r="G399" s="675" t="s">
        <v>1527</v>
      </c>
      <c r="H399" s="674"/>
      <c r="I399" s="674"/>
    </row>
    <row r="400" spans="2:9">
      <c r="B400" s="674"/>
      <c r="C400" s="675"/>
      <c r="D400" s="674"/>
      <c r="E400" s="674"/>
      <c r="F400" s="675"/>
      <c r="G400" s="675"/>
      <c r="H400" s="674"/>
      <c r="I400" s="674"/>
    </row>
    <row r="401" spans="2:9">
      <c r="B401" s="674"/>
      <c r="C401" s="675"/>
      <c r="D401" s="674"/>
      <c r="E401" s="674"/>
      <c r="F401" s="675"/>
      <c r="G401" s="675"/>
      <c r="H401" s="674"/>
      <c r="I401" s="674"/>
    </row>
    <row r="402" spans="2:9">
      <c r="B402" s="674"/>
      <c r="C402" s="675"/>
      <c r="D402" s="674"/>
      <c r="E402" s="674"/>
      <c r="F402" s="675"/>
      <c r="G402" s="675"/>
      <c r="H402" s="674"/>
      <c r="I402" s="674"/>
    </row>
    <row r="403" spans="2:9">
      <c r="B403" s="674"/>
      <c r="C403" s="675"/>
      <c r="D403" s="674"/>
      <c r="E403" s="674"/>
      <c r="F403" s="675"/>
      <c r="G403" s="675"/>
      <c r="H403" s="674"/>
      <c r="I403" s="674"/>
    </row>
    <row r="404" spans="2:9">
      <c r="B404" s="674"/>
      <c r="C404" s="675"/>
      <c r="D404" s="674"/>
      <c r="E404" s="674"/>
      <c r="F404" s="675"/>
      <c r="G404" s="675"/>
      <c r="H404" s="674"/>
      <c r="I404" s="674"/>
    </row>
    <row r="405" spans="2:9">
      <c r="B405" s="674"/>
      <c r="C405" s="675"/>
      <c r="D405" s="674"/>
      <c r="E405" s="674"/>
      <c r="F405" s="675"/>
      <c r="G405" s="675"/>
      <c r="H405" s="674"/>
      <c r="I405" s="674"/>
    </row>
    <row r="406" spans="2:9">
      <c r="B406" s="674"/>
      <c r="C406" s="675"/>
      <c r="D406" s="674"/>
      <c r="E406" s="674"/>
      <c r="F406" s="675"/>
      <c r="G406" s="675"/>
      <c r="H406" s="674"/>
      <c r="I406" s="674"/>
    </row>
    <row r="407" spans="2:9">
      <c r="C407" s="667"/>
      <c r="F407" s="667"/>
      <c r="G407" s="667"/>
    </row>
    <row r="408" spans="2:9">
      <c r="C408" s="667"/>
      <c r="F408" s="667"/>
      <c r="G408" s="667"/>
    </row>
    <row r="409" spans="2:9">
      <c r="C409" s="667"/>
      <c r="F409" s="667"/>
      <c r="G409" s="667"/>
    </row>
    <row r="410" spans="2:9">
      <c r="C410" s="667"/>
      <c r="F410" s="667"/>
      <c r="G410" s="667"/>
    </row>
    <row r="411" spans="2:9">
      <c r="C411" s="667"/>
      <c r="F411" s="667"/>
      <c r="G411" s="667"/>
    </row>
    <row r="412" spans="2:9">
      <c r="C412" s="667"/>
      <c r="F412" s="667"/>
      <c r="G412" s="667"/>
    </row>
    <row r="413" spans="2:9">
      <c r="C413" s="667"/>
      <c r="F413" s="667"/>
      <c r="G413" s="667"/>
    </row>
    <row r="414" spans="2:9">
      <c r="B414" s="684" t="s">
        <v>410</v>
      </c>
      <c r="C414" s="685"/>
      <c r="D414" s="682"/>
      <c r="E414" s="682"/>
      <c r="F414" s="685"/>
      <c r="G414" s="685"/>
      <c r="H414" s="682"/>
      <c r="I414" s="682"/>
    </row>
    <row r="415" spans="2:9">
      <c r="B415" s="674" t="s">
        <v>1528</v>
      </c>
      <c r="C415" s="675" t="s">
        <v>2998</v>
      </c>
      <c r="D415" s="674" t="s">
        <v>411</v>
      </c>
      <c r="E415" s="674" t="s">
        <v>412</v>
      </c>
      <c r="F415" s="675" t="s">
        <v>348</v>
      </c>
      <c r="G415" s="675" t="s">
        <v>387</v>
      </c>
      <c r="H415" s="674"/>
      <c r="I415" s="674"/>
    </row>
    <row r="416" spans="2:9">
      <c r="B416" s="674" t="s">
        <v>390</v>
      </c>
      <c r="C416" s="675" t="s">
        <v>2998</v>
      </c>
      <c r="D416" s="674" t="s">
        <v>413</v>
      </c>
      <c r="E416" s="674" t="s">
        <v>414</v>
      </c>
      <c r="F416" s="675" t="s">
        <v>348</v>
      </c>
      <c r="G416" s="675" t="s">
        <v>387</v>
      </c>
      <c r="H416" s="674"/>
      <c r="I416" s="674"/>
    </row>
    <row r="417" spans="2:9">
      <c r="B417" s="674" t="s">
        <v>390</v>
      </c>
      <c r="C417" s="675" t="s">
        <v>2998</v>
      </c>
      <c r="D417" s="674" t="s">
        <v>415</v>
      </c>
      <c r="E417" s="674" t="s">
        <v>416</v>
      </c>
      <c r="F417" s="675" t="s">
        <v>348</v>
      </c>
      <c r="G417" s="675" t="s">
        <v>387</v>
      </c>
      <c r="H417" s="674"/>
      <c r="I417" s="674"/>
    </row>
    <row r="418" spans="2:9">
      <c r="B418" s="674" t="s">
        <v>1528</v>
      </c>
      <c r="C418" s="675" t="s">
        <v>2998</v>
      </c>
      <c r="D418" s="674" t="s">
        <v>417</v>
      </c>
      <c r="E418" s="674" t="s">
        <v>418</v>
      </c>
      <c r="F418" s="675" t="s">
        <v>348</v>
      </c>
      <c r="G418" s="675" t="s">
        <v>387</v>
      </c>
      <c r="H418" s="674"/>
      <c r="I418" s="674"/>
    </row>
    <row r="419" spans="2:9">
      <c r="B419" s="674" t="s">
        <v>1531</v>
      </c>
      <c r="C419" s="675" t="s">
        <v>2998</v>
      </c>
      <c r="D419" s="674" t="s">
        <v>419</v>
      </c>
      <c r="E419" s="674" t="s">
        <v>420</v>
      </c>
      <c r="F419" s="675" t="s">
        <v>348</v>
      </c>
      <c r="G419" s="675" t="s">
        <v>387</v>
      </c>
      <c r="H419" s="674"/>
      <c r="I419" s="674"/>
    </row>
    <row r="420" spans="2:9">
      <c r="B420" s="674" t="s">
        <v>1528</v>
      </c>
      <c r="C420" s="675" t="s">
        <v>2998</v>
      </c>
      <c r="D420" s="674" t="s">
        <v>421</v>
      </c>
      <c r="E420" s="674" t="s">
        <v>422</v>
      </c>
      <c r="F420" s="675" t="s">
        <v>348</v>
      </c>
      <c r="G420" s="675" t="s">
        <v>387</v>
      </c>
      <c r="H420" s="674"/>
      <c r="I420" s="674"/>
    </row>
    <row r="421" spans="2:9">
      <c r="B421" s="684" t="s">
        <v>423</v>
      </c>
      <c r="C421" s="685"/>
      <c r="D421" s="682"/>
      <c r="E421" s="682"/>
      <c r="F421" s="685"/>
      <c r="G421" s="685"/>
      <c r="H421" s="682"/>
      <c r="I421" s="682"/>
    </row>
    <row r="422" spans="2:9">
      <c r="B422" s="674" t="s">
        <v>1528</v>
      </c>
      <c r="C422" s="675" t="s">
        <v>2999</v>
      </c>
      <c r="D422" s="674" t="s">
        <v>424</v>
      </c>
      <c r="E422" s="674" t="s">
        <v>425</v>
      </c>
      <c r="F422" s="675" t="s">
        <v>348</v>
      </c>
      <c r="G422" s="675" t="s">
        <v>387</v>
      </c>
      <c r="H422" s="674"/>
      <c r="I422" s="674"/>
    </row>
    <row r="423" spans="2:9">
      <c r="B423" s="674" t="s">
        <v>390</v>
      </c>
      <c r="C423" s="675" t="s">
        <v>2999</v>
      </c>
      <c r="D423" s="674" t="s">
        <v>426</v>
      </c>
      <c r="E423" s="674" t="s">
        <v>427</v>
      </c>
      <c r="F423" s="675" t="s">
        <v>348</v>
      </c>
      <c r="G423" s="675" t="s">
        <v>387</v>
      </c>
      <c r="H423" s="674"/>
      <c r="I423" s="674"/>
    </row>
    <row r="424" spans="2:9">
      <c r="B424" s="674" t="s">
        <v>390</v>
      </c>
      <c r="C424" s="675" t="s">
        <v>2999</v>
      </c>
      <c r="D424" s="674" t="s">
        <v>428</v>
      </c>
      <c r="E424" s="674" t="s">
        <v>429</v>
      </c>
      <c r="F424" s="675" t="s">
        <v>348</v>
      </c>
      <c r="G424" s="675" t="s">
        <v>387</v>
      </c>
      <c r="H424" s="674"/>
      <c r="I424" s="674"/>
    </row>
    <row r="425" spans="2:9">
      <c r="B425" s="674" t="s">
        <v>1528</v>
      </c>
      <c r="C425" s="675" t="s">
        <v>2999</v>
      </c>
      <c r="D425" s="674" t="s">
        <v>430</v>
      </c>
      <c r="E425" s="674" t="s">
        <v>431</v>
      </c>
      <c r="F425" s="675" t="s">
        <v>348</v>
      </c>
      <c r="G425" s="675" t="s">
        <v>387</v>
      </c>
      <c r="H425" s="674"/>
      <c r="I425" s="674"/>
    </row>
    <row r="426" spans="2:9">
      <c r="B426" s="684" t="s">
        <v>885</v>
      </c>
      <c r="C426" s="685"/>
      <c r="D426" s="682"/>
      <c r="E426" s="682"/>
      <c r="F426" s="685"/>
      <c r="G426" s="685"/>
      <c r="H426" s="682"/>
      <c r="I426" s="682"/>
    </row>
    <row r="427" spans="2:9">
      <c r="B427" s="674" t="s">
        <v>390</v>
      </c>
      <c r="C427" s="675" t="s">
        <v>2999</v>
      </c>
      <c r="D427" s="674" t="s">
        <v>886</v>
      </c>
      <c r="E427" s="674" t="s">
        <v>887</v>
      </c>
      <c r="F427" s="675" t="s">
        <v>348</v>
      </c>
      <c r="G427" s="675" t="s">
        <v>387</v>
      </c>
      <c r="H427" s="674"/>
      <c r="I427" s="674"/>
    </row>
    <row r="428" spans="2:9">
      <c r="B428" s="674" t="s">
        <v>390</v>
      </c>
      <c r="C428" s="675" t="s">
        <v>2999</v>
      </c>
      <c r="D428" s="674" t="s">
        <v>890</v>
      </c>
      <c r="E428" s="674" t="s">
        <v>891</v>
      </c>
      <c r="F428" s="675" t="s">
        <v>348</v>
      </c>
      <c r="G428" s="675" t="s">
        <v>387</v>
      </c>
      <c r="H428" s="674"/>
      <c r="I428" s="674"/>
    </row>
    <row r="429" spans="2:9">
      <c r="B429" s="13" t="s">
        <v>1771</v>
      </c>
      <c r="C429" s="667"/>
      <c r="F429" s="667"/>
      <c r="G429" s="667"/>
    </row>
    <row r="430" spans="2:9">
      <c r="B430" s="13" t="s">
        <v>390</v>
      </c>
      <c r="C430" s="667"/>
      <c r="F430" s="667"/>
      <c r="G430" s="667"/>
    </row>
    <row r="431" spans="2:9">
      <c r="B431" s="13" t="s">
        <v>1531</v>
      </c>
      <c r="C431" s="667" t="s">
        <v>2999</v>
      </c>
      <c r="D431" s="13" t="s">
        <v>1772</v>
      </c>
      <c r="E431" s="13" t="s">
        <v>1773</v>
      </c>
      <c r="F431" s="667" t="s">
        <v>904</v>
      </c>
      <c r="G431" s="667" t="s">
        <v>1774</v>
      </c>
    </row>
    <row r="432" spans="2:9">
      <c r="B432" s="13" t="s">
        <v>1531</v>
      </c>
      <c r="C432" s="667" t="s">
        <v>2999</v>
      </c>
      <c r="D432" s="13" t="s">
        <v>1775</v>
      </c>
      <c r="E432" s="13" t="s">
        <v>1776</v>
      </c>
      <c r="F432" s="667" t="s">
        <v>904</v>
      </c>
      <c r="G432" s="667" t="s">
        <v>1774</v>
      </c>
    </row>
    <row r="433" spans="2:7">
      <c r="B433" s="13" t="s">
        <v>1531</v>
      </c>
      <c r="C433" s="667" t="s">
        <v>2999</v>
      </c>
      <c r="D433" s="13" t="s">
        <v>1777</v>
      </c>
      <c r="E433" s="13" t="s">
        <v>1778</v>
      </c>
      <c r="F433" s="667" t="s">
        <v>904</v>
      </c>
      <c r="G433" s="667" t="s">
        <v>1774</v>
      </c>
    </row>
    <row r="434" spans="2:7">
      <c r="B434" s="13" t="s">
        <v>1531</v>
      </c>
      <c r="C434" s="667" t="s">
        <v>2999</v>
      </c>
      <c r="D434" s="13" t="s">
        <v>1779</v>
      </c>
      <c r="E434" s="13" t="s">
        <v>1780</v>
      </c>
      <c r="F434" s="667" t="s">
        <v>904</v>
      </c>
      <c r="G434" s="667" t="s">
        <v>1774</v>
      </c>
    </row>
    <row r="435" spans="2:7">
      <c r="B435" s="13" t="s">
        <v>1531</v>
      </c>
      <c r="C435" s="667" t="s">
        <v>2999</v>
      </c>
      <c r="D435" s="13" t="s">
        <v>1781</v>
      </c>
      <c r="E435" s="13" t="s">
        <v>1782</v>
      </c>
      <c r="F435" s="667" t="s">
        <v>904</v>
      </c>
      <c r="G435" s="667" t="s">
        <v>1774</v>
      </c>
    </row>
    <row r="436" spans="2:7">
      <c r="B436" s="13" t="s">
        <v>1531</v>
      </c>
      <c r="C436" s="667" t="s">
        <v>2999</v>
      </c>
      <c r="D436" s="13" t="s">
        <v>1783</v>
      </c>
      <c r="E436" s="13" t="s">
        <v>1784</v>
      </c>
      <c r="F436" s="667" t="s">
        <v>904</v>
      </c>
      <c r="G436" s="667" t="s">
        <v>1774</v>
      </c>
    </row>
    <row r="437" spans="2:7">
      <c r="B437" s="13" t="s">
        <v>1531</v>
      </c>
      <c r="C437" s="667" t="s">
        <v>2999</v>
      </c>
      <c r="D437" s="13" t="s">
        <v>1785</v>
      </c>
      <c r="E437" s="13" t="s">
        <v>1786</v>
      </c>
      <c r="F437" s="667" t="s">
        <v>904</v>
      </c>
      <c r="G437" s="667" t="s">
        <v>1774</v>
      </c>
    </row>
    <row r="438" spans="2:7">
      <c r="B438" s="13" t="s">
        <v>1531</v>
      </c>
      <c r="C438" s="667" t="s">
        <v>2999</v>
      </c>
      <c r="D438" s="13" t="s">
        <v>1787</v>
      </c>
      <c r="E438" s="13" t="s">
        <v>1788</v>
      </c>
      <c r="F438" s="667" t="s">
        <v>904</v>
      </c>
      <c r="G438" s="667" t="s">
        <v>1774</v>
      </c>
    </row>
    <row r="439" spans="2:7">
      <c r="B439" s="13" t="s">
        <v>1531</v>
      </c>
      <c r="C439" s="667" t="s">
        <v>2999</v>
      </c>
      <c r="D439" s="13" t="s">
        <v>1789</v>
      </c>
      <c r="E439" s="13" t="s">
        <v>1790</v>
      </c>
      <c r="F439" s="667" t="s">
        <v>904</v>
      </c>
      <c r="G439" s="667" t="s">
        <v>1774</v>
      </c>
    </row>
    <row r="440" spans="2:7">
      <c r="B440" s="13" t="s">
        <v>390</v>
      </c>
      <c r="C440" s="667"/>
      <c r="F440" s="667"/>
      <c r="G440" s="667"/>
    </row>
    <row r="441" spans="2:7">
      <c r="B441" s="13" t="s">
        <v>1791</v>
      </c>
      <c r="C441" s="667"/>
      <c r="F441" s="667"/>
      <c r="G441" s="667"/>
    </row>
    <row r="442" spans="2:7">
      <c r="B442" s="13" t="s">
        <v>390</v>
      </c>
      <c r="C442" s="667"/>
      <c r="F442" s="667"/>
      <c r="G442" s="667"/>
    </row>
    <row r="443" spans="2:7">
      <c r="B443" s="13" t="s">
        <v>1531</v>
      </c>
      <c r="C443" s="667" t="s">
        <v>2999</v>
      </c>
      <c r="D443" s="13" t="s">
        <v>1792</v>
      </c>
      <c r="E443" s="13" t="s">
        <v>1793</v>
      </c>
      <c r="F443" s="667" t="s">
        <v>904</v>
      </c>
      <c r="G443" s="667" t="s">
        <v>1774</v>
      </c>
    </row>
    <row r="444" spans="2:7">
      <c r="B444" s="13" t="s">
        <v>1531</v>
      </c>
      <c r="C444" s="667" t="s">
        <v>2999</v>
      </c>
      <c r="D444" s="13" t="s">
        <v>1794</v>
      </c>
      <c r="E444" s="13" t="s">
        <v>1795</v>
      </c>
      <c r="F444" s="667" t="s">
        <v>904</v>
      </c>
      <c r="G444" s="667" t="s">
        <v>1774</v>
      </c>
    </row>
    <row r="445" spans="2:7">
      <c r="B445" s="13" t="s">
        <v>1531</v>
      </c>
      <c r="C445" s="667" t="s">
        <v>2999</v>
      </c>
      <c r="D445" s="13" t="s">
        <v>1796</v>
      </c>
      <c r="E445" s="13" t="s">
        <v>1797</v>
      </c>
      <c r="F445" s="667" t="s">
        <v>904</v>
      </c>
      <c r="G445" s="667" t="s">
        <v>1774</v>
      </c>
    </row>
    <row r="446" spans="2:7">
      <c r="B446" s="13" t="s">
        <v>1531</v>
      </c>
      <c r="C446" s="667" t="s">
        <v>2999</v>
      </c>
      <c r="D446" s="13" t="s">
        <v>1798</v>
      </c>
      <c r="E446" s="13" t="s">
        <v>1799</v>
      </c>
      <c r="F446" s="667" t="s">
        <v>904</v>
      </c>
      <c r="G446" s="667" t="s">
        <v>1774</v>
      </c>
    </row>
    <row r="447" spans="2:7">
      <c r="B447" s="13" t="s">
        <v>1531</v>
      </c>
      <c r="C447" s="667" t="s">
        <v>2999</v>
      </c>
      <c r="D447" s="13" t="s">
        <v>1800</v>
      </c>
      <c r="E447" s="13" t="s">
        <v>1801</v>
      </c>
      <c r="F447" s="667" t="s">
        <v>904</v>
      </c>
      <c r="G447" s="667" t="s">
        <v>1774</v>
      </c>
    </row>
    <row r="448" spans="2:7">
      <c r="B448" s="13" t="s">
        <v>1531</v>
      </c>
      <c r="C448" s="667" t="s">
        <v>2999</v>
      </c>
      <c r="D448" s="13" t="s">
        <v>1802</v>
      </c>
      <c r="E448" s="13" t="s">
        <v>1803</v>
      </c>
      <c r="F448" s="667" t="s">
        <v>904</v>
      </c>
      <c r="G448" s="667" t="s">
        <v>1774</v>
      </c>
    </row>
    <row r="449" spans="2:7">
      <c r="B449" s="13" t="s">
        <v>1531</v>
      </c>
      <c r="C449" s="667" t="s">
        <v>2999</v>
      </c>
      <c r="D449" s="13" t="s">
        <v>1804</v>
      </c>
      <c r="E449" s="13" t="s">
        <v>1805</v>
      </c>
      <c r="F449" s="667" t="s">
        <v>904</v>
      </c>
      <c r="G449" s="667" t="s">
        <v>1774</v>
      </c>
    </row>
    <row r="450" spans="2:7">
      <c r="B450" s="13" t="s">
        <v>390</v>
      </c>
      <c r="C450" s="667"/>
      <c r="F450" s="667"/>
      <c r="G450" s="667"/>
    </row>
    <row r="451" spans="2:7">
      <c r="B451" s="13" t="s">
        <v>390</v>
      </c>
      <c r="C451" s="667"/>
      <c r="F451" s="667"/>
      <c r="G451" s="667"/>
    </row>
    <row r="452" spans="2:7">
      <c r="B452" s="13" t="s">
        <v>1806</v>
      </c>
      <c r="C452" s="667"/>
      <c r="F452" s="667"/>
      <c r="G452" s="667"/>
    </row>
    <row r="453" spans="2:7">
      <c r="B453" s="13" t="s">
        <v>390</v>
      </c>
      <c r="C453" s="667"/>
      <c r="F453" s="667"/>
      <c r="G453" s="667"/>
    </row>
    <row r="454" spans="2:7">
      <c r="B454" s="13" t="s">
        <v>1769</v>
      </c>
      <c r="C454" s="667" t="s">
        <v>2999</v>
      </c>
      <c r="D454" s="13" t="s">
        <v>1807</v>
      </c>
      <c r="E454" s="13" t="s">
        <v>1808</v>
      </c>
      <c r="F454" s="667" t="s">
        <v>904</v>
      </c>
      <c r="G454" s="667" t="s">
        <v>1774</v>
      </c>
    </row>
    <row r="455" spans="2:7">
      <c r="B455" s="13" t="s">
        <v>1767</v>
      </c>
      <c r="C455" s="667" t="s">
        <v>2999</v>
      </c>
      <c r="D455" s="13" t="s">
        <v>1809</v>
      </c>
      <c r="E455" s="13" t="s">
        <v>1810</v>
      </c>
      <c r="F455" s="667" t="s">
        <v>904</v>
      </c>
      <c r="G455" s="667" t="s">
        <v>1774</v>
      </c>
    </row>
    <row r="456" spans="2:7">
      <c r="B456" s="13" t="s">
        <v>390</v>
      </c>
      <c r="C456" s="667"/>
      <c r="F456" s="667"/>
      <c r="G456" s="667"/>
    </row>
    <row r="457" spans="2:7">
      <c r="B457" s="13" t="s">
        <v>1811</v>
      </c>
      <c r="C457" s="667"/>
      <c r="F457" s="667"/>
      <c r="G457" s="667"/>
    </row>
    <row r="458" spans="2:7">
      <c r="B458" s="13" t="s">
        <v>390</v>
      </c>
      <c r="C458" s="667"/>
      <c r="F458" s="667"/>
      <c r="G458" s="667"/>
    </row>
    <row r="459" spans="2:7">
      <c r="B459" s="13" t="s">
        <v>1531</v>
      </c>
      <c r="C459" s="667" t="s">
        <v>2999</v>
      </c>
      <c r="D459" s="13" t="s">
        <v>1812</v>
      </c>
      <c r="E459" s="13" t="s">
        <v>1813</v>
      </c>
      <c r="F459" s="667" t="s">
        <v>904</v>
      </c>
      <c r="G459" s="667" t="s">
        <v>1774</v>
      </c>
    </row>
    <row r="460" spans="2:7">
      <c r="B460" s="13" t="s">
        <v>1531</v>
      </c>
      <c r="C460" s="667" t="s">
        <v>2999</v>
      </c>
      <c r="D460" s="13" t="s">
        <v>1814</v>
      </c>
      <c r="E460" s="13" t="s">
        <v>1815</v>
      </c>
      <c r="F460" s="667" t="s">
        <v>904</v>
      </c>
      <c r="G460" s="667" t="s">
        <v>1774</v>
      </c>
    </row>
    <row r="461" spans="2:7">
      <c r="B461" s="13" t="s">
        <v>1531</v>
      </c>
      <c r="C461" s="667" t="s">
        <v>2999</v>
      </c>
      <c r="D461" s="13" t="s">
        <v>1816</v>
      </c>
      <c r="E461" s="13" t="s">
        <v>1817</v>
      </c>
      <c r="F461" s="667" t="s">
        <v>904</v>
      </c>
      <c r="G461" s="667" t="s">
        <v>1774</v>
      </c>
    </row>
    <row r="462" spans="2:7">
      <c r="B462" s="13" t="s">
        <v>1531</v>
      </c>
      <c r="C462" s="667" t="s">
        <v>2999</v>
      </c>
      <c r="D462" s="13" t="s">
        <v>1818</v>
      </c>
      <c r="E462" s="13" t="s">
        <v>1819</v>
      </c>
      <c r="F462" s="667" t="s">
        <v>904</v>
      </c>
      <c r="G462" s="667" t="s">
        <v>1774</v>
      </c>
    </row>
    <row r="463" spans="2:7">
      <c r="B463" s="13" t="s">
        <v>1768</v>
      </c>
      <c r="C463" s="667" t="s">
        <v>2999</v>
      </c>
      <c r="D463" s="13" t="s">
        <v>1820</v>
      </c>
      <c r="E463" s="13" t="s">
        <v>1821</v>
      </c>
      <c r="F463" s="667" t="s">
        <v>904</v>
      </c>
      <c r="G463" s="667" t="s">
        <v>1774</v>
      </c>
    </row>
    <row r="464" spans="2:7">
      <c r="B464" s="13" t="s">
        <v>1766</v>
      </c>
      <c r="C464" s="667" t="s">
        <v>2999</v>
      </c>
      <c r="D464" s="13" t="s">
        <v>1822</v>
      </c>
      <c r="E464" s="13" t="s">
        <v>1823</v>
      </c>
      <c r="F464" s="667" t="s">
        <v>904</v>
      </c>
      <c r="G464" s="667" t="s">
        <v>1774</v>
      </c>
    </row>
    <row r="465" spans="2:7">
      <c r="B465" s="13" t="s">
        <v>1769</v>
      </c>
      <c r="C465" s="667" t="s">
        <v>2999</v>
      </c>
      <c r="D465" s="13" t="s">
        <v>1824</v>
      </c>
      <c r="E465" s="13" t="s">
        <v>1825</v>
      </c>
      <c r="F465" s="667" t="s">
        <v>904</v>
      </c>
      <c r="G465" s="667" t="s">
        <v>1774</v>
      </c>
    </row>
    <row r="466" spans="2:7">
      <c r="B466" s="13" t="s">
        <v>1769</v>
      </c>
      <c r="C466" s="667" t="s">
        <v>2999</v>
      </c>
      <c r="D466" s="13" t="s">
        <v>1826</v>
      </c>
      <c r="E466" s="13" t="s">
        <v>1827</v>
      </c>
      <c r="F466" s="667" t="s">
        <v>904</v>
      </c>
      <c r="G466" s="667" t="s">
        <v>1774</v>
      </c>
    </row>
    <row r="467" spans="2:7">
      <c r="B467" s="13" t="s">
        <v>1766</v>
      </c>
      <c r="C467" s="667" t="s">
        <v>2999</v>
      </c>
      <c r="D467" s="13" t="s">
        <v>1828</v>
      </c>
      <c r="E467" s="13" t="s">
        <v>1829</v>
      </c>
      <c r="F467" s="667" t="s">
        <v>904</v>
      </c>
      <c r="G467" s="667" t="s">
        <v>1774</v>
      </c>
    </row>
    <row r="468" spans="2:7">
      <c r="B468" s="13" t="s">
        <v>1766</v>
      </c>
      <c r="C468" s="667" t="s">
        <v>2999</v>
      </c>
      <c r="D468" s="13" t="s">
        <v>1830</v>
      </c>
      <c r="E468" s="13" t="s">
        <v>1831</v>
      </c>
      <c r="F468" s="667" t="s">
        <v>904</v>
      </c>
      <c r="G468" s="667" t="s">
        <v>1774</v>
      </c>
    </row>
    <row r="469" spans="2:7">
      <c r="B469" s="13" t="s">
        <v>1766</v>
      </c>
      <c r="C469" s="667" t="s">
        <v>2999</v>
      </c>
      <c r="D469" s="13" t="s">
        <v>1832</v>
      </c>
      <c r="E469" s="13" t="s">
        <v>1833</v>
      </c>
      <c r="F469" s="667" t="s">
        <v>904</v>
      </c>
      <c r="G469" s="667" t="s">
        <v>1774</v>
      </c>
    </row>
    <row r="470" spans="2:7">
      <c r="B470" s="13" t="s">
        <v>1768</v>
      </c>
      <c r="C470" s="667" t="s">
        <v>2999</v>
      </c>
      <c r="D470" s="13" t="s">
        <v>1834</v>
      </c>
      <c r="E470" s="13" t="s">
        <v>1835</v>
      </c>
      <c r="F470" s="667" t="s">
        <v>904</v>
      </c>
      <c r="G470" s="667" t="s">
        <v>1774</v>
      </c>
    </row>
    <row r="471" spans="2:7">
      <c r="B471" s="13" t="s">
        <v>1767</v>
      </c>
      <c r="C471" s="667" t="s">
        <v>2999</v>
      </c>
      <c r="D471" s="13" t="s">
        <v>1836</v>
      </c>
      <c r="E471" s="13" t="s">
        <v>1837</v>
      </c>
      <c r="F471" s="667" t="s">
        <v>904</v>
      </c>
      <c r="G471" s="667" t="s">
        <v>1774</v>
      </c>
    </row>
    <row r="472" spans="2:7">
      <c r="B472" s="13" t="s">
        <v>1767</v>
      </c>
      <c r="C472" s="667" t="s">
        <v>2999</v>
      </c>
      <c r="D472" s="13" t="s">
        <v>1838</v>
      </c>
      <c r="E472" s="13" t="s">
        <v>1839</v>
      </c>
      <c r="F472" s="667" t="s">
        <v>904</v>
      </c>
      <c r="G472" s="667" t="s">
        <v>1774</v>
      </c>
    </row>
    <row r="473" spans="2:7">
      <c r="B473" s="13" t="s">
        <v>1767</v>
      </c>
      <c r="C473" s="667" t="s">
        <v>2999</v>
      </c>
      <c r="D473" s="13" t="s">
        <v>1840</v>
      </c>
      <c r="E473" s="13" t="s">
        <v>1841</v>
      </c>
      <c r="F473" s="667" t="s">
        <v>904</v>
      </c>
      <c r="G473" s="667" t="s">
        <v>1774</v>
      </c>
    </row>
    <row r="474" spans="2:7">
      <c r="B474" s="13" t="s">
        <v>1766</v>
      </c>
      <c r="C474" s="667" t="s">
        <v>2999</v>
      </c>
      <c r="D474" s="13" t="s">
        <v>1842</v>
      </c>
      <c r="E474" s="13" t="s">
        <v>1843</v>
      </c>
      <c r="F474" s="667" t="s">
        <v>904</v>
      </c>
      <c r="G474" s="667" t="s">
        <v>1774</v>
      </c>
    </row>
    <row r="475" spans="2:7">
      <c r="B475" s="13" t="s">
        <v>1769</v>
      </c>
      <c r="C475" s="667" t="s">
        <v>2999</v>
      </c>
      <c r="D475" s="13" t="s">
        <v>1844</v>
      </c>
      <c r="E475" s="13" t="s">
        <v>1845</v>
      </c>
      <c r="F475" s="667" t="s">
        <v>904</v>
      </c>
      <c r="G475" s="667" t="s">
        <v>1774</v>
      </c>
    </row>
    <row r="476" spans="2:7">
      <c r="B476" s="13" t="s">
        <v>1766</v>
      </c>
      <c r="C476" s="667" t="s">
        <v>2999</v>
      </c>
      <c r="D476" s="13" t="s">
        <v>1846</v>
      </c>
      <c r="E476" s="13" t="s">
        <v>1847</v>
      </c>
      <c r="F476" s="667" t="s">
        <v>904</v>
      </c>
      <c r="G476" s="667" t="s">
        <v>1774</v>
      </c>
    </row>
    <row r="477" spans="2:7">
      <c r="B477" s="13" t="s">
        <v>390</v>
      </c>
      <c r="C477" s="667"/>
      <c r="F477" s="667"/>
      <c r="G477" s="667"/>
    </row>
    <row r="478" spans="2:7">
      <c r="B478" s="13" t="s">
        <v>1848</v>
      </c>
      <c r="C478" s="667"/>
      <c r="F478" s="667"/>
      <c r="G478" s="667"/>
    </row>
    <row r="479" spans="2:7">
      <c r="B479" s="13" t="s">
        <v>390</v>
      </c>
      <c r="C479" s="667"/>
      <c r="F479" s="667"/>
      <c r="G479" s="667"/>
    </row>
    <row r="480" spans="2:7">
      <c r="B480" s="13" t="s">
        <v>1531</v>
      </c>
      <c r="C480" s="667" t="s">
        <v>2999</v>
      </c>
      <c r="D480" s="13" t="s">
        <v>1849</v>
      </c>
      <c r="E480" s="13" t="s">
        <v>1813</v>
      </c>
      <c r="F480" s="667" t="s">
        <v>904</v>
      </c>
      <c r="G480" s="667" t="s">
        <v>1774</v>
      </c>
    </row>
    <row r="481" spans="2:7">
      <c r="B481" s="13" t="s">
        <v>1531</v>
      </c>
      <c r="C481" s="667" t="s">
        <v>2999</v>
      </c>
      <c r="D481" s="13" t="s">
        <v>1850</v>
      </c>
      <c r="E481" s="13" t="s">
        <v>1815</v>
      </c>
      <c r="F481" s="667" t="s">
        <v>904</v>
      </c>
      <c r="G481" s="667" t="s">
        <v>1774</v>
      </c>
    </row>
    <row r="482" spans="2:7">
      <c r="B482" s="13" t="s">
        <v>1531</v>
      </c>
      <c r="C482" s="667" t="s">
        <v>2999</v>
      </c>
      <c r="D482" s="13" t="s">
        <v>1851</v>
      </c>
      <c r="E482" s="13" t="s">
        <v>1817</v>
      </c>
      <c r="F482" s="667" t="s">
        <v>904</v>
      </c>
      <c r="G482" s="667" t="s">
        <v>1774</v>
      </c>
    </row>
    <row r="483" spans="2:7">
      <c r="B483" s="13" t="s">
        <v>1531</v>
      </c>
      <c r="C483" s="667" t="s">
        <v>2999</v>
      </c>
      <c r="D483" s="13" t="s">
        <v>1852</v>
      </c>
      <c r="E483" s="13" t="s">
        <v>1853</v>
      </c>
      <c r="F483" s="667" t="s">
        <v>904</v>
      </c>
      <c r="G483" s="667" t="s">
        <v>1774</v>
      </c>
    </row>
    <row r="484" spans="2:7">
      <c r="B484" s="13" t="s">
        <v>1768</v>
      </c>
      <c r="C484" s="667" t="s">
        <v>2999</v>
      </c>
      <c r="D484" s="13" t="s">
        <v>1854</v>
      </c>
      <c r="E484" s="13" t="s">
        <v>1821</v>
      </c>
      <c r="F484" s="667" t="s">
        <v>904</v>
      </c>
      <c r="G484" s="667" t="s">
        <v>1774</v>
      </c>
    </row>
    <row r="485" spans="2:7">
      <c r="B485" s="13" t="s">
        <v>1766</v>
      </c>
      <c r="C485" s="667" t="s">
        <v>2999</v>
      </c>
      <c r="D485" s="13" t="s">
        <v>1855</v>
      </c>
      <c r="E485" s="13" t="s">
        <v>1823</v>
      </c>
      <c r="F485" s="667" t="s">
        <v>904</v>
      </c>
      <c r="G485" s="667" t="s">
        <v>1774</v>
      </c>
    </row>
    <row r="486" spans="2:7">
      <c r="B486" s="13" t="s">
        <v>1769</v>
      </c>
      <c r="C486" s="667" t="s">
        <v>2999</v>
      </c>
      <c r="D486" s="13" t="s">
        <v>1856</v>
      </c>
      <c r="E486" s="13" t="s">
        <v>1825</v>
      </c>
      <c r="F486" s="667" t="s">
        <v>904</v>
      </c>
      <c r="G486" s="667" t="s">
        <v>1774</v>
      </c>
    </row>
    <row r="487" spans="2:7">
      <c r="B487" s="13" t="s">
        <v>1769</v>
      </c>
      <c r="C487" s="667" t="s">
        <v>2999</v>
      </c>
      <c r="D487" s="13" t="s">
        <v>1857</v>
      </c>
      <c r="E487" s="13" t="s">
        <v>1827</v>
      </c>
      <c r="F487" s="667" t="s">
        <v>904</v>
      </c>
      <c r="G487" s="667" t="s">
        <v>1774</v>
      </c>
    </row>
    <row r="488" spans="2:7">
      <c r="B488" s="13" t="s">
        <v>1766</v>
      </c>
      <c r="C488" s="667" t="s">
        <v>2999</v>
      </c>
      <c r="D488" s="13" t="s">
        <v>1858</v>
      </c>
      <c r="E488" s="13" t="s">
        <v>1829</v>
      </c>
      <c r="F488" s="667" t="s">
        <v>904</v>
      </c>
      <c r="G488" s="667" t="s">
        <v>1774</v>
      </c>
    </row>
    <row r="489" spans="2:7">
      <c r="B489" s="13" t="s">
        <v>1766</v>
      </c>
      <c r="C489" s="667" t="s">
        <v>2999</v>
      </c>
      <c r="D489" s="13" t="s">
        <v>1859</v>
      </c>
      <c r="E489" s="13" t="s">
        <v>1831</v>
      </c>
      <c r="F489" s="667" t="s">
        <v>904</v>
      </c>
      <c r="G489" s="667" t="s">
        <v>1774</v>
      </c>
    </row>
    <row r="490" spans="2:7">
      <c r="B490" s="13" t="s">
        <v>1766</v>
      </c>
      <c r="C490" s="667" t="s">
        <v>2999</v>
      </c>
      <c r="D490" s="13" t="s">
        <v>1860</v>
      </c>
      <c r="E490" s="13" t="s">
        <v>1833</v>
      </c>
      <c r="F490" s="667" t="s">
        <v>904</v>
      </c>
      <c r="G490" s="667" t="s">
        <v>1774</v>
      </c>
    </row>
    <row r="491" spans="2:7">
      <c r="B491" s="13" t="s">
        <v>1768</v>
      </c>
      <c r="C491" s="667" t="s">
        <v>2999</v>
      </c>
      <c r="D491" s="13" t="s">
        <v>1861</v>
      </c>
      <c r="E491" s="13" t="s">
        <v>1835</v>
      </c>
      <c r="F491" s="667" t="s">
        <v>904</v>
      </c>
      <c r="G491" s="667" t="s">
        <v>1774</v>
      </c>
    </row>
    <row r="492" spans="2:7">
      <c r="B492" s="13" t="s">
        <v>1767</v>
      </c>
      <c r="C492" s="667" t="s">
        <v>2999</v>
      </c>
      <c r="D492" s="13" t="s">
        <v>1862</v>
      </c>
      <c r="E492" s="13" t="s">
        <v>1837</v>
      </c>
      <c r="F492" s="667" t="s">
        <v>904</v>
      </c>
      <c r="G492" s="667" t="s">
        <v>1774</v>
      </c>
    </row>
    <row r="493" spans="2:7">
      <c r="B493" s="13" t="s">
        <v>1767</v>
      </c>
      <c r="C493" s="667" t="s">
        <v>2999</v>
      </c>
      <c r="D493" s="13" t="s">
        <v>1863</v>
      </c>
      <c r="E493" s="13" t="s">
        <v>1839</v>
      </c>
      <c r="F493" s="667" t="s">
        <v>904</v>
      </c>
      <c r="G493" s="667" t="s">
        <v>1774</v>
      </c>
    </row>
    <row r="494" spans="2:7">
      <c r="B494" s="13" t="s">
        <v>1767</v>
      </c>
      <c r="C494" s="667" t="s">
        <v>2999</v>
      </c>
      <c r="D494" s="13" t="s">
        <v>1864</v>
      </c>
      <c r="E494" s="13" t="s">
        <v>1841</v>
      </c>
      <c r="F494" s="667" t="s">
        <v>904</v>
      </c>
      <c r="G494" s="667" t="s">
        <v>1774</v>
      </c>
    </row>
    <row r="495" spans="2:7">
      <c r="B495" s="13" t="s">
        <v>1766</v>
      </c>
      <c r="C495" s="667" t="s">
        <v>2999</v>
      </c>
      <c r="D495" s="13" t="s">
        <v>1865</v>
      </c>
      <c r="E495" s="13" t="s">
        <v>1843</v>
      </c>
      <c r="F495" s="667" t="s">
        <v>904</v>
      </c>
      <c r="G495" s="667" t="s">
        <v>1774</v>
      </c>
    </row>
    <row r="496" spans="2:7">
      <c r="B496" s="13" t="s">
        <v>1769</v>
      </c>
      <c r="C496" s="667" t="s">
        <v>2999</v>
      </c>
      <c r="D496" s="13" t="s">
        <v>1866</v>
      </c>
      <c r="E496" s="13" t="s">
        <v>1845</v>
      </c>
      <c r="F496" s="667" t="s">
        <v>904</v>
      </c>
      <c r="G496" s="667" t="s">
        <v>1774</v>
      </c>
    </row>
    <row r="497" spans="2:7">
      <c r="B497" s="13" t="s">
        <v>1766</v>
      </c>
      <c r="C497" s="667" t="s">
        <v>2999</v>
      </c>
      <c r="D497" s="13" t="s">
        <v>1867</v>
      </c>
      <c r="E497" s="13" t="s">
        <v>1847</v>
      </c>
      <c r="F497" s="667" t="s">
        <v>904</v>
      </c>
      <c r="G497" s="667" t="s">
        <v>1774</v>
      </c>
    </row>
    <row r="498" spans="2:7">
      <c r="B498" s="13" t="s">
        <v>1868</v>
      </c>
      <c r="C498" s="667"/>
      <c r="F498" s="667"/>
      <c r="G498" s="667"/>
    </row>
    <row r="499" spans="2:7">
      <c r="B499" s="13" t="s">
        <v>390</v>
      </c>
      <c r="C499" s="667"/>
      <c r="F499" s="667"/>
      <c r="G499" s="667"/>
    </row>
    <row r="500" spans="2:7">
      <c r="B500" s="13" t="s">
        <v>1869</v>
      </c>
      <c r="C500" s="667"/>
      <c r="F500" s="667"/>
      <c r="G500" s="667"/>
    </row>
    <row r="501" spans="2:7">
      <c r="B501" s="13" t="s">
        <v>390</v>
      </c>
      <c r="C501" s="667"/>
      <c r="F501" s="667"/>
      <c r="G501" s="667"/>
    </row>
    <row r="502" spans="2:7">
      <c r="B502" s="13" t="s">
        <v>1531</v>
      </c>
      <c r="C502" s="667" t="s">
        <v>2999</v>
      </c>
      <c r="D502" s="13" t="s">
        <v>1870</v>
      </c>
      <c r="E502" s="13" t="s">
        <v>1871</v>
      </c>
      <c r="F502" s="667" t="s">
        <v>904</v>
      </c>
      <c r="G502" s="667" t="s">
        <v>1774</v>
      </c>
    </row>
    <row r="503" spans="2:7">
      <c r="B503" s="13" t="s">
        <v>1531</v>
      </c>
      <c r="C503" s="667" t="s">
        <v>2999</v>
      </c>
      <c r="D503" s="13" t="s">
        <v>1872</v>
      </c>
      <c r="E503" s="13" t="s">
        <v>1873</v>
      </c>
      <c r="F503" s="667" t="s">
        <v>904</v>
      </c>
      <c r="G503" s="667" t="s">
        <v>1774</v>
      </c>
    </row>
    <row r="504" spans="2:7">
      <c r="B504" s="13" t="s">
        <v>1531</v>
      </c>
      <c r="C504" s="667" t="s">
        <v>2999</v>
      </c>
      <c r="D504" s="13" t="s">
        <v>1874</v>
      </c>
      <c r="E504" s="13" t="s">
        <v>1875</v>
      </c>
      <c r="F504" s="667" t="s">
        <v>904</v>
      </c>
      <c r="G504" s="667" t="s">
        <v>1774</v>
      </c>
    </row>
    <row r="505" spans="2:7">
      <c r="B505" s="13" t="s">
        <v>1531</v>
      </c>
      <c r="C505" s="667" t="s">
        <v>2999</v>
      </c>
      <c r="D505" s="13" t="s">
        <v>1876</v>
      </c>
      <c r="E505" s="13" t="s">
        <v>1877</v>
      </c>
      <c r="F505" s="667" t="s">
        <v>904</v>
      </c>
      <c r="G505" s="667" t="s">
        <v>1774</v>
      </c>
    </row>
    <row r="506" spans="2:7">
      <c r="B506" s="13" t="s">
        <v>1531</v>
      </c>
      <c r="C506" s="667" t="s">
        <v>2999</v>
      </c>
      <c r="D506" s="13" t="s">
        <v>1878</v>
      </c>
      <c r="E506" s="13" t="s">
        <v>1879</v>
      </c>
      <c r="F506" s="667" t="s">
        <v>904</v>
      </c>
      <c r="G506" s="667" t="s">
        <v>1774</v>
      </c>
    </row>
    <row r="507" spans="2:7">
      <c r="B507" s="13" t="s">
        <v>1531</v>
      </c>
      <c r="C507" s="667" t="s">
        <v>2999</v>
      </c>
      <c r="D507" s="13" t="s">
        <v>1880</v>
      </c>
      <c r="E507" s="13" t="s">
        <v>1881</v>
      </c>
      <c r="F507" s="667" t="s">
        <v>904</v>
      </c>
      <c r="G507" s="667" t="s">
        <v>1774</v>
      </c>
    </row>
    <row r="508" spans="2:7">
      <c r="B508" s="13" t="s">
        <v>1531</v>
      </c>
      <c r="C508" s="667" t="s">
        <v>2999</v>
      </c>
      <c r="D508" s="13" t="s">
        <v>1882</v>
      </c>
      <c r="E508" s="13" t="s">
        <v>1883</v>
      </c>
      <c r="F508" s="667" t="s">
        <v>904</v>
      </c>
      <c r="G508" s="667" t="s">
        <v>1774</v>
      </c>
    </row>
    <row r="509" spans="2:7">
      <c r="B509" s="13" t="s">
        <v>1531</v>
      </c>
      <c r="C509" s="667" t="s">
        <v>2999</v>
      </c>
      <c r="D509" s="13" t="s">
        <v>1884</v>
      </c>
      <c r="E509" s="13" t="s">
        <v>1885</v>
      </c>
      <c r="F509" s="667" t="s">
        <v>904</v>
      </c>
      <c r="G509" s="667" t="s">
        <v>1774</v>
      </c>
    </row>
    <row r="510" spans="2:7">
      <c r="B510" s="13" t="s">
        <v>1531</v>
      </c>
      <c r="C510" s="667" t="s">
        <v>2999</v>
      </c>
      <c r="D510" s="13" t="s">
        <v>1886</v>
      </c>
      <c r="E510" s="13" t="s">
        <v>1887</v>
      </c>
      <c r="F510" s="667" t="s">
        <v>904</v>
      </c>
      <c r="G510" s="667" t="s">
        <v>1774</v>
      </c>
    </row>
    <row r="511" spans="2:7">
      <c r="B511" s="13" t="s">
        <v>1531</v>
      </c>
      <c r="C511" s="667" t="s">
        <v>2999</v>
      </c>
      <c r="D511" s="13" t="s">
        <v>1888</v>
      </c>
      <c r="E511" s="13" t="s">
        <v>1889</v>
      </c>
      <c r="F511" s="667" t="s">
        <v>904</v>
      </c>
      <c r="G511" s="667" t="s">
        <v>1774</v>
      </c>
    </row>
    <row r="512" spans="2:7">
      <c r="B512" s="13" t="s">
        <v>1531</v>
      </c>
      <c r="C512" s="667" t="s">
        <v>2999</v>
      </c>
      <c r="D512" s="13" t="s">
        <v>1890</v>
      </c>
      <c r="E512" s="13" t="s">
        <v>1891</v>
      </c>
      <c r="F512" s="667" t="s">
        <v>904</v>
      </c>
      <c r="G512" s="667" t="s">
        <v>1774</v>
      </c>
    </row>
    <row r="513" spans="2:7">
      <c r="B513" s="13" t="s">
        <v>1531</v>
      </c>
      <c r="C513" s="667" t="s">
        <v>2999</v>
      </c>
      <c r="D513" s="13" t="s">
        <v>1892</v>
      </c>
      <c r="E513" s="13" t="s">
        <v>1893</v>
      </c>
      <c r="F513" s="667" t="s">
        <v>904</v>
      </c>
      <c r="G513" s="667" t="s">
        <v>1774</v>
      </c>
    </row>
    <row r="514" spans="2:7">
      <c r="B514" s="13" t="s">
        <v>1531</v>
      </c>
      <c r="C514" s="667" t="s">
        <v>2999</v>
      </c>
      <c r="D514" s="13" t="s">
        <v>1892</v>
      </c>
      <c r="E514" s="13" t="s">
        <v>1893</v>
      </c>
      <c r="F514" s="667" t="s">
        <v>904</v>
      </c>
      <c r="G514" s="667" t="s">
        <v>1774</v>
      </c>
    </row>
    <row r="515" spans="2:7">
      <c r="B515" s="13" t="s">
        <v>1531</v>
      </c>
      <c r="C515" s="667" t="s">
        <v>2999</v>
      </c>
      <c r="D515" s="13" t="s">
        <v>1894</v>
      </c>
      <c r="E515" s="13" t="s">
        <v>1895</v>
      </c>
      <c r="F515" s="667" t="s">
        <v>904</v>
      </c>
      <c r="G515" s="667" t="s">
        <v>1774</v>
      </c>
    </row>
    <row r="516" spans="2:7">
      <c r="B516" s="13" t="s">
        <v>1531</v>
      </c>
      <c r="C516" s="667" t="s">
        <v>2999</v>
      </c>
      <c r="D516" s="13" t="s">
        <v>1896</v>
      </c>
      <c r="E516" s="13" t="s">
        <v>1897</v>
      </c>
      <c r="F516" s="667" t="s">
        <v>904</v>
      </c>
      <c r="G516" s="667" t="s">
        <v>1774</v>
      </c>
    </row>
    <row r="517" spans="2:7">
      <c r="B517" s="13" t="s">
        <v>1531</v>
      </c>
      <c r="C517" s="667" t="s">
        <v>2999</v>
      </c>
      <c r="D517" s="13" t="s">
        <v>1898</v>
      </c>
      <c r="E517" s="13" t="s">
        <v>1899</v>
      </c>
      <c r="F517" s="667" t="s">
        <v>904</v>
      </c>
      <c r="G517" s="667" t="s">
        <v>1774</v>
      </c>
    </row>
    <row r="518" spans="2:7">
      <c r="B518" s="13" t="s">
        <v>1531</v>
      </c>
      <c r="C518" s="667" t="s">
        <v>2999</v>
      </c>
      <c r="D518" s="13" t="s">
        <v>1900</v>
      </c>
      <c r="E518" s="13" t="s">
        <v>1901</v>
      </c>
      <c r="F518" s="667" t="s">
        <v>904</v>
      </c>
      <c r="G518" s="667" t="s">
        <v>1774</v>
      </c>
    </row>
    <row r="519" spans="2:7">
      <c r="B519" s="13" t="s">
        <v>1531</v>
      </c>
      <c r="C519" s="667" t="s">
        <v>2999</v>
      </c>
      <c r="D519" s="13" t="s">
        <v>1902</v>
      </c>
      <c r="E519" s="13" t="s">
        <v>1903</v>
      </c>
      <c r="F519" s="667" t="s">
        <v>904</v>
      </c>
      <c r="G519" s="667" t="s">
        <v>1774</v>
      </c>
    </row>
    <row r="520" spans="2:7">
      <c r="B520" s="13" t="s">
        <v>1531</v>
      </c>
      <c r="C520" s="667" t="s">
        <v>2999</v>
      </c>
      <c r="D520" s="13" t="s">
        <v>1904</v>
      </c>
      <c r="E520" s="13" t="s">
        <v>1905</v>
      </c>
      <c r="F520" s="667" t="s">
        <v>904</v>
      </c>
      <c r="G520" s="667" t="s">
        <v>1774</v>
      </c>
    </row>
    <row r="521" spans="2:7">
      <c r="B521" s="13" t="s">
        <v>1531</v>
      </c>
      <c r="C521" s="667" t="s">
        <v>2999</v>
      </c>
      <c r="D521" s="13" t="s">
        <v>1906</v>
      </c>
      <c r="E521" s="13" t="s">
        <v>1907</v>
      </c>
      <c r="F521" s="667" t="s">
        <v>904</v>
      </c>
      <c r="G521" s="667" t="s">
        <v>1774</v>
      </c>
    </row>
    <row r="522" spans="2:7">
      <c r="B522" s="13" t="s">
        <v>1531</v>
      </c>
      <c r="C522" s="667" t="s">
        <v>2999</v>
      </c>
      <c r="D522" s="13" t="s">
        <v>1908</v>
      </c>
      <c r="E522" s="13" t="s">
        <v>1909</v>
      </c>
      <c r="F522" s="667" t="s">
        <v>904</v>
      </c>
      <c r="G522" s="667" t="s">
        <v>1774</v>
      </c>
    </row>
    <row r="523" spans="2:7">
      <c r="B523" s="13" t="s">
        <v>1531</v>
      </c>
      <c r="C523" s="667" t="s">
        <v>2999</v>
      </c>
      <c r="D523" s="13" t="s">
        <v>1910</v>
      </c>
      <c r="E523" s="13" t="s">
        <v>1911</v>
      </c>
      <c r="F523" s="667" t="s">
        <v>904</v>
      </c>
      <c r="G523" s="667" t="s">
        <v>1774</v>
      </c>
    </row>
    <row r="524" spans="2:7">
      <c r="B524" s="13" t="s">
        <v>390</v>
      </c>
      <c r="C524" s="667"/>
      <c r="F524" s="667"/>
      <c r="G524" s="667"/>
    </row>
    <row r="525" spans="2:7">
      <c r="B525" s="13" t="s">
        <v>1912</v>
      </c>
      <c r="C525" s="667"/>
      <c r="F525" s="667"/>
      <c r="G525" s="667"/>
    </row>
    <row r="526" spans="2:7">
      <c r="B526" s="13" t="s">
        <v>390</v>
      </c>
      <c r="C526" s="667"/>
      <c r="F526" s="667"/>
      <c r="G526" s="667"/>
    </row>
    <row r="527" spans="2:7">
      <c r="B527" s="13" t="s">
        <v>1531</v>
      </c>
      <c r="C527" s="667" t="s">
        <v>2998</v>
      </c>
      <c r="D527" s="13" t="s">
        <v>2163</v>
      </c>
      <c r="E527" s="13" t="s">
        <v>1871</v>
      </c>
      <c r="F527" s="667" t="s">
        <v>904</v>
      </c>
      <c r="G527" s="667" t="s">
        <v>1774</v>
      </c>
    </row>
    <row r="528" spans="2:7">
      <c r="B528" s="13" t="s">
        <v>1531</v>
      </c>
      <c r="C528" s="667" t="s">
        <v>2998</v>
      </c>
      <c r="D528" s="13" t="s">
        <v>2164</v>
      </c>
      <c r="E528" s="13" t="s">
        <v>1873</v>
      </c>
      <c r="F528" s="667" t="s">
        <v>904</v>
      </c>
      <c r="G528" s="667" t="s">
        <v>1774</v>
      </c>
    </row>
    <row r="529" spans="2:7">
      <c r="B529" s="13" t="s">
        <v>1531</v>
      </c>
      <c r="C529" s="667" t="s">
        <v>2998</v>
      </c>
      <c r="D529" s="13" t="s">
        <v>2165</v>
      </c>
      <c r="E529" s="13" t="s">
        <v>1875</v>
      </c>
      <c r="F529" s="667" t="s">
        <v>904</v>
      </c>
      <c r="G529" s="667" t="s">
        <v>1774</v>
      </c>
    </row>
    <row r="530" spans="2:7">
      <c r="B530" s="13" t="s">
        <v>1531</v>
      </c>
      <c r="C530" s="667" t="s">
        <v>2998</v>
      </c>
      <c r="D530" s="13" t="s">
        <v>2166</v>
      </c>
      <c r="E530" s="13" t="s">
        <v>1877</v>
      </c>
      <c r="F530" s="667" t="s">
        <v>904</v>
      </c>
      <c r="G530" s="667" t="s">
        <v>1774</v>
      </c>
    </row>
    <row r="531" spans="2:7">
      <c r="B531" s="13" t="s">
        <v>1531</v>
      </c>
      <c r="C531" s="667" t="s">
        <v>2998</v>
      </c>
      <c r="D531" s="13" t="s">
        <v>2167</v>
      </c>
      <c r="E531" s="13" t="s">
        <v>1879</v>
      </c>
      <c r="F531" s="667" t="s">
        <v>904</v>
      </c>
      <c r="G531" s="667" t="s">
        <v>1774</v>
      </c>
    </row>
    <row r="532" spans="2:7">
      <c r="B532" s="13" t="s">
        <v>1531</v>
      </c>
      <c r="C532" s="667" t="s">
        <v>2998</v>
      </c>
      <c r="D532" s="13" t="s">
        <v>2168</v>
      </c>
      <c r="E532" s="13" t="s">
        <v>1881</v>
      </c>
      <c r="F532" s="667" t="s">
        <v>904</v>
      </c>
      <c r="G532" s="667" t="s">
        <v>1774</v>
      </c>
    </row>
    <row r="533" spans="2:7">
      <c r="B533" s="13" t="s">
        <v>1531</v>
      </c>
      <c r="C533" s="667" t="s">
        <v>2998</v>
      </c>
      <c r="D533" s="13" t="s">
        <v>2169</v>
      </c>
      <c r="E533" s="13" t="s">
        <v>1883</v>
      </c>
      <c r="F533" s="667" t="s">
        <v>904</v>
      </c>
      <c r="G533" s="667" t="s">
        <v>1774</v>
      </c>
    </row>
    <row r="534" spans="2:7">
      <c r="B534" s="13" t="s">
        <v>1531</v>
      </c>
      <c r="C534" s="667" t="s">
        <v>2998</v>
      </c>
      <c r="D534" s="13" t="s">
        <v>2170</v>
      </c>
      <c r="E534" s="13" t="s">
        <v>1885</v>
      </c>
      <c r="F534" s="667" t="s">
        <v>904</v>
      </c>
      <c r="G534" s="667" t="s">
        <v>1774</v>
      </c>
    </row>
    <row r="535" spans="2:7">
      <c r="B535" s="13" t="s">
        <v>1531</v>
      </c>
      <c r="C535" s="667" t="s">
        <v>2998</v>
      </c>
      <c r="D535" s="13" t="s">
        <v>2171</v>
      </c>
      <c r="E535" s="13" t="s">
        <v>1887</v>
      </c>
      <c r="F535" s="667" t="s">
        <v>904</v>
      </c>
      <c r="G535" s="667" t="s">
        <v>1774</v>
      </c>
    </row>
    <row r="536" spans="2:7">
      <c r="B536" s="13" t="s">
        <v>1531</v>
      </c>
      <c r="C536" s="667" t="s">
        <v>2998</v>
      </c>
      <c r="D536" s="13" t="s">
        <v>2172</v>
      </c>
      <c r="E536" s="13" t="s">
        <v>1889</v>
      </c>
      <c r="F536" s="667" t="s">
        <v>904</v>
      </c>
      <c r="G536" s="667" t="s">
        <v>1774</v>
      </c>
    </row>
    <row r="537" spans="2:7">
      <c r="B537" s="13" t="s">
        <v>1531</v>
      </c>
      <c r="C537" s="667" t="s">
        <v>2998</v>
      </c>
      <c r="D537" s="13" t="s">
        <v>2173</v>
      </c>
      <c r="E537" s="13" t="s">
        <v>1891</v>
      </c>
      <c r="F537" s="667" t="s">
        <v>904</v>
      </c>
      <c r="G537" s="667" t="s">
        <v>1774</v>
      </c>
    </row>
    <row r="538" spans="2:7">
      <c r="B538" s="13" t="s">
        <v>1531</v>
      </c>
      <c r="C538" s="667" t="s">
        <v>2998</v>
      </c>
      <c r="D538" s="13" t="s">
        <v>2174</v>
      </c>
      <c r="E538" s="13" t="s">
        <v>1893</v>
      </c>
      <c r="F538" s="667" t="s">
        <v>904</v>
      </c>
      <c r="G538" s="667" t="s">
        <v>1774</v>
      </c>
    </row>
    <row r="539" spans="2:7">
      <c r="B539" s="13" t="s">
        <v>1531</v>
      </c>
      <c r="C539" s="667" t="s">
        <v>2998</v>
      </c>
      <c r="D539" s="13" t="s">
        <v>2174</v>
      </c>
      <c r="E539" s="13" t="s">
        <v>1893</v>
      </c>
      <c r="F539" s="667" t="s">
        <v>904</v>
      </c>
      <c r="G539" s="667" t="s">
        <v>1774</v>
      </c>
    </row>
    <row r="540" spans="2:7">
      <c r="B540" s="13" t="s">
        <v>1531</v>
      </c>
      <c r="C540" s="667" t="s">
        <v>2998</v>
      </c>
      <c r="D540" s="13" t="s">
        <v>2175</v>
      </c>
      <c r="E540" s="13" t="s">
        <v>1895</v>
      </c>
      <c r="F540" s="667" t="s">
        <v>904</v>
      </c>
      <c r="G540" s="667" t="s">
        <v>1774</v>
      </c>
    </row>
    <row r="541" spans="2:7">
      <c r="B541" s="13" t="s">
        <v>1531</v>
      </c>
      <c r="C541" s="667" t="s">
        <v>2998</v>
      </c>
      <c r="D541" s="13" t="s">
        <v>2176</v>
      </c>
      <c r="E541" s="13" t="s">
        <v>1897</v>
      </c>
      <c r="F541" s="667" t="s">
        <v>904</v>
      </c>
      <c r="G541" s="667" t="s">
        <v>1774</v>
      </c>
    </row>
    <row r="542" spans="2:7">
      <c r="B542" s="13" t="s">
        <v>1531</v>
      </c>
      <c r="C542" s="667" t="s">
        <v>2998</v>
      </c>
      <c r="D542" s="13" t="s">
        <v>2177</v>
      </c>
      <c r="E542" s="13" t="s">
        <v>1899</v>
      </c>
      <c r="F542" s="667" t="s">
        <v>904</v>
      </c>
      <c r="G542" s="667" t="s">
        <v>1774</v>
      </c>
    </row>
    <row r="543" spans="2:7">
      <c r="B543" s="13" t="s">
        <v>1531</v>
      </c>
      <c r="C543" s="667" t="s">
        <v>2998</v>
      </c>
      <c r="D543" s="13" t="s">
        <v>2178</v>
      </c>
      <c r="E543" s="13" t="s">
        <v>1901</v>
      </c>
      <c r="F543" s="667" t="s">
        <v>904</v>
      </c>
      <c r="G543" s="667" t="s">
        <v>1774</v>
      </c>
    </row>
    <row r="544" spans="2:7">
      <c r="B544" s="13" t="s">
        <v>1531</v>
      </c>
      <c r="C544" s="667" t="s">
        <v>2998</v>
      </c>
      <c r="D544" s="13" t="s">
        <v>2179</v>
      </c>
      <c r="E544" s="13" t="s">
        <v>1903</v>
      </c>
      <c r="F544" s="667" t="s">
        <v>904</v>
      </c>
      <c r="G544" s="667" t="s">
        <v>1774</v>
      </c>
    </row>
    <row r="545" spans="2:7">
      <c r="B545" s="13" t="s">
        <v>1531</v>
      </c>
      <c r="C545" s="667" t="s">
        <v>2998</v>
      </c>
      <c r="D545" s="13" t="s">
        <v>2180</v>
      </c>
      <c r="E545" s="13" t="s">
        <v>1905</v>
      </c>
      <c r="F545" s="667" t="s">
        <v>904</v>
      </c>
      <c r="G545" s="667" t="s">
        <v>1774</v>
      </c>
    </row>
    <row r="546" spans="2:7">
      <c r="B546" s="13" t="s">
        <v>1531</v>
      </c>
      <c r="C546" s="667" t="s">
        <v>2998</v>
      </c>
      <c r="D546" s="13" t="s">
        <v>2181</v>
      </c>
      <c r="E546" s="13" t="s">
        <v>1907</v>
      </c>
      <c r="F546" s="667" t="s">
        <v>904</v>
      </c>
      <c r="G546" s="667" t="s">
        <v>1774</v>
      </c>
    </row>
    <row r="547" spans="2:7">
      <c r="B547" s="13" t="s">
        <v>1531</v>
      </c>
      <c r="C547" s="667" t="s">
        <v>2998</v>
      </c>
      <c r="D547" s="13" t="s">
        <v>2182</v>
      </c>
      <c r="E547" s="13" t="s">
        <v>1909</v>
      </c>
      <c r="F547" s="667" t="s">
        <v>904</v>
      </c>
      <c r="G547" s="667" t="s">
        <v>1774</v>
      </c>
    </row>
    <row r="548" spans="2:7">
      <c r="B548" s="13" t="s">
        <v>1531</v>
      </c>
      <c r="C548" s="667" t="s">
        <v>2998</v>
      </c>
      <c r="D548" s="13" t="s">
        <v>2183</v>
      </c>
      <c r="E548" s="13" t="s">
        <v>1911</v>
      </c>
      <c r="F548" s="667" t="s">
        <v>904</v>
      </c>
      <c r="G548" s="667" t="s">
        <v>1774</v>
      </c>
    </row>
    <row r="549" spans="2:7">
      <c r="B549" s="13" t="s">
        <v>390</v>
      </c>
      <c r="C549" s="667"/>
      <c r="F549" s="667"/>
      <c r="G549" s="667"/>
    </row>
    <row r="550" spans="2:7">
      <c r="B550" s="13" t="s">
        <v>390</v>
      </c>
      <c r="C550" s="667"/>
      <c r="F550" s="667"/>
      <c r="G550" s="667"/>
    </row>
    <row r="551" spans="2:7">
      <c r="B551" s="13" t="s">
        <v>1913</v>
      </c>
      <c r="C551" s="667"/>
      <c r="F551" s="667"/>
      <c r="G551" s="667"/>
    </row>
    <row r="552" spans="2:7">
      <c r="B552" s="13" t="s">
        <v>390</v>
      </c>
      <c r="C552" s="667"/>
      <c r="F552" s="667"/>
      <c r="G552" s="667"/>
    </row>
    <row r="553" spans="2:7">
      <c r="B553" s="13" t="s">
        <v>1531</v>
      </c>
      <c r="C553" s="667" t="s">
        <v>2999</v>
      </c>
      <c r="D553" s="13" t="s">
        <v>1914</v>
      </c>
      <c r="E553" s="13" t="s">
        <v>1871</v>
      </c>
      <c r="F553" s="667" t="s">
        <v>904</v>
      </c>
      <c r="G553" s="667" t="s">
        <v>1774</v>
      </c>
    </row>
    <row r="554" spans="2:7">
      <c r="B554" s="13" t="s">
        <v>1531</v>
      </c>
      <c r="C554" s="667" t="s">
        <v>2999</v>
      </c>
      <c r="D554" s="13" t="s">
        <v>1915</v>
      </c>
      <c r="E554" s="13" t="s">
        <v>1873</v>
      </c>
      <c r="F554" s="667" t="s">
        <v>904</v>
      </c>
      <c r="G554" s="667" t="s">
        <v>1774</v>
      </c>
    </row>
    <row r="555" spans="2:7">
      <c r="B555" s="13" t="s">
        <v>1531</v>
      </c>
      <c r="C555" s="667" t="s">
        <v>2999</v>
      </c>
      <c r="D555" s="13" t="s">
        <v>1916</v>
      </c>
      <c r="E555" s="13" t="s">
        <v>1875</v>
      </c>
      <c r="F555" s="667" t="s">
        <v>904</v>
      </c>
      <c r="G555" s="667" t="s">
        <v>1774</v>
      </c>
    </row>
    <row r="556" spans="2:7">
      <c r="B556" s="13" t="s">
        <v>1531</v>
      </c>
      <c r="C556" s="667" t="s">
        <v>2999</v>
      </c>
      <c r="D556" s="13" t="s">
        <v>1917</v>
      </c>
      <c r="E556" s="13" t="s">
        <v>1877</v>
      </c>
      <c r="F556" s="667" t="s">
        <v>904</v>
      </c>
      <c r="G556" s="667" t="s">
        <v>1774</v>
      </c>
    </row>
    <row r="557" spans="2:7">
      <c r="B557" s="13" t="s">
        <v>1531</v>
      </c>
      <c r="C557" s="667" t="s">
        <v>2999</v>
      </c>
      <c r="D557" s="13" t="s">
        <v>1918</v>
      </c>
      <c r="E557" s="13" t="s">
        <v>1919</v>
      </c>
      <c r="F557" s="667" t="s">
        <v>904</v>
      </c>
      <c r="G557" s="667" t="s">
        <v>1774</v>
      </c>
    </row>
    <row r="558" spans="2:7">
      <c r="B558" s="13" t="s">
        <v>1531</v>
      </c>
      <c r="C558" s="667" t="s">
        <v>2999</v>
      </c>
      <c r="D558" s="13" t="s">
        <v>1920</v>
      </c>
      <c r="E558" s="13" t="s">
        <v>1921</v>
      </c>
      <c r="F558" s="667" t="s">
        <v>904</v>
      </c>
      <c r="G558" s="667" t="s">
        <v>1774</v>
      </c>
    </row>
    <row r="559" spans="2:7">
      <c r="B559" s="13" t="s">
        <v>1531</v>
      </c>
      <c r="C559" s="667" t="s">
        <v>2999</v>
      </c>
      <c r="D559" s="13" t="s">
        <v>1922</v>
      </c>
      <c r="E559" s="13" t="s">
        <v>1923</v>
      </c>
      <c r="F559" s="667" t="s">
        <v>904</v>
      </c>
      <c r="G559" s="667" t="s">
        <v>1774</v>
      </c>
    </row>
    <row r="560" spans="2:7">
      <c r="B560" s="13" t="s">
        <v>1531</v>
      </c>
      <c r="C560" s="667" t="s">
        <v>2999</v>
      </c>
      <c r="D560" s="13" t="s">
        <v>1924</v>
      </c>
      <c r="E560" s="13" t="s">
        <v>1925</v>
      </c>
      <c r="F560" s="667" t="s">
        <v>904</v>
      </c>
      <c r="G560" s="667" t="s">
        <v>1774</v>
      </c>
    </row>
    <row r="561" spans="2:7">
      <c r="B561" s="13" t="s">
        <v>1531</v>
      </c>
      <c r="C561" s="667" t="s">
        <v>2999</v>
      </c>
      <c r="D561" s="13" t="s">
        <v>1926</v>
      </c>
      <c r="E561" s="13" t="s">
        <v>1927</v>
      </c>
      <c r="F561" s="667" t="s">
        <v>904</v>
      </c>
      <c r="G561" s="667" t="s">
        <v>1774</v>
      </c>
    </row>
    <row r="562" spans="2:7">
      <c r="B562" s="13" t="s">
        <v>1531</v>
      </c>
      <c r="C562" s="667" t="s">
        <v>2999</v>
      </c>
      <c r="D562" s="13" t="s">
        <v>1928</v>
      </c>
      <c r="E562" s="13" t="s">
        <v>1929</v>
      </c>
      <c r="F562" s="667" t="s">
        <v>904</v>
      </c>
      <c r="G562" s="667" t="s">
        <v>1774</v>
      </c>
    </row>
    <row r="563" spans="2:7">
      <c r="B563" s="13" t="s">
        <v>1531</v>
      </c>
      <c r="C563" s="667" t="s">
        <v>2999</v>
      </c>
      <c r="D563" s="13" t="s">
        <v>1930</v>
      </c>
      <c r="E563" s="13" t="s">
        <v>1931</v>
      </c>
      <c r="F563" s="667" t="s">
        <v>904</v>
      </c>
      <c r="G563" s="667" t="s">
        <v>1774</v>
      </c>
    </row>
    <row r="564" spans="2:7">
      <c r="B564" s="13" t="s">
        <v>1531</v>
      </c>
      <c r="C564" s="667" t="s">
        <v>2999</v>
      </c>
      <c r="D564" s="13" t="s">
        <v>1932</v>
      </c>
      <c r="E564" s="13" t="s">
        <v>1933</v>
      </c>
      <c r="F564" s="667" t="s">
        <v>904</v>
      </c>
      <c r="G564" s="667" t="s">
        <v>1774</v>
      </c>
    </row>
    <row r="565" spans="2:7">
      <c r="B565" s="13" t="s">
        <v>1531</v>
      </c>
      <c r="C565" s="667" t="s">
        <v>2999</v>
      </c>
      <c r="D565" s="13" t="s">
        <v>1932</v>
      </c>
      <c r="E565" s="13" t="s">
        <v>1933</v>
      </c>
      <c r="F565" s="667" t="s">
        <v>904</v>
      </c>
      <c r="G565" s="667" t="s">
        <v>1774</v>
      </c>
    </row>
    <row r="566" spans="2:7">
      <c r="B566" s="13" t="s">
        <v>1531</v>
      </c>
      <c r="C566" s="667" t="s">
        <v>2999</v>
      </c>
      <c r="D566" s="13" t="s">
        <v>1934</v>
      </c>
      <c r="E566" s="13" t="s">
        <v>1935</v>
      </c>
      <c r="F566" s="667" t="s">
        <v>904</v>
      </c>
      <c r="G566" s="667" t="s">
        <v>1774</v>
      </c>
    </row>
    <row r="567" spans="2:7">
      <c r="B567" s="13" t="s">
        <v>1531</v>
      </c>
      <c r="C567" s="667" t="s">
        <v>2999</v>
      </c>
      <c r="D567" s="13" t="s">
        <v>1936</v>
      </c>
      <c r="E567" s="13" t="s">
        <v>1937</v>
      </c>
      <c r="F567" s="667" t="s">
        <v>904</v>
      </c>
      <c r="G567" s="667" t="s">
        <v>1774</v>
      </c>
    </row>
    <row r="568" spans="2:7">
      <c r="B568" s="13" t="s">
        <v>1531</v>
      </c>
      <c r="C568" s="667" t="s">
        <v>2999</v>
      </c>
      <c r="D568" s="13" t="s">
        <v>1938</v>
      </c>
      <c r="E568" s="13" t="s">
        <v>1939</v>
      </c>
      <c r="F568" s="667" t="s">
        <v>904</v>
      </c>
      <c r="G568" s="667" t="s">
        <v>1774</v>
      </c>
    </row>
    <row r="569" spans="2:7">
      <c r="B569" s="13" t="s">
        <v>1531</v>
      </c>
      <c r="C569" s="667" t="s">
        <v>2999</v>
      </c>
      <c r="D569" s="13" t="s">
        <v>1940</v>
      </c>
      <c r="E569" s="13" t="s">
        <v>1941</v>
      </c>
      <c r="F569" s="667" t="s">
        <v>904</v>
      </c>
      <c r="G569" s="667" t="s">
        <v>1774</v>
      </c>
    </row>
    <row r="570" spans="2:7">
      <c r="B570" s="13" t="s">
        <v>1531</v>
      </c>
      <c r="C570" s="667" t="s">
        <v>2999</v>
      </c>
      <c r="D570" s="13" t="s">
        <v>1942</v>
      </c>
      <c r="E570" s="13" t="s">
        <v>1943</v>
      </c>
      <c r="F570" s="667" t="s">
        <v>904</v>
      </c>
      <c r="G570" s="667" t="s">
        <v>1774</v>
      </c>
    </row>
    <row r="571" spans="2:7">
      <c r="B571" s="13" t="s">
        <v>1531</v>
      </c>
      <c r="C571" s="667" t="s">
        <v>2999</v>
      </c>
      <c r="D571" s="13" t="s">
        <v>1944</v>
      </c>
      <c r="E571" s="13" t="s">
        <v>1945</v>
      </c>
      <c r="F571" s="667" t="s">
        <v>904</v>
      </c>
      <c r="G571" s="667" t="s">
        <v>1774</v>
      </c>
    </row>
    <row r="572" spans="2:7">
      <c r="B572" s="13" t="s">
        <v>1531</v>
      </c>
      <c r="C572" s="667" t="s">
        <v>2999</v>
      </c>
      <c r="D572" s="13" t="s">
        <v>1946</v>
      </c>
      <c r="E572" s="13" t="s">
        <v>1947</v>
      </c>
      <c r="F572" s="667" t="s">
        <v>904</v>
      </c>
      <c r="G572" s="667" t="s">
        <v>1774</v>
      </c>
    </row>
    <row r="573" spans="2:7">
      <c r="B573" s="13" t="s">
        <v>1531</v>
      </c>
      <c r="C573" s="667" t="s">
        <v>2999</v>
      </c>
      <c r="D573" s="13" t="s">
        <v>1948</v>
      </c>
      <c r="E573" s="13" t="s">
        <v>1949</v>
      </c>
      <c r="F573" s="667" t="s">
        <v>904</v>
      </c>
      <c r="G573" s="667" t="s">
        <v>1774</v>
      </c>
    </row>
    <row r="574" spans="2:7">
      <c r="B574" s="13" t="s">
        <v>1531</v>
      </c>
      <c r="C574" s="667" t="s">
        <v>2999</v>
      </c>
      <c r="D574" s="13" t="s">
        <v>1950</v>
      </c>
      <c r="E574" s="13" t="s">
        <v>1951</v>
      </c>
      <c r="F574" s="667" t="s">
        <v>904</v>
      </c>
      <c r="G574" s="667" t="s">
        <v>1774</v>
      </c>
    </row>
    <row r="575" spans="2:7">
      <c r="B575" s="13" t="s">
        <v>390</v>
      </c>
      <c r="C575" s="667"/>
      <c r="F575" s="667"/>
      <c r="G575" s="667"/>
    </row>
    <row r="576" spans="2:7">
      <c r="B576" s="13" t="s">
        <v>1912</v>
      </c>
      <c r="C576" s="667"/>
      <c r="F576" s="667"/>
      <c r="G576" s="667"/>
    </row>
    <row r="577" spans="2:7">
      <c r="B577" s="13" t="s">
        <v>390</v>
      </c>
      <c r="C577" s="667"/>
      <c r="F577" s="667"/>
      <c r="G577" s="667"/>
    </row>
    <row r="578" spans="2:7">
      <c r="B578" s="13" t="s">
        <v>1531</v>
      </c>
      <c r="C578" s="667" t="s">
        <v>2998</v>
      </c>
      <c r="D578" s="13" t="s">
        <v>2184</v>
      </c>
      <c r="E578" s="13" t="s">
        <v>1871</v>
      </c>
      <c r="F578" s="667" t="s">
        <v>904</v>
      </c>
      <c r="G578" s="667" t="s">
        <v>1774</v>
      </c>
    </row>
    <row r="579" spans="2:7">
      <c r="B579" s="13" t="s">
        <v>1531</v>
      </c>
      <c r="C579" s="667" t="s">
        <v>2998</v>
      </c>
      <c r="D579" s="13" t="s">
        <v>2185</v>
      </c>
      <c r="E579" s="13" t="s">
        <v>1873</v>
      </c>
      <c r="F579" s="667" t="s">
        <v>904</v>
      </c>
      <c r="G579" s="667" t="s">
        <v>1774</v>
      </c>
    </row>
    <row r="580" spans="2:7">
      <c r="B580" s="13" t="s">
        <v>1531</v>
      </c>
      <c r="C580" s="667" t="s">
        <v>2998</v>
      </c>
      <c r="D580" s="13" t="s">
        <v>2186</v>
      </c>
      <c r="E580" s="13" t="s">
        <v>1875</v>
      </c>
      <c r="F580" s="667" t="s">
        <v>904</v>
      </c>
      <c r="G580" s="667" t="s">
        <v>1774</v>
      </c>
    </row>
    <row r="581" spans="2:7">
      <c r="B581" s="13" t="s">
        <v>1531</v>
      </c>
      <c r="C581" s="667" t="s">
        <v>2998</v>
      </c>
      <c r="D581" s="13" t="s">
        <v>2187</v>
      </c>
      <c r="E581" s="13" t="s">
        <v>1877</v>
      </c>
      <c r="F581" s="667" t="s">
        <v>904</v>
      </c>
      <c r="G581" s="667" t="s">
        <v>1774</v>
      </c>
    </row>
    <row r="582" spans="2:7">
      <c r="B582" s="13" t="s">
        <v>1531</v>
      </c>
      <c r="C582" s="667" t="s">
        <v>2998</v>
      </c>
      <c r="D582" s="13" t="s">
        <v>2188</v>
      </c>
      <c r="E582" s="13" t="s">
        <v>1919</v>
      </c>
      <c r="F582" s="667" t="s">
        <v>904</v>
      </c>
      <c r="G582" s="667" t="s">
        <v>1774</v>
      </c>
    </row>
    <row r="583" spans="2:7">
      <c r="B583" s="13" t="s">
        <v>1531</v>
      </c>
      <c r="C583" s="667" t="s">
        <v>2998</v>
      </c>
      <c r="D583" s="13" t="s">
        <v>2189</v>
      </c>
      <c r="E583" s="13" t="s">
        <v>1921</v>
      </c>
      <c r="F583" s="667" t="s">
        <v>904</v>
      </c>
      <c r="G583" s="667" t="s">
        <v>1774</v>
      </c>
    </row>
    <row r="584" spans="2:7">
      <c r="B584" s="13" t="s">
        <v>1531</v>
      </c>
      <c r="C584" s="667" t="s">
        <v>2998</v>
      </c>
      <c r="D584" s="13" t="s">
        <v>2190</v>
      </c>
      <c r="E584" s="13" t="s">
        <v>1923</v>
      </c>
      <c r="F584" s="667" t="s">
        <v>904</v>
      </c>
      <c r="G584" s="667" t="s">
        <v>1774</v>
      </c>
    </row>
    <row r="585" spans="2:7">
      <c r="B585" s="13" t="s">
        <v>1531</v>
      </c>
      <c r="C585" s="667" t="s">
        <v>2998</v>
      </c>
      <c r="D585" s="13" t="s">
        <v>2191</v>
      </c>
      <c r="E585" s="13" t="s">
        <v>1925</v>
      </c>
      <c r="F585" s="667" t="s">
        <v>904</v>
      </c>
      <c r="G585" s="667" t="s">
        <v>1774</v>
      </c>
    </row>
    <row r="586" spans="2:7">
      <c r="B586" s="13" t="s">
        <v>1531</v>
      </c>
      <c r="C586" s="667" t="s">
        <v>2998</v>
      </c>
      <c r="D586" s="13" t="s">
        <v>2192</v>
      </c>
      <c r="E586" s="13" t="s">
        <v>1927</v>
      </c>
      <c r="F586" s="667" t="s">
        <v>904</v>
      </c>
      <c r="G586" s="667" t="s">
        <v>1774</v>
      </c>
    </row>
    <row r="587" spans="2:7">
      <c r="B587" s="13" t="s">
        <v>1531</v>
      </c>
      <c r="C587" s="667" t="s">
        <v>2998</v>
      </c>
      <c r="D587" s="13" t="s">
        <v>2193</v>
      </c>
      <c r="E587" s="13" t="s">
        <v>1929</v>
      </c>
      <c r="F587" s="667" t="s">
        <v>904</v>
      </c>
      <c r="G587" s="667" t="s">
        <v>1774</v>
      </c>
    </row>
    <row r="588" spans="2:7">
      <c r="B588" s="13" t="s">
        <v>1531</v>
      </c>
      <c r="C588" s="667" t="s">
        <v>2998</v>
      </c>
      <c r="D588" s="13" t="s">
        <v>2194</v>
      </c>
      <c r="E588" s="13" t="s">
        <v>1931</v>
      </c>
      <c r="F588" s="667" t="s">
        <v>904</v>
      </c>
      <c r="G588" s="667" t="s">
        <v>1774</v>
      </c>
    </row>
    <row r="589" spans="2:7">
      <c r="B589" s="13" t="s">
        <v>1531</v>
      </c>
      <c r="C589" s="667" t="s">
        <v>2998</v>
      </c>
      <c r="D589" s="13" t="s">
        <v>2195</v>
      </c>
      <c r="E589" s="13" t="s">
        <v>1933</v>
      </c>
      <c r="F589" s="667" t="s">
        <v>904</v>
      </c>
      <c r="G589" s="667" t="s">
        <v>1774</v>
      </c>
    </row>
    <row r="590" spans="2:7">
      <c r="B590" s="13" t="s">
        <v>1531</v>
      </c>
      <c r="C590" s="667" t="s">
        <v>2998</v>
      </c>
      <c r="D590" s="13" t="s">
        <v>2195</v>
      </c>
      <c r="E590" s="13" t="s">
        <v>1933</v>
      </c>
      <c r="F590" s="667" t="s">
        <v>904</v>
      </c>
      <c r="G590" s="667" t="s">
        <v>1774</v>
      </c>
    </row>
    <row r="591" spans="2:7">
      <c r="B591" s="13" t="s">
        <v>1531</v>
      </c>
      <c r="C591" s="667" t="s">
        <v>2998</v>
      </c>
      <c r="D591" s="13" t="s">
        <v>2196</v>
      </c>
      <c r="E591" s="13" t="s">
        <v>1935</v>
      </c>
      <c r="F591" s="667" t="s">
        <v>904</v>
      </c>
      <c r="G591" s="667" t="s">
        <v>1774</v>
      </c>
    </row>
    <row r="592" spans="2:7">
      <c r="B592" s="13" t="s">
        <v>1531</v>
      </c>
      <c r="C592" s="667" t="s">
        <v>2998</v>
      </c>
      <c r="D592" s="13" t="s">
        <v>2197</v>
      </c>
      <c r="E592" s="13" t="s">
        <v>1937</v>
      </c>
      <c r="F592" s="667" t="s">
        <v>904</v>
      </c>
      <c r="G592" s="667" t="s">
        <v>1774</v>
      </c>
    </row>
    <row r="593" spans="2:7">
      <c r="B593" s="13" t="s">
        <v>1531</v>
      </c>
      <c r="C593" s="667" t="s">
        <v>2998</v>
      </c>
      <c r="D593" s="13" t="s">
        <v>2198</v>
      </c>
      <c r="E593" s="13" t="s">
        <v>1939</v>
      </c>
      <c r="F593" s="667" t="s">
        <v>904</v>
      </c>
      <c r="G593" s="667" t="s">
        <v>1774</v>
      </c>
    </row>
    <row r="594" spans="2:7">
      <c r="B594" s="13" t="s">
        <v>1531</v>
      </c>
      <c r="C594" s="667" t="s">
        <v>2998</v>
      </c>
      <c r="D594" s="13" t="s">
        <v>2199</v>
      </c>
      <c r="E594" s="13" t="s">
        <v>1941</v>
      </c>
      <c r="F594" s="667" t="s">
        <v>904</v>
      </c>
      <c r="G594" s="667" t="s">
        <v>1774</v>
      </c>
    </row>
    <row r="595" spans="2:7">
      <c r="B595" s="13" t="s">
        <v>1531</v>
      </c>
      <c r="C595" s="667" t="s">
        <v>2998</v>
      </c>
      <c r="D595" s="13" t="s">
        <v>2200</v>
      </c>
      <c r="E595" s="13" t="s">
        <v>1943</v>
      </c>
      <c r="F595" s="667" t="s">
        <v>904</v>
      </c>
      <c r="G595" s="667" t="s">
        <v>1774</v>
      </c>
    </row>
    <row r="596" spans="2:7">
      <c r="B596" s="13" t="s">
        <v>1531</v>
      </c>
      <c r="C596" s="667" t="s">
        <v>2998</v>
      </c>
      <c r="D596" s="13" t="s">
        <v>2201</v>
      </c>
      <c r="E596" s="13" t="s">
        <v>1945</v>
      </c>
      <c r="F596" s="667" t="s">
        <v>904</v>
      </c>
      <c r="G596" s="667" t="s">
        <v>1774</v>
      </c>
    </row>
    <row r="597" spans="2:7">
      <c r="B597" s="13" t="s">
        <v>1531</v>
      </c>
      <c r="C597" s="667" t="s">
        <v>2998</v>
      </c>
      <c r="D597" s="13" t="s">
        <v>2202</v>
      </c>
      <c r="E597" s="13" t="s">
        <v>1947</v>
      </c>
      <c r="F597" s="667" t="s">
        <v>904</v>
      </c>
      <c r="G597" s="667" t="s">
        <v>1774</v>
      </c>
    </row>
    <row r="598" spans="2:7">
      <c r="B598" s="13" t="s">
        <v>1531</v>
      </c>
      <c r="C598" s="667" t="s">
        <v>2998</v>
      </c>
      <c r="D598" s="13" t="s">
        <v>2203</v>
      </c>
      <c r="E598" s="13" t="s">
        <v>1949</v>
      </c>
      <c r="F598" s="667" t="s">
        <v>904</v>
      </c>
      <c r="G598" s="667" t="s">
        <v>1774</v>
      </c>
    </row>
    <row r="599" spans="2:7">
      <c r="B599" s="13" t="s">
        <v>1531</v>
      </c>
      <c r="C599" s="667" t="s">
        <v>2998</v>
      </c>
      <c r="D599" s="13" t="s">
        <v>2204</v>
      </c>
      <c r="E599" s="13" t="s">
        <v>1951</v>
      </c>
      <c r="F599" s="667" t="s">
        <v>904</v>
      </c>
      <c r="G599" s="667" t="s">
        <v>1774</v>
      </c>
    </row>
    <row r="600" spans="2:7">
      <c r="B600" s="13" t="s">
        <v>390</v>
      </c>
      <c r="C600" s="667"/>
      <c r="F600" s="667"/>
      <c r="G600" s="667"/>
    </row>
    <row r="601" spans="2:7">
      <c r="B601" s="13" t="s">
        <v>390</v>
      </c>
      <c r="C601" s="667"/>
      <c r="F601" s="667"/>
      <c r="G601" s="667"/>
    </row>
    <row r="602" spans="2:7">
      <c r="B602" s="13" t="s">
        <v>1952</v>
      </c>
      <c r="C602" s="667"/>
      <c r="F602" s="667"/>
      <c r="G602" s="667"/>
    </row>
    <row r="603" spans="2:7">
      <c r="B603" s="13" t="s">
        <v>390</v>
      </c>
      <c r="C603" s="667"/>
      <c r="F603" s="667"/>
      <c r="G603" s="667"/>
    </row>
    <row r="604" spans="2:7" ht="13.5" customHeight="1">
      <c r="B604" s="13" t="s">
        <v>1528</v>
      </c>
      <c r="C604" s="667" t="s">
        <v>2999</v>
      </c>
      <c r="D604" s="13" t="s">
        <v>1953</v>
      </c>
      <c r="E604" s="13" t="s">
        <v>1871</v>
      </c>
      <c r="F604" s="667" t="s">
        <v>904</v>
      </c>
      <c r="G604" s="667" t="s">
        <v>1774</v>
      </c>
    </row>
    <row r="605" spans="2:7" ht="13.5" customHeight="1">
      <c r="B605" s="13" t="s">
        <v>1528</v>
      </c>
      <c r="C605" s="667" t="s">
        <v>2999</v>
      </c>
      <c r="D605" s="13" t="s">
        <v>1954</v>
      </c>
      <c r="E605" s="13" t="s">
        <v>1873</v>
      </c>
      <c r="F605" s="667" t="s">
        <v>904</v>
      </c>
      <c r="G605" s="667" t="s">
        <v>1774</v>
      </c>
    </row>
    <row r="606" spans="2:7" ht="13.5" customHeight="1">
      <c r="B606" s="13" t="s">
        <v>1528</v>
      </c>
      <c r="C606" s="667" t="s">
        <v>2999</v>
      </c>
      <c r="D606" s="13" t="s">
        <v>1955</v>
      </c>
      <c r="E606" s="13" t="s">
        <v>1875</v>
      </c>
      <c r="F606" s="667" t="s">
        <v>904</v>
      </c>
      <c r="G606" s="667" t="s">
        <v>1774</v>
      </c>
    </row>
    <row r="607" spans="2:7" ht="13.5" customHeight="1">
      <c r="B607" s="13" t="s">
        <v>1528</v>
      </c>
      <c r="C607" s="667" t="s">
        <v>2999</v>
      </c>
      <c r="D607" s="13" t="s">
        <v>1956</v>
      </c>
      <c r="E607" s="13" t="s">
        <v>1877</v>
      </c>
      <c r="F607" s="667" t="s">
        <v>904</v>
      </c>
      <c r="G607" s="667" t="s">
        <v>1774</v>
      </c>
    </row>
    <row r="608" spans="2:7" ht="13.5" customHeight="1">
      <c r="B608" s="13" t="s">
        <v>1528</v>
      </c>
      <c r="C608" s="667" t="s">
        <v>2999</v>
      </c>
      <c r="D608" s="13" t="s">
        <v>1957</v>
      </c>
      <c r="E608" s="13" t="s">
        <v>1958</v>
      </c>
      <c r="F608" s="667" t="s">
        <v>904</v>
      </c>
      <c r="G608" s="667" t="s">
        <v>1774</v>
      </c>
    </row>
    <row r="609" spans="2:7" ht="13.5" customHeight="1">
      <c r="B609" s="13" t="s">
        <v>1528</v>
      </c>
      <c r="C609" s="667" t="s">
        <v>2999</v>
      </c>
      <c r="D609" s="13" t="s">
        <v>1959</v>
      </c>
      <c r="E609" s="13" t="s">
        <v>1960</v>
      </c>
      <c r="F609" s="667" t="s">
        <v>904</v>
      </c>
      <c r="G609" s="667" t="s">
        <v>1774</v>
      </c>
    </row>
    <row r="610" spans="2:7" ht="13.5" customHeight="1">
      <c r="B610" s="13" t="s">
        <v>1528</v>
      </c>
      <c r="C610" s="667" t="s">
        <v>2999</v>
      </c>
      <c r="D610" s="13" t="s">
        <v>1961</v>
      </c>
      <c r="E610" s="13" t="s">
        <v>1962</v>
      </c>
      <c r="F610" s="667" t="s">
        <v>904</v>
      </c>
      <c r="G610" s="667" t="s">
        <v>1774</v>
      </c>
    </row>
    <row r="611" spans="2:7" ht="13.5" customHeight="1">
      <c r="B611" s="13" t="s">
        <v>1528</v>
      </c>
      <c r="C611" s="667" t="s">
        <v>2999</v>
      </c>
      <c r="D611" s="13" t="s">
        <v>1963</v>
      </c>
      <c r="E611" s="13" t="s">
        <v>1964</v>
      </c>
      <c r="F611" s="667" t="s">
        <v>904</v>
      </c>
      <c r="G611" s="667" t="s">
        <v>1774</v>
      </c>
    </row>
    <row r="612" spans="2:7">
      <c r="B612" s="13" t="s">
        <v>1528</v>
      </c>
      <c r="C612" s="667" t="s">
        <v>2999</v>
      </c>
      <c r="D612" s="13" t="s">
        <v>1965</v>
      </c>
      <c r="E612" s="13" t="s">
        <v>1966</v>
      </c>
      <c r="F612" s="667" t="s">
        <v>904</v>
      </c>
      <c r="G612" s="667" t="s">
        <v>1774</v>
      </c>
    </row>
    <row r="613" spans="2:7" ht="13.5" customHeight="1">
      <c r="B613" s="13" t="s">
        <v>1528</v>
      </c>
      <c r="C613" s="667" t="s">
        <v>2999</v>
      </c>
      <c r="D613" s="13" t="s">
        <v>1967</v>
      </c>
      <c r="E613" s="13" t="s">
        <v>1968</v>
      </c>
      <c r="F613" s="667" t="s">
        <v>904</v>
      </c>
      <c r="G613" s="667" t="s">
        <v>1774</v>
      </c>
    </row>
    <row r="614" spans="2:7" ht="13.5" customHeight="1">
      <c r="B614" s="13" t="s">
        <v>1528</v>
      </c>
      <c r="C614" s="667" t="s">
        <v>2999</v>
      </c>
      <c r="D614" s="13" t="s">
        <v>1969</v>
      </c>
      <c r="E614" s="13" t="s">
        <v>1970</v>
      </c>
      <c r="F614" s="667" t="s">
        <v>904</v>
      </c>
      <c r="G614" s="667" t="s">
        <v>1774</v>
      </c>
    </row>
    <row r="615" spans="2:7" ht="13.5" customHeight="1">
      <c r="B615" s="13" t="s">
        <v>1528</v>
      </c>
      <c r="C615" s="667" t="s">
        <v>2999</v>
      </c>
      <c r="D615" s="13" t="s">
        <v>1971</v>
      </c>
      <c r="E615" s="13" t="s">
        <v>1972</v>
      </c>
      <c r="F615" s="667" t="s">
        <v>904</v>
      </c>
      <c r="G615" s="667" t="s">
        <v>1774</v>
      </c>
    </row>
    <row r="616" spans="2:7" ht="13.5" customHeight="1">
      <c r="B616" s="13" t="s">
        <v>1528</v>
      </c>
      <c r="C616" s="667" t="s">
        <v>2999</v>
      </c>
      <c r="D616" s="13" t="s">
        <v>1973</v>
      </c>
      <c r="E616" s="13" t="s">
        <v>1974</v>
      </c>
      <c r="F616" s="667" t="s">
        <v>904</v>
      </c>
      <c r="G616" s="667" t="s">
        <v>1774</v>
      </c>
    </row>
    <row r="617" spans="2:7" ht="13.5" customHeight="1">
      <c r="B617" s="13" t="s">
        <v>1528</v>
      </c>
      <c r="C617" s="667" t="s">
        <v>2999</v>
      </c>
      <c r="D617" s="13" t="s">
        <v>1975</v>
      </c>
      <c r="E617" s="13" t="s">
        <v>1976</v>
      </c>
      <c r="F617" s="667" t="s">
        <v>904</v>
      </c>
      <c r="G617" s="667" t="s">
        <v>1774</v>
      </c>
    </row>
    <row r="618" spans="2:7" ht="13.5" customHeight="1">
      <c r="B618" s="13" t="s">
        <v>1528</v>
      </c>
      <c r="C618" s="667" t="s">
        <v>2999</v>
      </c>
      <c r="D618" s="13" t="s">
        <v>1977</v>
      </c>
      <c r="E618" s="13" t="s">
        <v>1978</v>
      </c>
      <c r="F618" s="667" t="s">
        <v>904</v>
      </c>
      <c r="G618" s="667" t="s">
        <v>1774</v>
      </c>
    </row>
    <row r="619" spans="2:7" ht="13.5" customHeight="1">
      <c r="B619" s="13" t="s">
        <v>1528</v>
      </c>
      <c r="C619" s="667" t="s">
        <v>2999</v>
      </c>
      <c r="D619" s="13" t="s">
        <v>1979</v>
      </c>
      <c r="E619" s="13" t="s">
        <v>1980</v>
      </c>
      <c r="F619" s="667" t="s">
        <v>904</v>
      </c>
      <c r="G619" s="667" t="s">
        <v>1774</v>
      </c>
    </row>
    <row r="620" spans="2:7" ht="13.5" customHeight="1">
      <c r="B620" s="13" t="s">
        <v>1528</v>
      </c>
      <c r="C620" s="667" t="s">
        <v>2999</v>
      </c>
      <c r="D620" s="13" t="s">
        <v>1981</v>
      </c>
      <c r="E620" s="13" t="s">
        <v>1982</v>
      </c>
      <c r="F620" s="667" t="s">
        <v>904</v>
      </c>
      <c r="G620" s="667" t="s">
        <v>1774</v>
      </c>
    </row>
    <row r="621" spans="2:7" ht="13.5" customHeight="1">
      <c r="B621" s="13" t="s">
        <v>1528</v>
      </c>
      <c r="C621" s="667" t="s">
        <v>2999</v>
      </c>
      <c r="D621" s="13" t="s">
        <v>1983</v>
      </c>
      <c r="E621" s="13" t="s">
        <v>1984</v>
      </c>
      <c r="F621" s="667" t="s">
        <v>904</v>
      </c>
      <c r="G621" s="667" t="s">
        <v>1774</v>
      </c>
    </row>
    <row r="622" spans="2:7" ht="13.5" customHeight="1">
      <c r="B622" s="13" t="s">
        <v>1528</v>
      </c>
      <c r="C622" s="667" t="s">
        <v>2999</v>
      </c>
      <c r="D622" s="13" t="s">
        <v>1985</v>
      </c>
      <c r="E622" s="13" t="s">
        <v>1986</v>
      </c>
      <c r="F622" s="667" t="s">
        <v>904</v>
      </c>
      <c r="G622" s="667" t="s">
        <v>1774</v>
      </c>
    </row>
    <row r="623" spans="2:7" ht="13.5" customHeight="1">
      <c r="B623" s="13" t="s">
        <v>1528</v>
      </c>
      <c r="C623" s="667" t="s">
        <v>2999</v>
      </c>
      <c r="D623" s="13" t="s">
        <v>1987</v>
      </c>
      <c r="E623" s="13" t="s">
        <v>1988</v>
      </c>
      <c r="F623" s="667" t="s">
        <v>904</v>
      </c>
      <c r="G623" s="667" t="s">
        <v>1774</v>
      </c>
    </row>
    <row r="624" spans="2:7" ht="13.5" customHeight="1">
      <c r="B624" s="13" t="s">
        <v>1528</v>
      </c>
      <c r="C624" s="667" t="s">
        <v>2999</v>
      </c>
      <c r="D624" s="13" t="s">
        <v>1989</v>
      </c>
      <c r="E624" s="13" t="s">
        <v>1990</v>
      </c>
      <c r="F624" s="667" t="s">
        <v>904</v>
      </c>
      <c r="G624" s="667" t="s">
        <v>1774</v>
      </c>
    </row>
    <row r="625" spans="2:7" ht="13.5" customHeight="1">
      <c r="B625" s="13" t="s">
        <v>1528</v>
      </c>
      <c r="C625" s="667" t="s">
        <v>2999</v>
      </c>
      <c r="D625" s="13" t="s">
        <v>1991</v>
      </c>
      <c r="E625" s="13" t="s">
        <v>1992</v>
      </c>
      <c r="F625" s="667" t="s">
        <v>904</v>
      </c>
      <c r="G625" s="667" t="s">
        <v>1774</v>
      </c>
    </row>
    <row r="626" spans="2:7" ht="13.5" customHeight="1">
      <c r="B626" s="13" t="s">
        <v>1528</v>
      </c>
      <c r="C626" s="667" t="s">
        <v>2999</v>
      </c>
      <c r="D626" s="13" t="s">
        <v>1993</v>
      </c>
      <c r="E626" s="13" t="s">
        <v>1994</v>
      </c>
      <c r="F626" s="667" t="s">
        <v>904</v>
      </c>
      <c r="G626" s="667" t="s">
        <v>1774</v>
      </c>
    </row>
    <row r="627" spans="2:7" ht="13.5" customHeight="1">
      <c r="B627" s="13" t="s">
        <v>1531</v>
      </c>
      <c r="C627" s="667" t="s">
        <v>2999</v>
      </c>
      <c r="D627" s="13" t="s">
        <v>1995</v>
      </c>
      <c r="E627" s="13" t="s">
        <v>1996</v>
      </c>
      <c r="F627" s="667" t="s">
        <v>904</v>
      </c>
      <c r="G627" s="667" t="s">
        <v>1774</v>
      </c>
    </row>
    <row r="628" spans="2:7" ht="13.5" customHeight="1">
      <c r="B628" s="13" t="s">
        <v>1528</v>
      </c>
      <c r="C628" s="667" t="s">
        <v>2999</v>
      </c>
      <c r="D628" s="13" t="s">
        <v>1997</v>
      </c>
      <c r="E628" s="13" t="s">
        <v>1998</v>
      </c>
      <c r="F628" s="667" t="s">
        <v>904</v>
      </c>
      <c r="G628" s="667" t="s">
        <v>1774</v>
      </c>
    </row>
    <row r="629" spans="2:7">
      <c r="B629" s="13" t="s">
        <v>390</v>
      </c>
      <c r="C629" s="667"/>
      <c r="F629" s="667"/>
      <c r="G629" s="667"/>
    </row>
    <row r="630" spans="2:7">
      <c r="B630" s="13" t="s">
        <v>1912</v>
      </c>
      <c r="C630" s="667"/>
      <c r="F630" s="667"/>
      <c r="G630" s="667"/>
    </row>
    <row r="631" spans="2:7">
      <c r="B631" s="13" t="s">
        <v>390</v>
      </c>
      <c r="C631" s="667"/>
      <c r="F631" s="667"/>
      <c r="G631" s="667"/>
    </row>
    <row r="632" spans="2:7">
      <c r="B632" s="13" t="s">
        <v>1531</v>
      </c>
      <c r="C632" s="667" t="s">
        <v>2998</v>
      </c>
      <c r="D632" s="13" t="s">
        <v>2205</v>
      </c>
      <c r="E632" s="13" t="s">
        <v>1871</v>
      </c>
      <c r="F632" s="667" t="s">
        <v>904</v>
      </c>
      <c r="G632" s="667" t="s">
        <v>1774</v>
      </c>
    </row>
    <row r="633" spans="2:7">
      <c r="B633" s="13" t="s">
        <v>1531</v>
      </c>
      <c r="C633" s="667" t="s">
        <v>2998</v>
      </c>
      <c r="D633" s="13" t="s">
        <v>2206</v>
      </c>
      <c r="E633" s="13" t="s">
        <v>1873</v>
      </c>
      <c r="F633" s="667" t="s">
        <v>904</v>
      </c>
      <c r="G633" s="667" t="s">
        <v>1774</v>
      </c>
    </row>
    <row r="634" spans="2:7">
      <c r="B634" s="13" t="s">
        <v>1531</v>
      </c>
      <c r="C634" s="667" t="s">
        <v>2998</v>
      </c>
      <c r="D634" s="13" t="s">
        <v>2207</v>
      </c>
      <c r="E634" s="13" t="s">
        <v>1875</v>
      </c>
      <c r="F634" s="667" t="s">
        <v>904</v>
      </c>
      <c r="G634" s="667" t="s">
        <v>1774</v>
      </c>
    </row>
    <row r="635" spans="2:7">
      <c r="B635" s="13" t="s">
        <v>1531</v>
      </c>
      <c r="C635" s="667" t="s">
        <v>2998</v>
      </c>
      <c r="D635" s="13" t="s">
        <v>2208</v>
      </c>
      <c r="E635" s="13" t="s">
        <v>1877</v>
      </c>
      <c r="F635" s="667" t="s">
        <v>904</v>
      </c>
      <c r="G635" s="667" t="s">
        <v>1774</v>
      </c>
    </row>
    <row r="636" spans="2:7">
      <c r="B636" s="13" t="s">
        <v>1531</v>
      </c>
      <c r="C636" s="667" t="s">
        <v>2998</v>
      </c>
      <c r="D636" s="13" t="s">
        <v>2209</v>
      </c>
      <c r="E636" s="13" t="s">
        <v>1958</v>
      </c>
      <c r="F636" s="667" t="s">
        <v>904</v>
      </c>
      <c r="G636" s="667" t="s">
        <v>1774</v>
      </c>
    </row>
    <row r="637" spans="2:7">
      <c r="B637" s="13" t="s">
        <v>1531</v>
      </c>
      <c r="C637" s="667" t="s">
        <v>2998</v>
      </c>
      <c r="D637" s="13" t="s">
        <v>2210</v>
      </c>
      <c r="E637" s="13" t="s">
        <v>1958</v>
      </c>
      <c r="F637" s="667" t="s">
        <v>904</v>
      </c>
      <c r="G637" s="667" t="s">
        <v>1774</v>
      </c>
    </row>
    <row r="638" spans="2:7">
      <c r="B638" s="13" t="s">
        <v>1531</v>
      </c>
      <c r="C638" s="667" t="s">
        <v>2998</v>
      </c>
      <c r="D638" s="13" t="s">
        <v>2211</v>
      </c>
      <c r="E638" s="13" t="s">
        <v>1962</v>
      </c>
      <c r="F638" s="667" t="s">
        <v>904</v>
      </c>
      <c r="G638" s="667" t="s">
        <v>1774</v>
      </c>
    </row>
    <row r="639" spans="2:7">
      <c r="B639" s="13" t="s">
        <v>1531</v>
      </c>
      <c r="C639" s="667" t="s">
        <v>2998</v>
      </c>
      <c r="D639" s="13" t="s">
        <v>2212</v>
      </c>
      <c r="E639" s="13" t="s">
        <v>1964</v>
      </c>
      <c r="F639" s="667" t="s">
        <v>904</v>
      </c>
      <c r="G639" s="667" t="s">
        <v>1774</v>
      </c>
    </row>
    <row r="640" spans="2:7">
      <c r="B640" s="13" t="s">
        <v>1531</v>
      </c>
      <c r="C640" s="667" t="s">
        <v>2998</v>
      </c>
      <c r="D640" s="13" t="s">
        <v>2213</v>
      </c>
      <c r="E640" s="13" t="s">
        <v>1958</v>
      </c>
      <c r="F640" s="667" t="s">
        <v>904</v>
      </c>
      <c r="G640" s="667" t="s">
        <v>1774</v>
      </c>
    </row>
    <row r="641" spans="2:7">
      <c r="B641" s="13" t="s">
        <v>1531</v>
      </c>
      <c r="C641" s="667" t="s">
        <v>2998</v>
      </c>
      <c r="D641" s="13" t="s">
        <v>2214</v>
      </c>
      <c r="E641" s="13" t="s">
        <v>1968</v>
      </c>
      <c r="F641" s="667" t="s">
        <v>904</v>
      </c>
      <c r="G641" s="667" t="s">
        <v>1774</v>
      </c>
    </row>
    <row r="642" spans="2:7">
      <c r="B642" s="13" t="s">
        <v>1531</v>
      </c>
      <c r="C642" s="667" t="s">
        <v>2998</v>
      </c>
      <c r="D642" s="13" t="s">
        <v>2215</v>
      </c>
      <c r="E642" s="13" t="s">
        <v>1970</v>
      </c>
      <c r="F642" s="667" t="s">
        <v>904</v>
      </c>
      <c r="G642" s="667" t="s">
        <v>1774</v>
      </c>
    </row>
    <row r="643" spans="2:7">
      <c r="B643" s="13" t="s">
        <v>1531</v>
      </c>
      <c r="C643" s="667" t="s">
        <v>2998</v>
      </c>
      <c r="D643" s="13" t="s">
        <v>2216</v>
      </c>
      <c r="E643" s="13" t="s">
        <v>1958</v>
      </c>
      <c r="F643" s="667" t="s">
        <v>904</v>
      </c>
      <c r="G643" s="667" t="s">
        <v>1774</v>
      </c>
    </row>
    <row r="644" spans="2:7">
      <c r="B644" s="13" t="s">
        <v>1531</v>
      </c>
      <c r="C644" s="667" t="s">
        <v>2998</v>
      </c>
      <c r="D644" s="13" t="s">
        <v>2217</v>
      </c>
      <c r="E644" s="13" t="s">
        <v>1974</v>
      </c>
      <c r="F644" s="667" t="s">
        <v>904</v>
      </c>
      <c r="G644" s="667" t="s">
        <v>1774</v>
      </c>
    </row>
    <row r="645" spans="2:7">
      <c r="B645" s="13" t="s">
        <v>1531</v>
      </c>
      <c r="C645" s="667" t="s">
        <v>2998</v>
      </c>
      <c r="D645" s="13" t="s">
        <v>2218</v>
      </c>
      <c r="E645" s="13" t="s">
        <v>1976</v>
      </c>
      <c r="F645" s="667" t="s">
        <v>904</v>
      </c>
      <c r="G645" s="667" t="s">
        <v>1774</v>
      </c>
    </row>
    <row r="646" spans="2:7">
      <c r="B646" s="13" t="s">
        <v>1531</v>
      </c>
      <c r="C646" s="667" t="s">
        <v>2998</v>
      </c>
      <c r="D646" s="13" t="s">
        <v>2219</v>
      </c>
      <c r="E646" s="13" t="s">
        <v>1999</v>
      </c>
      <c r="F646" s="667" t="s">
        <v>904</v>
      </c>
      <c r="G646" s="667" t="s">
        <v>1774</v>
      </c>
    </row>
    <row r="647" spans="2:7">
      <c r="B647" s="13" t="s">
        <v>1531</v>
      </c>
      <c r="C647" s="667" t="s">
        <v>2998</v>
      </c>
      <c r="D647" s="13" t="s">
        <v>2220</v>
      </c>
      <c r="E647" s="13" t="s">
        <v>1999</v>
      </c>
      <c r="F647" s="667" t="s">
        <v>904</v>
      </c>
      <c r="G647" s="667" t="s">
        <v>1774</v>
      </c>
    </row>
    <row r="648" spans="2:7">
      <c r="B648" s="13" t="s">
        <v>1531</v>
      </c>
      <c r="C648" s="667" t="s">
        <v>2998</v>
      </c>
      <c r="D648" s="13" t="s">
        <v>2221</v>
      </c>
      <c r="E648" s="13" t="s">
        <v>1982</v>
      </c>
      <c r="F648" s="667" t="s">
        <v>904</v>
      </c>
      <c r="G648" s="667" t="s">
        <v>1774</v>
      </c>
    </row>
    <row r="649" spans="2:7">
      <c r="B649" s="13" t="s">
        <v>1531</v>
      </c>
      <c r="C649" s="667" t="s">
        <v>2998</v>
      </c>
      <c r="D649" s="13" t="s">
        <v>2222</v>
      </c>
      <c r="E649" s="13" t="s">
        <v>1984</v>
      </c>
      <c r="F649" s="667" t="s">
        <v>904</v>
      </c>
      <c r="G649" s="667" t="s">
        <v>1774</v>
      </c>
    </row>
    <row r="650" spans="2:7">
      <c r="B650" s="13" t="s">
        <v>1528</v>
      </c>
      <c r="C650" s="667" t="s">
        <v>2998</v>
      </c>
      <c r="D650" s="13" t="s">
        <v>2223</v>
      </c>
      <c r="E650" s="13" t="s">
        <v>1986</v>
      </c>
      <c r="F650" s="667" t="s">
        <v>904</v>
      </c>
      <c r="G650" s="667" t="s">
        <v>1774</v>
      </c>
    </row>
    <row r="651" spans="2:7">
      <c r="B651" s="13" t="s">
        <v>1528</v>
      </c>
      <c r="C651" s="667" t="s">
        <v>2998</v>
      </c>
      <c r="D651" s="13" t="s">
        <v>2224</v>
      </c>
      <c r="E651" s="13" t="s">
        <v>1988</v>
      </c>
      <c r="F651" s="667" t="s">
        <v>904</v>
      </c>
      <c r="G651" s="667" t="s">
        <v>1774</v>
      </c>
    </row>
    <row r="652" spans="2:7">
      <c r="B652" s="13" t="s">
        <v>1528</v>
      </c>
      <c r="C652" s="667" t="s">
        <v>2998</v>
      </c>
      <c r="D652" s="13" t="s">
        <v>2225</v>
      </c>
      <c r="E652" s="13" t="s">
        <v>1990</v>
      </c>
      <c r="F652" s="667" t="s">
        <v>904</v>
      </c>
      <c r="G652" s="667" t="s">
        <v>1774</v>
      </c>
    </row>
    <row r="653" spans="2:7">
      <c r="B653" s="13" t="s">
        <v>1528</v>
      </c>
      <c r="C653" s="667" t="s">
        <v>2998</v>
      </c>
      <c r="D653" s="13" t="s">
        <v>2226</v>
      </c>
      <c r="E653" s="13" t="s">
        <v>1992</v>
      </c>
      <c r="F653" s="667" t="s">
        <v>904</v>
      </c>
      <c r="G653" s="667" t="s">
        <v>1774</v>
      </c>
    </row>
    <row r="654" spans="2:7">
      <c r="B654" s="13" t="s">
        <v>1528</v>
      </c>
      <c r="C654" s="667" t="s">
        <v>2998</v>
      </c>
      <c r="D654" s="13" t="s">
        <v>2227</v>
      </c>
      <c r="E654" s="13" t="s">
        <v>1994</v>
      </c>
      <c r="F654" s="667" t="s">
        <v>904</v>
      </c>
      <c r="G654" s="667" t="s">
        <v>1774</v>
      </c>
    </row>
    <row r="655" spans="2:7">
      <c r="B655" s="13" t="s">
        <v>1531</v>
      </c>
      <c r="C655" s="667" t="s">
        <v>2998</v>
      </c>
      <c r="D655" s="13" t="s">
        <v>2228</v>
      </c>
      <c r="E655" s="13" t="s">
        <v>1996</v>
      </c>
      <c r="F655" s="667" t="s">
        <v>904</v>
      </c>
      <c r="G655" s="667" t="s">
        <v>1774</v>
      </c>
    </row>
    <row r="656" spans="2:7">
      <c r="B656" s="13" t="s">
        <v>1528</v>
      </c>
      <c r="C656" s="667" t="s">
        <v>2998</v>
      </c>
      <c r="D656" s="13" t="s">
        <v>2229</v>
      </c>
      <c r="E656" s="13" t="s">
        <v>1998</v>
      </c>
      <c r="F656" s="667" t="s">
        <v>904</v>
      </c>
      <c r="G656" s="667" t="s">
        <v>1774</v>
      </c>
    </row>
    <row r="657" spans="2:7">
      <c r="B657" s="13" t="s">
        <v>390</v>
      </c>
      <c r="C657" s="667"/>
      <c r="F657" s="667"/>
      <c r="G657" s="667"/>
    </row>
    <row r="658" spans="2:7">
      <c r="B658" s="13" t="s">
        <v>390</v>
      </c>
      <c r="C658" s="667"/>
      <c r="F658" s="667"/>
      <c r="G658" s="667"/>
    </row>
    <row r="659" spans="2:7">
      <c r="B659" s="13" t="s">
        <v>2000</v>
      </c>
      <c r="C659" s="667"/>
      <c r="F659" s="667"/>
      <c r="G659" s="667"/>
    </row>
    <row r="660" spans="2:7">
      <c r="B660" s="13" t="s">
        <v>390</v>
      </c>
      <c r="C660" s="667"/>
      <c r="F660" s="667"/>
      <c r="G660" s="667"/>
    </row>
    <row r="661" spans="2:7">
      <c r="B661" s="13" t="s">
        <v>1531</v>
      </c>
      <c r="C661" s="667" t="s">
        <v>2999</v>
      </c>
      <c r="D661" s="13" t="s">
        <v>2001</v>
      </c>
      <c r="E661" s="13" t="s">
        <v>2002</v>
      </c>
      <c r="F661" s="667" t="s">
        <v>904</v>
      </c>
      <c r="G661" s="667" t="s">
        <v>1774</v>
      </c>
    </row>
    <row r="662" spans="2:7">
      <c r="B662" s="13" t="s">
        <v>1531</v>
      </c>
      <c r="C662" s="667" t="s">
        <v>2999</v>
      </c>
      <c r="D662" s="13" t="s">
        <v>2003</v>
      </c>
      <c r="E662" s="13" t="s">
        <v>2004</v>
      </c>
      <c r="F662" s="667" t="s">
        <v>904</v>
      </c>
      <c r="G662" s="667" t="s">
        <v>1774</v>
      </c>
    </row>
    <row r="663" spans="2:7">
      <c r="B663" s="13" t="s">
        <v>1531</v>
      </c>
      <c r="C663" s="667" t="s">
        <v>2999</v>
      </c>
      <c r="D663" s="13" t="s">
        <v>2005</v>
      </c>
      <c r="E663" s="13" t="s">
        <v>2006</v>
      </c>
      <c r="F663" s="667" t="s">
        <v>904</v>
      </c>
      <c r="G663" s="667" t="s">
        <v>1774</v>
      </c>
    </row>
    <row r="664" spans="2:7">
      <c r="B664" s="13" t="s">
        <v>1531</v>
      </c>
      <c r="C664" s="667" t="s">
        <v>2999</v>
      </c>
      <c r="D664" s="13" t="s">
        <v>2007</v>
      </c>
      <c r="E664" s="13" t="s">
        <v>2008</v>
      </c>
      <c r="F664" s="667" t="s">
        <v>904</v>
      </c>
      <c r="G664" s="667" t="s">
        <v>1774</v>
      </c>
    </row>
    <row r="665" spans="2:7">
      <c r="B665" s="13" t="s">
        <v>1531</v>
      </c>
      <c r="C665" s="667" t="s">
        <v>2999</v>
      </c>
      <c r="D665" s="13" t="s">
        <v>2009</v>
      </c>
      <c r="E665" s="13" t="s">
        <v>2010</v>
      </c>
      <c r="F665" s="667" t="s">
        <v>904</v>
      </c>
      <c r="G665" s="667" t="s">
        <v>1774</v>
      </c>
    </row>
    <row r="666" spans="2:7">
      <c r="B666" s="13" t="s">
        <v>1531</v>
      </c>
      <c r="C666" s="667" t="s">
        <v>2999</v>
      </c>
      <c r="D666" s="13" t="s">
        <v>2011</v>
      </c>
      <c r="E666" s="13" t="s">
        <v>2012</v>
      </c>
      <c r="F666" s="667" t="s">
        <v>904</v>
      </c>
      <c r="G666" s="667" t="s">
        <v>1774</v>
      </c>
    </row>
    <row r="667" spans="2:7">
      <c r="B667" s="13" t="s">
        <v>1531</v>
      </c>
      <c r="C667" s="667" t="s">
        <v>2999</v>
      </c>
      <c r="D667" s="13" t="s">
        <v>2013</v>
      </c>
      <c r="E667" s="13" t="s">
        <v>2014</v>
      </c>
      <c r="F667" s="667" t="s">
        <v>904</v>
      </c>
      <c r="G667" s="667" t="s">
        <v>1774</v>
      </c>
    </row>
    <row r="668" spans="2:7">
      <c r="B668" s="13" t="s">
        <v>1531</v>
      </c>
      <c r="C668" s="667" t="s">
        <v>2999</v>
      </c>
      <c r="D668" s="13" t="s">
        <v>2015</v>
      </c>
      <c r="E668" s="13" t="s">
        <v>2016</v>
      </c>
      <c r="F668" s="667" t="s">
        <v>904</v>
      </c>
      <c r="G668" s="667" t="s">
        <v>1774</v>
      </c>
    </row>
    <row r="669" spans="2:7">
      <c r="B669" s="13" t="s">
        <v>1531</v>
      </c>
      <c r="C669" s="667" t="s">
        <v>2999</v>
      </c>
      <c r="D669" s="13" t="s">
        <v>2017</v>
      </c>
      <c r="E669" s="13" t="s">
        <v>2018</v>
      </c>
      <c r="F669" s="667" t="s">
        <v>904</v>
      </c>
      <c r="G669" s="667" t="s">
        <v>1774</v>
      </c>
    </row>
    <row r="670" spans="2:7">
      <c r="B670" s="13" t="s">
        <v>1531</v>
      </c>
      <c r="C670" s="667" t="s">
        <v>2999</v>
      </c>
      <c r="D670" s="13" t="s">
        <v>2019</v>
      </c>
      <c r="E670" s="13" t="s">
        <v>2020</v>
      </c>
      <c r="F670" s="667" t="s">
        <v>904</v>
      </c>
      <c r="G670" s="667" t="s">
        <v>1774</v>
      </c>
    </row>
    <row r="671" spans="2:7">
      <c r="B671" s="13" t="s">
        <v>1531</v>
      </c>
      <c r="C671" s="667" t="s">
        <v>2999</v>
      </c>
      <c r="D671" s="13" t="s">
        <v>2021</v>
      </c>
      <c r="E671" s="13" t="s">
        <v>2022</v>
      </c>
      <c r="F671" s="667" t="s">
        <v>904</v>
      </c>
      <c r="G671" s="667" t="s">
        <v>1774</v>
      </c>
    </row>
    <row r="672" spans="2:7">
      <c r="B672" s="13" t="s">
        <v>1531</v>
      </c>
      <c r="C672" s="667" t="s">
        <v>2999</v>
      </c>
      <c r="D672" s="13" t="s">
        <v>2023</v>
      </c>
      <c r="E672" s="13" t="s">
        <v>2024</v>
      </c>
      <c r="F672" s="667" t="s">
        <v>904</v>
      </c>
      <c r="G672" s="667" t="s">
        <v>1774</v>
      </c>
    </row>
    <row r="673" spans="2:7">
      <c r="B673" s="13" t="s">
        <v>1531</v>
      </c>
      <c r="C673" s="667" t="s">
        <v>2999</v>
      </c>
      <c r="D673" s="13" t="s">
        <v>2025</v>
      </c>
      <c r="E673" s="13" t="s">
        <v>2026</v>
      </c>
      <c r="F673" s="667" t="s">
        <v>904</v>
      </c>
      <c r="G673" s="667" t="s">
        <v>1774</v>
      </c>
    </row>
    <row r="674" spans="2:7">
      <c r="B674" s="13" t="s">
        <v>1531</v>
      </c>
      <c r="C674" s="667" t="s">
        <v>2999</v>
      </c>
      <c r="D674" s="13" t="s">
        <v>2027</v>
      </c>
      <c r="E674" s="13" t="s">
        <v>2028</v>
      </c>
      <c r="F674" s="667" t="s">
        <v>904</v>
      </c>
      <c r="G674" s="667" t="s">
        <v>1774</v>
      </c>
    </row>
    <row r="675" spans="2:7">
      <c r="B675" s="13" t="s">
        <v>1531</v>
      </c>
      <c r="C675" s="667" t="s">
        <v>2999</v>
      </c>
      <c r="D675" s="13" t="s">
        <v>2029</v>
      </c>
      <c r="E675" s="13" t="s">
        <v>2030</v>
      </c>
      <c r="F675" s="667" t="s">
        <v>904</v>
      </c>
      <c r="G675" s="667" t="s">
        <v>1774</v>
      </c>
    </row>
    <row r="676" spans="2:7">
      <c r="B676" s="13" t="s">
        <v>390</v>
      </c>
      <c r="C676" s="667"/>
      <c r="F676" s="667"/>
      <c r="G676" s="667"/>
    </row>
    <row r="677" spans="2:7">
      <c r="B677" s="13" t="s">
        <v>1912</v>
      </c>
      <c r="C677" s="667"/>
      <c r="F677" s="667"/>
      <c r="G677" s="667"/>
    </row>
    <row r="678" spans="2:7">
      <c r="B678" s="13" t="s">
        <v>390</v>
      </c>
      <c r="C678" s="667"/>
      <c r="F678" s="667"/>
      <c r="G678" s="667"/>
    </row>
    <row r="679" spans="2:7">
      <c r="B679" s="13" t="s">
        <v>1531</v>
      </c>
      <c r="C679" s="667" t="s">
        <v>2998</v>
      </c>
      <c r="D679" s="13" t="s">
        <v>2230</v>
      </c>
      <c r="E679" s="13" t="s">
        <v>2231</v>
      </c>
      <c r="F679" s="667" t="s">
        <v>904</v>
      </c>
      <c r="G679" s="667" t="s">
        <v>1774</v>
      </c>
    </row>
    <row r="680" spans="2:7">
      <c r="B680" s="13" t="s">
        <v>1531</v>
      </c>
      <c r="C680" s="667" t="s">
        <v>2998</v>
      </c>
      <c r="D680" s="13" t="s">
        <v>2232</v>
      </c>
      <c r="E680" s="13" t="s">
        <v>2233</v>
      </c>
      <c r="F680" s="667" t="s">
        <v>904</v>
      </c>
      <c r="G680" s="667" t="s">
        <v>1774</v>
      </c>
    </row>
    <row r="681" spans="2:7">
      <c r="B681" s="13" t="s">
        <v>1531</v>
      </c>
      <c r="C681" s="667" t="s">
        <v>2998</v>
      </c>
      <c r="D681" s="13" t="s">
        <v>2234</v>
      </c>
      <c r="E681" s="13" t="s">
        <v>2235</v>
      </c>
      <c r="F681" s="667" t="s">
        <v>904</v>
      </c>
      <c r="G681" s="667" t="s">
        <v>1774</v>
      </c>
    </row>
    <row r="682" spans="2:7">
      <c r="B682" s="13" t="s">
        <v>1531</v>
      </c>
      <c r="C682" s="667" t="s">
        <v>2998</v>
      </c>
      <c r="D682" s="13" t="s">
        <v>2236</v>
      </c>
      <c r="E682" s="13" t="s">
        <v>2237</v>
      </c>
      <c r="F682" s="667" t="s">
        <v>904</v>
      </c>
      <c r="G682" s="667" t="s">
        <v>1774</v>
      </c>
    </row>
    <row r="683" spans="2:7">
      <c r="B683" s="13" t="s">
        <v>1531</v>
      </c>
      <c r="C683" s="667" t="s">
        <v>2998</v>
      </c>
      <c r="D683" s="13" t="s">
        <v>2238</v>
      </c>
      <c r="E683" s="13" t="s">
        <v>2239</v>
      </c>
      <c r="F683" s="667" t="s">
        <v>904</v>
      </c>
      <c r="G683" s="667" t="s">
        <v>1774</v>
      </c>
    </row>
    <row r="684" spans="2:7">
      <c r="B684" s="13" t="s">
        <v>1531</v>
      </c>
      <c r="C684" s="667" t="s">
        <v>2998</v>
      </c>
      <c r="D684" s="13" t="s">
        <v>2240</v>
      </c>
      <c r="E684" s="13" t="s">
        <v>2241</v>
      </c>
      <c r="F684" s="667" t="s">
        <v>904</v>
      </c>
      <c r="G684" s="667" t="s">
        <v>1774</v>
      </c>
    </row>
    <row r="685" spans="2:7">
      <c r="B685" s="13" t="s">
        <v>1531</v>
      </c>
      <c r="C685" s="667" t="s">
        <v>2998</v>
      </c>
      <c r="D685" s="13" t="s">
        <v>2242</v>
      </c>
      <c r="E685" s="13" t="s">
        <v>2243</v>
      </c>
      <c r="F685" s="667" t="s">
        <v>904</v>
      </c>
      <c r="G685" s="667" t="s">
        <v>1774</v>
      </c>
    </row>
    <row r="686" spans="2:7">
      <c r="B686" s="13" t="s">
        <v>1531</v>
      </c>
      <c r="C686" s="667" t="s">
        <v>2998</v>
      </c>
      <c r="D686" s="13" t="s">
        <v>2244</v>
      </c>
      <c r="E686" s="13" t="s">
        <v>2245</v>
      </c>
      <c r="F686" s="667" t="s">
        <v>904</v>
      </c>
      <c r="G686" s="667" t="s">
        <v>1774</v>
      </c>
    </row>
    <row r="687" spans="2:7">
      <c r="B687" s="13" t="s">
        <v>1531</v>
      </c>
      <c r="C687" s="667" t="s">
        <v>2998</v>
      </c>
      <c r="D687" s="13" t="s">
        <v>2246</v>
      </c>
      <c r="E687" s="13" t="s">
        <v>2247</v>
      </c>
      <c r="F687" s="667" t="s">
        <v>904</v>
      </c>
      <c r="G687" s="667" t="s">
        <v>1774</v>
      </c>
    </row>
    <row r="688" spans="2:7">
      <c r="B688" s="13" t="s">
        <v>1531</v>
      </c>
      <c r="C688" s="667" t="s">
        <v>2998</v>
      </c>
      <c r="D688" s="13" t="s">
        <v>2248</v>
      </c>
      <c r="E688" s="13" t="s">
        <v>2249</v>
      </c>
      <c r="F688" s="667" t="s">
        <v>904</v>
      </c>
      <c r="G688" s="667" t="s">
        <v>1774</v>
      </c>
    </row>
    <row r="689" spans="2:7">
      <c r="B689" s="13" t="s">
        <v>1531</v>
      </c>
      <c r="C689" s="667" t="s">
        <v>2998</v>
      </c>
      <c r="D689" s="13" t="s">
        <v>2250</v>
      </c>
      <c r="E689" s="13" t="s">
        <v>2251</v>
      </c>
      <c r="F689" s="667" t="s">
        <v>904</v>
      </c>
      <c r="G689" s="667" t="s">
        <v>1774</v>
      </c>
    </row>
    <row r="690" spans="2:7">
      <c r="B690" s="13" t="s">
        <v>1531</v>
      </c>
      <c r="C690" s="667" t="s">
        <v>2998</v>
      </c>
      <c r="D690" s="13" t="s">
        <v>2252</v>
      </c>
      <c r="E690" s="13" t="s">
        <v>2253</v>
      </c>
      <c r="F690" s="667" t="s">
        <v>904</v>
      </c>
      <c r="G690" s="667" t="s">
        <v>1774</v>
      </c>
    </row>
    <row r="691" spans="2:7">
      <c r="B691" s="13" t="s">
        <v>1531</v>
      </c>
      <c r="C691" s="667" t="s">
        <v>2998</v>
      </c>
      <c r="D691" s="13" t="s">
        <v>2254</v>
      </c>
      <c r="E691" s="13" t="s">
        <v>2255</v>
      </c>
      <c r="F691" s="667" t="s">
        <v>904</v>
      </c>
      <c r="G691" s="667" t="s">
        <v>1774</v>
      </c>
    </row>
    <row r="692" spans="2:7">
      <c r="B692" s="13" t="s">
        <v>1531</v>
      </c>
      <c r="C692" s="667" t="s">
        <v>2998</v>
      </c>
      <c r="D692" s="13" t="s">
        <v>2256</v>
      </c>
      <c r="E692" s="13" t="s">
        <v>2257</v>
      </c>
      <c r="F692" s="667" t="s">
        <v>904</v>
      </c>
      <c r="G692" s="667" t="s">
        <v>1774</v>
      </c>
    </row>
    <row r="693" spans="2:7">
      <c r="B693" s="13" t="s">
        <v>1531</v>
      </c>
      <c r="C693" s="667" t="s">
        <v>2998</v>
      </c>
      <c r="D693" s="13" t="s">
        <v>2258</v>
      </c>
      <c r="E693" s="13" t="s">
        <v>2259</v>
      </c>
      <c r="F693" s="667" t="s">
        <v>904</v>
      </c>
      <c r="G693" s="667" t="s">
        <v>1774</v>
      </c>
    </row>
    <row r="694" spans="2:7">
      <c r="B694" s="13" t="s">
        <v>390</v>
      </c>
      <c r="C694" s="667"/>
      <c r="F694" s="667"/>
      <c r="G694" s="667"/>
    </row>
    <row r="695" spans="2:7">
      <c r="B695" s="13" t="s">
        <v>390</v>
      </c>
      <c r="C695" s="667"/>
      <c r="F695" s="667"/>
      <c r="G695" s="667"/>
    </row>
    <row r="696" spans="2:7">
      <c r="B696" s="13" t="s">
        <v>2031</v>
      </c>
      <c r="C696" s="667"/>
      <c r="F696" s="667"/>
      <c r="G696" s="667"/>
    </row>
    <row r="697" spans="2:7">
      <c r="B697" s="13" t="s">
        <v>390</v>
      </c>
      <c r="C697" s="667"/>
      <c r="F697" s="667"/>
      <c r="G697" s="667"/>
    </row>
    <row r="698" spans="2:7">
      <c r="B698" s="13" t="s">
        <v>1531</v>
      </c>
      <c r="C698" s="667" t="s">
        <v>2999</v>
      </c>
      <c r="D698" s="13" t="s">
        <v>2032</v>
      </c>
      <c r="E698" s="13" t="s">
        <v>2033</v>
      </c>
      <c r="F698" s="667" t="s">
        <v>904</v>
      </c>
      <c r="G698" s="667" t="s">
        <v>1774</v>
      </c>
    </row>
    <row r="699" spans="2:7">
      <c r="B699" s="13" t="s">
        <v>1531</v>
      </c>
      <c r="C699" s="667" t="s">
        <v>2999</v>
      </c>
      <c r="D699" s="13" t="s">
        <v>2034</v>
      </c>
      <c r="E699" s="13" t="s">
        <v>2035</v>
      </c>
      <c r="F699" s="667" t="s">
        <v>904</v>
      </c>
      <c r="G699" s="667" t="s">
        <v>1774</v>
      </c>
    </row>
    <row r="700" spans="2:7">
      <c r="B700" s="13" t="s">
        <v>1531</v>
      </c>
      <c r="C700" s="667" t="s">
        <v>2999</v>
      </c>
      <c r="D700" s="13" t="s">
        <v>2036</v>
      </c>
      <c r="E700" s="13" t="s">
        <v>2037</v>
      </c>
      <c r="F700" s="667" t="s">
        <v>904</v>
      </c>
      <c r="G700" s="667" t="s">
        <v>1774</v>
      </c>
    </row>
    <row r="701" spans="2:7">
      <c r="B701" s="13" t="s">
        <v>1531</v>
      </c>
      <c r="C701" s="667" t="s">
        <v>2999</v>
      </c>
      <c r="D701" s="13" t="s">
        <v>2038</v>
      </c>
      <c r="E701" s="13" t="s">
        <v>2039</v>
      </c>
      <c r="F701" s="667" t="s">
        <v>904</v>
      </c>
      <c r="G701" s="667" t="s">
        <v>1774</v>
      </c>
    </row>
    <row r="702" spans="2:7">
      <c r="B702" s="13" t="s">
        <v>1531</v>
      </c>
      <c r="C702" s="667" t="s">
        <v>2999</v>
      </c>
      <c r="D702" s="13" t="s">
        <v>2040</v>
      </c>
      <c r="E702" s="13" t="s">
        <v>2041</v>
      </c>
      <c r="F702" s="667" t="s">
        <v>904</v>
      </c>
      <c r="G702" s="667" t="s">
        <v>1774</v>
      </c>
    </row>
    <row r="703" spans="2:7">
      <c r="B703" s="13" t="s">
        <v>1531</v>
      </c>
      <c r="C703" s="667" t="s">
        <v>2999</v>
      </c>
      <c r="D703" s="13" t="s">
        <v>2042</v>
      </c>
      <c r="E703" s="13" t="s">
        <v>2043</v>
      </c>
      <c r="F703" s="667" t="s">
        <v>904</v>
      </c>
      <c r="G703" s="667" t="s">
        <v>1774</v>
      </c>
    </row>
    <row r="704" spans="2:7">
      <c r="B704" s="13" t="s">
        <v>1531</v>
      </c>
      <c r="C704" s="667" t="s">
        <v>2999</v>
      </c>
      <c r="D704" s="13" t="s">
        <v>2044</v>
      </c>
      <c r="E704" s="13" t="s">
        <v>2045</v>
      </c>
      <c r="F704" s="667" t="s">
        <v>904</v>
      </c>
      <c r="G704" s="667" t="s">
        <v>1774</v>
      </c>
    </row>
    <row r="705" spans="2:7">
      <c r="B705" s="13" t="s">
        <v>1531</v>
      </c>
      <c r="C705" s="667" t="s">
        <v>2999</v>
      </c>
      <c r="D705" s="13" t="s">
        <v>2046</v>
      </c>
      <c r="E705" s="13" t="s">
        <v>2047</v>
      </c>
      <c r="F705" s="667" t="s">
        <v>904</v>
      </c>
      <c r="G705" s="667" t="s">
        <v>1774</v>
      </c>
    </row>
    <row r="706" spans="2:7">
      <c r="B706" s="13" t="s">
        <v>1531</v>
      </c>
      <c r="C706" s="667" t="s">
        <v>2999</v>
      </c>
      <c r="D706" s="13" t="s">
        <v>2048</v>
      </c>
      <c r="E706" s="13" t="s">
        <v>2049</v>
      </c>
      <c r="F706" s="667" t="s">
        <v>904</v>
      </c>
      <c r="G706" s="667" t="s">
        <v>1774</v>
      </c>
    </row>
    <row r="707" spans="2:7">
      <c r="B707" s="13" t="s">
        <v>1531</v>
      </c>
      <c r="C707" s="667" t="s">
        <v>2999</v>
      </c>
      <c r="D707" s="13" t="s">
        <v>2050</v>
      </c>
      <c r="E707" s="13" t="s">
        <v>2051</v>
      </c>
      <c r="F707" s="667" t="s">
        <v>904</v>
      </c>
      <c r="G707" s="667" t="s">
        <v>1774</v>
      </c>
    </row>
    <row r="708" spans="2:7">
      <c r="B708" s="13" t="s">
        <v>1531</v>
      </c>
      <c r="C708" s="667" t="s">
        <v>2999</v>
      </c>
      <c r="D708" s="13" t="s">
        <v>2052</v>
      </c>
      <c r="E708" s="13" t="s">
        <v>2053</v>
      </c>
      <c r="F708" s="667" t="s">
        <v>904</v>
      </c>
      <c r="G708" s="667" t="s">
        <v>1774</v>
      </c>
    </row>
    <row r="709" spans="2:7">
      <c r="B709" s="13" t="s">
        <v>1531</v>
      </c>
      <c r="C709" s="667" t="s">
        <v>2999</v>
      </c>
      <c r="D709" s="13" t="s">
        <v>2054</v>
      </c>
      <c r="E709" s="13" t="s">
        <v>2055</v>
      </c>
      <c r="F709" s="667" t="s">
        <v>904</v>
      </c>
      <c r="G709" s="667" t="s">
        <v>1774</v>
      </c>
    </row>
    <row r="710" spans="2:7">
      <c r="B710" s="13" t="s">
        <v>1531</v>
      </c>
      <c r="C710" s="667" t="s">
        <v>2999</v>
      </c>
      <c r="D710" s="13" t="s">
        <v>2056</v>
      </c>
      <c r="E710" s="13" t="s">
        <v>2057</v>
      </c>
      <c r="F710" s="667" t="s">
        <v>904</v>
      </c>
      <c r="G710" s="667" t="s">
        <v>1774</v>
      </c>
    </row>
    <row r="711" spans="2:7">
      <c r="B711" s="13" t="s">
        <v>1531</v>
      </c>
      <c r="C711" s="667" t="s">
        <v>2999</v>
      </c>
      <c r="D711" s="13" t="s">
        <v>2058</v>
      </c>
      <c r="E711" s="13" t="s">
        <v>2059</v>
      </c>
      <c r="F711" s="667" t="s">
        <v>904</v>
      </c>
      <c r="G711" s="667" t="s">
        <v>1774</v>
      </c>
    </row>
    <row r="712" spans="2:7">
      <c r="B712" s="13" t="s">
        <v>1531</v>
      </c>
      <c r="C712" s="667" t="s">
        <v>2999</v>
      </c>
      <c r="D712" s="13" t="s">
        <v>2060</v>
      </c>
      <c r="E712" s="13" t="s">
        <v>2061</v>
      </c>
      <c r="F712" s="667" t="s">
        <v>904</v>
      </c>
      <c r="G712" s="667" t="s">
        <v>1774</v>
      </c>
    </row>
    <row r="713" spans="2:7">
      <c r="B713" s="13" t="s">
        <v>390</v>
      </c>
      <c r="C713" s="667"/>
      <c r="F713" s="667"/>
      <c r="G713" s="667"/>
    </row>
    <row r="714" spans="2:7">
      <c r="B714" s="13" t="s">
        <v>1912</v>
      </c>
      <c r="C714" s="667"/>
      <c r="F714" s="667"/>
      <c r="G714" s="667"/>
    </row>
    <row r="715" spans="2:7">
      <c r="B715" s="13" t="s">
        <v>390</v>
      </c>
      <c r="C715" s="667"/>
      <c r="F715" s="667"/>
      <c r="G715" s="667"/>
    </row>
    <row r="716" spans="2:7">
      <c r="B716" s="13" t="s">
        <v>1531</v>
      </c>
      <c r="C716" s="667" t="s">
        <v>2998</v>
      </c>
      <c r="D716" s="13" t="s">
        <v>2260</v>
      </c>
      <c r="E716" s="13" t="s">
        <v>2261</v>
      </c>
      <c r="F716" s="667" t="s">
        <v>904</v>
      </c>
      <c r="G716" s="667" t="s">
        <v>1774</v>
      </c>
    </row>
    <row r="717" spans="2:7">
      <c r="B717" s="13" t="s">
        <v>1531</v>
      </c>
      <c r="C717" s="667" t="s">
        <v>2998</v>
      </c>
      <c r="D717" s="13" t="s">
        <v>2262</v>
      </c>
      <c r="E717" s="13" t="s">
        <v>2263</v>
      </c>
      <c r="F717" s="667" t="s">
        <v>904</v>
      </c>
      <c r="G717" s="667" t="s">
        <v>1774</v>
      </c>
    </row>
    <row r="718" spans="2:7">
      <c r="B718" s="13" t="s">
        <v>1531</v>
      </c>
      <c r="C718" s="667" t="s">
        <v>2998</v>
      </c>
      <c r="D718" s="13" t="s">
        <v>2264</v>
      </c>
      <c r="E718" s="13" t="s">
        <v>2265</v>
      </c>
      <c r="F718" s="667" t="s">
        <v>904</v>
      </c>
      <c r="G718" s="667" t="s">
        <v>1774</v>
      </c>
    </row>
    <row r="719" spans="2:7">
      <c r="B719" s="13" t="s">
        <v>1531</v>
      </c>
      <c r="C719" s="667" t="s">
        <v>2998</v>
      </c>
      <c r="D719" s="13" t="s">
        <v>2266</v>
      </c>
      <c r="E719" s="13" t="s">
        <v>2267</v>
      </c>
      <c r="F719" s="667" t="s">
        <v>904</v>
      </c>
      <c r="G719" s="667" t="s">
        <v>1774</v>
      </c>
    </row>
    <row r="720" spans="2:7">
      <c r="B720" s="13" t="s">
        <v>1531</v>
      </c>
      <c r="C720" s="667" t="s">
        <v>2998</v>
      </c>
      <c r="D720" s="13" t="s">
        <v>2268</v>
      </c>
      <c r="E720" s="13" t="s">
        <v>2269</v>
      </c>
      <c r="F720" s="667" t="s">
        <v>904</v>
      </c>
      <c r="G720" s="667" t="s">
        <v>1774</v>
      </c>
    </row>
    <row r="721" spans="2:7">
      <c r="B721" s="13" t="s">
        <v>1531</v>
      </c>
      <c r="C721" s="667" t="s">
        <v>2998</v>
      </c>
      <c r="D721" s="13" t="s">
        <v>2270</v>
      </c>
      <c r="E721" s="13" t="s">
        <v>2271</v>
      </c>
      <c r="F721" s="667" t="s">
        <v>904</v>
      </c>
      <c r="G721" s="667" t="s">
        <v>1774</v>
      </c>
    </row>
    <row r="722" spans="2:7">
      <c r="B722" s="13" t="s">
        <v>1531</v>
      </c>
      <c r="C722" s="667" t="s">
        <v>2998</v>
      </c>
      <c r="D722" s="13" t="s">
        <v>2272</v>
      </c>
      <c r="E722" s="13" t="s">
        <v>2273</v>
      </c>
      <c r="F722" s="667" t="s">
        <v>904</v>
      </c>
      <c r="G722" s="667" t="s">
        <v>1774</v>
      </c>
    </row>
    <row r="723" spans="2:7">
      <c r="B723" s="13" t="s">
        <v>1531</v>
      </c>
      <c r="C723" s="667" t="s">
        <v>2998</v>
      </c>
      <c r="D723" s="13" t="s">
        <v>2274</v>
      </c>
      <c r="E723" s="13" t="s">
        <v>2275</v>
      </c>
      <c r="F723" s="667" t="s">
        <v>904</v>
      </c>
      <c r="G723" s="667" t="s">
        <v>1774</v>
      </c>
    </row>
    <row r="724" spans="2:7">
      <c r="B724" s="13" t="s">
        <v>1531</v>
      </c>
      <c r="C724" s="667" t="s">
        <v>2998</v>
      </c>
      <c r="D724" s="13" t="s">
        <v>2276</v>
      </c>
      <c r="E724" s="13" t="s">
        <v>2277</v>
      </c>
      <c r="F724" s="667" t="s">
        <v>904</v>
      </c>
      <c r="G724" s="667" t="s">
        <v>1774</v>
      </c>
    </row>
    <row r="725" spans="2:7">
      <c r="B725" s="13" t="s">
        <v>1531</v>
      </c>
      <c r="C725" s="667" t="s">
        <v>2998</v>
      </c>
      <c r="D725" s="13" t="s">
        <v>2278</v>
      </c>
      <c r="E725" s="13" t="s">
        <v>2279</v>
      </c>
      <c r="F725" s="667" t="s">
        <v>904</v>
      </c>
      <c r="G725" s="667" t="s">
        <v>1774</v>
      </c>
    </row>
    <row r="726" spans="2:7">
      <c r="B726" s="13" t="s">
        <v>1531</v>
      </c>
      <c r="C726" s="667" t="s">
        <v>2998</v>
      </c>
      <c r="D726" s="13" t="s">
        <v>2280</v>
      </c>
      <c r="E726" s="13" t="s">
        <v>2281</v>
      </c>
      <c r="F726" s="667" t="s">
        <v>904</v>
      </c>
      <c r="G726" s="667" t="s">
        <v>1774</v>
      </c>
    </row>
    <row r="727" spans="2:7">
      <c r="B727" s="13" t="s">
        <v>1531</v>
      </c>
      <c r="C727" s="667" t="s">
        <v>2998</v>
      </c>
      <c r="D727" s="13" t="s">
        <v>2282</v>
      </c>
      <c r="E727" s="13" t="s">
        <v>2283</v>
      </c>
      <c r="F727" s="667" t="s">
        <v>904</v>
      </c>
      <c r="G727" s="667" t="s">
        <v>1774</v>
      </c>
    </row>
    <row r="728" spans="2:7">
      <c r="B728" s="13" t="s">
        <v>1531</v>
      </c>
      <c r="C728" s="667" t="s">
        <v>2998</v>
      </c>
      <c r="D728" s="13" t="s">
        <v>2284</v>
      </c>
      <c r="E728" s="13" t="s">
        <v>2285</v>
      </c>
      <c r="F728" s="667" t="s">
        <v>904</v>
      </c>
      <c r="G728" s="667" t="s">
        <v>1774</v>
      </c>
    </row>
    <row r="729" spans="2:7">
      <c r="B729" s="13" t="s">
        <v>1531</v>
      </c>
      <c r="C729" s="667" t="s">
        <v>2998</v>
      </c>
      <c r="D729" s="13" t="s">
        <v>2286</v>
      </c>
      <c r="E729" s="13" t="s">
        <v>2287</v>
      </c>
      <c r="F729" s="667" t="s">
        <v>904</v>
      </c>
      <c r="G729" s="667" t="s">
        <v>1774</v>
      </c>
    </row>
    <row r="730" spans="2:7">
      <c r="B730" s="13" t="s">
        <v>1531</v>
      </c>
      <c r="C730" s="667" t="s">
        <v>2998</v>
      </c>
      <c r="D730" s="13" t="s">
        <v>2288</v>
      </c>
      <c r="E730" s="13" t="s">
        <v>2289</v>
      </c>
      <c r="F730" s="667" t="s">
        <v>904</v>
      </c>
      <c r="G730" s="667" t="s">
        <v>1774</v>
      </c>
    </row>
    <row r="731" spans="2:7">
      <c r="B731" s="13" t="s">
        <v>390</v>
      </c>
      <c r="C731" s="667"/>
      <c r="F731" s="667"/>
      <c r="G731" s="667"/>
    </row>
    <row r="732" spans="2:7">
      <c r="B732" s="13" t="s">
        <v>390</v>
      </c>
      <c r="C732" s="667"/>
      <c r="F732" s="667"/>
      <c r="G732" s="667"/>
    </row>
    <row r="733" spans="2:7">
      <c r="B733" s="13" t="s">
        <v>2062</v>
      </c>
      <c r="C733" s="667"/>
      <c r="F733" s="667"/>
      <c r="G733" s="667"/>
    </row>
    <row r="734" spans="2:7">
      <c r="B734" s="13" t="s">
        <v>390</v>
      </c>
      <c r="C734" s="667"/>
      <c r="F734" s="667"/>
      <c r="G734" s="667"/>
    </row>
    <row r="735" spans="2:7">
      <c r="B735" s="13" t="s">
        <v>1531</v>
      </c>
      <c r="C735" s="667" t="s">
        <v>2999</v>
      </c>
      <c r="D735" s="13" t="s">
        <v>2063</v>
      </c>
      <c r="E735" s="13" t="s">
        <v>2064</v>
      </c>
      <c r="F735" s="667" t="s">
        <v>904</v>
      </c>
      <c r="G735" s="667" t="s">
        <v>1774</v>
      </c>
    </row>
    <row r="736" spans="2:7">
      <c r="B736" s="13" t="s">
        <v>1531</v>
      </c>
      <c r="C736" s="667" t="s">
        <v>2999</v>
      </c>
      <c r="D736" s="13" t="s">
        <v>2065</v>
      </c>
      <c r="E736" s="13" t="s">
        <v>2066</v>
      </c>
      <c r="F736" s="667" t="s">
        <v>904</v>
      </c>
      <c r="G736" s="667" t="s">
        <v>1774</v>
      </c>
    </row>
    <row r="737" spans="2:7">
      <c r="B737" s="13" t="s">
        <v>1531</v>
      </c>
      <c r="C737" s="667" t="s">
        <v>2999</v>
      </c>
      <c r="D737" s="13" t="s">
        <v>2067</v>
      </c>
      <c r="E737" s="13" t="s">
        <v>2068</v>
      </c>
      <c r="F737" s="667" t="s">
        <v>904</v>
      </c>
      <c r="G737" s="667" t="s">
        <v>1774</v>
      </c>
    </row>
    <row r="738" spans="2:7">
      <c r="B738" s="13" t="s">
        <v>1531</v>
      </c>
      <c r="C738" s="667" t="s">
        <v>2999</v>
      </c>
      <c r="D738" s="13" t="s">
        <v>2069</v>
      </c>
      <c r="E738" s="13" t="s">
        <v>2070</v>
      </c>
      <c r="F738" s="667" t="s">
        <v>904</v>
      </c>
      <c r="G738" s="667" t="s">
        <v>1774</v>
      </c>
    </row>
    <row r="739" spans="2:7">
      <c r="B739" s="13" t="s">
        <v>1531</v>
      </c>
      <c r="C739" s="667" t="s">
        <v>2999</v>
      </c>
      <c r="D739" s="13" t="s">
        <v>2071</v>
      </c>
      <c r="E739" s="13" t="s">
        <v>2072</v>
      </c>
      <c r="F739" s="667" t="s">
        <v>904</v>
      </c>
      <c r="G739" s="667" t="s">
        <v>1774</v>
      </c>
    </row>
    <row r="740" spans="2:7">
      <c r="B740" s="13" t="s">
        <v>1531</v>
      </c>
      <c r="C740" s="667" t="s">
        <v>2999</v>
      </c>
      <c r="D740" s="13" t="s">
        <v>2073</v>
      </c>
      <c r="E740" s="13" t="s">
        <v>2074</v>
      </c>
      <c r="F740" s="667" t="s">
        <v>904</v>
      </c>
      <c r="G740" s="667" t="s">
        <v>1774</v>
      </c>
    </row>
    <row r="741" spans="2:7">
      <c r="B741" s="13" t="s">
        <v>1531</v>
      </c>
      <c r="C741" s="667" t="s">
        <v>2999</v>
      </c>
      <c r="D741" s="13" t="s">
        <v>2075</v>
      </c>
      <c r="E741" s="13" t="s">
        <v>2076</v>
      </c>
      <c r="F741" s="667" t="s">
        <v>904</v>
      </c>
      <c r="G741" s="667" t="s">
        <v>1774</v>
      </c>
    </row>
    <row r="742" spans="2:7">
      <c r="B742" s="13" t="s">
        <v>1531</v>
      </c>
      <c r="C742" s="667" t="s">
        <v>2999</v>
      </c>
      <c r="D742" s="13" t="s">
        <v>2077</v>
      </c>
      <c r="E742" s="13" t="s">
        <v>2078</v>
      </c>
      <c r="F742" s="667" t="s">
        <v>904</v>
      </c>
      <c r="G742" s="667" t="s">
        <v>1774</v>
      </c>
    </row>
    <row r="743" spans="2:7">
      <c r="B743" s="13" t="s">
        <v>1531</v>
      </c>
      <c r="C743" s="667" t="s">
        <v>2999</v>
      </c>
      <c r="D743" s="13" t="s">
        <v>2079</v>
      </c>
      <c r="E743" s="13" t="s">
        <v>2080</v>
      </c>
      <c r="F743" s="667" t="s">
        <v>904</v>
      </c>
      <c r="G743" s="667" t="s">
        <v>1774</v>
      </c>
    </row>
    <row r="744" spans="2:7">
      <c r="B744" s="13" t="s">
        <v>1531</v>
      </c>
      <c r="C744" s="667" t="s">
        <v>2999</v>
      </c>
      <c r="D744" s="13" t="s">
        <v>2081</v>
      </c>
      <c r="E744" s="13" t="s">
        <v>2082</v>
      </c>
      <c r="F744" s="667" t="s">
        <v>904</v>
      </c>
      <c r="G744" s="667" t="s">
        <v>1774</v>
      </c>
    </row>
    <row r="745" spans="2:7">
      <c r="B745" s="13" t="s">
        <v>1531</v>
      </c>
      <c r="C745" s="667" t="s">
        <v>2999</v>
      </c>
      <c r="D745" s="13" t="s">
        <v>2083</v>
      </c>
      <c r="E745" s="13" t="s">
        <v>2084</v>
      </c>
      <c r="F745" s="667" t="s">
        <v>904</v>
      </c>
      <c r="G745" s="667" t="s">
        <v>1774</v>
      </c>
    </row>
    <row r="746" spans="2:7">
      <c r="B746" s="13" t="s">
        <v>1531</v>
      </c>
      <c r="C746" s="667" t="s">
        <v>2999</v>
      </c>
      <c r="D746" s="13" t="s">
        <v>2085</v>
      </c>
      <c r="E746" s="13" t="s">
        <v>2086</v>
      </c>
      <c r="F746" s="667" t="s">
        <v>904</v>
      </c>
      <c r="G746" s="667" t="s">
        <v>1774</v>
      </c>
    </row>
    <row r="747" spans="2:7">
      <c r="B747" s="13" t="s">
        <v>1531</v>
      </c>
      <c r="C747" s="667" t="s">
        <v>2999</v>
      </c>
      <c r="D747" s="13" t="s">
        <v>2087</v>
      </c>
      <c r="E747" s="13" t="s">
        <v>2088</v>
      </c>
      <c r="F747" s="667" t="s">
        <v>904</v>
      </c>
      <c r="G747" s="667" t="s">
        <v>1774</v>
      </c>
    </row>
    <row r="748" spans="2:7">
      <c r="B748" s="13" t="s">
        <v>1531</v>
      </c>
      <c r="C748" s="667" t="s">
        <v>2999</v>
      </c>
      <c r="D748" s="13" t="s">
        <v>2089</v>
      </c>
      <c r="E748" s="13" t="s">
        <v>2090</v>
      </c>
      <c r="F748" s="667" t="s">
        <v>904</v>
      </c>
      <c r="G748" s="667" t="s">
        <v>1774</v>
      </c>
    </row>
    <row r="749" spans="2:7">
      <c r="B749" s="13" t="s">
        <v>1531</v>
      </c>
      <c r="C749" s="667" t="s">
        <v>2999</v>
      </c>
      <c r="D749" s="13" t="s">
        <v>2091</v>
      </c>
      <c r="E749" s="13" t="s">
        <v>2092</v>
      </c>
      <c r="F749" s="667" t="s">
        <v>904</v>
      </c>
      <c r="G749" s="667" t="s">
        <v>1774</v>
      </c>
    </row>
    <row r="750" spans="2:7">
      <c r="B750" s="13" t="s">
        <v>390</v>
      </c>
      <c r="C750" s="667"/>
      <c r="F750" s="667"/>
      <c r="G750" s="667"/>
    </row>
    <row r="751" spans="2:7">
      <c r="B751" s="13" t="s">
        <v>1912</v>
      </c>
      <c r="C751" s="667"/>
      <c r="F751" s="667"/>
      <c r="G751" s="667"/>
    </row>
    <row r="752" spans="2:7">
      <c r="B752" s="13" t="s">
        <v>390</v>
      </c>
      <c r="C752" s="667"/>
      <c r="F752" s="667"/>
      <c r="G752" s="667"/>
    </row>
    <row r="753" spans="2:7">
      <c r="B753" s="13" t="s">
        <v>1531</v>
      </c>
      <c r="C753" s="667" t="s">
        <v>2998</v>
      </c>
      <c r="D753" s="13" t="s">
        <v>2290</v>
      </c>
      <c r="E753" s="13" t="s">
        <v>2291</v>
      </c>
      <c r="F753" s="667" t="s">
        <v>904</v>
      </c>
      <c r="G753" s="667" t="s">
        <v>1774</v>
      </c>
    </row>
    <row r="754" spans="2:7">
      <c r="B754" s="13" t="s">
        <v>1531</v>
      </c>
      <c r="C754" s="667" t="s">
        <v>2998</v>
      </c>
      <c r="D754" s="13" t="s">
        <v>2292</v>
      </c>
      <c r="E754" s="13" t="s">
        <v>2293</v>
      </c>
      <c r="F754" s="667" t="s">
        <v>904</v>
      </c>
      <c r="G754" s="667" t="s">
        <v>1774</v>
      </c>
    </row>
    <row r="755" spans="2:7">
      <c r="B755" s="13" t="s">
        <v>1531</v>
      </c>
      <c r="C755" s="667" t="s">
        <v>2998</v>
      </c>
      <c r="D755" s="13" t="s">
        <v>2294</v>
      </c>
      <c r="E755" s="13" t="s">
        <v>2295</v>
      </c>
      <c r="F755" s="667" t="s">
        <v>904</v>
      </c>
      <c r="G755" s="667" t="s">
        <v>1774</v>
      </c>
    </row>
    <row r="756" spans="2:7">
      <c r="B756" s="13" t="s">
        <v>1531</v>
      </c>
      <c r="C756" s="667" t="s">
        <v>2998</v>
      </c>
      <c r="D756" s="13" t="s">
        <v>2296</v>
      </c>
      <c r="E756" s="13" t="s">
        <v>2297</v>
      </c>
      <c r="F756" s="667" t="s">
        <v>904</v>
      </c>
      <c r="G756" s="667" t="s">
        <v>1774</v>
      </c>
    </row>
    <row r="757" spans="2:7">
      <c r="B757" s="13" t="s">
        <v>1531</v>
      </c>
      <c r="C757" s="667" t="s">
        <v>2998</v>
      </c>
      <c r="D757" s="13" t="s">
        <v>2298</v>
      </c>
      <c r="E757" s="13" t="s">
        <v>2299</v>
      </c>
      <c r="F757" s="667" t="s">
        <v>904</v>
      </c>
      <c r="G757" s="667" t="s">
        <v>1774</v>
      </c>
    </row>
    <row r="758" spans="2:7">
      <c r="B758" s="13" t="s">
        <v>1531</v>
      </c>
      <c r="C758" s="667" t="s">
        <v>2998</v>
      </c>
      <c r="D758" s="13" t="s">
        <v>2300</v>
      </c>
      <c r="E758" s="13" t="s">
        <v>2301</v>
      </c>
      <c r="F758" s="667" t="s">
        <v>904</v>
      </c>
      <c r="G758" s="667" t="s">
        <v>1774</v>
      </c>
    </row>
    <row r="759" spans="2:7">
      <c r="B759" s="13" t="s">
        <v>1531</v>
      </c>
      <c r="C759" s="667" t="s">
        <v>2998</v>
      </c>
      <c r="D759" s="13" t="s">
        <v>2302</v>
      </c>
      <c r="E759" s="13" t="s">
        <v>2303</v>
      </c>
      <c r="F759" s="667" t="s">
        <v>904</v>
      </c>
      <c r="G759" s="667" t="s">
        <v>1774</v>
      </c>
    </row>
    <row r="760" spans="2:7">
      <c r="B760" s="13" t="s">
        <v>1531</v>
      </c>
      <c r="C760" s="667" t="s">
        <v>2998</v>
      </c>
      <c r="D760" s="13" t="s">
        <v>2304</v>
      </c>
      <c r="E760" s="13" t="s">
        <v>2305</v>
      </c>
      <c r="F760" s="667" t="s">
        <v>904</v>
      </c>
      <c r="G760" s="667" t="s">
        <v>1774</v>
      </c>
    </row>
    <row r="761" spans="2:7">
      <c r="B761" s="13" t="s">
        <v>1531</v>
      </c>
      <c r="C761" s="667" t="s">
        <v>2998</v>
      </c>
      <c r="D761" s="13" t="s">
        <v>2306</v>
      </c>
      <c r="E761" s="13" t="s">
        <v>2307</v>
      </c>
      <c r="F761" s="667" t="s">
        <v>904</v>
      </c>
      <c r="G761" s="667" t="s">
        <v>1774</v>
      </c>
    </row>
    <row r="762" spans="2:7">
      <c r="B762" s="13" t="s">
        <v>1531</v>
      </c>
      <c r="C762" s="667" t="s">
        <v>2998</v>
      </c>
      <c r="D762" s="13" t="s">
        <v>2308</v>
      </c>
      <c r="E762" s="13" t="s">
        <v>2309</v>
      </c>
      <c r="F762" s="667" t="s">
        <v>904</v>
      </c>
      <c r="G762" s="667" t="s">
        <v>1774</v>
      </c>
    </row>
    <row r="763" spans="2:7">
      <c r="B763" s="13" t="s">
        <v>1531</v>
      </c>
      <c r="C763" s="667" t="s">
        <v>2998</v>
      </c>
      <c r="D763" s="13" t="s">
        <v>2310</v>
      </c>
      <c r="E763" s="13" t="s">
        <v>2311</v>
      </c>
      <c r="F763" s="667" t="s">
        <v>904</v>
      </c>
      <c r="G763" s="667" t="s">
        <v>1774</v>
      </c>
    </row>
    <row r="764" spans="2:7">
      <c r="B764" s="13" t="s">
        <v>1531</v>
      </c>
      <c r="C764" s="667" t="s">
        <v>2998</v>
      </c>
      <c r="D764" s="13" t="s">
        <v>2312</v>
      </c>
      <c r="E764" s="13" t="s">
        <v>2313</v>
      </c>
      <c r="F764" s="667" t="s">
        <v>904</v>
      </c>
      <c r="G764" s="667" t="s">
        <v>1774</v>
      </c>
    </row>
    <row r="765" spans="2:7">
      <c r="B765" s="13" t="s">
        <v>1531</v>
      </c>
      <c r="C765" s="667" t="s">
        <v>2998</v>
      </c>
      <c r="D765" s="13" t="s">
        <v>2314</v>
      </c>
      <c r="E765" s="13" t="s">
        <v>2315</v>
      </c>
      <c r="F765" s="667" t="s">
        <v>904</v>
      </c>
      <c r="G765" s="667" t="s">
        <v>1774</v>
      </c>
    </row>
    <row r="766" spans="2:7">
      <c r="B766" s="13" t="s">
        <v>1531</v>
      </c>
      <c r="C766" s="667" t="s">
        <v>2998</v>
      </c>
      <c r="D766" s="13" t="s">
        <v>2316</v>
      </c>
      <c r="E766" s="13" t="s">
        <v>2317</v>
      </c>
      <c r="F766" s="667" t="s">
        <v>904</v>
      </c>
      <c r="G766" s="667" t="s">
        <v>1774</v>
      </c>
    </row>
    <row r="767" spans="2:7">
      <c r="B767" s="13" t="s">
        <v>1531</v>
      </c>
      <c r="C767" s="667" t="s">
        <v>2998</v>
      </c>
      <c r="D767" s="13" t="s">
        <v>2318</v>
      </c>
      <c r="E767" s="13" t="s">
        <v>2319</v>
      </c>
      <c r="F767" s="667" t="s">
        <v>904</v>
      </c>
      <c r="G767" s="667" t="s">
        <v>1774</v>
      </c>
    </row>
    <row r="768" spans="2:7">
      <c r="B768" s="13" t="s">
        <v>390</v>
      </c>
      <c r="C768" s="667"/>
      <c r="F768" s="667"/>
      <c r="G768" s="667"/>
    </row>
    <row r="769" spans="2:7">
      <c r="B769" s="13" t="s">
        <v>390</v>
      </c>
      <c r="C769" s="667"/>
      <c r="F769" s="667"/>
      <c r="G769" s="667"/>
    </row>
    <row r="770" spans="2:7">
      <c r="B770" s="13" t="s">
        <v>2093</v>
      </c>
      <c r="C770" s="667"/>
      <c r="F770" s="667"/>
      <c r="G770" s="667"/>
    </row>
    <row r="771" spans="2:7">
      <c r="B771" s="13" t="s">
        <v>390</v>
      </c>
      <c r="C771" s="667"/>
      <c r="F771" s="667"/>
      <c r="G771" s="667"/>
    </row>
    <row r="772" spans="2:7">
      <c r="B772" s="13" t="s">
        <v>1528</v>
      </c>
      <c r="C772" s="667" t="s">
        <v>2998</v>
      </c>
      <c r="D772" s="13" t="s">
        <v>2094</v>
      </c>
      <c r="E772" s="13" t="s">
        <v>2095</v>
      </c>
      <c r="F772" s="667" t="s">
        <v>904</v>
      </c>
      <c r="G772" s="667" t="s">
        <v>1774</v>
      </c>
    </row>
    <row r="773" spans="2:7">
      <c r="B773" s="13" t="s">
        <v>1531</v>
      </c>
      <c r="C773" s="667" t="s">
        <v>2998</v>
      </c>
      <c r="D773" s="13" t="s">
        <v>2096</v>
      </c>
      <c r="E773" s="13" t="s">
        <v>2097</v>
      </c>
      <c r="F773" s="667" t="s">
        <v>904</v>
      </c>
      <c r="G773" s="667" t="s">
        <v>1774</v>
      </c>
    </row>
    <row r="774" spans="2:7">
      <c r="B774" s="13" t="s">
        <v>1531</v>
      </c>
      <c r="C774" s="667" t="s">
        <v>2998</v>
      </c>
      <c r="D774" s="13" t="s">
        <v>2098</v>
      </c>
      <c r="E774" s="13" t="s">
        <v>2099</v>
      </c>
      <c r="F774" s="667" t="s">
        <v>904</v>
      </c>
      <c r="G774" s="667" t="s">
        <v>1774</v>
      </c>
    </row>
    <row r="775" spans="2:7">
      <c r="C775" s="667"/>
      <c r="F775" s="667"/>
      <c r="G775" s="667"/>
    </row>
    <row r="776" spans="2:7">
      <c r="B776" s="13" t="s">
        <v>1528</v>
      </c>
      <c r="C776" s="667" t="s">
        <v>2998</v>
      </c>
      <c r="D776" s="13" t="s">
        <v>2100</v>
      </c>
      <c r="E776" s="13" t="s">
        <v>2101</v>
      </c>
      <c r="F776" s="667" t="s">
        <v>904</v>
      </c>
      <c r="G776" s="667" t="s">
        <v>1774</v>
      </c>
    </row>
    <row r="777" spans="2:7">
      <c r="B777" s="13" t="s">
        <v>1531</v>
      </c>
      <c r="C777" s="667" t="s">
        <v>2998</v>
      </c>
      <c r="D777" s="13" t="s">
        <v>2102</v>
      </c>
      <c r="E777" s="13" t="s">
        <v>2103</v>
      </c>
      <c r="F777" s="667" t="s">
        <v>904</v>
      </c>
      <c r="G777" s="667" t="s">
        <v>1774</v>
      </c>
    </row>
    <row r="778" spans="2:7">
      <c r="B778" s="13" t="s">
        <v>1531</v>
      </c>
      <c r="C778" s="667" t="s">
        <v>2998</v>
      </c>
      <c r="D778" s="13" t="s">
        <v>2104</v>
      </c>
      <c r="E778" s="13" t="s">
        <v>2105</v>
      </c>
      <c r="F778" s="667" t="s">
        <v>904</v>
      </c>
      <c r="G778" s="667" t="s">
        <v>1774</v>
      </c>
    </row>
    <row r="779" spans="2:7">
      <c r="C779" s="667"/>
      <c r="F779" s="667"/>
      <c r="G779" s="667"/>
    </row>
    <row r="780" spans="2:7">
      <c r="B780" s="13" t="s">
        <v>2106</v>
      </c>
      <c r="C780" s="667" t="s">
        <v>2999</v>
      </c>
      <c r="D780" s="13" t="s">
        <v>2107</v>
      </c>
      <c r="E780" s="13" t="s">
        <v>2108</v>
      </c>
      <c r="F780" s="667" t="s">
        <v>904</v>
      </c>
      <c r="G780" s="667" t="s">
        <v>1774</v>
      </c>
    </row>
    <row r="781" spans="2:7">
      <c r="B781" s="13" t="s">
        <v>1531</v>
      </c>
      <c r="C781" s="667" t="s">
        <v>2999</v>
      </c>
      <c r="D781" s="13" t="s">
        <v>2109</v>
      </c>
      <c r="E781" s="13" t="s">
        <v>2110</v>
      </c>
      <c r="F781" s="667" t="s">
        <v>904</v>
      </c>
      <c r="G781" s="667" t="s">
        <v>1774</v>
      </c>
    </row>
    <row r="782" spans="2:7">
      <c r="B782" s="13" t="s">
        <v>1531</v>
      </c>
      <c r="C782" s="667" t="s">
        <v>2999</v>
      </c>
      <c r="D782" s="13" t="s">
        <v>2111</v>
      </c>
      <c r="E782" s="13" t="s">
        <v>2112</v>
      </c>
      <c r="F782" s="667" t="s">
        <v>904</v>
      </c>
      <c r="G782" s="667" t="s">
        <v>1774</v>
      </c>
    </row>
    <row r="783" spans="2:7">
      <c r="B783" s="13" t="s">
        <v>1531</v>
      </c>
      <c r="C783" s="667" t="s">
        <v>2999</v>
      </c>
      <c r="D783" s="13" t="s">
        <v>2113</v>
      </c>
      <c r="E783" s="13" t="s">
        <v>2114</v>
      </c>
      <c r="F783" s="667" t="s">
        <v>904</v>
      </c>
      <c r="G783" s="667" t="s">
        <v>1774</v>
      </c>
    </row>
    <row r="784" spans="2:7">
      <c r="B784" s="13" t="s">
        <v>1531</v>
      </c>
      <c r="C784" s="667" t="s">
        <v>2999</v>
      </c>
      <c r="D784" s="13" t="s">
        <v>2115</v>
      </c>
      <c r="E784" s="13" t="s">
        <v>2116</v>
      </c>
      <c r="F784" s="667" t="s">
        <v>904</v>
      </c>
      <c r="G784" s="667" t="s">
        <v>1774</v>
      </c>
    </row>
    <row r="785" spans="2:7">
      <c r="B785" s="13" t="s">
        <v>390</v>
      </c>
      <c r="C785" s="667"/>
      <c r="F785" s="667"/>
      <c r="G785" s="667"/>
    </row>
    <row r="786" spans="2:7">
      <c r="B786" s="13" t="s">
        <v>390</v>
      </c>
      <c r="C786" s="667"/>
      <c r="F786" s="667"/>
      <c r="G786" s="667"/>
    </row>
    <row r="787" spans="2:7">
      <c r="B787" s="13" t="s">
        <v>2117</v>
      </c>
      <c r="C787" s="667"/>
      <c r="F787" s="667"/>
      <c r="G787" s="667"/>
    </row>
    <row r="788" spans="2:7">
      <c r="B788" s="13" t="s">
        <v>390</v>
      </c>
      <c r="C788" s="667"/>
      <c r="F788" s="667"/>
      <c r="G788" s="667"/>
    </row>
    <row r="789" spans="2:7">
      <c r="B789" s="13" t="s">
        <v>1528</v>
      </c>
      <c r="C789" s="667" t="s">
        <v>2999</v>
      </c>
      <c r="D789" s="13" t="s">
        <v>2118</v>
      </c>
      <c r="E789" s="13" t="s">
        <v>2119</v>
      </c>
      <c r="F789" s="667" t="s">
        <v>348</v>
      </c>
      <c r="G789" s="667" t="s">
        <v>387</v>
      </c>
    </row>
    <row r="790" spans="2:7">
      <c r="B790" s="13" t="s">
        <v>1528</v>
      </c>
      <c r="C790" s="667" t="s">
        <v>2999</v>
      </c>
      <c r="D790" s="13" t="s">
        <v>2120</v>
      </c>
      <c r="E790" s="13" t="s">
        <v>2121</v>
      </c>
      <c r="F790" s="667" t="s">
        <v>348</v>
      </c>
      <c r="G790" s="667" t="s">
        <v>387</v>
      </c>
    </row>
    <row r="791" spans="2:7">
      <c r="B791" s="13" t="s">
        <v>1531</v>
      </c>
      <c r="C791" s="667" t="s">
        <v>2999</v>
      </c>
      <c r="D791" s="13" t="s">
        <v>2122</v>
      </c>
      <c r="E791" s="13" t="s">
        <v>2123</v>
      </c>
      <c r="F791" s="667" t="s">
        <v>348</v>
      </c>
      <c r="G791" s="667" t="s">
        <v>387</v>
      </c>
    </row>
    <row r="792" spans="2:7">
      <c r="B792" s="13" t="s">
        <v>1528</v>
      </c>
      <c r="C792" s="667" t="s">
        <v>2999</v>
      </c>
      <c r="D792" s="13" t="s">
        <v>2124</v>
      </c>
      <c r="E792" s="13" t="s">
        <v>2125</v>
      </c>
      <c r="F792" s="667" t="s">
        <v>348</v>
      </c>
      <c r="G792" s="667" t="s">
        <v>387</v>
      </c>
    </row>
    <row r="793" spans="2:7">
      <c r="B793" s="13" t="s">
        <v>390</v>
      </c>
      <c r="C793" s="667"/>
      <c r="E793" s="13" t="s">
        <v>729</v>
      </c>
      <c r="F793" s="667"/>
      <c r="G793" s="667"/>
    </row>
    <row r="794" spans="2:7">
      <c r="B794" s="13" t="s">
        <v>1528</v>
      </c>
      <c r="C794" s="667" t="s">
        <v>2999</v>
      </c>
      <c r="D794" s="13" t="s">
        <v>2126</v>
      </c>
      <c r="E794" s="13" t="s">
        <v>2127</v>
      </c>
      <c r="F794" s="667" t="s">
        <v>348</v>
      </c>
      <c r="G794" s="667" t="s">
        <v>387</v>
      </c>
    </row>
    <row r="795" spans="2:7">
      <c r="B795" s="13" t="s">
        <v>1528</v>
      </c>
      <c r="C795" s="667" t="s">
        <v>2999</v>
      </c>
      <c r="D795" s="13" t="s">
        <v>2128</v>
      </c>
      <c r="E795" s="13" t="s">
        <v>2129</v>
      </c>
      <c r="F795" s="667" t="s">
        <v>348</v>
      </c>
      <c r="G795" s="667" t="s">
        <v>387</v>
      </c>
    </row>
    <row r="796" spans="2:7">
      <c r="B796" s="13" t="s">
        <v>1528</v>
      </c>
      <c r="C796" s="667" t="s">
        <v>2999</v>
      </c>
      <c r="D796" s="13" t="s">
        <v>2130</v>
      </c>
      <c r="E796" s="13" t="s">
        <v>2131</v>
      </c>
      <c r="F796" s="667" t="s">
        <v>348</v>
      </c>
      <c r="G796" s="667" t="s">
        <v>387</v>
      </c>
    </row>
    <row r="797" spans="2:7">
      <c r="B797" s="13" t="s">
        <v>1528</v>
      </c>
      <c r="C797" s="667" t="s">
        <v>2999</v>
      </c>
      <c r="D797" s="13" t="s">
        <v>2132</v>
      </c>
      <c r="E797" s="13" t="s">
        <v>2133</v>
      </c>
      <c r="F797" s="667" t="s">
        <v>348</v>
      </c>
      <c r="G797" s="667" t="s">
        <v>387</v>
      </c>
    </row>
    <row r="798" spans="2:7">
      <c r="B798" s="13" t="s">
        <v>1528</v>
      </c>
      <c r="C798" s="667" t="s">
        <v>2999</v>
      </c>
      <c r="D798" s="13" t="s">
        <v>2134</v>
      </c>
      <c r="E798" s="13" t="s">
        <v>2135</v>
      </c>
      <c r="F798" s="667" t="s">
        <v>348</v>
      </c>
      <c r="G798" s="667" t="s">
        <v>387</v>
      </c>
    </row>
    <row r="799" spans="2:7">
      <c r="B799" s="13" t="s">
        <v>1528</v>
      </c>
      <c r="C799" s="667" t="s">
        <v>2999</v>
      </c>
      <c r="D799" s="13" t="s">
        <v>2136</v>
      </c>
      <c r="E799" s="13" t="s">
        <v>2137</v>
      </c>
      <c r="F799" s="667" t="s">
        <v>348</v>
      </c>
      <c r="G799" s="667" t="s">
        <v>387</v>
      </c>
    </row>
    <row r="800" spans="2:7">
      <c r="B800" s="13" t="s">
        <v>1528</v>
      </c>
      <c r="C800" s="667" t="s">
        <v>2999</v>
      </c>
      <c r="D800" s="13" t="s">
        <v>2138</v>
      </c>
      <c r="E800" s="13" t="s">
        <v>2139</v>
      </c>
      <c r="F800" s="667" t="s">
        <v>348</v>
      </c>
      <c r="G800" s="667" t="s">
        <v>387</v>
      </c>
    </row>
    <row r="801" spans="2:7">
      <c r="B801" s="13" t="s">
        <v>1528</v>
      </c>
      <c r="C801" s="667" t="s">
        <v>2999</v>
      </c>
      <c r="D801" s="13" t="s">
        <v>2140</v>
      </c>
      <c r="E801" s="13" t="s">
        <v>2141</v>
      </c>
      <c r="F801" s="667" t="s">
        <v>348</v>
      </c>
      <c r="G801" s="667" t="s">
        <v>387</v>
      </c>
    </row>
    <row r="802" spans="2:7">
      <c r="B802" s="13" t="s">
        <v>1528</v>
      </c>
      <c r="C802" s="667" t="s">
        <v>2999</v>
      </c>
      <c r="D802" s="13" t="s">
        <v>2142</v>
      </c>
      <c r="E802" s="13" t="s">
        <v>2143</v>
      </c>
      <c r="F802" s="667" t="s">
        <v>348</v>
      </c>
      <c r="G802" s="667" t="s">
        <v>387</v>
      </c>
    </row>
    <row r="803" spans="2:7">
      <c r="B803" s="13" t="s">
        <v>1528</v>
      </c>
      <c r="C803" s="667" t="s">
        <v>2999</v>
      </c>
      <c r="D803" s="13" t="s">
        <v>2144</v>
      </c>
      <c r="E803" s="13" t="s">
        <v>2145</v>
      </c>
      <c r="F803" s="667" t="s">
        <v>348</v>
      </c>
      <c r="G803" s="667" t="s">
        <v>387</v>
      </c>
    </row>
    <row r="804" spans="2:7">
      <c r="B804" s="13" t="s">
        <v>390</v>
      </c>
      <c r="C804" s="667"/>
      <c r="F804" s="667"/>
      <c r="G804" s="667"/>
    </row>
    <row r="805" spans="2:7">
      <c r="B805" s="13" t="s">
        <v>2146</v>
      </c>
      <c r="C805" s="667"/>
      <c r="F805" s="667"/>
      <c r="G805" s="667"/>
    </row>
    <row r="806" spans="2:7">
      <c r="B806" s="13" t="s">
        <v>390</v>
      </c>
      <c r="C806" s="667"/>
      <c r="F806" s="667"/>
      <c r="G806" s="667"/>
    </row>
    <row r="807" spans="2:7">
      <c r="B807" s="13" t="s">
        <v>1531</v>
      </c>
      <c r="C807" s="667" t="s">
        <v>2998</v>
      </c>
      <c r="D807" s="13" t="s">
        <v>2147</v>
      </c>
      <c r="E807" s="13" t="s">
        <v>2148</v>
      </c>
      <c r="F807" s="667" t="s">
        <v>348</v>
      </c>
      <c r="G807" s="667" t="s">
        <v>387</v>
      </c>
    </row>
    <row r="808" spans="2:7">
      <c r="B808" s="13" t="s">
        <v>1531</v>
      </c>
      <c r="C808" s="667" t="s">
        <v>2998</v>
      </c>
      <c r="D808" s="13" t="s">
        <v>2149</v>
      </c>
      <c r="E808" s="13" t="s">
        <v>2150</v>
      </c>
      <c r="F808" s="667" t="s">
        <v>348</v>
      </c>
      <c r="G808" s="667" t="s">
        <v>387</v>
      </c>
    </row>
    <row r="809" spans="2:7">
      <c r="B809" s="13" t="s">
        <v>1531</v>
      </c>
      <c r="C809" s="667" t="s">
        <v>2998</v>
      </c>
      <c r="D809" s="13" t="s">
        <v>2151</v>
      </c>
      <c r="E809" s="13" t="s">
        <v>2152</v>
      </c>
      <c r="F809" s="667" t="s">
        <v>348</v>
      </c>
      <c r="G809" s="667" t="s">
        <v>387</v>
      </c>
    </row>
    <row r="810" spans="2:7">
      <c r="B810" s="13" t="s">
        <v>1531</v>
      </c>
      <c r="C810" s="667" t="s">
        <v>2998</v>
      </c>
      <c r="D810" s="13" t="s">
        <v>2153</v>
      </c>
      <c r="E810" s="13" t="s">
        <v>2154</v>
      </c>
      <c r="F810" s="667" t="s">
        <v>348</v>
      </c>
      <c r="G810" s="667" t="s">
        <v>387</v>
      </c>
    </row>
    <row r="811" spans="2:7">
      <c r="B811" s="13" t="s">
        <v>1531</v>
      </c>
      <c r="C811" s="667" t="s">
        <v>2998</v>
      </c>
      <c r="D811" s="13" t="s">
        <v>2155</v>
      </c>
      <c r="E811" s="13" t="s">
        <v>2156</v>
      </c>
      <c r="F811" s="667" t="s">
        <v>348</v>
      </c>
      <c r="G811" s="667" t="s">
        <v>387</v>
      </c>
    </row>
    <row r="812" spans="2:7">
      <c r="B812" s="13" t="s">
        <v>1531</v>
      </c>
      <c r="C812" s="667" t="s">
        <v>2998</v>
      </c>
      <c r="D812" s="13" t="s">
        <v>2157</v>
      </c>
      <c r="E812" s="13" t="s">
        <v>2158</v>
      </c>
      <c r="F812" s="667" t="s">
        <v>348</v>
      </c>
      <c r="G812" s="667" t="s">
        <v>387</v>
      </c>
    </row>
    <row r="813" spans="2:7">
      <c r="B813" s="13" t="s">
        <v>1531</v>
      </c>
      <c r="C813" s="667" t="s">
        <v>2998</v>
      </c>
      <c r="D813" s="13" t="s">
        <v>2159</v>
      </c>
      <c r="E813" s="13" t="s">
        <v>2160</v>
      </c>
      <c r="F813" s="667" t="s">
        <v>348</v>
      </c>
      <c r="G813" s="667" t="s">
        <v>387</v>
      </c>
    </row>
    <row r="814" spans="2:7">
      <c r="B814" s="13" t="s">
        <v>1531</v>
      </c>
      <c r="C814" s="667" t="s">
        <v>2998</v>
      </c>
      <c r="D814" s="13" t="s">
        <v>2161</v>
      </c>
      <c r="E814" s="13" t="s">
        <v>2162</v>
      </c>
      <c r="F814" s="667" t="s">
        <v>348</v>
      </c>
      <c r="G814" s="667" t="s">
        <v>387</v>
      </c>
    </row>
    <row r="815" spans="2:7">
      <c r="B815" s="13" t="s">
        <v>390</v>
      </c>
      <c r="C815" s="667"/>
      <c r="E815" s="13" t="s">
        <v>729</v>
      </c>
      <c r="F815" s="667"/>
      <c r="G815" s="667"/>
    </row>
    <row r="816" spans="2:7">
      <c r="C816" s="667"/>
    </row>
    <row r="817" spans="3:3">
      <c r="C817" s="667"/>
    </row>
    <row r="818" spans="3:3">
      <c r="C818" s="667"/>
    </row>
    <row r="819" spans="3:3">
      <c r="C819" s="667"/>
    </row>
    <row r="820" spans="3:3">
      <c r="C820" s="667"/>
    </row>
    <row r="821" spans="3:3">
      <c r="C821" s="667"/>
    </row>
    <row r="822" spans="3:3">
      <c r="C822" s="667"/>
    </row>
    <row r="823" spans="3:3">
      <c r="C823" s="667"/>
    </row>
    <row r="824" spans="3:3">
      <c r="C824" s="667"/>
    </row>
    <row r="825" spans="3:3">
      <c r="C825" s="667"/>
    </row>
    <row r="826" spans="3:3">
      <c r="C826" s="667"/>
    </row>
    <row r="827" spans="3:3">
      <c r="C827" s="667"/>
    </row>
    <row r="828" spans="3:3">
      <c r="C828" s="667"/>
    </row>
    <row r="829" spans="3:3">
      <c r="C829" s="667"/>
    </row>
    <row r="830" spans="3:3">
      <c r="C830" s="667"/>
    </row>
    <row r="831" spans="3:3">
      <c r="C831" s="667"/>
    </row>
    <row r="832" spans="3:3">
      <c r="C832" s="667"/>
    </row>
    <row r="833" spans="3:3">
      <c r="C833" s="667"/>
    </row>
    <row r="834" spans="3:3">
      <c r="C834" s="667"/>
    </row>
    <row r="835" spans="3:3">
      <c r="C835" s="667"/>
    </row>
    <row r="836" spans="3:3">
      <c r="C836" s="667"/>
    </row>
    <row r="837" spans="3:3">
      <c r="C837" s="667"/>
    </row>
    <row r="838" spans="3:3">
      <c r="C838" s="667"/>
    </row>
    <row r="839" spans="3:3">
      <c r="C839" s="667"/>
    </row>
    <row r="840" spans="3:3">
      <c r="C840" s="667"/>
    </row>
    <row r="841" spans="3:3">
      <c r="C841" s="667"/>
    </row>
    <row r="842" spans="3:3">
      <c r="C842" s="667"/>
    </row>
    <row r="843" spans="3:3">
      <c r="C843" s="667"/>
    </row>
    <row r="844" spans="3:3">
      <c r="C844" s="667"/>
    </row>
    <row r="845" spans="3:3">
      <c r="C845" s="667"/>
    </row>
    <row r="846" spans="3:3">
      <c r="C846" s="667"/>
    </row>
    <row r="847" spans="3:3">
      <c r="C847" s="667"/>
    </row>
    <row r="848" spans="3:3">
      <c r="C848" s="667"/>
    </row>
    <row r="849" spans="3:3">
      <c r="C849" s="667"/>
    </row>
  </sheetData>
  <phoneticPr fontId="0" type="noConversion"/>
  <pageMargins left="0.75" right="0.75" top="1" bottom="1" header="0.5" footer="0.5"/>
  <pageSetup paperSize="9" orientation="portrait" horizont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09E92-3F51-4B39-99C7-F652C1B0D33F}">
  <dimension ref="B2:U31"/>
  <sheetViews>
    <sheetView workbookViewId="0">
      <selection activeCell="B1" sqref="B1"/>
    </sheetView>
  </sheetViews>
  <sheetFormatPr defaultColWidth="9.140625" defaultRowHeight="12.75"/>
  <cols>
    <col min="1" max="16384" width="9.140625" style="768"/>
  </cols>
  <sheetData>
    <row r="2" spans="2:21" ht="15.75">
      <c r="B2" s="766" t="s">
        <v>3186</v>
      </c>
      <c r="C2" s="766" t="s">
        <v>645</v>
      </c>
      <c r="D2" s="767" t="s">
        <v>3187</v>
      </c>
      <c r="E2" s="767" t="s">
        <v>3188</v>
      </c>
      <c r="F2" s="767" t="s">
        <v>3189</v>
      </c>
      <c r="G2" s="767" t="s">
        <v>3190</v>
      </c>
      <c r="H2" s="767" t="s">
        <v>3191</v>
      </c>
    </row>
    <row r="3" spans="2:21" ht="18.75">
      <c r="B3" s="766">
        <v>1</v>
      </c>
      <c r="C3" s="769" t="s">
        <v>3192</v>
      </c>
      <c r="D3" s="770">
        <v>0.1</v>
      </c>
      <c r="E3" s="771">
        <v>65.19</v>
      </c>
      <c r="F3" s="772">
        <v>0.26700000000000002</v>
      </c>
      <c r="G3" s="767" t="s">
        <v>3193</v>
      </c>
      <c r="H3" s="767" t="s">
        <v>3194</v>
      </c>
    </row>
    <row r="4" spans="2:21" ht="18.75">
      <c r="B4" s="766">
        <v>2</v>
      </c>
      <c r="C4" s="769" t="s">
        <v>3195</v>
      </c>
      <c r="D4" s="770">
        <v>0.03</v>
      </c>
      <c r="E4" s="771">
        <v>1</v>
      </c>
      <c r="F4" s="772">
        <v>0.48199999999999998</v>
      </c>
      <c r="G4" s="772" t="s">
        <v>3196</v>
      </c>
      <c r="H4" s="767" t="s">
        <v>3197</v>
      </c>
    </row>
    <row r="5" spans="2:21" ht="18.75">
      <c r="B5" s="766">
        <v>3</v>
      </c>
      <c r="C5" s="769" t="s">
        <v>3198</v>
      </c>
      <c r="D5" s="770">
        <v>0.08</v>
      </c>
      <c r="E5" s="771">
        <v>0.52</v>
      </c>
      <c r="F5" s="772">
        <v>0.94799999999999995</v>
      </c>
      <c r="G5" s="772" t="s">
        <v>3199</v>
      </c>
      <c r="H5" s="767" t="s">
        <v>3200</v>
      </c>
    </row>
    <row r="6" spans="2:21" ht="18.75">
      <c r="B6" s="766">
        <v>4</v>
      </c>
      <c r="C6" s="769" t="s">
        <v>3201</v>
      </c>
      <c r="D6" s="770">
        <v>0.05</v>
      </c>
      <c r="E6" s="771">
        <v>1.5</v>
      </c>
      <c r="F6" s="772">
        <v>0.89700000000000002</v>
      </c>
      <c r="G6" s="767" t="s">
        <v>3202</v>
      </c>
      <c r="H6" s="767" t="s">
        <v>3203</v>
      </c>
    </row>
    <row r="7" spans="2:21" ht="18.75">
      <c r="B7" s="766">
        <v>5</v>
      </c>
      <c r="C7" s="769" t="s">
        <v>3204</v>
      </c>
      <c r="D7" s="770">
        <v>0.08</v>
      </c>
      <c r="E7" s="771">
        <v>5</v>
      </c>
      <c r="F7" s="772">
        <v>0.89700000000000002</v>
      </c>
      <c r="G7" s="772" t="s">
        <v>3205</v>
      </c>
      <c r="H7" s="767" t="s">
        <v>3203</v>
      </c>
    </row>
    <row r="10" spans="2:21" ht="15">
      <c r="C10" s="773" t="s">
        <v>3206</v>
      </c>
    </row>
    <row r="11" spans="2:21" ht="15">
      <c r="C11" s="768" t="s">
        <v>2345</v>
      </c>
      <c r="D11" s="768" t="s">
        <v>2346</v>
      </c>
      <c r="E11" s="768" t="s">
        <v>2347</v>
      </c>
      <c r="F11" s="768" t="s">
        <v>2349</v>
      </c>
      <c r="G11" s="768" t="s">
        <v>2348</v>
      </c>
      <c r="H11" s="768" t="s">
        <v>2350</v>
      </c>
      <c r="J11" s="773"/>
      <c r="K11" s="768">
        <v>2005</v>
      </c>
      <c r="L11" s="768">
        <v>2010</v>
      </c>
      <c r="M11" s="768">
        <v>2015</v>
      </c>
      <c r="N11" s="768">
        <v>2020</v>
      </c>
      <c r="O11" s="768">
        <v>2025</v>
      </c>
      <c r="P11" s="768">
        <v>2030</v>
      </c>
      <c r="Q11" s="768">
        <v>2035</v>
      </c>
      <c r="R11" s="768">
        <v>2040</v>
      </c>
      <c r="S11" s="768">
        <v>2045</v>
      </c>
      <c r="T11" s="768">
        <v>2050</v>
      </c>
      <c r="U11" s="768">
        <v>2055</v>
      </c>
    </row>
    <row r="12" spans="2:21" ht="15">
      <c r="C12" s="774">
        <v>51602.374008424813</v>
      </c>
      <c r="D12" s="774">
        <v>55661.044823044889</v>
      </c>
      <c r="E12" s="774">
        <v>62470.872988586285</v>
      </c>
      <c r="F12" s="774">
        <v>32617.140044223077</v>
      </c>
      <c r="G12" s="774">
        <v>56174.923885622571</v>
      </c>
      <c r="H12" s="774">
        <v>50587.643478708014</v>
      </c>
      <c r="J12" s="773" t="s">
        <v>3207</v>
      </c>
      <c r="K12" s="775">
        <v>0</v>
      </c>
      <c r="L12" s="775">
        <v>2.8275072272352299E-2</v>
      </c>
      <c r="M12" s="775">
        <v>5.5803665270754962E-2</v>
      </c>
      <c r="N12" s="775">
        <v>8.0498063016700885E-2</v>
      </c>
      <c r="O12" s="775">
        <v>9.7881610165432495E-2</v>
      </c>
      <c r="P12" s="775">
        <v>0.11446455161797207</v>
      </c>
      <c r="Q12" s="775">
        <v>0.13106520878668096</v>
      </c>
      <c r="R12" s="775">
        <v>0.14813324454686103</v>
      </c>
      <c r="S12" s="775">
        <v>0.16193015541995281</v>
      </c>
      <c r="T12" s="775">
        <v>0.1770403999051394</v>
      </c>
      <c r="U12" s="775">
        <v>0.19167420452841349</v>
      </c>
    </row>
    <row r="14" spans="2:21" ht="15.75">
      <c r="C14" s="773" t="s">
        <v>3208</v>
      </c>
      <c r="T14" s="770"/>
      <c r="U14" s="775"/>
    </row>
    <row r="15" spans="2:21" ht="15">
      <c r="C15" s="768" t="s">
        <v>2345</v>
      </c>
      <c r="D15" s="768" t="s">
        <v>2346</v>
      </c>
      <c r="E15" s="768" t="s">
        <v>2347</v>
      </c>
      <c r="F15" s="768" t="s">
        <v>2349</v>
      </c>
      <c r="G15" s="768" t="s">
        <v>2348</v>
      </c>
      <c r="H15" s="768" t="s">
        <v>2350</v>
      </c>
      <c r="J15" s="773" t="s">
        <v>3209</v>
      </c>
      <c r="K15" s="768">
        <v>2005</v>
      </c>
      <c r="L15" s="768">
        <v>2010</v>
      </c>
      <c r="M15" s="768">
        <v>2015</v>
      </c>
      <c r="N15" s="768">
        <v>2020</v>
      </c>
      <c r="O15" s="768">
        <v>2025</v>
      </c>
      <c r="P15" s="768">
        <v>2030</v>
      </c>
      <c r="Q15" s="768">
        <v>2035</v>
      </c>
      <c r="R15" s="768">
        <v>2040</v>
      </c>
      <c r="S15" s="768">
        <v>2045</v>
      </c>
      <c r="T15" s="768">
        <v>2050</v>
      </c>
      <c r="U15" s="768">
        <v>2055</v>
      </c>
    </row>
    <row r="16" spans="2:21">
      <c r="B16" s="768" t="s">
        <v>3198</v>
      </c>
      <c r="C16" s="776">
        <f>$E5/C$12/$U$28/$C$31*10^-6</f>
        <v>7.001716601034901</v>
      </c>
      <c r="D16" s="776">
        <f t="shared" ref="D16:H16" si="0">$E5/D$12/$U$28/$C$31*10^-6</f>
        <v>6.4911681032263271</v>
      </c>
      <c r="E16" s="776">
        <f t="shared" si="0"/>
        <v>5.7835785136796796</v>
      </c>
      <c r="F16" s="776">
        <f t="shared" si="0"/>
        <v>11.077157539187493</v>
      </c>
      <c r="G16" s="776">
        <f t="shared" si="0"/>
        <v>6.431787953700681</v>
      </c>
      <c r="H16" s="776">
        <f t="shared" si="0"/>
        <v>7.1421630639836131</v>
      </c>
      <c r="J16" s="768" t="s">
        <v>3198</v>
      </c>
      <c r="K16" s="775">
        <f t="shared" ref="K16:U16" si="1">$D$5*$F$5*(1-K$12)</f>
        <v>7.5840000000000005E-2</v>
      </c>
      <c r="L16" s="775">
        <f t="shared" si="1"/>
        <v>7.3695618518864803E-2</v>
      </c>
      <c r="M16" s="775">
        <f t="shared" si="1"/>
        <v>7.1607850025865949E-2</v>
      </c>
      <c r="N16" s="775">
        <f t="shared" si="1"/>
        <v>6.9735026900813402E-2</v>
      </c>
      <c r="O16" s="775">
        <f t="shared" si="1"/>
        <v>6.8416658685053602E-2</v>
      </c>
      <c r="P16" s="775">
        <f t="shared" si="1"/>
        <v>6.7159008405293E-2</v>
      </c>
      <c r="Q16" s="775">
        <f t="shared" si="1"/>
        <v>6.5900014565618129E-2</v>
      </c>
      <c r="R16" s="775">
        <f t="shared" si="1"/>
        <v>6.4605574733566068E-2</v>
      </c>
      <c r="S16" s="775">
        <f t="shared" si="1"/>
        <v>6.3559217012950781E-2</v>
      </c>
      <c r="T16" s="775">
        <f t="shared" si="1"/>
        <v>6.2413256071194231E-2</v>
      </c>
      <c r="U16" s="775">
        <f t="shared" si="1"/>
        <v>6.1303428328565127E-2</v>
      </c>
    </row>
    <row r="17" spans="2:21">
      <c r="B17" s="768" t="s">
        <v>3195</v>
      </c>
      <c r="C17" s="776">
        <f>$E4/C$12/$U$28/$C$31*10^-6</f>
        <v>13.464839617374807</v>
      </c>
      <c r="D17" s="776">
        <f t="shared" ref="D17:H17" si="2">$E4/D$12/$U$28/$C$31*10^-6</f>
        <v>12.483015583127553</v>
      </c>
      <c r="E17" s="776">
        <f t="shared" si="2"/>
        <v>11.122266372460922</v>
      </c>
      <c r="F17" s="776">
        <f t="shared" si="2"/>
        <v>21.302226036899022</v>
      </c>
      <c r="G17" s="776">
        <f t="shared" si="2"/>
        <v>12.368822987885922</v>
      </c>
      <c r="H17" s="776">
        <f t="shared" si="2"/>
        <v>13.734928969199256</v>
      </c>
      <c r="J17" s="768" t="s">
        <v>3195</v>
      </c>
      <c r="K17" s="775">
        <f t="shared" ref="K17:U17" si="3">$D$4*$F$4*(1-K$12)</f>
        <v>1.4459999999999999E-2</v>
      </c>
      <c r="L17" s="775">
        <f t="shared" si="3"/>
        <v>1.4051142454941785E-2</v>
      </c>
      <c r="M17" s="775">
        <f t="shared" si="3"/>
        <v>1.3653079000184882E-2</v>
      </c>
      <c r="N17" s="775">
        <f t="shared" si="3"/>
        <v>1.3295998008778504E-2</v>
      </c>
      <c r="O17" s="775">
        <f t="shared" si="3"/>
        <v>1.3044631917007846E-2</v>
      </c>
      <c r="P17" s="775">
        <f t="shared" si="3"/>
        <v>1.2804842583604122E-2</v>
      </c>
      <c r="Q17" s="775">
        <f t="shared" si="3"/>
        <v>1.2564797080944592E-2</v>
      </c>
      <c r="R17" s="775">
        <f t="shared" si="3"/>
        <v>1.2317993283852389E-2</v>
      </c>
      <c r="S17" s="775">
        <f t="shared" si="3"/>
        <v>1.2118489952627482E-2</v>
      </c>
      <c r="T17" s="775">
        <f t="shared" si="3"/>
        <v>1.1899995817371683E-2</v>
      </c>
      <c r="U17" s="775">
        <f t="shared" si="3"/>
        <v>1.1688391002519141E-2</v>
      </c>
    </row>
    <row r="18" spans="2:21">
      <c r="B18" s="768" t="s">
        <v>3201</v>
      </c>
      <c r="C18" s="776">
        <f>$E6/C$12/$U$28/$C$31*10^-6</f>
        <v>20.197259426062214</v>
      </c>
      <c r="D18" s="776">
        <f t="shared" ref="D18:H19" si="4">$E6/D$12/$U$28/$C$31*10^-6</f>
        <v>18.72452337469133</v>
      </c>
      <c r="E18" s="776">
        <f t="shared" si="4"/>
        <v>16.683399558691381</v>
      </c>
      <c r="F18" s="776">
        <f t="shared" si="4"/>
        <v>31.953339055348529</v>
      </c>
      <c r="G18" s="776">
        <f t="shared" si="4"/>
        <v>18.553234481828888</v>
      </c>
      <c r="H18" s="776">
        <f t="shared" si="4"/>
        <v>20.602393453798886</v>
      </c>
      <c r="J18" s="768" t="s">
        <v>3201</v>
      </c>
      <c r="K18" s="775">
        <f t="shared" ref="K18:U18" si="5">$D$3*$F$3*(1-K$12)</f>
        <v>2.6700000000000002E-2</v>
      </c>
      <c r="L18" s="775">
        <f t="shared" si="5"/>
        <v>2.5945055570328196E-2</v>
      </c>
      <c r="M18" s="775">
        <f t="shared" si="5"/>
        <v>2.5210042137270842E-2</v>
      </c>
      <c r="N18" s="775">
        <f t="shared" si="5"/>
        <v>2.4550701717454087E-2</v>
      </c>
      <c r="O18" s="775">
        <f t="shared" si="5"/>
        <v>2.4086561008582953E-2</v>
      </c>
      <c r="P18" s="775">
        <f t="shared" si="5"/>
        <v>2.3643796471800146E-2</v>
      </c>
      <c r="Q18" s="775">
        <f t="shared" si="5"/>
        <v>2.3200558925395621E-2</v>
      </c>
      <c r="R18" s="775">
        <f t="shared" si="5"/>
        <v>2.274484237059881E-2</v>
      </c>
      <c r="S18" s="775">
        <f t="shared" si="5"/>
        <v>2.2376464850287259E-2</v>
      </c>
      <c r="T18" s="775">
        <f t="shared" si="5"/>
        <v>2.1973021322532777E-2</v>
      </c>
      <c r="U18" s="775">
        <f t="shared" si="5"/>
        <v>2.1582298739091361E-2</v>
      </c>
    </row>
    <row r="19" spans="2:21">
      <c r="B19" s="768" t="s">
        <v>3204</v>
      </c>
      <c r="C19" s="776">
        <f>$E7/C$12/$U$28/$C$31*10^-6</f>
        <v>67.324198086874048</v>
      </c>
      <c r="D19" s="776">
        <f t="shared" si="4"/>
        <v>62.415077915637752</v>
      </c>
      <c r="E19" s="776">
        <f t="shared" si="4"/>
        <v>55.611331862304603</v>
      </c>
      <c r="F19" s="776">
        <f t="shared" si="4"/>
        <v>106.5111301844951</v>
      </c>
      <c r="G19" s="776">
        <f t="shared" si="4"/>
        <v>61.844114939429623</v>
      </c>
      <c r="H19" s="776">
        <f t="shared" si="4"/>
        <v>68.674644845996283</v>
      </c>
      <c r="J19" s="768" t="s">
        <v>3204</v>
      </c>
      <c r="K19" s="775">
        <f t="shared" ref="K19:U19" si="6">$D$7*$F$7*(1-K$12)</f>
        <v>7.1760000000000004E-2</v>
      </c>
      <c r="L19" s="775">
        <f t="shared" si="6"/>
        <v>6.9730980813736007E-2</v>
      </c>
      <c r="M19" s="775">
        <f t="shared" si="6"/>
        <v>6.7755528980170621E-2</v>
      </c>
      <c r="N19" s="775">
        <f t="shared" si="6"/>
        <v>6.5983458997921546E-2</v>
      </c>
      <c r="O19" s="775">
        <f t="shared" si="6"/>
        <v>6.4736015654528564E-2</v>
      </c>
      <c r="P19" s="775">
        <f t="shared" si="6"/>
        <v>6.3546023775894328E-2</v>
      </c>
      <c r="Q19" s="775">
        <f t="shared" si="6"/>
        <v>6.235476061746778E-2</v>
      </c>
      <c r="R19" s="775">
        <f t="shared" si="6"/>
        <v>6.1129958371317253E-2</v>
      </c>
      <c r="S19" s="775">
        <f t="shared" si="6"/>
        <v>6.0139892047064186E-2</v>
      </c>
      <c r="T19" s="775">
        <f t="shared" si="6"/>
        <v>5.90555809028072E-2</v>
      </c>
      <c r="U19" s="775">
        <f t="shared" si="6"/>
        <v>5.8005459083041055E-2</v>
      </c>
    </row>
    <row r="20" spans="2:21">
      <c r="B20" s="768" t="s">
        <v>3192</v>
      </c>
      <c r="C20" s="776">
        <f>$E3/C$12/$U$28/$C$31*10^-6</f>
        <v>877.77289465666377</v>
      </c>
      <c r="D20" s="776">
        <f t="shared" ref="D20:H20" si="7">$E3/D$12/$U$28/$C$31*10^-6</f>
        <v>813.767785864085</v>
      </c>
      <c r="E20" s="776">
        <f t="shared" si="7"/>
        <v>725.0605448207275</v>
      </c>
      <c r="F20" s="776">
        <f t="shared" si="7"/>
        <v>1388.6921153454473</v>
      </c>
      <c r="G20" s="776">
        <f t="shared" si="7"/>
        <v>806.32357058028322</v>
      </c>
      <c r="H20" s="776">
        <f t="shared" si="7"/>
        <v>895.38001950209946</v>
      </c>
      <c r="J20" s="768" t="s">
        <v>3192</v>
      </c>
      <c r="K20" s="775">
        <f t="shared" ref="K20:U20" si="8">$D$6*$F$6*(1-K$12)</f>
        <v>4.4850000000000001E-2</v>
      </c>
      <c r="L20" s="775">
        <f t="shared" si="8"/>
        <v>4.3581863008584999E-2</v>
      </c>
      <c r="M20" s="775">
        <f t="shared" si="8"/>
        <v>4.2347205612606638E-2</v>
      </c>
      <c r="N20" s="775">
        <f t="shared" si="8"/>
        <v>4.1239661873700963E-2</v>
      </c>
      <c r="O20" s="775">
        <f t="shared" si="8"/>
        <v>4.0460009784080354E-2</v>
      </c>
      <c r="P20" s="775">
        <f t="shared" si="8"/>
        <v>3.9716264859933952E-2</v>
      </c>
      <c r="Q20" s="775">
        <f t="shared" si="8"/>
        <v>3.8971725385917359E-2</v>
      </c>
      <c r="R20" s="775">
        <f t="shared" si="8"/>
        <v>3.8206223982073281E-2</v>
      </c>
      <c r="S20" s="775">
        <f t="shared" si="8"/>
        <v>3.758743252941512E-2</v>
      </c>
      <c r="T20" s="775">
        <f t="shared" si="8"/>
        <v>3.6909738064254495E-2</v>
      </c>
      <c r="U20" s="775">
        <f t="shared" si="8"/>
        <v>3.625341192690066E-2</v>
      </c>
    </row>
    <row r="25" spans="2:21">
      <c r="B25" s="768" t="s">
        <v>3210</v>
      </c>
    </row>
    <row r="26" spans="2:21">
      <c r="C26" s="768">
        <v>2005</v>
      </c>
      <c r="D26" s="768">
        <v>2006</v>
      </c>
      <c r="E26" s="768">
        <v>2007</v>
      </c>
      <c r="F26" s="768">
        <v>2008</v>
      </c>
      <c r="G26" s="768">
        <v>2009</v>
      </c>
      <c r="H26" s="768">
        <v>2010</v>
      </c>
      <c r="I26" s="768">
        <v>2011</v>
      </c>
      <c r="J26" s="768">
        <v>2012</v>
      </c>
      <c r="K26" s="768">
        <v>2013</v>
      </c>
      <c r="L26" s="768">
        <v>2014</v>
      </c>
      <c r="M26" s="768">
        <v>2015</v>
      </c>
      <c r="N26" s="768">
        <v>2016</v>
      </c>
      <c r="O26" s="768">
        <v>2017</v>
      </c>
      <c r="P26" s="768">
        <v>2018</v>
      </c>
      <c r="Q26" s="768">
        <v>2019</v>
      </c>
      <c r="R26" s="768">
        <v>2020</v>
      </c>
      <c r="S26" s="768">
        <v>2021</v>
      </c>
      <c r="T26" s="768">
        <v>2022</v>
      </c>
      <c r="U26" s="768">
        <v>2023</v>
      </c>
    </row>
    <row r="27" spans="2:21">
      <c r="B27" s="777" t="s">
        <v>3211</v>
      </c>
      <c r="C27" s="778">
        <v>3.3927468454955E-2</v>
      </c>
      <c r="D27" s="778">
        <v>3.2259441007040396E-2</v>
      </c>
      <c r="E27" s="778">
        <v>2.8526724815013803E-2</v>
      </c>
      <c r="F27" s="778">
        <v>3.8391002966509997E-2</v>
      </c>
      <c r="G27" s="778">
        <v>-3.55546266299747E-3</v>
      </c>
      <c r="H27" s="778">
        <v>1.6400434423899001E-2</v>
      </c>
      <c r="I27" s="778">
        <v>3.156841568622E-2</v>
      </c>
      <c r="J27" s="778">
        <v>2.0693372652606699E-2</v>
      </c>
      <c r="K27" s="778">
        <v>1.46483265562717E-2</v>
      </c>
      <c r="L27" s="778">
        <v>1.6222229774081699E-2</v>
      </c>
      <c r="M27" s="778">
        <v>1.18627135552451E-3</v>
      </c>
      <c r="N27" s="778">
        <v>1.26158320570536E-2</v>
      </c>
      <c r="O27" s="778">
        <v>2.1301100036596101E-2</v>
      </c>
      <c r="P27" s="778">
        <v>2.4425832969281702E-2</v>
      </c>
      <c r="Q27" s="778">
        <v>1.8122100752602101E-2</v>
      </c>
      <c r="R27" s="778">
        <v>1.2335843963062899E-2</v>
      </c>
      <c r="S27" s="778">
        <v>4.6978588636374205E-2</v>
      </c>
      <c r="T27" s="778">
        <v>8.00279982052121E-2</v>
      </c>
      <c r="U27" s="778">
        <v>0</v>
      </c>
    </row>
    <row r="28" spans="2:21">
      <c r="B28" s="777" t="s">
        <v>3212</v>
      </c>
      <c r="C28" s="778">
        <v>1.1358175240448252</v>
      </c>
      <c r="D28" s="778">
        <v>1.0985466183059525</v>
      </c>
      <c r="E28" s="778">
        <v>1.0642156173783639</v>
      </c>
      <c r="F28" s="778">
        <v>1.0346990425258702</v>
      </c>
      <c r="G28" s="778">
        <v>0.99644453733700256</v>
      </c>
      <c r="H28" s="778">
        <v>1</v>
      </c>
      <c r="I28" s="778">
        <v>1.016400434423899</v>
      </c>
      <c r="J28" s="778">
        <v>1.0484865858414472</v>
      </c>
      <c r="K28" s="778">
        <v>1.0701833094835234</v>
      </c>
      <c r="L28" s="778">
        <v>1.0858597040759097</v>
      </c>
      <c r="M28" s="778">
        <v>1.1034747696978455</v>
      </c>
      <c r="N28" s="778">
        <v>1.1047837902086819</v>
      </c>
      <c r="O28" s="778">
        <v>1.1187215569653097</v>
      </c>
      <c r="P28" s="778">
        <v>1.1425515567633244</v>
      </c>
      <c r="Q28" s="778">
        <v>1.1704593302476181</v>
      </c>
      <c r="R28" s="778">
        <v>1.1916705121571884</v>
      </c>
      <c r="S28" s="778">
        <v>1.2063707736505429</v>
      </c>
      <c r="T28" s="778">
        <v>1.2630443699688163</v>
      </c>
      <c r="U28" s="778">
        <v>1.3641232825417839</v>
      </c>
    </row>
    <row r="31" spans="2:21">
      <c r="B31" s="768" t="s">
        <v>3213</v>
      </c>
      <c r="C31" s="768">
        <v>1.0550560000000001E-12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094D1-CBD0-4442-B790-41662AF5FB7D}">
  <dimension ref="A1:AI149"/>
  <sheetViews>
    <sheetView zoomScale="80" zoomScaleNormal="80" workbookViewId="0">
      <selection activeCell="C33" sqref="C33"/>
    </sheetView>
  </sheetViews>
  <sheetFormatPr defaultColWidth="34.7109375" defaultRowHeight="12.75"/>
  <cols>
    <col min="1" max="1" width="21.7109375" style="182" bestFit="1" customWidth="1"/>
    <col min="2" max="2" width="15.5703125" style="182" customWidth="1"/>
    <col min="3" max="3" width="34.7109375" style="182" customWidth="1"/>
    <col min="4" max="4" width="7.28515625" style="182" customWidth="1"/>
    <col min="5" max="5" width="13.28515625" style="182" customWidth="1"/>
    <col min="6" max="6" width="11.28515625" style="182" customWidth="1"/>
    <col min="7" max="7" width="9.42578125" style="275" customWidth="1"/>
    <col min="8" max="8" width="6.5703125" style="275" customWidth="1"/>
    <col min="9" max="9" width="9" style="275" customWidth="1"/>
    <col min="10" max="10" width="10.5703125" style="430" customWidth="1"/>
    <col min="11" max="11" width="5.28515625" style="275" customWidth="1"/>
    <col min="12" max="12" width="7.7109375" style="275" customWidth="1"/>
    <col min="13" max="13" width="5" style="275" bestFit="1" customWidth="1"/>
    <col min="14" max="14" width="5.42578125" style="275" customWidth="1"/>
    <col min="15" max="15" width="10.5703125" style="275" customWidth="1"/>
    <col min="16" max="16" width="12.28515625" style="182" customWidth="1"/>
    <col min="17" max="17" width="9.7109375" style="439" customWidth="1"/>
    <col min="18" max="18" width="14.7109375" style="275" customWidth="1"/>
    <col min="19" max="21" width="9.5703125" style="275" customWidth="1"/>
    <col min="22" max="26" width="9.5703125" style="440" customWidth="1"/>
    <col min="27" max="31" width="9.5703125" style="585" customWidth="1"/>
    <col min="32" max="35" width="6.28515625" style="275" customWidth="1"/>
    <col min="36" max="16384" width="34.7109375" style="182"/>
  </cols>
  <sheetData>
    <row r="1" spans="1:35" ht="40.5" customHeight="1">
      <c r="A1" s="280"/>
      <c r="B1" s="280" t="s">
        <v>330</v>
      </c>
      <c r="C1" s="182" t="s">
        <v>331</v>
      </c>
      <c r="D1" s="182" t="s">
        <v>332</v>
      </c>
      <c r="E1" s="182" t="s">
        <v>333</v>
      </c>
      <c r="F1" s="182" t="s">
        <v>334</v>
      </c>
      <c r="G1" s="275" t="s">
        <v>475</v>
      </c>
      <c r="H1" s="275" t="s">
        <v>476</v>
      </c>
      <c r="I1" s="275" t="s">
        <v>478</v>
      </c>
      <c r="J1" s="430" t="s">
        <v>479</v>
      </c>
      <c r="K1" s="275" t="s">
        <v>480</v>
      </c>
      <c r="L1" s="275" t="s">
        <v>481</v>
      </c>
      <c r="M1" s="275" t="s">
        <v>482</v>
      </c>
      <c r="N1" s="275" t="s">
        <v>483</v>
      </c>
      <c r="O1" s="275" t="s">
        <v>484</v>
      </c>
      <c r="P1" s="431" t="s">
        <v>2477</v>
      </c>
      <c r="Q1" s="432" t="s">
        <v>2478</v>
      </c>
      <c r="R1" s="433" t="s">
        <v>479</v>
      </c>
      <c r="S1" s="584"/>
      <c r="T1" s="589" t="s">
        <v>2631</v>
      </c>
      <c r="U1" s="589" t="s">
        <v>2632</v>
      </c>
      <c r="V1" s="803" t="s">
        <v>485</v>
      </c>
      <c r="W1" s="803"/>
      <c r="X1" s="803"/>
      <c r="Y1" s="803"/>
      <c r="Z1" s="803"/>
      <c r="AA1" s="804" t="s">
        <v>487</v>
      </c>
      <c r="AB1" s="804"/>
      <c r="AC1" s="804"/>
      <c r="AD1" s="804"/>
      <c r="AE1" s="804"/>
      <c r="AF1" s="581"/>
      <c r="AG1" s="581"/>
      <c r="AH1" s="581"/>
      <c r="AI1" s="433"/>
    </row>
    <row r="2" spans="1:35">
      <c r="A2" s="280" t="s">
        <v>385</v>
      </c>
      <c r="B2" s="280"/>
      <c r="C2" s="280"/>
      <c r="D2" s="280"/>
      <c r="E2" s="280"/>
      <c r="F2" s="280"/>
      <c r="G2" s="435"/>
      <c r="H2" s="435"/>
      <c r="I2" s="435"/>
      <c r="J2" s="436"/>
      <c r="K2" s="435"/>
      <c r="L2" s="435"/>
      <c r="M2" s="435"/>
      <c r="N2" s="435"/>
      <c r="O2" s="435"/>
      <c r="P2" s="437"/>
      <c r="Q2" s="438"/>
      <c r="R2" s="435"/>
      <c r="S2" s="477"/>
      <c r="T2" s="477"/>
      <c r="U2" s="477"/>
      <c r="V2" s="477" t="s">
        <v>2576</v>
      </c>
      <c r="W2" s="477" t="s">
        <v>2481</v>
      </c>
      <c r="X2" s="477" t="s">
        <v>2482</v>
      </c>
      <c r="Y2" s="477" t="s">
        <v>2483</v>
      </c>
      <c r="Z2" s="477" t="s">
        <v>2484</v>
      </c>
      <c r="AA2" s="477" t="s">
        <v>2576</v>
      </c>
      <c r="AB2" s="477" t="s">
        <v>2481</v>
      </c>
      <c r="AC2" s="477" t="s">
        <v>2482</v>
      </c>
      <c r="AD2" s="477" t="s">
        <v>2483</v>
      </c>
      <c r="AE2" s="477" t="s">
        <v>2484</v>
      </c>
    </row>
    <row r="3" spans="1:35" s="33" customFormat="1">
      <c r="A3" s="577"/>
      <c r="B3" s="577"/>
      <c r="C3" s="577"/>
      <c r="D3" s="577"/>
      <c r="E3" s="577"/>
      <c r="F3" s="577"/>
      <c r="G3" s="578"/>
      <c r="H3" s="578"/>
      <c r="I3" s="578"/>
      <c r="J3" s="590"/>
      <c r="K3" s="578"/>
      <c r="L3" s="578"/>
      <c r="M3" s="578"/>
      <c r="N3" s="578"/>
      <c r="O3" s="578"/>
      <c r="P3" s="591"/>
      <c r="Q3" s="592"/>
      <c r="R3" s="578"/>
      <c r="S3" s="477"/>
      <c r="T3" s="477"/>
      <c r="U3" s="578">
        <f>SUM(U5:U52)</f>
        <v>146.11397861313054</v>
      </c>
      <c r="V3" s="578"/>
      <c r="W3" s="578"/>
      <c r="X3" s="578"/>
      <c r="Y3" s="578"/>
      <c r="Z3" s="578"/>
      <c r="AA3" s="578">
        <f>ResDemand!E19</f>
        <v>45.222792956592869</v>
      </c>
      <c r="AB3" s="578">
        <f>ResDemand!E20</f>
        <v>26.278628573319622</v>
      </c>
      <c r="AC3" s="578">
        <f>ResDemand!E21</f>
        <v>43.385375911699349</v>
      </c>
      <c r="AD3" s="578">
        <f>ResDemand!E22</f>
        <v>8.5055488451713028</v>
      </c>
      <c r="AE3" s="578">
        <f>ResDemand!E23</f>
        <v>22.721632326347429</v>
      </c>
      <c r="AF3" s="594">
        <f>SUM(AA3:AE3)-U3</f>
        <v>0</v>
      </c>
      <c r="AG3" s="593"/>
      <c r="AH3" s="593"/>
      <c r="AI3" s="593"/>
    </row>
    <row r="4" spans="1:35">
      <c r="A4" s="586" t="s">
        <v>346</v>
      </c>
      <c r="B4" s="445"/>
      <c r="C4" s="445"/>
      <c r="D4" s="445"/>
      <c r="E4" s="445"/>
      <c r="F4" s="445"/>
      <c r="G4" s="446"/>
      <c r="H4" s="446"/>
      <c r="I4" s="446"/>
      <c r="J4" s="447"/>
      <c r="K4" s="446"/>
      <c r="L4" s="446"/>
      <c r="M4" s="446">
        <f>M6</f>
        <v>0.16</v>
      </c>
      <c r="N4" s="446"/>
      <c r="O4" s="446"/>
      <c r="P4" s="583">
        <f>SUM(P5:P21)</f>
        <v>165.69629774871078</v>
      </c>
      <c r="Q4" s="587" t="str">
        <f>A4</f>
        <v>ELC</v>
      </c>
      <c r="R4" s="446"/>
      <c r="S4" s="446"/>
      <c r="T4" s="446">
        <f>'2010 Fuel Share'!C72</f>
        <v>3.0120829717011546</v>
      </c>
      <c r="U4" s="446"/>
      <c r="V4" s="446"/>
      <c r="W4" s="446"/>
      <c r="X4" s="446"/>
      <c r="Y4" s="446"/>
      <c r="Z4" s="446"/>
      <c r="AA4" s="446">
        <f>SUM(AA6:AA52)</f>
        <v>45.222792956592876</v>
      </c>
      <c r="AB4" s="446">
        <f t="shared" ref="AB4:AE4" si="0">SUM(AB6:AB52)</f>
        <v>26.278628573319622</v>
      </c>
      <c r="AC4" s="446">
        <f t="shared" si="0"/>
        <v>43.385375911699349</v>
      </c>
      <c r="AD4" s="446">
        <f t="shared" si="0"/>
        <v>8.5055488451713028</v>
      </c>
      <c r="AE4" s="446">
        <f t="shared" si="0"/>
        <v>22.721632326347429</v>
      </c>
      <c r="AF4" s="182"/>
      <c r="AG4" s="182"/>
      <c r="AH4" s="182"/>
    </row>
    <row r="5" spans="1:35">
      <c r="A5" s="182" t="s">
        <v>386</v>
      </c>
      <c r="P5" s="275"/>
    </row>
    <row r="6" spans="1:35">
      <c r="A6" s="182" t="s">
        <v>2479</v>
      </c>
      <c r="B6" s="182" t="s">
        <v>793</v>
      </c>
      <c r="C6" s="182" t="s">
        <v>321</v>
      </c>
      <c r="D6" s="182" t="s">
        <v>348</v>
      </c>
      <c r="E6" s="182" t="s">
        <v>349</v>
      </c>
      <c r="F6" s="182" t="s">
        <v>364</v>
      </c>
      <c r="G6" s="275" t="s">
        <v>488</v>
      </c>
      <c r="H6" s="275">
        <v>20</v>
      </c>
      <c r="J6" s="430">
        <v>1</v>
      </c>
      <c r="K6" s="275">
        <v>1</v>
      </c>
      <c r="L6" s="275">
        <v>1</v>
      </c>
      <c r="M6" s="275">
        <v>0.16</v>
      </c>
      <c r="O6" s="275">
        <v>0.18</v>
      </c>
      <c r="R6" s="275">
        <f>J6</f>
        <v>1</v>
      </c>
    </row>
    <row r="7" spans="1:35">
      <c r="A7" s="182" t="s">
        <v>2479</v>
      </c>
      <c r="B7" s="182" t="s">
        <v>6</v>
      </c>
      <c r="C7" s="182" t="s">
        <v>7</v>
      </c>
      <c r="D7" s="182" t="s">
        <v>348</v>
      </c>
      <c r="E7" s="182" t="s">
        <v>349</v>
      </c>
      <c r="F7" s="182" t="s">
        <v>364</v>
      </c>
      <c r="G7" s="275" t="s">
        <v>489</v>
      </c>
      <c r="H7" s="275">
        <v>20</v>
      </c>
      <c r="I7" s="275">
        <v>3.7369871363896365</v>
      </c>
      <c r="J7" s="430">
        <v>1</v>
      </c>
      <c r="K7" s="275">
        <v>1</v>
      </c>
      <c r="L7" s="275">
        <v>1</v>
      </c>
      <c r="M7" s="275">
        <v>0.16</v>
      </c>
      <c r="O7" s="275">
        <v>0.18</v>
      </c>
      <c r="P7" s="275">
        <f>'RECS RESID'!W9</f>
        <v>135.05004379910972</v>
      </c>
      <c r="Q7" s="439">
        <f>P7/$P$4</f>
        <v>0.8150456324855363</v>
      </c>
      <c r="R7" s="275">
        <f>J7</f>
        <v>1</v>
      </c>
      <c r="T7" s="275">
        <f t="shared" ref="T7" si="1">T4*$Q$7*$R$7/$M$7</f>
        <v>15.343656692306759</v>
      </c>
      <c r="U7" s="275">
        <f>T7*$M$7</f>
        <v>2.4549850707690815</v>
      </c>
      <c r="V7" s="440">
        <f>$T7*AA$3/$U$3</f>
        <v>4.7489159927021065</v>
      </c>
      <c r="W7" s="440">
        <f>$T7*AB$3/$U$3</f>
        <v>2.7595597560261402</v>
      </c>
      <c r="X7" s="440">
        <f>$T7*AC$3/$U$3</f>
        <v>4.5559659642035637</v>
      </c>
      <c r="Y7" s="440">
        <f>$T7*AD$3/$U$3</f>
        <v>0.89318094475751086</v>
      </c>
      <c r="Z7" s="440">
        <f>$T7*AE$3/$U$3</f>
        <v>2.3860340346174409</v>
      </c>
      <c r="AA7" s="585">
        <f>$U7*AA3/$U$3</f>
        <v>0.75982655883233696</v>
      </c>
      <c r="AB7" s="585">
        <f>$U7*AB3/$U$3</f>
        <v>0.4415295609641825</v>
      </c>
      <c r="AC7" s="585">
        <f>$U7*AC3/$U$3</f>
        <v>0.72895455427257017</v>
      </c>
      <c r="AD7" s="585">
        <f>$U7*AD3/$U$3</f>
        <v>0.14290895116120175</v>
      </c>
      <c r="AE7" s="585">
        <f>$U7*AE3/$U$3</f>
        <v>0.38176544553879049</v>
      </c>
    </row>
    <row r="8" spans="1:35">
      <c r="A8" s="182" t="s">
        <v>388</v>
      </c>
      <c r="P8" s="275"/>
    </row>
    <row r="9" spans="1:35">
      <c r="A9" s="182" t="s">
        <v>2479</v>
      </c>
      <c r="B9" s="182" t="s">
        <v>434</v>
      </c>
      <c r="C9" s="182" t="s">
        <v>1</v>
      </c>
      <c r="D9" s="182" t="s">
        <v>348</v>
      </c>
      <c r="E9" s="182" t="s">
        <v>349</v>
      </c>
      <c r="F9" s="182" t="s">
        <v>364</v>
      </c>
      <c r="G9" s="275" t="s">
        <v>488</v>
      </c>
      <c r="H9" s="275">
        <v>15</v>
      </c>
      <c r="J9" s="430">
        <v>2.2657000026278018</v>
      </c>
      <c r="K9" s="275">
        <v>1</v>
      </c>
      <c r="L9" s="275">
        <v>1</v>
      </c>
      <c r="M9" s="275">
        <v>0.16</v>
      </c>
      <c r="O9" s="275">
        <v>0.18</v>
      </c>
      <c r="R9" s="275">
        <f t="shared" ref="R9:R21" si="2">J9</f>
        <v>2.2657000026278018</v>
      </c>
    </row>
    <row r="10" spans="1:35">
      <c r="A10" s="182" t="s">
        <v>2479</v>
      </c>
      <c r="B10" s="182" t="s">
        <v>436</v>
      </c>
      <c r="C10" s="182" t="s">
        <v>779</v>
      </c>
      <c r="D10" s="182" t="s">
        <v>348</v>
      </c>
      <c r="E10" s="182" t="s">
        <v>349</v>
      </c>
      <c r="F10" s="182" t="s">
        <v>364</v>
      </c>
      <c r="G10" s="275" t="s">
        <v>489</v>
      </c>
      <c r="H10" s="275">
        <v>15</v>
      </c>
      <c r="I10" s="275">
        <v>6.5561177831397135</v>
      </c>
      <c r="J10" s="430">
        <v>2.2599999999999998</v>
      </c>
      <c r="K10" s="275">
        <v>1</v>
      </c>
      <c r="L10" s="275">
        <v>1</v>
      </c>
      <c r="M10" s="275">
        <v>0.16</v>
      </c>
      <c r="O10" s="275">
        <v>0.18</v>
      </c>
      <c r="P10" s="275">
        <f>'RECS RESID'!W10</f>
        <v>30.646253949601071</v>
      </c>
      <c r="Q10" s="439">
        <f>P10/$P$4</f>
        <v>0.18495436751446379</v>
      </c>
      <c r="R10" s="275">
        <f t="shared" si="2"/>
        <v>2.2599999999999998</v>
      </c>
      <c r="T10" s="275">
        <f t="shared" ref="T10" si="3">T4*$Q$10*$R$10/$M$10</f>
        <v>7.8690078506655379</v>
      </c>
      <c r="U10" s="275">
        <f>T10*$M$10</f>
        <v>1.2590412561064861</v>
      </c>
      <c r="V10" s="440">
        <f>$T10*AA$3/$U$3</f>
        <v>2.4354857501120173</v>
      </c>
      <c r="W10" s="440">
        <f>$T10*AB$3/$U$3</f>
        <v>1.4152426517362175</v>
      </c>
      <c r="X10" s="440">
        <f>$T10*AC$3/$U$3</f>
        <v>2.3365311580295147</v>
      </c>
      <c r="Y10" s="440">
        <f>$T10*AD$3/$U$3</f>
        <v>0.45806863430969152</v>
      </c>
      <c r="Z10" s="440">
        <f>$T10*AE$3/$U$3</f>
        <v>1.2236796564780985</v>
      </c>
      <c r="AA10" s="585">
        <f>$U10*AA$3/$U$3</f>
        <v>0.38967772001792278</v>
      </c>
      <c r="AB10" s="585">
        <f>$U10*AB3/$U$3</f>
        <v>0.2264388242777948</v>
      </c>
      <c r="AC10" s="585">
        <f>$U10*AC3/$U$3</f>
        <v>0.37384498528472238</v>
      </c>
      <c r="AD10" s="585">
        <f>$U10*AD3/$U$3</f>
        <v>7.3290981489550641E-2</v>
      </c>
      <c r="AE10" s="585">
        <f>$U10*AE3/$U$3</f>
        <v>0.19578874503649574</v>
      </c>
    </row>
    <row r="11" spans="1:35">
      <c r="A11" s="182" t="s">
        <v>2479</v>
      </c>
      <c r="B11" s="182" t="s">
        <v>438</v>
      </c>
      <c r="C11" s="182" t="s">
        <v>0</v>
      </c>
      <c r="D11" s="182" t="s">
        <v>348</v>
      </c>
      <c r="E11" s="182" t="s">
        <v>349</v>
      </c>
      <c r="F11" s="182" t="s">
        <v>364</v>
      </c>
      <c r="G11" s="275" t="s">
        <v>490</v>
      </c>
      <c r="H11" s="275">
        <v>15</v>
      </c>
      <c r="I11" s="275">
        <v>6.7609964638628277</v>
      </c>
      <c r="J11" s="430">
        <v>2.4</v>
      </c>
      <c r="K11" s="275">
        <v>1</v>
      </c>
      <c r="L11" s="275">
        <v>1</v>
      </c>
      <c r="M11" s="275">
        <v>0.16</v>
      </c>
      <c r="O11" s="275">
        <v>0.18</v>
      </c>
      <c r="P11" s="275"/>
      <c r="R11" s="275">
        <f t="shared" si="2"/>
        <v>2.4</v>
      </c>
    </row>
    <row r="12" spans="1:35">
      <c r="A12" s="182" t="s">
        <v>2479</v>
      </c>
      <c r="B12" s="182" t="s">
        <v>440</v>
      </c>
      <c r="C12" s="182" t="s">
        <v>124</v>
      </c>
      <c r="D12" s="182" t="s">
        <v>348</v>
      </c>
      <c r="E12" s="182" t="s">
        <v>349</v>
      </c>
      <c r="F12" s="182" t="s">
        <v>364</v>
      </c>
      <c r="G12" s="275" t="s">
        <v>489</v>
      </c>
      <c r="H12" s="275">
        <v>15</v>
      </c>
      <c r="I12" s="275">
        <v>8.8097832710939876</v>
      </c>
      <c r="J12" s="430">
        <v>2.4</v>
      </c>
      <c r="K12" s="275">
        <v>1</v>
      </c>
      <c r="L12" s="275">
        <v>1</v>
      </c>
      <c r="M12" s="275">
        <v>0.16</v>
      </c>
      <c r="O12" s="275">
        <v>0.18</v>
      </c>
      <c r="P12" s="275"/>
      <c r="R12" s="275">
        <f t="shared" si="2"/>
        <v>2.4</v>
      </c>
    </row>
    <row r="13" spans="1:35">
      <c r="A13" s="182" t="s">
        <v>2479</v>
      </c>
      <c r="B13" s="182" t="s">
        <v>442</v>
      </c>
      <c r="C13" s="182" t="s">
        <v>2</v>
      </c>
      <c r="D13" s="182" t="s">
        <v>348</v>
      </c>
      <c r="E13" s="182" t="s">
        <v>349</v>
      </c>
      <c r="F13" s="182" t="s">
        <v>364</v>
      </c>
      <c r="G13" s="275" t="s">
        <v>490</v>
      </c>
      <c r="H13" s="275">
        <v>15</v>
      </c>
      <c r="I13" s="275">
        <v>9.356126419688966</v>
      </c>
      <c r="J13" s="430">
        <v>2.58</v>
      </c>
      <c r="K13" s="275">
        <v>1</v>
      </c>
      <c r="L13" s="275">
        <v>1</v>
      </c>
      <c r="M13" s="275">
        <v>0.16</v>
      </c>
      <c r="O13" s="275">
        <v>0.18</v>
      </c>
      <c r="P13" s="275"/>
      <c r="R13" s="275">
        <f t="shared" si="2"/>
        <v>2.58</v>
      </c>
    </row>
    <row r="14" spans="1:35">
      <c r="A14" s="182" t="s">
        <v>2479</v>
      </c>
      <c r="B14" s="182" t="s">
        <v>444</v>
      </c>
      <c r="C14" s="182" t="s">
        <v>315</v>
      </c>
      <c r="D14" s="182" t="s">
        <v>348</v>
      </c>
      <c r="E14" s="182" t="s">
        <v>349</v>
      </c>
      <c r="F14" s="182" t="s">
        <v>364</v>
      </c>
      <c r="G14" s="275" t="s">
        <v>489</v>
      </c>
      <c r="H14" s="275">
        <v>15</v>
      </c>
      <c r="I14" s="275">
        <v>9.7658837811351979</v>
      </c>
      <c r="J14" s="430">
        <v>2.4900000000000002</v>
      </c>
      <c r="K14" s="275">
        <v>1</v>
      </c>
      <c r="L14" s="275">
        <v>1</v>
      </c>
      <c r="M14" s="275">
        <v>0.16</v>
      </c>
      <c r="O14" s="275">
        <v>0.18</v>
      </c>
      <c r="P14" s="275"/>
      <c r="R14" s="275">
        <f t="shared" si="2"/>
        <v>2.4900000000000002</v>
      </c>
    </row>
    <row r="15" spans="1:35">
      <c r="A15" s="182" t="s">
        <v>2479</v>
      </c>
      <c r="B15" s="182" t="s">
        <v>446</v>
      </c>
      <c r="C15" s="182" t="s">
        <v>777</v>
      </c>
      <c r="D15" s="182" t="s">
        <v>348</v>
      </c>
      <c r="E15" s="182" t="s">
        <v>349</v>
      </c>
      <c r="F15" s="182" t="s">
        <v>364</v>
      </c>
      <c r="G15" s="275" t="s">
        <v>490</v>
      </c>
      <c r="H15" s="275">
        <v>15</v>
      </c>
      <c r="I15" s="275">
        <v>9.7658837811351979</v>
      </c>
      <c r="J15" s="430">
        <v>2.4900000000000002</v>
      </c>
      <c r="K15" s="275">
        <v>1</v>
      </c>
      <c r="L15" s="275">
        <v>1</v>
      </c>
      <c r="M15" s="275">
        <v>0.16</v>
      </c>
      <c r="O15" s="275">
        <v>0.18</v>
      </c>
      <c r="P15" s="275"/>
      <c r="R15" s="275">
        <f t="shared" si="2"/>
        <v>2.4900000000000002</v>
      </c>
    </row>
    <row r="16" spans="1:35">
      <c r="A16" s="182" t="s">
        <v>2479</v>
      </c>
      <c r="B16" s="182" t="s">
        <v>1190</v>
      </c>
      <c r="C16" s="182" t="s">
        <v>1191</v>
      </c>
      <c r="D16" s="182" t="s">
        <v>348</v>
      </c>
      <c r="E16" s="182" t="s">
        <v>349</v>
      </c>
      <c r="F16" s="182" t="s">
        <v>364</v>
      </c>
      <c r="G16" s="275" t="s">
        <v>847</v>
      </c>
      <c r="H16" s="275">
        <v>15</v>
      </c>
      <c r="I16" s="275">
        <v>10.2439340361558</v>
      </c>
      <c r="J16" s="430">
        <v>2.78</v>
      </c>
      <c r="K16" s="275">
        <v>1</v>
      </c>
      <c r="L16" s="275">
        <v>1</v>
      </c>
      <c r="M16" s="275">
        <v>0.16</v>
      </c>
      <c r="O16" s="275">
        <v>0.18</v>
      </c>
      <c r="P16" s="275"/>
      <c r="R16" s="275">
        <f t="shared" si="2"/>
        <v>2.78</v>
      </c>
    </row>
    <row r="17" spans="1:34">
      <c r="A17" s="182" t="s">
        <v>2479</v>
      </c>
      <c r="B17" s="182" t="s">
        <v>1192</v>
      </c>
      <c r="C17" s="182" t="s">
        <v>1193</v>
      </c>
      <c r="D17" s="182" t="s">
        <v>348</v>
      </c>
      <c r="E17" s="182" t="s">
        <v>349</v>
      </c>
      <c r="F17" s="182" t="s">
        <v>364</v>
      </c>
      <c r="G17" s="275" t="s">
        <v>2322</v>
      </c>
      <c r="H17" s="275">
        <v>15</v>
      </c>
      <c r="I17" s="275">
        <v>10.2439340361558</v>
      </c>
      <c r="J17" s="430">
        <v>2.8</v>
      </c>
      <c r="K17" s="275">
        <v>1</v>
      </c>
      <c r="L17" s="275">
        <v>1</v>
      </c>
      <c r="M17" s="275">
        <v>0.16</v>
      </c>
      <c r="O17" s="275">
        <v>0.18</v>
      </c>
      <c r="P17" s="275"/>
      <c r="R17" s="275">
        <f t="shared" si="2"/>
        <v>2.8</v>
      </c>
    </row>
    <row r="18" spans="1:34">
      <c r="A18" s="182" t="s">
        <v>2479</v>
      </c>
      <c r="B18" s="182" t="s">
        <v>448</v>
      </c>
      <c r="C18" s="182" t="s">
        <v>125</v>
      </c>
      <c r="D18" s="182" t="s">
        <v>348</v>
      </c>
      <c r="E18" s="182" t="s">
        <v>349</v>
      </c>
      <c r="F18" s="182" t="s">
        <v>364</v>
      </c>
      <c r="G18" s="275" t="s">
        <v>489</v>
      </c>
      <c r="H18" s="275">
        <v>15</v>
      </c>
      <c r="I18" s="275">
        <v>10.926862971899521</v>
      </c>
      <c r="J18" s="430">
        <v>3.14</v>
      </c>
      <c r="K18" s="275">
        <v>1</v>
      </c>
      <c r="L18" s="275">
        <v>1</v>
      </c>
      <c r="M18" s="275">
        <v>0.16</v>
      </c>
      <c r="O18" s="275">
        <v>0.18</v>
      </c>
      <c r="P18" s="275"/>
      <c r="R18" s="275">
        <f t="shared" si="2"/>
        <v>3.14</v>
      </c>
    </row>
    <row r="19" spans="1:34">
      <c r="A19" s="182" t="s">
        <v>2479</v>
      </c>
      <c r="B19" s="182" t="s">
        <v>450</v>
      </c>
      <c r="C19" s="182" t="s">
        <v>322</v>
      </c>
      <c r="D19" s="182" t="s">
        <v>348</v>
      </c>
      <c r="E19" s="182" t="s">
        <v>349</v>
      </c>
      <c r="F19" s="182" t="s">
        <v>364</v>
      </c>
      <c r="G19" s="275" t="s">
        <v>847</v>
      </c>
      <c r="H19" s="275">
        <v>15</v>
      </c>
      <c r="I19" s="275">
        <v>11.20003454619701</v>
      </c>
      <c r="J19" s="430">
        <v>3.17</v>
      </c>
      <c r="K19" s="275">
        <v>1</v>
      </c>
      <c r="L19" s="275">
        <v>1</v>
      </c>
      <c r="M19" s="275">
        <v>0.16</v>
      </c>
      <c r="O19" s="275">
        <v>0.18</v>
      </c>
      <c r="P19" s="275"/>
      <c r="R19" s="275">
        <f t="shared" si="2"/>
        <v>3.17</v>
      </c>
    </row>
    <row r="20" spans="1:34">
      <c r="A20" s="182" t="s">
        <v>2479</v>
      </c>
      <c r="B20" s="182" t="s">
        <v>452</v>
      </c>
      <c r="C20" s="182" t="s">
        <v>126</v>
      </c>
      <c r="D20" s="182" t="s">
        <v>348</v>
      </c>
      <c r="E20" s="182" t="s">
        <v>349</v>
      </c>
      <c r="F20" s="182" t="s">
        <v>364</v>
      </c>
      <c r="G20" s="275" t="s">
        <v>2322</v>
      </c>
      <c r="H20" s="275">
        <v>15</v>
      </c>
      <c r="I20" s="275">
        <v>11.268327439771381</v>
      </c>
      <c r="J20" s="430">
        <v>3.22</v>
      </c>
      <c r="K20" s="275">
        <v>1</v>
      </c>
      <c r="L20" s="275">
        <v>1</v>
      </c>
      <c r="M20" s="275">
        <v>0.16</v>
      </c>
      <c r="O20" s="275">
        <v>0.18</v>
      </c>
      <c r="P20" s="275"/>
      <c r="R20" s="275">
        <f t="shared" si="2"/>
        <v>3.22</v>
      </c>
    </row>
    <row r="21" spans="1:34">
      <c r="A21" s="182" t="s">
        <v>2479</v>
      </c>
      <c r="B21" s="182" t="s">
        <v>1003</v>
      </c>
      <c r="C21" s="182" t="s">
        <v>1004</v>
      </c>
      <c r="D21" s="182" t="s">
        <v>348</v>
      </c>
      <c r="E21" s="182" t="s">
        <v>349</v>
      </c>
      <c r="F21" s="182" t="s">
        <v>364</v>
      </c>
      <c r="G21" s="275" t="s">
        <v>2323</v>
      </c>
      <c r="H21" s="275">
        <v>15</v>
      </c>
      <c r="I21" s="275">
        <v>11.268327439771381</v>
      </c>
      <c r="J21" s="430">
        <v>3.22</v>
      </c>
      <c r="K21" s="275">
        <v>1</v>
      </c>
      <c r="L21" s="275">
        <v>1</v>
      </c>
      <c r="M21" s="275">
        <v>0.16</v>
      </c>
      <c r="O21" s="275">
        <v>0.18</v>
      </c>
      <c r="P21" s="275"/>
      <c r="R21" s="275">
        <f t="shared" si="2"/>
        <v>3.22</v>
      </c>
    </row>
    <row r="22" spans="1:34">
      <c r="A22" s="586" t="s">
        <v>2404</v>
      </c>
      <c r="B22" s="445"/>
      <c r="C22" s="445"/>
      <c r="D22" s="445"/>
      <c r="E22" s="445"/>
      <c r="F22" s="445"/>
      <c r="G22" s="446"/>
      <c r="H22" s="446"/>
      <c r="I22" s="446"/>
      <c r="J22" s="447"/>
      <c r="K22" s="446"/>
      <c r="L22" s="446"/>
      <c r="M22" s="446">
        <f>M24</f>
        <v>0.16</v>
      </c>
      <c r="N22" s="446"/>
      <c r="O22" s="446"/>
      <c r="P22" s="446">
        <f>SUM(P23:P35)</f>
        <v>2796.21016797026</v>
      </c>
      <c r="Q22" s="448" t="s">
        <v>2404</v>
      </c>
      <c r="R22" s="446"/>
      <c r="S22" s="446"/>
      <c r="T22" s="446">
        <f>'2010 Fuel Share'!C73</f>
        <v>104.43662397049182</v>
      </c>
      <c r="U22" s="446"/>
      <c r="V22" s="446"/>
      <c r="W22" s="446"/>
      <c r="X22" s="446"/>
      <c r="Y22" s="446"/>
      <c r="Z22" s="446"/>
      <c r="AA22" s="446"/>
      <c r="AB22" s="446"/>
      <c r="AC22" s="446"/>
      <c r="AD22" s="446"/>
      <c r="AE22" s="446"/>
      <c r="AF22" s="182">
        <f>(U25+U32+U39+U45)/U3</f>
        <v>0.97458130726349401</v>
      </c>
      <c r="AG22" s="182"/>
      <c r="AH22" s="182"/>
    </row>
    <row r="23" spans="1:34">
      <c r="A23" s="182" t="s">
        <v>389</v>
      </c>
      <c r="P23" s="275"/>
    </row>
    <row r="24" spans="1:34">
      <c r="A24" s="182" t="s">
        <v>2479</v>
      </c>
      <c r="B24" s="182" t="s">
        <v>792</v>
      </c>
      <c r="C24" s="182" t="s">
        <v>791</v>
      </c>
      <c r="D24" s="182" t="s">
        <v>348</v>
      </c>
      <c r="E24" s="182" t="s">
        <v>352</v>
      </c>
      <c r="F24" s="182" t="s">
        <v>364</v>
      </c>
      <c r="G24" s="275" t="s">
        <v>488</v>
      </c>
      <c r="H24" s="275">
        <v>15</v>
      </c>
      <c r="J24" s="430">
        <v>0.81440001726150502</v>
      </c>
      <c r="K24" s="275">
        <v>1</v>
      </c>
      <c r="L24" s="275">
        <v>1</v>
      </c>
      <c r="M24" s="275">
        <v>0.16</v>
      </c>
      <c r="O24" s="275">
        <v>0.18</v>
      </c>
      <c r="R24" s="275">
        <f t="shared" ref="R24:R29" si="4">J24</f>
        <v>0.81440001726150502</v>
      </c>
    </row>
    <row r="25" spans="1:34">
      <c r="A25" s="182" t="s">
        <v>2479</v>
      </c>
      <c r="B25" s="182" t="s">
        <v>1007</v>
      </c>
      <c r="C25" s="182" t="s">
        <v>1008</v>
      </c>
      <c r="D25" s="182" t="s">
        <v>348</v>
      </c>
      <c r="E25" s="182" t="s">
        <v>352</v>
      </c>
      <c r="F25" s="182" t="s">
        <v>364</v>
      </c>
      <c r="G25" s="275" t="s">
        <v>489</v>
      </c>
      <c r="H25" s="275">
        <v>15</v>
      </c>
      <c r="I25" s="275">
        <v>4.9170883373547847</v>
      </c>
      <c r="J25" s="430">
        <v>0.78</v>
      </c>
      <c r="K25" s="275">
        <v>1</v>
      </c>
      <c r="L25" s="275">
        <v>1</v>
      </c>
      <c r="M25" s="275">
        <v>0.16</v>
      </c>
      <c r="O25" s="275">
        <v>0.18</v>
      </c>
      <c r="P25" s="275">
        <f>'RECS RESID'!W11</f>
        <v>1778.6707259275938</v>
      </c>
      <c r="Q25" s="439">
        <f>P25/$P$22</f>
        <v>0.63610051429671766</v>
      </c>
      <c r="R25" s="275">
        <f t="shared" si="4"/>
        <v>0.78</v>
      </c>
      <c r="T25" s="275">
        <f t="shared" ref="T25" si="5">T22*$Q$25*$R$25/$M$25</f>
        <v>323.85692731783348</v>
      </c>
      <c r="U25" s="275">
        <f>T22*$Q$25*$R$25</f>
        <v>51.817108370853362</v>
      </c>
      <c r="V25" s="440">
        <f>$T25*AA$3/$U$3</f>
        <v>100.23486397855565</v>
      </c>
      <c r="W25" s="440">
        <f>$T25*AB$3/$U$3</f>
        <v>58.24573380768318</v>
      </c>
      <c r="X25" s="440">
        <f>$T25*AC$3/$U$3</f>
        <v>96.16228828108467</v>
      </c>
      <c r="Y25" s="440">
        <f>$T25*AD$3/$U$3</f>
        <v>18.852275054683815</v>
      </c>
      <c r="Z25" s="440">
        <f>$T25*AE$3/$U$3</f>
        <v>50.361766195826235</v>
      </c>
      <c r="AA25" s="585">
        <f>$U25*AA$3/$U$3</f>
        <v>16.037578236568905</v>
      </c>
      <c r="AB25" s="585">
        <f>$U25*AB$3/$U$3</f>
        <v>9.3193174092293098</v>
      </c>
      <c r="AC25" s="585">
        <f>$U25*AC$3/$U$3</f>
        <v>15.38596612497355</v>
      </c>
      <c r="AD25" s="585">
        <f>$U25*AD$3/$U$3</f>
        <v>3.0163640087494104</v>
      </c>
      <c r="AE25" s="585">
        <f>$U25*AE$3/$U$3</f>
        <v>8.0578825913321985</v>
      </c>
    </row>
    <row r="26" spans="1:34">
      <c r="A26" s="182" t="s">
        <v>2479</v>
      </c>
      <c r="B26" s="182" t="s">
        <v>780</v>
      </c>
      <c r="C26" s="182" t="s">
        <v>781</v>
      </c>
      <c r="D26" s="182" t="s">
        <v>348</v>
      </c>
      <c r="E26" s="182" t="s">
        <v>352</v>
      </c>
      <c r="F26" s="182" t="s">
        <v>364</v>
      </c>
      <c r="G26" s="275" t="s">
        <v>489</v>
      </c>
      <c r="H26" s="275">
        <v>15</v>
      </c>
      <c r="I26" s="275">
        <v>4.9170883373547847</v>
      </c>
      <c r="J26" s="430">
        <v>0.8</v>
      </c>
      <c r="K26" s="275">
        <v>1</v>
      </c>
      <c r="L26" s="275">
        <v>1</v>
      </c>
      <c r="M26" s="275">
        <v>0.16</v>
      </c>
      <c r="O26" s="275">
        <v>0.18</v>
      </c>
      <c r="P26" s="275"/>
      <c r="R26" s="275">
        <f t="shared" si="4"/>
        <v>0.8</v>
      </c>
    </row>
    <row r="27" spans="1:34">
      <c r="A27" s="182" t="s">
        <v>2479</v>
      </c>
      <c r="B27" s="182" t="s">
        <v>782</v>
      </c>
      <c r="C27" s="182" t="s">
        <v>783</v>
      </c>
      <c r="D27" s="182" t="s">
        <v>348</v>
      </c>
      <c r="E27" s="182" t="s">
        <v>352</v>
      </c>
      <c r="F27" s="182" t="s">
        <v>364</v>
      </c>
      <c r="G27" s="275" t="s">
        <v>489</v>
      </c>
      <c r="H27" s="275">
        <v>20</v>
      </c>
      <c r="I27" s="275">
        <v>5.4087971710902627</v>
      </c>
      <c r="J27" s="430">
        <v>0.9</v>
      </c>
      <c r="K27" s="275">
        <v>1</v>
      </c>
      <c r="L27" s="275">
        <v>1</v>
      </c>
      <c r="M27" s="275">
        <v>0.16</v>
      </c>
      <c r="O27" s="275">
        <v>0.18</v>
      </c>
      <c r="P27" s="275"/>
      <c r="R27" s="275">
        <f t="shared" si="4"/>
        <v>0.9</v>
      </c>
    </row>
    <row r="28" spans="1:34">
      <c r="A28" s="182" t="s">
        <v>2479</v>
      </c>
      <c r="B28" s="182" t="s">
        <v>771</v>
      </c>
      <c r="C28" s="182" t="s">
        <v>772</v>
      </c>
      <c r="D28" s="182" t="s">
        <v>348</v>
      </c>
      <c r="E28" s="182" t="s">
        <v>352</v>
      </c>
      <c r="F28" s="182" t="s">
        <v>364</v>
      </c>
      <c r="G28" s="275" t="s">
        <v>489</v>
      </c>
      <c r="H28" s="275">
        <v>20</v>
      </c>
      <c r="I28" s="275">
        <v>6.2938730718141249</v>
      </c>
      <c r="J28" s="430">
        <v>0.95</v>
      </c>
      <c r="K28" s="275">
        <v>1</v>
      </c>
      <c r="L28" s="275">
        <v>1</v>
      </c>
      <c r="M28" s="275">
        <v>0.16</v>
      </c>
      <c r="O28" s="275">
        <v>0.18</v>
      </c>
      <c r="P28" s="275"/>
      <c r="R28" s="275">
        <f t="shared" si="4"/>
        <v>0.95</v>
      </c>
    </row>
    <row r="29" spans="1:34">
      <c r="A29" s="182" t="s">
        <v>2479</v>
      </c>
      <c r="B29" s="182" t="s">
        <v>127</v>
      </c>
      <c r="C29" s="182" t="s">
        <v>128</v>
      </c>
      <c r="D29" s="182" t="s">
        <v>348</v>
      </c>
      <c r="E29" s="182" t="s">
        <v>352</v>
      </c>
      <c r="F29" s="182" t="s">
        <v>364</v>
      </c>
      <c r="G29" s="275" t="s">
        <v>489</v>
      </c>
      <c r="H29" s="275">
        <v>20</v>
      </c>
      <c r="I29" s="275">
        <v>7.3756325060321766</v>
      </c>
      <c r="J29" s="430">
        <v>0.98</v>
      </c>
      <c r="K29" s="275">
        <v>1</v>
      </c>
      <c r="L29" s="275">
        <v>1</v>
      </c>
      <c r="M29" s="275">
        <v>0.16</v>
      </c>
      <c r="O29" s="275">
        <v>0.18</v>
      </c>
      <c r="P29" s="275"/>
      <c r="R29" s="275">
        <f t="shared" si="4"/>
        <v>0.98</v>
      </c>
    </row>
    <row r="30" spans="1:34">
      <c r="A30" s="182" t="s">
        <v>391</v>
      </c>
      <c r="P30" s="275"/>
    </row>
    <row r="31" spans="1:34">
      <c r="A31" s="182" t="s">
        <v>2479</v>
      </c>
      <c r="B31" s="182" t="s">
        <v>784</v>
      </c>
      <c r="C31" s="182" t="s">
        <v>789</v>
      </c>
      <c r="D31" s="182" t="s">
        <v>348</v>
      </c>
      <c r="E31" s="182" t="s">
        <v>352</v>
      </c>
      <c r="F31" s="182" t="s">
        <v>364</v>
      </c>
      <c r="G31" s="275" t="s">
        <v>488</v>
      </c>
      <c r="H31" s="275">
        <v>20</v>
      </c>
      <c r="J31" s="430">
        <v>0.8</v>
      </c>
      <c r="K31" s="275">
        <v>1</v>
      </c>
      <c r="L31" s="275">
        <v>1</v>
      </c>
      <c r="M31" s="275">
        <v>0.16</v>
      </c>
      <c r="O31" s="275">
        <v>0.18</v>
      </c>
      <c r="R31" s="275">
        <f t="shared" ref="R31:R35" si="6">J31</f>
        <v>0.8</v>
      </c>
    </row>
    <row r="32" spans="1:34">
      <c r="A32" s="182" t="s">
        <v>2479</v>
      </c>
      <c r="B32" s="182" t="s">
        <v>785</v>
      </c>
      <c r="C32" s="182" t="s">
        <v>790</v>
      </c>
      <c r="D32" s="182" t="s">
        <v>348</v>
      </c>
      <c r="E32" s="182" t="s">
        <v>352</v>
      </c>
      <c r="F32" s="182" t="s">
        <v>364</v>
      </c>
      <c r="G32" s="275" t="s">
        <v>489</v>
      </c>
      <c r="H32" s="275">
        <v>20</v>
      </c>
      <c r="I32" s="275">
        <v>6.4905566053083152</v>
      </c>
      <c r="J32" s="430">
        <v>0.8</v>
      </c>
      <c r="K32" s="275">
        <v>1</v>
      </c>
      <c r="L32" s="275">
        <v>1</v>
      </c>
      <c r="M32" s="275">
        <v>0.16</v>
      </c>
      <c r="O32" s="275">
        <v>0.18</v>
      </c>
      <c r="P32" s="275">
        <f>'RECS RESID'!W12</f>
        <v>1017.5394420426663</v>
      </c>
      <c r="Q32" s="439">
        <f>P32/$P$22</f>
        <v>0.36389948570328234</v>
      </c>
      <c r="R32" s="275">
        <f t="shared" si="6"/>
        <v>0.8</v>
      </c>
      <c r="T32" s="275">
        <f t="shared" ref="T32" si="7">T22*$Q$32*$R$32/$M$32</f>
        <v>190.02216875724534</v>
      </c>
      <c r="U32" s="275">
        <f>T22*$Q$32*$R$32</f>
        <v>30.403547001159254</v>
      </c>
      <c r="V32" s="440">
        <f>$T32*AA$3/$U$3</f>
        <v>58.812533040554797</v>
      </c>
      <c r="W32" s="440">
        <f>$T32*AB$3/$U$3</f>
        <v>34.175525441612798</v>
      </c>
      <c r="X32" s="440">
        <f>$T32*AC$3/$U$3</f>
        <v>56.422960358349968</v>
      </c>
      <c r="Y32" s="440">
        <f>$T32*AD$3/$U$3</f>
        <v>11.061520967199852</v>
      </c>
      <c r="Z32" s="440">
        <f>$T32*AE$3/$U$3</f>
        <v>29.54962894952796</v>
      </c>
      <c r="AA32" s="585">
        <f>$U32*AA$3/$U$3</f>
        <v>9.4100052864887669</v>
      </c>
      <c r="AB32" s="585">
        <f>$U32*AB$3/$U$3</f>
        <v>5.4680840706580467</v>
      </c>
      <c r="AC32" s="585">
        <f>$U32*AC$3/$U$3</f>
        <v>9.0276736573359955</v>
      </c>
      <c r="AD32" s="585">
        <f>$U32*AD$3/$U$3</f>
        <v>1.7698433547519767</v>
      </c>
      <c r="AE32" s="585">
        <f>$U32*AE$3/$U$3</f>
        <v>4.7279406319244739</v>
      </c>
    </row>
    <row r="33" spans="1:34">
      <c r="A33" s="182" t="s">
        <v>2479</v>
      </c>
      <c r="B33" s="182" t="s">
        <v>1009</v>
      </c>
      <c r="C33" s="182" t="s">
        <v>1010</v>
      </c>
      <c r="D33" s="182" t="s">
        <v>348</v>
      </c>
      <c r="E33" s="182" t="s">
        <v>352</v>
      </c>
      <c r="F33" s="182" t="s">
        <v>364</v>
      </c>
      <c r="G33" s="275" t="s">
        <v>490</v>
      </c>
      <c r="H33" s="275">
        <v>20</v>
      </c>
      <c r="I33" s="275">
        <v>6.8839236722966968</v>
      </c>
      <c r="J33" s="430">
        <v>0.82</v>
      </c>
      <c r="K33" s="275">
        <v>1</v>
      </c>
      <c r="L33" s="275">
        <v>1</v>
      </c>
      <c r="M33" s="275">
        <v>0.16</v>
      </c>
      <c r="O33" s="275">
        <v>0.18</v>
      </c>
      <c r="P33" s="275"/>
      <c r="R33" s="275">
        <f t="shared" si="6"/>
        <v>0.82</v>
      </c>
    </row>
    <row r="34" spans="1:34">
      <c r="A34" s="182" t="s">
        <v>2479</v>
      </c>
      <c r="B34" s="182" t="s">
        <v>786</v>
      </c>
      <c r="C34" s="182" t="s">
        <v>787</v>
      </c>
      <c r="D34" s="182" t="s">
        <v>348</v>
      </c>
      <c r="E34" s="182" t="s">
        <v>352</v>
      </c>
      <c r="F34" s="182" t="s">
        <v>364</v>
      </c>
      <c r="G34" s="275" t="s">
        <v>489</v>
      </c>
      <c r="H34" s="275">
        <v>20</v>
      </c>
      <c r="I34" s="275">
        <v>8.3590501735031335</v>
      </c>
      <c r="J34" s="430">
        <v>0.85</v>
      </c>
      <c r="K34" s="275">
        <v>1</v>
      </c>
      <c r="L34" s="275">
        <v>1</v>
      </c>
      <c r="M34" s="275">
        <v>0.16</v>
      </c>
      <c r="O34" s="275">
        <v>0.18</v>
      </c>
      <c r="P34" s="275"/>
      <c r="R34" s="275">
        <f t="shared" si="6"/>
        <v>0.85</v>
      </c>
    </row>
    <row r="35" spans="1:34">
      <c r="A35" s="182" t="s">
        <v>2479</v>
      </c>
      <c r="B35" s="182" t="s">
        <v>129</v>
      </c>
      <c r="C35" s="182" t="s">
        <v>130</v>
      </c>
      <c r="D35" s="182" t="s">
        <v>348</v>
      </c>
      <c r="E35" s="182" t="s">
        <v>352</v>
      </c>
      <c r="F35" s="182" t="s">
        <v>364</v>
      </c>
      <c r="G35" s="275" t="s">
        <v>489</v>
      </c>
      <c r="H35" s="275">
        <v>20</v>
      </c>
      <c r="I35" s="275">
        <v>7.8673413397676546</v>
      </c>
      <c r="J35" s="430">
        <v>0.98</v>
      </c>
      <c r="K35" s="275">
        <v>1</v>
      </c>
      <c r="L35" s="275">
        <v>1</v>
      </c>
      <c r="M35" s="275">
        <v>0.16</v>
      </c>
      <c r="O35" s="275">
        <v>0.18</v>
      </c>
      <c r="P35" s="275"/>
      <c r="R35" s="275">
        <f t="shared" si="6"/>
        <v>0.98</v>
      </c>
    </row>
    <row r="36" spans="1:34">
      <c r="A36" s="586" t="s">
        <v>2405</v>
      </c>
      <c r="B36" s="445"/>
      <c r="C36" s="445"/>
      <c r="D36" s="445"/>
      <c r="E36" s="445"/>
      <c r="F36" s="445"/>
      <c r="G36" s="446"/>
      <c r="H36" s="446"/>
      <c r="I36" s="446"/>
      <c r="J36" s="447"/>
      <c r="K36" s="446"/>
      <c r="L36" s="446"/>
      <c r="M36" s="446">
        <f>M38</f>
        <v>0.16</v>
      </c>
      <c r="N36" s="446"/>
      <c r="O36" s="446"/>
      <c r="P36" s="446">
        <f>SUM(P37:P52)</f>
        <v>1222.2782775109674</v>
      </c>
      <c r="Q36" s="448" t="s">
        <v>2405</v>
      </c>
      <c r="R36" s="446"/>
      <c r="S36" s="446"/>
      <c r="T36" s="446">
        <f>'2010 Fuel Share'!C74</f>
        <v>72.151854099862319</v>
      </c>
      <c r="U36" s="446"/>
      <c r="V36" s="446"/>
      <c r="W36" s="446"/>
      <c r="X36" s="446"/>
      <c r="Y36" s="446"/>
      <c r="Z36" s="446"/>
      <c r="AA36" s="446"/>
      <c r="AB36" s="446"/>
      <c r="AC36" s="446"/>
      <c r="AD36" s="446"/>
      <c r="AE36" s="446"/>
      <c r="AF36" s="182"/>
      <c r="AG36" s="182"/>
      <c r="AH36" s="182"/>
    </row>
    <row r="37" spans="1:34">
      <c r="A37" s="182" t="s">
        <v>394</v>
      </c>
      <c r="P37" s="275"/>
    </row>
    <row r="38" spans="1:34">
      <c r="A38" s="182" t="s">
        <v>2479</v>
      </c>
      <c r="B38" s="182" t="s">
        <v>798</v>
      </c>
      <c r="C38" s="182" t="s">
        <v>797</v>
      </c>
      <c r="D38" s="182" t="s">
        <v>348</v>
      </c>
      <c r="E38" s="182" t="s">
        <v>354</v>
      </c>
      <c r="F38" s="182" t="s">
        <v>364</v>
      </c>
      <c r="G38" s="275" t="s">
        <v>488</v>
      </c>
      <c r="H38" s="275">
        <v>20</v>
      </c>
      <c r="J38" s="430">
        <v>0.81739997863769498</v>
      </c>
      <c r="K38" s="275">
        <v>1</v>
      </c>
      <c r="L38" s="275">
        <v>1</v>
      </c>
      <c r="M38" s="275">
        <v>0.16</v>
      </c>
      <c r="O38" s="275">
        <v>0.45</v>
      </c>
      <c r="R38" s="275">
        <f t="shared" ref="R38:R42" si="8">J38</f>
        <v>0.81739997863769498</v>
      </c>
    </row>
    <row r="39" spans="1:34">
      <c r="A39" s="182" t="s">
        <v>2479</v>
      </c>
      <c r="B39" s="182" t="s">
        <v>267</v>
      </c>
      <c r="C39" s="182" t="s">
        <v>268</v>
      </c>
      <c r="D39" s="182" t="s">
        <v>348</v>
      </c>
      <c r="E39" s="182" t="s">
        <v>354</v>
      </c>
      <c r="F39" s="182" t="s">
        <v>364</v>
      </c>
      <c r="G39" s="275" t="s">
        <v>489</v>
      </c>
      <c r="H39" s="275">
        <v>20</v>
      </c>
      <c r="I39" s="275">
        <v>6.3922148385612205</v>
      </c>
      <c r="J39" s="430">
        <f>TechData_DMD!J95</f>
        <v>0.8</v>
      </c>
      <c r="K39" s="275">
        <v>1</v>
      </c>
      <c r="L39" s="275">
        <v>1</v>
      </c>
      <c r="M39" s="275">
        <v>0.16</v>
      </c>
      <c r="O39" s="275">
        <v>0.45</v>
      </c>
      <c r="P39" s="275">
        <f>'RECS RESID'!W15</f>
        <v>389.55339388387375</v>
      </c>
      <c r="Q39" s="439">
        <f>P39/$P$36</f>
        <v>0.31871088691615751</v>
      </c>
      <c r="R39" s="275">
        <f t="shared" si="8"/>
        <v>0.8</v>
      </c>
      <c r="T39" s="275">
        <f t="shared" ref="T39" si="9">T36*$Q$39*$R$39/$M$39</f>
        <v>114.97790706406157</v>
      </c>
      <c r="U39" s="275">
        <f>T36*$Q$39*$R$39</f>
        <v>18.396465130249851</v>
      </c>
      <c r="V39" s="440">
        <f>$T39*AA$3/$U$3</f>
        <v>35.586068732736358</v>
      </c>
      <c r="W39" s="440">
        <f>$T39*AB$3/$U$3</f>
        <v>20.678799814726368</v>
      </c>
      <c r="X39" s="440">
        <f>$T39*AC$3/$U$3</f>
        <v>34.140194982456414</v>
      </c>
      <c r="Y39" s="440">
        <f>$T39*AD$3/$U$3</f>
        <v>6.6930639623350778</v>
      </c>
      <c r="Z39" s="440">
        <f>$T39*AE$3/$U$3</f>
        <v>17.879779571807379</v>
      </c>
      <c r="AA39" s="585">
        <f>$U39*AA$3/$U$3</f>
        <v>5.6937709972378165</v>
      </c>
      <c r="AB39" s="585">
        <f>$U39*AB$3/$U$3</f>
        <v>3.3086079703562188</v>
      </c>
      <c r="AC39" s="585">
        <f>$U39*AC$3/$U$3</f>
        <v>5.4624311971930259</v>
      </c>
      <c r="AD39" s="585">
        <f>$U39*AD$3/$U$3</f>
        <v>1.0708902339736124</v>
      </c>
      <c r="AE39" s="585">
        <f>$U39*AE$3/$U$3</f>
        <v>2.8607647314891809</v>
      </c>
    </row>
    <row r="40" spans="1:34">
      <c r="A40" s="182" t="s">
        <v>2479</v>
      </c>
      <c r="B40" s="182" t="s">
        <v>135</v>
      </c>
      <c r="C40" s="182" t="s">
        <v>136</v>
      </c>
      <c r="D40" s="182" t="s">
        <v>348</v>
      </c>
      <c r="E40" s="182" t="s">
        <v>354</v>
      </c>
      <c r="F40" s="182" t="s">
        <v>364</v>
      </c>
      <c r="G40" s="275" t="s">
        <v>490</v>
      </c>
      <c r="H40" s="275">
        <v>20</v>
      </c>
      <c r="I40" s="275">
        <v>6.8839236722966968</v>
      </c>
      <c r="J40" s="430">
        <v>0.83</v>
      </c>
      <c r="K40" s="275">
        <v>1</v>
      </c>
      <c r="L40" s="275">
        <v>1</v>
      </c>
      <c r="M40" s="275">
        <v>0.16</v>
      </c>
      <c r="O40" s="275">
        <v>0.45</v>
      </c>
      <c r="P40" s="275"/>
      <c r="R40" s="275">
        <f t="shared" si="8"/>
        <v>0.83</v>
      </c>
    </row>
    <row r="41" spans="1:34">
      <c r="A41" s="182" t="s">
        <v>2479</v>
      </c>
      <c r="B41" s="182" t="s">
        <v>269</v>
      </c>
      <c r="C41" s="182" t="s">
        <v>270</v>
      </c>
      <c r="D41" s="182" t="s">
        <v>348</v>
      </c>
      <c r="E41" s="182" t="s">
        <v>354</v>
      </c>
      <c r="F41" s="182" t="s">
        <v>364</v>
      </c>
      <c r="G41" s="275" t="s">
        <v>489</v>
      </c>
      <c r="H41" s="275">
        <v>20</v>
      </c>
      <c r="I41" s="275">
        <v>9.3424678409740913</v>
      </c>
      <c r="J41" s="430">
        <v>0.85</v>
      </c>
      <c r="K41" s="275">
        <v>1</v>
      </c>
      <c r="L41" s="275">
        <v>1</v>
      </c>
      <c r="M41" s="275">
        <v>0.16</v>
      </c>
      <c r="O41" s="275">
        <v>0.45</v>
      </c>
      <c r="P41" s="275"/>
      <c r="R41" s="275">
        <f t="shared" si="8"/>
        <v>0.85</v>
      </c>
    </row>
    <row r="42" spans="1:34">
      <c r="A42" s="182" t="s">
        <v>2479</v>
      </c>
      <c r="B42" s="182" t="s">
        <v>147</v>
      </c>
      <c r="C42" s="182" t="s">
        <v>137</v>
      </c>
      <c r="D42" s="182" t="s">
        <v>348</v>
      </c>
      <c r="E42" s="182" t="s">
        <v>354</v>
      </c>
      <c r="F42" s="182" t="s">
        <v>364</v>
      </c>
      <c r="G42" s="275" t="s">
        <v>489</v>
      </c>
      <c r="H42" s="275">
        <v>20</v>
      </c>
      <c r="I42" s="275">
        <v>9.3424678409740913</v>
      </c>
      <c r="J42" s="430">
        <v>0.98</v>
      </c>
      <c r="K42" s="275">
        <v>1</v>
      </c>
      <c r="L42" s="275">
        <v>1</v>
      </c>
      <c r="M42" s="275">
        <v>0.16</v>
      </c>
      <c r="O42" s="275">
        <v>0.45</v>
      </c>
      <c r="P42" s="275"/>
      <c r="R42" s="275">
        <f t="shared" si="8"/>
        <v>0.98</v>
      </c>
    </row>
    <row r="43" spans="1:34">
      <c r="A43" s="182" t="s">
        <v>395</v>
      </c>
      <c r="P43" s="275"/>
    </row>
    <row r="44" spans="1:34">
      <c r="A44" s="182" t="s">
        <v>2479</v>
      </c>
      <c r="B44" s="182" t="s">
        <v>800</v>
      </c>
      <c r="C44" s="182" t="s">
        <v>799</v>
      </c>
      <c r="D44" s="182" t="s">
        <v>348</v>
      </c>
      <c r="E44" s="182" t="s">
        <v>354</v>
      </c>
      <c r="F44" s="182" t="s">
        <v>364</v>
      </c>
      <c r="G44" s="275" t="s">
        <v>488</v>
      </c>
      <c r="H44" s="275">
        <v>20</v>
      </c>
      <c r="J44" s="430">
        <v>0.8</v>
      </c>
      <c r="K44" s="275">
        <v>1</v>
      </c>
      <c r="L44" s="275">
        <v>1</v>
      </c>
      <c r="M44" s="275">
        <v>0.16</v>
      </c>
      <c r="O44" s="275">
        <v>0.45</v>
      </c>
      <c r="R44" s="275">
        <f t="shared" ref="R44:R48" si="10">J44</f>
        <v>0.8</v>
      </c>
    </row>
    <row r="45" spans="1:34">
      <c r="A45" s="182" t="s">
        <v>2479</v>
      </c>
      <c r="B45" s="182" t="s">
        <v>271</v>
      </c>
      <c r="C45" s="182" t="s">
        <v>272</v>
      </c>
      <c r="D45" s="182" t="s">
        <v>348</v>
      </c>
      <c r="E45" s="182" t="s">
        <v>354</v>
      </c>
      <c r="F45" s="182" t="s">
        <v>364</v>
      </c>
      <c r="G45" s="275" t="s">
        <v>489</v>
      </c>
      <c r="H45" s="275">
        <v>20</v>
      </c>
      <c r="I45" s="275">
        <v>9.0146619518171054</v>
      </c>
      <c r="J45" s="430">
        <f>TechData_DMD!J101</f>
        <v>0.85</v>
      </c>
      <c r="K45" s="275">
        <v>1</v>
      </c>
      <c r="L45" s="275">
        <v>1</v>
      </c>
      <c r="M45" s="275">
        <v>0.16</v>
      </c>
      <c r="O45" s="275">
        <v>0.45</v>
      </c>
      <c r="P45" s="275">
        <f>'RECS RESID'!W16</f>
        <v>832.72488362709373</v>
      </c>
      <c r="Q45" s="439">
        <f t="shared" ref="Q45" si="11">P45/$P$36</f>
        <v>0.68128911308384255</v>
      </c>
      <c r="R45" s="275">
        <f t="shared" si="10"/>
        <v>0.85</v>
      </c>
      <c r="T45" s="275">
        <f t="shared" ref="T45" si="12">T36*$Q$45*$R$45/$M$45</f>
        <v>261.14269864995316</v>
      </c>
      <c r="U45" s="275">
        <f>T36*$Q$45*$R$45</f>
        <v>41.782831783992506</v>
      </c>
      <c r="V45" s="440">
        <f>$T45*AA$3/$U$3</f>
        <v>80.824588484044497</v>
      </c>
      <c r="W45" s="440">
        <f>$T45*AB$3/$U$3</f>
        <v>46.966567111462929</v>
      </c>
      <c r="X45" s="440">
        <f>$T45*AC$3/$U$3</f>
        <v>77.540658703996783</v>
      </c>
      <c r="Y45" s="440">
        <f>$T45*AD$3/$U$3</f>
        <v>15.201570719034693</v>
      </c>
      <c r="Z45" s="440">
        <f>$T45*AE$3/$U$3</f>
        <v>40.609313631414302</v>
      </c>
      <c r="AA45" s="585">
        <f>$U45*AA$3/$U$3</f>
        <v>12.931934157447122</v>
      </c>
      <c r="AB45" s="585">
        <f>$U45*AB$3/$U$3</f>
        <v>7.514650737834069</v>
      </c>
      <c r="AC45" s="585">
        <f>$U45*AC$3/$U$3</f>
        <v>12.406505392639485</v>
      </c>
      <c r="AD45" s="585">
        <f>$U45*AD$3/$U$3</f>
        <v>2.4322513150455509</v>
      </c>
      <c r="AE45" s="585">
        <f>$U45*AE$3/$U$3</f>
        <v>6.4974901810262899</v>
      </c>
    </row>
    <row r="46" spans="1:34">
      <c r="A46" s="182" t="s">
        <v>2479</v>
      </c>
      <c r="B46" s="182" t="s">
        <v>138</v>
      </c>
      <c r="C46" s="182" t="s">
        <v>139</v>
      </c>
      <c r="D46" s="182" t="s">
        <v>348</v>
      </c>
      <c r="E46" s="182" t="s">
        <v>354</v>
      </c>
      <c r="F46" s="182" t="s">
        <v>364</v>
      </c>
      <c r="G46" s="275" t="s">
        <v>490</v>
      </c>
      <c r="H46" s="275">
        <v>20</v>
      </c>
      <c r="I46" s="275">
        <v>9.5610051004120802</v>
      </c>
      <c r="J46" s="430">
        <v>0.85</v>
      </c>
      <c r="K46" s="275">
        <v>1</v>
      </c>
      <c r="L46" s="275">
        <v>1</v>
      </c>
      <c r="M46" s="275">
        <v>0.16</v>
      </c>
      <c r="O46" s="275">
        <v>0.45</v>
      </c>
      <c r="P46" s="275"/>
      <c r="R46" s="275">
        <f t="shared" si="10"/>
        <v>0.85</v>
      </c>
    </row>
    <row r="47" spans="1:34">
      <c r="A47" s="182" t="s">
        <v>2479</v>
      </c>
      <c r="B47" s="182" t="s">
        <v>273</v>
      </c>
      <c r="C47" s="182" t="s">
        <v>274</v>
      </c>
      <c r="D47" s="182" t="s">
        <v>348</v>
      </c>
      <c r="E47" s="182" t="s">
        <v>354</v>
      </c>
      <c r="F47" s="182" t="s">
        <v>364</v>
      </c>
      <c r="G47" s="275" t="s">
        <v>489</v>
      </c>
      <c r="H47" s="275">
        <v>20</v>
      </c>
      <c r="I47" s="275">
        <v>11.60979190764324</v>
      </c>
      <c r="J47" s="430">
        <v>0.85</v>
      </c>
      <c r="K47" s="275">
        <v>1</v>
      </c>
      <c r="L47" s="275">
        <v>1</v>
      </c>
      <c r="M47" s="275">
        <v>0.16</v>
      </c>
      <c r="O47" s="275">
        <v>0.45</v>
      </c>
      <c r="P47" s="275"/>
      <c r="R47" s="275">
        <f t="shared" si="10"/>
        <v>0.85</v>
      </c>
    </row>
    <row r="48" spans="1:34">
      <c r="A48" s="182" t="s">
        <v>2479</v>
      </c>
      <c r="B48" s="182" t="s">
        <v>317</v>
      </c>
      <c r="C48" s="182" t="s">
        <v>318</v>
      </c>
      <c r="D48" s="182" t="s">
        <v>348</v>
      </c>
      <c r="E48" s="182" t="s">
        <v>354</v>
      </c>
      <c r="F48" s="182" t="s">
        <v>364</v>
      </c>
      <c r="G48" s="275" t="s">
        <v>489</v>
      </c>
      <c r="H48" s="275">
        <v>20</v>
      </c>
      <c r="I48" s="275">
        <v>10.926862971899521</v>
      </c>
      <c r="J48" s="430">
        <v>0.98</v>
      </c>
      <c r="K48" s="275">
        <v>1</v>
      </c>
      <c r="L48" s="275">
        <v>1</v>
      </c>
      <c r="M48" s="275">
        <v>0.16</v>
      </c>
      <c r="O48" s="275">
        <v>0.45</v>
      </c>
      <c r="P48" s="275"/>
      <c r="R48" s="275">
        <f t="shared" si="10"/>
        <v>0.98</v>
      </c>
    </row>
    <row r="49" spans="1:35">
      <c r="A49" s="182" t="s">
        <v>398</v>
      </c>
      <c r="P49" s="275"/>
    </row>
    <row r="50" spans="1:35">
      <c r="A50" s="182" t="s">
        <v>2479</v>
      </c>
      <c r="B50" s="182" t="s">
        <v>460</v>
      </c>
      <c r="C50" s="182" t="s">
        <v>806</v>
      </c>
      <c r="D50" s="182" t="s">
        <v>348</v>
      </c>
      <c r="E50" s="182" t="s">
        <v>352</v>
      </c>
      <c r="F50" s="182" t="s">
        <v>364</v>
      </c>
      <c r="G50" s="275" t="s">
        <v>488</v>
      </c>
      <c r="H50" s="275">
        <v>15</v>
      </c>
      <c r="J50" s="430">
        <v>1.29999995231628</v>
      </c>
      <c r="K50" s="275">
        <v>1</v>
      </c>
      <c r="L50" s="275">
        <v>1</v>
      </c>
      <c r="M50" s="275">
        <v>0.16</v>
      </c>
      <c r="O50" s="275">
        <v>0.18</v>
      </c>
      <c r="P50" s="275"/>
      <c r="R50" s="275">
        <f t="shared" ref="R50:R52" si="13">J50</f>
        <v>1.29999995231628</v>
      </c>
    </row>
    <row r="51" spans="1:35">
      <c r="A51" s="182" t="s">
        <v>2479</v>
      </c>
      <c r="B51" s="182" t="s">
        <v>462</v>
      </c>
      <c r="C51" s="182" t="s">
        <v>776</v>
      </c>
      <c r="D51" s="182" t="s">
        <v>348</v>
      </c>
      <c r="E51" s="182" t="s">
        <v>352</v>
      </c>
      <c r="F51" s="182" t="s">
        <v>364</v>
      </c>
      <c r="G51" s="275" t="s">
        <v>489</v>
      </c>
      <c r="H51" s="275">
        <v>15</v>
      </c>
      <c r="I51" s="275">
        <v>12.292720843386961</v>
      </c>
      <c r="J51" s="430">
        <v>1.3</v>
      </c>
      <c r="K51" s="275">
        <v>1</v>
      </c>
      <c r="L51" s="275">
        <v>1</v>
      </c>
      <c r="M51" s="275">
        <v>0.16</v>
      </c>
      <c r="O51" s="275">
        <v>0.18</v>
      </c>
      <c r="P51" s="275"/>
      <c r="R51" s="275">
        <f t="shared" si="13"/>
        <v>1.3</v>
      </c>
    </row>
    <row r="52" spans="1:35">
      <c r="A52" s="182" t="s">
        <v>2479</v>
      </c>
      <c r="B52" s="182" t="s">
        <v>1095</v>
      </c>
      <c r="C52" s="182" t="s">
        <v>1096</v>
      </c>
      <c r="D52" s="182" t="s">
        <v>348</v>
      </c>
      <c r="E52" s="182" t="s">
        <v>352</v>
      </c>
      <c r="F52" s="182" t="s">
        <v>364</v>
      </c>
      <c r="G52" s="275" t="s">
        <v>847</v>
      </c>
      <c r="H52" s="275">
        <v>15</v>
      </c>
      <c r="I52" s="275">
        <v>12.292720843386961</v>
      </c>
      <c r="J52" s="430">
        <v>1.4</v>
      </c>
      <c r="K52" s="275">
        <v>1</v>
      </c>
      <c r="L52" s="275">
        <v>1</v>
      </c>
      <c r="M52" s="275">
        <v>0.16</v>
      </c>
      <c r="O52" s="275">
        <v>0.18</v>
      </c>
      <c r="P52" s="275"/>
      <c r="R52" s="275">
        <f t="shared" si="13"/>
        <v>1.4</v>
      </c>
    </row>
    <row r="53" spans="1:35">
      <c r="A53" s="280" t="s">
        <v>399</v>
      </c>
      <c r="B53" s="280"/>
      <c r="C53" s="280"/>
      <c r="D53" s="280"/>
      <c r="E53" s="280"/>
      <c r="F53" s="280"/>
      <c r="G53" s="435"/>
      <c r="H53" s="435"/>
      <c r="I53" s="435"/>
      <c r="J53" s="436"/>
      <c r="K53" s="435"/>
      <c r="L53" s="435"/>
      <c r="M53" s="435"/>
      <c r="N53" s="435"/>
      <c r="O53" s="435"/>
      <c r="P53" s="435"/>
      <c r="Q53" s="441"/>
      <c r="R53" s="435"/>
      <c r="S53" s="435"/>
      <c r="T53" s="435"/>
      <c r="U53" s="578">
        <f>SUM(U55:U91)</f>
        <v>25.941013969118739</v>
      </c>
      <c r="V53" s="578"/>
      <c r="W53" s="578"/>
      <c r="X53" s="578"/>
      <c r="Y53" s="578"/>
      <c r="Z53" s="578"/>
      <c r="AA53" s="606">
        <f>ResDemand!E6</f>
        <v>8.0344681393833923</v>
      </c>
      <c r="AB53" s="606">
        <f>ResDemand!E7</f>
        <v>4.3591829466851975</v>
      </c>
      <c r="AC53" s="606">
        <f>ResDemand!E8</f>
        <v>4.9910263583839622</v>
      </c>
      <c r="AD53" s="606">
        <f>ResDemand!E9</f>
        <v>1.4751772588128522</v>
      </c>
      <c r="AE53" s="606">
        <f>ResDemand!E10</f>
        <v>7.0811592658533398</v>
      </c>
      <c r="AF53" s="594">
        <f>SUM(AA53:AE53)-U53</f>
        <v>0</v>
      </c>
      <c r="AG53" s="182"/>
      <c r="AH53" s="182"/>
      <c r="AI53" s="182"/>
    </row>
    <row r="54" spans="1:35">
      <c r="A54" s="445" t="s">
        <v>346</v>
      </c>
      <c r="B54" s="445"/>
      <c r="C54" s="445"/>
      <c r="D54" s="445"/>
      <c r="E54" s="445"/>
      <c r="F54" s="445"/>
      <c r="G54" s="446"/>
      <c r="H54" s="446"/>
      <c r="I54" s="446"/>
      <c r="J54" s="447"/>
      <c r="K54" s="446"/>
      <c r="L54" s="446"/>
      <c r="M54" s="446">
        <f>M56</f>
        <v>0.15</v>
      </c>
      <c r="N54" s="446"/>
      <c r="O54" s="446"/>
      <c r="P54" s="446">
        <f>SUM(P55:P86)</f>
        <v>1127.4676583240525</v>
      </c>
      <c r="Q54" s="448" t="s">
        <v>346</v>
      </c>
      <c r="R54" s="446"/>
      <c r="S54" s="446"/>
      <c r="T54" s="446">
        <f>'2010 Fuel Share'!E72</f>
        <v>8.9593019899637127</v>
      </c>
      <c r="U54" s="446"/>
      <c r="V54" s="446"/>
      <c r="W54" s="446"/>
      <c r="X54" s="446"/>
      <c r="Y54" s="446"/>
      <c r="Z54" s="446"/>
      <c r="AA54" s="607">
        <f>SUM(AA55:AA91)</f>
        <v>8.0344681393833923</v>
      </c>
      <c r="AB54" s="607">
        <f t="shared" ref="AB54:AE54" si="14">SUM(AB55:AB91)</f>
        <v>4.3591829466851975</v>
      </c>
      <c r="AC54" s="607">
        <f t="shared" si="14"/>
        <v>4.9910263583839614</v>
      </c>
      <c r="AD54" s="607">
        <f t="shared" si="14"/>
        <v>1.4751772588128518</v>
      </c>
      <c r="AE54" s="607">
        <f t="shared" si="14"/>
        <v>7.0811592658533389</v>
      </c>
      <c r="AF54" s="434"/>
    </row>
    <row r="55" spans="1:35">
      <c r="A55" s="182" t="s">
        <v>400</v>
      </c>
      <c r="P55" s="275"/>
      <c r="AF55" s="434"/>
    </row>
    <row r="56" spans="1:35">
      <c r="A56" s="182" t="s">
        <v>2479</v>
      </c>
      <c r="B56" s="182" t="s">
        <v>808</v>
      </c>
      <c r="C56" s="182" t="s">
        <v>807</v>
      </c>
      <c r="D56" s="182" t="s">
        <v>348</v>
      </c>
      <c r="E56" s="182" t="s">
        <v>349</v>
      </c>
      <c r="F56" s="182" t="s">
        <v>366</v>
      </c>
      <c r="G56" s="275" t="s">
        <v>488</v>
      </c>
      <c r="H56" s="275">
        <v>10</v>
      </c>
      <c r="J56" s="430">
        <v>2.7435958263219513</v>
      </c>
      <c r="K56" s="275">
        <v>1</v>
      </c>
      <c r="L56" s="275">
        <v>1</v>
      </c>
      <c r="M56" s="275">
        <v>0.15</v>
      </c>
      <c r="O56" s="275">
        <v>0.6</v>
      </c>
      <c r="R56" s="275">
        <f t="shared" ref="R56:R62" si="15">J56</f>
        <v>2.7435958263219513</v>
      </c>
      <c r="AF56" s="434"/>
    </row>
    <row r="57" spans="1:35">
      <c r="A57" s="182" t="s">
        <v>2479</v>
      </c>
      <c r="B57" s="182" t="s">
        <v>275</v>
      </c>
      <c r="C57" s="182" t="s">
        <v>276</v>
      </c>
      <c r="D57" s="182" t="s">
        <v>348</v>
      </c>
      <c r="E57" s="182" t="s">
        <v>349</v>
      </c>
      <c r="F57" s="182" t="s">
        <v>366</v>
      </c>
      <c r="G57" s="275" t="s">
        <v>489</v>
      </c>
      <c r="H57" s="275">
        <v>10</v>
      </c>
      <c r="I57" s="275">
        <v>2.7043985855451314</v>
      </c>
      <c r="J57" s="430">
        <v>2.74</v>
      </c>
      <c r="K57" s="275">
        <v>1</v>
      </c>
      <c r="L57" s="275">
        <v>1</v>
      </c>
      <c r="M57" s="275">
        <v>0.15</v>
      </c>
      <c r="O57" s="275">
        <v>0.6</v>
      </c>
      <c r="P57" s="275">
        <v>669.43392212990602</v>
      </c>
      <c r="Q57" s="439">
        <f>P57/$P$54</f>
        <v>0.59374999999999989</v>
      </c>
      <c r="R57" s="275">
        <f t="shared" si="15"/>
        <v>2.74</v>
      </c>
      <c r="T57" s="275">
        <f t="shared" ref="T57" si="16">T54*$Q$57*$R$57/$M$57</f>
        <v>97.171096166148104</v>
      </c>
      <c r="U57" s="275">
        <f>T54*$Q$57*$R$57</f>
        <v>14.575664424922214</v>
      </c>
      <c r="V57" s="440">
        <f>$T57*AA$53/$U$53</f>
        <v>30.095896681034745</v>
      </c>
      <c r="W57" s="440">
        <f t="shared" ref="W57:Z57" si="17">$T57*AB$53/$U$53</f>
        <v>16.32883686899962</v>
      </c>
      <c r="X57" s="440">
        <f t="shared" si="17"/>
        <v>18.6956262702627</v>
      </c>
      <c r="Y57" s="440">
        <f t="shared" si="17"/>
        <v>5.525789834154585</v>
      </c>
      <c r="Z57" s="440">
        <f t="shared" si="17"/>
        <v>26.524946511696474</v>
      </c>
      <c r="AA57" s="585">
        <f>$U57*AA53/$U$53</f>
        <v>4.5143845021552114</v>
      </c>
      <c r="AB57" s="585">
        <f t="shared" ref="AB57:AE57" si="18">$U57*AB53/$U$53</f>
        <v>2.4493255303499426</v>
      </c>
      <c r="AC57" s="585">
        <f t="shared" si="18"/>
        <v>2.8043439405394048</v>
      </c>
      <c r="AD57" s="585">
        <f t="shared" si="18"/>
        <v>0.82886847512318773</v>
      </c>
      <c r="AE57" s="585">
        <f t="shared" si="18"/>
        <v>3.9787419767544709</v>
      </c>
      <c r="AF57" s="434"/>
    </row>
    <row r="58" spans="1:35">
      <c r="A58" s="182" t="s">
        <v>2479</v>
      </c>
      <c r="B58" s="182" t="s">
        <v>825</v>
      </c>
      <c r="C58" s="182" t="s">
        <v>826</v>
      </c>
      <c r="D58" s="182" t="s">
        <v>348</v>
      </c>
      <c r="E58" s="182" t="s">
        <v>349</v>
      </c>
      <c r="F58" s="182" t="s">
        <v>366</v>
      </c>
      <c r="G58" s="275" t="s">
        <v>489</v>
      </c>
      <c r="H58" s="275">
        <v>10</v>
      </c>
      <c r="I58" s="275">
        <v>2.8519112356657748</v>
      </c>
      <c r="J58" s="430">
        <v>3.17</v>
      </c>
      <c r="K58" s="275">
        <v>1</v>
      </c>
      <c r="L58" s="275">
        <v>1</v>
      </c>
      <c r="M58" s="275">
        <v>0.15</v>
      </c>
      <c r="O58" s="275">
        <v>0.6</v>
      </c>
      <c r="P58" s="275"/>
      <c r="R58" s="275">
        <f t="shared" si="15"/>
        <v>3.17</v>
      </c>
      <c r="AF58" s="434"/>
    </row>
    <row r="59" spans="1:35">
      <c r="A59" s="182" t="s">
        <v>2479</v>
      </c>
      <c r="B59" s="182" t="s">
        <v>1024</v>
      </c>
      <c r="C59" s="182" t="s">
        <v>1025</v>
      </c>
      <c r="D59" s="182" t="s">
        <v>348</v>
      </c>
      <c r="E59" s="182" t="s">
        <v>349</v>
      </c>
      <c r="F59" s="182" t="s">
        <v>366</v>
      </c>
      <c r="G59" s="275" t="s">
        <v>490</v>
      </c>
      <c r="H59" s="275">
        <v>10</v>
      </c>
      <c r="I59" s="275">
        <v>2.901082119039323</v>
      </c>
      <c r="J59" s="430">
        <v>3.22</v>
      </c>
      <c r="K59" s="275">
        <v>1</v>
      </c>
      <c r="L59" s="275">
        <v>1</v>
      </c>
      <c r="M59" s="275">
        <v>0.15</v>
      </c>
      <c r="O59" s="275">
        <v>0.6</v>
      </c>
      <c r="P59" s="275"/>
      <c r="R59" s="275">
        <f t="shared" si="15"/>
        <v>3.22</v>
      </c>
      <c r="AF59" s="434"/>
    </row>
    <row r="60" spans="1:35">
      <c r="A60" s="182" t="s">
        <v>2479</v>
      </c>
      <c r="B60" s="182" t="s">
        <v>1026</v>
      </c>
      <c r="C60" s="182" t="s">
        <v>1027</v>
      </c>
      <c r="D60" s="182" t="s">
        <v>348</v>
      </c>
      <c r="E60" s="182" t="s">
        <v>349</v>
      </c>
      <c r="F60" s="182" t="s">
        <v>366</v>
      </c>
      <c r="G60" s="275" t="s">
        <v>2322</v>
      </c>
      <c r="H60" s="275">
        <v>10</v>
      </c>
      <c r="I60" s="275">
        <v>2.901082119039323</v>
      </c>
      <c r="J60" s="430">
        <v>3.28</v>
      </c>
      <c r="K60" s="275">
        <v>1</v>
      </c>
      <c r="L60" s="275">
        <v>1</v>
      </c>
      <c r="M60" s="275">
        <v>0.15</v>
      </c>
      <c r="O60" s="275">
        <v>0.6</v>
      </c>
      <c r="P60" s="275"/>
      <c r="R60" s="275">
        <f t="shared" si="15"/>
        <v>3.28</v>
      </c>
      <c r="AF60" s="434"/>
    </row>
    <row r="61" spans="1:35">
      <c r="A61" s="182" t="s">
        <v>2479</v>
      </c>
      <c r="B61" s="182" t="s">
        <v>827</v>
      </c>
      <c r="C61" s="182" t="s">
        <v>828</v>
      </c>
      <c r="D61" s="182" t="s">
        <v>348</v>
      </c>
      <c r="E61" s="182" t="s">
        <v>349</v>
      </c>
      <c r="F61" s="182" t="s">
        <v>366</v>
      </c>
      <c r="G61" s="275" t="s">
        <v>489</v>
      </c>
      <c r="H61" s="275">
        <v>10</v>
      </c>
      <c r="I61" s="275">
        <v>4.4745503869928545</v>
      </c>
      <c r="J61" s="430">
        <v>3.52</v>
      </c>
      <c r="K61" s="275">
        <v>1</v>
      </c>
      <c r="L61" s="275">
        <v>1</v>
      </c>
      <c r="M61" s="275">
        <v>0.15</v>
      </c>
      <c r="O61" s="275">
        <v>0.6</v>
      </c>
      <c r="P61" s="275"/>
      <c r="R61" s="275">
        <f t="shared" si="15"/>
        <v>3.52</v>
      </c>
      <c r="AF61" s="434"/>
    </row>
    <row r="62" spans="1:35">
      <c r="A62" s="182" t="s">
        <v>2479</v>
      </c>
      <c r="B62" s="182" t="s">
        <v>142</v>
      </c>
      <c r="C62" s="182" t="s">
        <v>143</v>
      </c>
      <c r="D62" s="182" t="s">
        <v>348</v>
      </c>
      <c r="E62" s="182" t="s">
        <v>349</v>
      </c>
      <c r="F62" s="182" t="s">
        <v>366</v>
      </c>
      <c r="G62" s="275" t="s">
        <v>847</v>
      </c>
      <c r="H62" s="275">
        <v>10</v>
      </c>
      <c r="I62" s="275">
        <v>5.0646009874754281</v>
      </c>
      <c r="J62" s="430">
        <v>3.81</v>
      </c>
      <c r="K62" s="275">
        <v>1</v>
      </c>
      <c r="L62" s="275">
        <v>1</v>
      </c>
      <c r="M62" s="275">
        <v>0.15</v>
      </c>
      <c r="O62" s="275">
        <v>0.6</v>
      </c>
      <c r="P62" s="275"/>
      <c r="R62" s="275">
        <f t="shared" si="15"/>
        <v>3.81</v>
      </c>
      <c r="AF62" s="434"/>
    </row>
    <row r="63" spans="1:35">
      <c r="A63" s="182" t="s">
        <v>401</v>
      </c>
      <c r="P63" s="275"/>
      <c r="AF63" s="434"/>
    </row>
    <row r="64" spans="1:35">
      <c r="A64" s="182" t="s">
        <v>2479</v>
      </c>
      <c r="B64" s="182" t="s">
        <v>810</v>
      </c>
      <c r="C64" s="182" t="s">
        <v>809</v>
      </c>
      <c r="D64" s="182" t="s">
        <v>348</v>
      </c>
      <c r="E64" s="182" t="s">
        <v>349</v>
      </c>
      <c r="F64" s="182" t="s">
        <v>366</v>
      </c>
      <c r="G64" s="275" t="s">
        <v>488</v>
      </c>
      <c r="H64" s="275">
        <v>15</v>
      </c>
      <c r="J64" s="430">
        <v>2.9175658769245518</v>
      </c>
      <c r="K64" s="275">
        <v>1</v>
      </c>
      <c r="L64" s="275">
        <v>1</v>
      </c>
      <c r="M64" s="275">
        <v>0.15</v>
      </c>
      <c r="O64" s="275">
        <v>0.18</v>
      </c>
      <c r="R64" s="275">
        <f t="shared" ref="R64:R72" si="19">J64</f>
        <v>2.9175658769245518</v>
      </c>
      <c r="AF64" s="434"/>
    </row>
    <row r="65" spans="1:32">
      <c r="A65" s="182" t="s">
        <v>2479</v>
      </c>
      <c r="B65" s="182" t="s">
        <v>277</v>
      </c>
      <c r="C65" s="182" t="s">
        <v>278</v>
      </c>
      <c r="D65" s="182" t="s">
        <v>348</v>
      </c>
      <c r="E65" s="182" t="s">
        <v>349</v>
      </c>
      <c r="F65" s="182" t="s">
        <v>366</v>
      </c>
      <c r="G65" s="275" t="s">
        <v>489</v>
      </c>
      <c r="H65" s="275">
        <v>15</v>
      </c>
      <c r="I65" s="275">
        <v>8.7414903775196162</v>
      </c>
      <c r="J65" s="430">
        <v>2.92</v>
      </c>
      <c r="K65" s="275">
        <v>1</v>
      </c>
      <c r="L65" s="275">
        <v>1</v>
      </c>
      <c r="M65" s="275">
        <v>0.15</v>
      </c>
      <c r="O65" s="275">
        <v>0.18</v>
      </c>
      <c r="P65" s="275">
        <v>429.30287311639552</v>
      </c>
      <c r="Q65" s="439">
        <f>P65/$P$54</f>
        <v>0.38076735057264666</v>
      </c>
      <c r="R65" s="275">
        <f t="shared" si="19"/>
        <v>2.92</v>
      </c>
      <c r="T65" s="275">
        <f t="shared" ref="T65" si="20">T54*$Q$65*$R$65/$M$65</f>
        <v>66.408775137068503</v>
      </c>
      <c r="U65" s="275">
        <f>T54*$Q$65*$R$65</f>
        <v>9.9613162705602747</v>
      </c>
      <c r="V65" s="440">
        <f>$T65*AA$53/$U$53</f>
        <v>20.568170105047702</v>
      </c>
      <c r="W65" s="440">
        <f t="shared" ref="W65" si="21">$T65*AB$53/$U$53</f>
        <v>11.159471269410652</v>
      </c>
      <c r="X65" s="440">
        <f t="shared" ref="X65" si="22">$T65*AC$53/$U$53</f>
        <v>12.77698502963962</v>
      </c>
      <c r="Y65" s="440">
        <f t="shared" ref="Y65" si="23">$T65*AD$53/$U$53</f>
        <v>3.7764412364312774</v>
      </c>
      <c r="Z65" s="440">
        <f t="shared" ref="Z65" si="24">$T65*AE$53/$U$53</f>
        <v>18.127707496539262</v>
      </c>
      <c r="AA65" s="585">
        <f>$U65*AA53/$U$53</f>
        <v>3.0852255157571551</v>
      </c>
      <c r="AB65" s="585">
        <f>$U65*AB53/$U$53</f>
        <v>1.6739206904115977</v>
      </c>
      <c r="AC65" s="585">
        <f>$U65*AC53/$U$53</f>
        <v>1.9165477544459431</v>
      </c>
      <c r="AD65" s="585">
        <f>$U65*AD53/$U$53</f>
        <v>0.56646618546469152</v>
      </c>
      <c r="AE65" s="585">
        <f>$U65*AE53/$U$53</f>
        <v>2.7191561244808895</v>
      </c>
      <c r="AF65" s="434"/>
    </row>
    <row r="66" spans="1:32">
      <c r="A66" s="182" t="s">
        <v>844</v>
      </c>
      <c r="B66" s="182" t="s">
        <v>279</v>
      </c>
      <c r="C66" s="182" t="s">
        <v>280</v>
      </c>
      <c r="D66" s="182" t="s">
        <v>348</v>
      </c>
      <c r="E66" s="182" t="s">
        <v>349</v>
      </c>
      <c r="F66" s="182" t="s">
        <v>366</v>
      </c>
      <c r="G66" s="275" t="s">
        <v>490</v>
      </c>
      <c r="H66" s="275">
        <v>15</v>
      </c>
      <c r="I66" s="275">
        <v>9.6975908875608248</v>
      </c>
      <c r="J66" s="430">
        <v>4.0999999999999996</v>
      </c>
      <c r="K66" s="275">
        <v>1</v>
      </c>
      <c r="L66" s="275">
        <v>1</v>
      </c>
      <c r="M66" s="275">
        <v>0.15</v>
      </c>
      <c r="O66" s="275">
        <v>0.18</v>
      </c>
      <c r="P66" s="275"/>
      <c r="R66" s="275">
        <f t="shared" si="19"/>
        <v>4.0999999999999996</v>
      </c>
      <c r="AF66" s="434"/>
    </row>
    <row r="67" spans="1:32">
      <c r="A67" s="182" t="s">
        <v>2479</v>
      </c>
      <c r="B67" s="182" t="s">
        <v>1028</v>
      </c>
      <c r="C67" s="182" t="s">
        <v>1029</v>
      </c>
      <c r="D67" s="182" t="s">
        <v>348</v>
      </c>
      <c r="E67" s="182" t="s">
        <v>349</v>
      </c>
      <c r="F67" s="182" t="s">
        <v>366</v>
      </c>
      <c r="G67" s="275" t="s">
        <v>847</v>
      </c>
      <c r="H67" s="275">
        <v>15</v>
      </c>
      <c r="I67" s="275">
        <v>9.6975908875608248</v>
      </c>
      <c r="J67" s="430">
        <v>4.0999999999999996</v>
      </c>
      <c r="K67" s="275">
        <v>1</v>
      </c>
      <c r="L67" s="275">
        <v>1</v>
      </c>
      <c r="M67" s="275">
        <v>0.15</v>
      </c>
      <c r="O67" s="275">
        <v>0.18</v>
      </c>
      <c r="P67" s="275"/>
      <c r="R67" s="275">
        <f t="shared" si="19"/>
        <v>4.0999999999999996</v>
      </c>
      <c r="AF67" s="434"/>
    </row>
    <row r="68" spans="1:32">
      <c r="A68" s="182" t="s">
        <v>2479</v>
      </c>
      <c r="B68" s="182" t="s">
        <v>148</v>
      </c>
      <c r="C68" s="182" t="s">
        <v>319</v>
      </c>
      <c r="D68" s="182" t="s">
        <v>348</v>
      </c>
      <c r="E68" s="182" t="s">
        <v>349</v>
      </c>
      <c r="F68" s="182" t="s">
        <v>366</v>
      </c>
      <c r="G68" s="275" t="s">
        <v>489</v>
      </c>
      <c r="H68" s="275">
        <v>15</v>
      </c>
      <c r="I68" s="275">
        <v>10.517105610453291</v>
      </c>
      <c r="J68" s="430">
        <v>4.6900000000000004</v>
      </c>
      <c r="K68" s="275">
        <v>1</v>
      </c>
      <c r="L68" s="275">
        <v>1</v>
      </c>
      <c r="M68" s="275">
        <v>0.15</v>
      </c>
      <c r="O68" s="275">
        <v>0.18</v>
      </c>
      <c r="P68" s="275"/>
      <c r="R68" s="275">
        <f t="shared" si="19"/>
        <v>4.6900000000000004</v>
      </c>
      <c r="AF68" s="434"/>
    </row>
    <row r="69" spans="1:32">
      <c r="A69" s="182" t="s">
        <v>2479</v>
      </c>
      <c r="B69" s="182" t="s">
        <v>829</v>
      </c>
      <c r="C69" s="182" t="s">
        <v>830</v>
      </c>
      <c r="D69" s="182" t="s">
        <v>348</v>
      </c>
      <c r="E69" s="182" t="s">
        <v>349</v>
      </c>
      <c r="F69" s="182" t="s">
        <v>366</v>
      </c>
      <c r="G69" s="275" t="s">
        <v>847</v>
      </c>
      <c r="H69" s="275">
        <v>15</v>
      </c>
      <c r="I69" s="275">
        <v>10.107348249007059</v>
      </c>
      <c r="J69" s="430">
        <v>4.6900000000000004</v>
      </c>
      <c r="K69" s="275">
        <v>1</v>
      </c>
      <c r="L69" s="275">
        <v>1</v>
      </c>
      <c r="M69" s="275">
        <v>0.15</v>
      </c>
      <c r="O69" s="275">
        <v>0.18</v>
      </c>
      <c r="P69" s="275"/>
      <c r="R69" s="275">
        <f t="shared" si="19"/>
        <v>4.6900000000000004</v>
      </c>
      <c r="AF69" s="434"/>
    </row>
    <row r="70" spans="1:32">
      <c r="A70" s="182" t="s">
        <v>2479</v>
      </c>
      <c r="B70" s="182" t="s">
        <v>144</v>
      </c>
      <c r="C70" s="182" t="s">
        <v>281</v>
      </c>
      <c r="D70" s="182" t="s">
        <v>348</v>
      </c>
      <c r="E70" s="182" t="s">
        <v>349</v>
      </c>
      <c r="F70" s="182" t="s">
        <v>366</v>
      </c>
      <c r="G70" s="275" t="s">
        <v>489</v>
      </c>
      <c r="H70" s="275">
        <v>15</v>
      </c>
      <c r="I70" s="275">
        <v>12.292720843386961</v>
      </c>
      <c r="J70" s="430">
        <v>6.15</v>
      </c>
      <c r="K70" s="275">
        <v>1</v>
      </c>
      <c r="L70" s="275">
        <v>1</v>
      </c>
      <c r="M70" s="275">
        <v>0.15</v>
      </c>
      <c r="O70" s="275">
        <v>0.18</v>
      </c>
      <c r="P70" s="275"/>
      <c r="R70" s="275">
        <f t="shared" si="19"/>
        <v>6.15</v>
      </c>
      <c r="AF70" s="434"/>
    </row>
    <row r="71" spans="1:32">
      <c r="A71" s="182" t="s">
        <v>2479</v>
      </c>
      <c r="B71" s="182" t="s">
        <v>282</v>
      </c>
      <c r="C71" s="182" t="s">
        <v>283</v>
      </c>
      <c r="D71" s="182" t="s">
        <v>348</v>
      </c>
      <c r="E71" s="182" t="s">
        <v>349</v>
      </c>
      <c r="F71" s="182" t="s">
        <v>366</v>
      </c>
      <c r="G71" s="275" t="s">
        <v>490</v>
      </c>
      <c r="H71" s="275">
        <v>15</v>
      </c>
      <c r="I71" s="275">
        <v>16.390294457849279</v>
      </c>
      <c r="J71" s="430">
        <v>7.03</v>
      </c>
      <c r="K71" s="275">
        <v>1</v>
      </c>
      <c r="L71" s="275">
        <v>1</v>
      </c>
      <c r="M71" s="275">
        <v>0.15</v>
      </c>
      <c r="O71" s="275">
        <v>0.18</v>
      </c>
      <c r="P71" s="275"/>
      <c r="R71" s="275">
        <f t="shared" si="19"/>
        <v>7.03</v>
      </c>
      <c r="AF71" s="434"/>
    </row>
    <row r="72" spans="1:32">
      <c r="A72" s="182" t="s">
        <v>2479</v>
      </c>
      <c r="B72" s="182" t="s">
        <v>831</v>
      </c>
      <c r="C72" s="182" t="s">
        <v>832</v>
      </c>
      <c r="D72" s="182" t="s">
        <v>348</v>
      </c>
      <c r="E72" s="182" t="s">
        <v>349</v>
      </c>
      <c r="F72" s="182" t="s">
        <v>366</v>
      </c>
      <c r="G72" s="275" t="s">
        <v>847</v>
      </c>
      <c r="H72" s="275">
        <v>15</v>
      </c>
      <c r="I72" s="275">
        <v>15.707365522105562</v>
      </c>
      <c r="J72" s="430">
        <v>7.03</v>
      </c>
      <c r="K72" s="275">
        <v>1</v>
      </c>
      <c r="L72" s="275">
        <v>1</v>
      </c>
      <c r="M72" s="275">
        <v>0.15</v>
      </c>
      <c r="O72" s="275">
        <v>0.18</v>
      </c>
      <c r="P72" s="275"/>
      <c r="R72" s="275">
        <f t="shared" si="19"/>
        <v>7.03</v>
      </c>
      <c r="AF72" s="434"/>
    </row>
    <row r="73" spans="1:32">
      <c r="A73" s="182" t="s">
        <v>388</v>
      </c>
      <c r="P73" s="275"/>
      <c r="AF73" s="434"/>
    </row>
    <row r="74" spans="1:32">
      <c r="A74" s="182" t="s">
        <v>2479</v>
      </c>
      <c r="B74" s="182" t="s">
        <v>435</v>
      </c>
      <c r="C74" s="182" t="s">
        <v>811</v>
      </c>
      <c r="D74" s="182" t="s">
        <v>348</v>
      </c>
      <c r="E74" s="182" t="s">
        <v>349</v>
      </c>
      <c r="F74" s="182" t="s">
        <v>366</v>
      </c>
      <c r="G74" s="275" t="s">
        <v>488</v>
      </c>
      <c r="H74" s="275">
        <v>15</v>
      </c>
      <c r="J74" s="430">
        <v>2.9980069977321731</v>
      </c>
      <c r="K74" s="275">
        <v>1</v>
      </c>
      <c r="L74" s="275">
        <v>1</v>
      </c>
      <c r="M74" s="275">
        <v>0.15</v>
      </c>
      <c r="O74" s="275">
        <v>0.45</v>
      </c>
      <c r="R74" s="275">
        <f t="shared" ref="R74:R86" si="25">J74</f>
        <v>2.9980069977321731</v>
      </c>
      <c r="AF74" s="434"/>
    </row>
    <row r="75" spans="1:32">
      <c r="A75" s="182" t="s">
        <v>2479</v>
      </c>
      <c r="B75" s="182" t="s">
        <v>437</v>
      </c>
      <c r="C75" s="182" t="s">
        <v>284</v>
      </c>
      <c r="D75" s="182" t="s">
        <v>348</v>
      </c>
      <c r="E75" s="182" t="s">
        <v>349</v>
      </c>
      <c r="F75" s="182" t="s">
        <v>366</v>
      </c>
      <c r="G75" s="275" t="s">
        <v>489</v>
      </c>
      <c r="H75" s="275">
        <v>15</v>
      </c>
      <c r="I75" s="275">
        <v>6.5561177831397135</v>
      </c>
      <c r="J75" s="430">
        <v>3</v>
      </c>
      <c r="K75" s="275">
        <v>1</v>
      </c>
      <c r="L75" s="275">
        <v>1</v>
      </c>
      <c r="M75" s="275">
        <v>0.15</v>
      </c>
      <c r="O75" s="275">
        <v>0.45</v>
      </c>
      <c r="P75" s="275">
        <v>28.730863077751</v>
      </c>
      <c r="Q75" s="439">
        <f>P75/$P$54</f>
        <v>2.5482649427353492E-2</v>
      </c>
      <c r="R75" s="275">
        <f t="shared" si="25"/>
        <v>3</v>
      </c>
      <c r="T75" s="275">
        <f t="shared" ref="T75" si="26">T54*$Q$75*$R$75/$M$75</f>
        <v>4.5661350344807161</v>
      </c>
      <c r="U75" s="275">
        <f>T54*$Q$75*$R$75</f>
        <v>0.68492025517210742</v>
      </c>
      <c r="V75" s="440">
        <f>$T75*AA$53/$U$53</f>
        <v>1.4142263867684852</v>
      </c>
      <c r="W75" s="440">
        <f t="shared" ref="W75" si="27">$T75*AB$53/$U$53</f>
        <v>0.76730300512792016</v>
      </c>
      <c r="X75" s="440">
        <f t="shared" ref="X75" si="28">$T75*AC$53/$U$53</f>
        <v>0.8785200277893348</v>
      </c>
      <c r="Y75" s="440">
        <f t="shared" ref="Y75" si="29">$T75*AD$53/$U$53</f>
        <v>0.25966057346691368</v>
      </c>
      <c r="Z75" s="440">
        <f t="shared" ref="Z75" si="30">$T75*AE$53/$U$53</f>
        <v>1.2464250413280629</v>
      </c>
      <c r="AA75" s="585">
        <f>$U75*AA53/$U$53</f>
        <v>0.21213395801527282</v>
      </c>
      <c r="AB75" s="585">
        <f>$U75*AB53/$U$53</f>
        <v>0.11509545076918802</v>
      </c>
      <c r="AC75" s="585">
        <f>$U75*AC53/$U$53</f>
        <v>0.13177800416840021</v>
      </c>
      <c r="AD75" s="585">
        <f>$U75*AD53/$U$53</f>
        <v>3.8949086020037056E-2</v>
      </c>
      <c r="AE75" s="585">
        <f>$U75*AE53/$U$53</f>
        <v>0.18696375619920944</v>
      </c>
      <c r="AF75" s="434"/>
    </row>
    <row r="76" spans="1:32">
      <c r="A76" s="182" t="s">
        <v>2479</v>
      </c>
      <c r="B76" s="182" t="s">
        <v>439</v>
      </c>
      <c r="C76" s="182" t="s">
        <v>812</v>
      </c>
      <c r="D76" s="182" t="s">
        <v>348</v>
      </c>
      <c r="E76" s="182" t="s">
        <v>349</v>
      </c>
      <c r="F76" s="182" t="s">
        <v>366</v>
      </c>
      <c r="G76" s="275" t="s">
        <v>490</v>
      </c>
      <c r="H76" s="275">
        <v>15</v>
      </c>
      <c r="I76" s="275">
        <v>6.7609964638628277</v>
      </c>
      <c r="J76" s="430">
        <v>4.0999999999999996</v>
      </c>
      <c r="K76" s="275">
        <v>1</v>
      </c>
      <c r="L76" s="275">
        <v>1</v>
      </c>
      <c r="M76" s="275">
        <v>0.15</v>
      </c>
      <c r="O76" s="275">
        <v>0.45</v>
      </c>
      <c r="P76" s="275"/>
      <c r="R76" s="275">
        <f t="shared" si="25"/>
        <v>4.0999999999999996</v>
      </c>
      <c r="AF76" s="434"/>
    </row>
    <row r="77" spans="1:32">
      <c r="A77" s="182" t="s">
        <v>2479</v>
      </c>
      <c r="B77" s="182" t="s">
        <v>441</v>
      </c>
      <c r="C77" s="182" t="s">
        <v>145</v>
      </c>
      <c r="D77" s="182" t="s">
        <v>348</v>
      </c>
      <c r="E77" s="182" t="s">
        <v>349</v>
      </c>
      <c r="F77" s="182" t="s">
        <v>366</v>
      </c>
      <c r="G77" s="275" t="s">
        <v>489</v>
      </c>
      <c r="H77" s="275">
        <v>15</v>
      </c>
      <c r="I77" s="275">
        <v>9.4927122068377106</v>
      </c>
      <c r="J77" s="430">
        <v>4.4000000000000004</v>
      </c>
      <c r="K77" s="275">
        <v>1</v>
      </c>
      <c r="L77" s="275">
        <v>1</v>
      </c>
      <c r="M77" s="275">
        <v>0.15</v>
      </c>
      <c r="O77" s="275">
        <v>0.45</v>
      </c>
      <c r="P77" s="275"/>
      <c r="R77" s="275">
        <f t="shared" si="25"/>
        <v>4.4000000000000004</v>
      </c>
      <c r="AF77" s="434"/>
    </row>
    <row r="78" spans="1:32">
      <c r="A78" s="182" t="s">
        <v>2479</v>
      </c>
      <c r="B78" s="182" t="s">
        <v>443</v>
      </c>
      <c r="C78" s="182" t="s">
        <v>285</v>
      </c>
      <c r="D78" s="182" t="s">
        <v>348</v>
      </c>
      <c r="E78" s="182" t="s">
        <v>349</v>
      </c>
      <c r="F78" s="182" t="s">
        <v>366</v>
      </c>
      <c r="G78" s="275" t="s">
        <v>490</v>
      </c>
      <c r="H78" s="275">
        <v>15</v>
      </c>
      <c r="I78" s="275">
        <v>9.4927122068377106</v>
      </c>
      <c r="J78" s="430">
        <v>4.4000000000000004</v>
      </c>
      <c r="K78" s="275">
        <v>1</v>
      </c>
      <c r="L78" s="275">
        <v>1</v>
      </c>
      <c r="M78" s="275">
        <v>0.15</v>
      </c>
      <c r="O78" s="275">
        <v>0.45</v>
      </c>
      <c r="P78" s="275"/>
      <c r="R78" s="275">
        <f t="shared" si="25"/>
        <v>4.4000000000000004</v>
      </c>
      <c r="AF78" s="434"/>
    </row>
    <row r="79" spans="1:32">
      <c r="A79" s="182" t="s">
        <v>2479</v>
      </c>
      <c r="B79" s="182" t="s">
        <v>445</v>
      </c>
      <c r="C79" s="182" t="s">
        <v>146</v>
      </c>
      <c r="D79" s="182" t="s">
        <v>348</v>
      </c>
      <c r="E79" s="182" t="s">
        <v>349</v>
      </c>
      <c r="F79" s="182" t="s">
        <v>366</v>
      </c>
      <c r="G79" s="275" t="s">
        <v>489</v>
      </c>
      <c r="H79" s="275">
        <v>15</v>
      </c>
      <c r="I79" s="275">
        <v>9.8341766747095694</v>
      </c>
      <c r="J79" s="430">
        <v>4.6900000000000004</v>
      </c>
      <c r="K79" s="275">
        <v>1</v>
      </c>
      <c r="L79" s="275">
        <v>1</v>
      </c>
      <c r="M79" s="275">
        <v>0.15</v>
      </c>
      <c r="O79" s="275">
        <v>0.45</v>
      </c>
      <c r="P79" s="275"/>
      <c r="R79" s="275">
        <f t="shared" si="25"/>
        <v>4.6900000000000004</v>
      </c>
      <c r="AF79" s="434"/>
    </row>
    <row r="80" spans="1:32">
      <c r="A80" s="182" t="s">
        <v>2479</v>
      </c>
      <c r="B80" s="182" t="s">
        <v>447</v>
      </c>
      <c r="C80" s="182" t="s">
        <v>286</v>
      </c>
      <c r="D80" s="182" t="s">
        <v>348</v>
      </c>
      <c r="E80" s="182" t="s">
        <v>349</v>
      </c>
      <c r="F80" s="182" t="s">
        <v>366</v>
      </c>
      <c r="G80" s="275" t="s">
        <v>490</v>
      </c>
      <c r="H80" s="275">
        <v>15</v>
      </c>
      <c r="I80" s="275">
        <v>8.6049045903708734</v>
      </c>
      <c r="J80" s="430">
        <v>4.84</v>
      </c>
      <c r="K80" s="275">
        <v>1</v>
      </c>
      <c r="L80" s="275">
        <v>1</v>
      </c>
      <c r="M80" s="275">
        <v>0.15</v>
      </c>
      <c r="O80" s="275">
        <v>0.45</v>
      </c>
      <c r="P80" s="275"/>
      <c r="R80" s="275">
        <f t="shared" si="25"/>
        <v>4.84</v>
      </c>
      <c r="AF80" s="434"/>
    </row>
    <row r="81" spans="1:34">
      <c r="A81" s="182" t="s">
        <v>2479</v>
      </c>
      <c r="B81" s="182" t="s">
        <v>1194</v>
      </c>
      <c r="C81" s="182" t="s">
        <v>1195</v>
      </c>
      <c r="D81" s="182" t="s">
        <v>348</v>
      </c>
      <c r="E81" s="182" t="s">
        <v>349</v>
      </c>
      <c r="F81" s="182" t="s">
        <v>366</v>
      </c>
      <c r="G81" s="275" t="s">
        <v>847</v>
      </c>
      <c r="H81" s="275">
        <v>15</v>
      </c>
      <c r="I81" s="275">
        <v>8.6049045903708734</v>
      </c>
      <c r="J81" s="430">
        <v>4.84</v>
      </c>
      <c r="K81" s="275">
        <v>1</v>
      </c>
      <c r="L81" s="275">
        <v>1</v>
      </c>
      <c r="M81" s="275">
        <v>0.15</v>
      </c>
      <c r="O81" s="275">
        <v>0.45</v>
      </c>
      <c r="P81" s="275"/>
      <c r="R81" s="275">
        <f t="shared" si="25"/>
        <v>4.84</v>
      </c>
      <c r="AF81" s="434"/>
    </row>
    <row r="82" spans="1:34">
      <c r="A82" s="182" t="s">
        <v>2479</v>
      </c>
      <c r="B82" s="182" t="s">
        <v>1196</v>
      </c>
      <c r="C82" s="182" t="s">
        <v>1197</v>
      </c>
      <c r="D82" s="182" t="s">
        <v>348</v>
      </c>
      <c r="E82" s="182" t="s">
        <v>349</v>
      </c>
      <c r="F82" s="182" t="s">
        <v>366</v>
      </c>
      <c r="G82" s="275" t="s">
        <v>2322</v>
      </c>
      <c r="H82" s="275">
        <v>15</v>
      </c>
      <c r="I82" s="275">
        <v>8.6049045903708734</v>
      </c>
      <c r="J82" s="430">
        <v>4.84</v>
      </c>
      <c r="K82" s="275">
        <v>1</v>
      </c>
      <c r="L82" s="275">
        <v>1</v>
      </c>
      <c r="M82" s="275">
        <v>0.15</v>
      </c>
      <c r="O82" s="275">
        <v>0.45</v>
      </c>
      <c r="P82" s="275"/>
      <c r="R82" s="275">
        <f t="shared" si="25"/>
        <v>4.84</v>
      </c>
      <c r="AF82" s="434"/>
    </row>
    <row r="83" spans="1:34">
      <c r="A83" s="182" t="s">
        <v>2479</v>
      </c>
      <c r="B83" s="182" t="s">
        <v>449</v>
      </c>
      <c r="C83" s="182" t="s">
        <v>152</v>
      </c>
      <c r="D83" s="182" t="s">
        <v>348</v>
      </c>
      <c r="E83" s="182" t="s">
        <v>349</v>
      </c>
      <c r="F83" s="182" t="s">
        <v>366</v>
      </c>
      <c r="G83" s="275" t="s">
        <v>489</v>
      </c>
      <c r="H83" s="275">
        <v>15</v>
      </c>
      <c r="I83" s="275">
        <v>10.858570078325149</v>
      </c>
      <c r="J83" s="430">
        <v>6.45</v>
      </c>
      <c r="K83" s="275">
        <v>1</v>
      </c>
      <c r="L83" s="275">
        <v>1</v>
      </c>
      <c r="M83" s="275">
        <v>0.15</v>
      </c>
      <c r="O83" s="275">
        <v>0.45</v>
      </c>
      <c r="P83" s="275"/>
      <c r="R83" s="275">
        <f t="shared" si="25"/>
        <v>6.45</v>
      </c>
      <c r="AF83" s="434"/>
    </row>
    <row r="84" spans="1:34">
      <c r="A84" s="182" t="s">
        <v>2479</v>
      </c>
      <c r="B84" s="182" t="s">
        <v>451</v>
      </c>
      <c r="C84" s="182" t="s">
        <v>833</v>
      </c>
      <c r="D84" s="182" t="s">
        <v>348</v>
      </c>
      <c r="E84" s="182" t="s">
        <v>349</v>
      </c>
      <c r="F84" s="182" t="s">
        <v>366</v>
      </c>
      <c r="G84" s="275" t="s">
        <v>847</v>
      </c>
      <c r="H84" s="275">
        <v>15</v>
      </c>
      <c r="I84" s="275">
        <v>10.995155865473894</v>
      </c>
      <c r="J84" s="430">
        <v>6.74</v>
      </c>
      <c r="K84" s="275">
        <v>1</v>
      </c>
      <c r="L84" s="275">
        <v>1</v>
      </c>
      <c r="M84" s="275">
        <v>0.15</v>
      </c>
      <c r="O84" s="275">
        <v>0.45</v>
      </c>
      <c r="P84" s="275"/>
      <c r="R84" s="275">
        <f t="shared" si="25"/>
        <v>6.74</v>
      </c>
      <c r="AF84" s="434"/>
    </row>
    <row r="85" spans="1:34">
      <c r="A85" s="182" t="s">
        <v>2479</v>
      </c>
      <c r="B85" s="182" t="s">
        <v>453</v>
      </c>
      <c r="C85" s="182" t="s">
        <v>153</v>
      </c>
      <c r="D85" s="182" t="s">
        <v>348</v>
      </c>
      <c r="E85" s="182" t="s">
        <v>349</v>
      </c>
      <c r="F85" s="182" t="s">
        <v>366</v>
      </c>
      <c r="G85" s="275" t="s">
        <v>2322</v>
      </c>
      <c r="H85" s="275">
        <v>15</v>
      </c>
      <c r="I85" s="275">
        <v>11.268327439771381</v>
      </c>
      <c r="J85" s="430">
        <v>7.03</v>
      </c>
      <c r="K85" s="275">
        <v>1</v>
      </c>
      <c r="L85" s="275">
        <v>1</v>
      </c>
      <c r="M85" s="275">
        <v>0.15</v>
      </c>
      <c r="O85" s="275">
        <v>0.45</v>
      </c>
      <c r="P85" s="275"/>
      <c r="R85" s="275">
        <f t="shared" si="25"/>
        <v>7.03</v>
      </c>
      <c r="AF85" s="434"/>
    </row>
    <row r="86" spans="1:34">
      <c r="A86" s="182" t="s">
        <v>2479</v>
      </c>
      <c r="B86" s="182" t="s">
        <v>1005</v>
      </c>
      <c r="C86" s="182" t="s">
        <v>1006</v>
      </c>
      <c r="D86" s="182" t="s">
        <v>348</v>
      </c>
      <c r="E86" s="182" t="s">
        <v>349</v>
      </c>
      <c r="F86" s="182" t="s">
        <v>366</v>
      </c>
      <c r="G86" s="275" t="s">
        <v>2323</v>
      </c>
      <c r="H86" s="275">
        <v>15</v>
      </c>
      <c r="I86" s="275">
        <v>11.268327439771381</v>
      </c>
      <c r="J86" s="430">
        <v>7.33</v>
      </c>
      <c r="K86" s="275">
        <v>1</v>
      </c>
      <c r="L86" s="275">
        <v>1</v>
      </c>
      <c r="M86" s="275">
        <v>0.15</v>
      </c>
      <c r="O86" s="275">
        <v>0.45</v>
      </c>
      <c r="P86" s="275"/>
      <c r="R86" s="275">
        <f t="shared" si="25"/>
        <v>7.33</v>
      </c>
      <c r="AF86" s="434"/>
    </row>
    <row r="87" spans="1:34">
      <c r="A87" s="445" t="s">
        <v>2404</v>
      </c>
      <c r="B87" s="445"/>
      <c r="C87" s="445"/>
      <c r="D87" s="445"/>
      <c r="E87" s="445"/>
      <c r="F87" s="445"/>
      <c r="G87" s="446"/>
      <c r="H87" s="446"/>
      <c r="I87" s="446"/>
      <c r="J87" s="447"/>
      <c r="K87" s="446"/>
      <c r="L87" s="446"/>
      <c r="M87" s="446">
        <f>M89</f>
        <v>0.15</v>
      </c>
      <c r="N87" s="446"/>
      <c r="O87" s="446"/>
      <c r="P87" s="446">
        <f>SUM(P88:P91)</f>
        <v>0</v>
      </c>
      <c r="Q87" s="448" t="s">
        <v>2404</v>
      </c>
      <c r="R87" s="446"/>
      <c r="S87" s="446"/>
      <c r="T87" s="446">
        <f>'2010 Fuel Share'!E73</f>
        <v>1.1985216974402331</v>
      </c>
      <c r="U87" s="446"/>
      <c r="V87" s="446"/>
      <c r="W87" s="446"/>
      <c r="X87" s="446"/>
      <c r="Y87" s="446"/>
      <c r="Z87" s="446"/>
      <c r="AA87" s="446"/>
      <c r="AB87" s="446"/>
      <c r="AC87" s="446"/>
      <c r="AD87" s="446"/>
      <c r="AE87" s="446"/>
      <c r="AF87" s="434"/>
    </row>
    <row r="88" spans="1:34">
      <c r="A88" s="182" t="s">
        <v>398</v>
      </c>
      <c r="P88" s="275"/>
      <c r="AF88" s="434"/>
    </row>
    <row r="89" spans="1:34">
      <c r="A89" s="182" t="s">
        <v>2479</v>
      </c>
      <c r="B89" s="182" t="s">
        <v>461</v>
      </c>
      <c r="C89" s="182" t="s">
        <v>815</v>
      </c>
      <c r="D89" s="182" t="s">
        <v>348</v>
      </c>
      <c r="E89" s="182" t="s">
        <v>352</v>
      </c>
      <c r="F89" s="182" t="s">
        <v>366</v>
      </c>
      <c r="G89" s="275" t="s">
        <v>488</v>
      </c>
      <c r="H89" s="275">
        <v>15</v>
      </c>
      <c r="I89" s="275">
        <v>0</v>
      </c>
      <c r="J89" s="430">
        <v>0.67000001668930098</v>
      </c>
      <c r="K89" s="275">
        <v>1</v>
      </c>
      <c r="L89" s="275">
        <v>1</v>
      </c>
      <c r="M89" s="275">
        <v>0.15</v>
      </c>
      <c r="O89" s="275">
        <v>0.18</v>
      </c>
      <c r="R89" s="275">
        <f t="shared" ref="R89:R91" si="31">J89</f>
        <v>0.67000001668930098</v>
      </c>
      <c r="AF89" s="434"/>
    </row>
    <row r="90" spans="1:34">
      <c r="A90" s="182" t="s">
        <v>2479</v>
      </c>
      <c r="B90" s="182" t="s">
        <v>463</v>
      </c>
      <c r="C90" s="182" t="s">
        <v>155</v>
      </c>
      <c r="D90" s="182" t="s">
        <v>348</v>
      </c>
      <c r="E90" s="182" t="s">
        <v>352</v>
      </c>
      <c r="F90" s="182" t="s">
        <v>366</v>
      </c>
      <c r="G90" s="275" t="s">
        <v>489</v>
      </c>
      <c r="H90" s="275">
        <v>15</v>
      </c>
      <c r="I90" s="275">
        <v>12.292720843386961</v>
      </c>
      <c r="J90" s="430">
        <v>0.6</v>
      </c>
      <c r="K90" s="275">
        <v>1</v>
      </c>
      <c r="L90" s="275">
        <v>1</v>
      </c>
      <c r="M90" s="275">
        <v>0.15</v>
      </c>
      <c r="O90" s="275">
        <v>0.18</v>
      </c>
      <c r="Q90" s="439">
        <v>1</v>
      </c>
      <c r="R90" s="275">
        <f t="shared" si="31"/>
        <v>0.6</v>
      </c>
      <c r="T90" s="275">
        <f t="shared" ref="T90" si="32">T87*$Q$90*$R$90/$M$90</f>
        <v>4.7940867897609323</v>
      </c>
      <c r="U90" s="275">
        <f>T87*$Q$90*$R$90</f>
        <v>0.71911301846413977</v>
      </c>
      <c r="V90" s="440">
        <f>$T90*AA$53/$U$53</f>
        <v>1.4848277563716812</v>
      </c>
      <c r="W90" s="440">
        <f t="shared" ref="W90" si="33">$T90*AB$53/$U$53</f>
        <v>0.80560850102979187</v>
      </c>
      <c r="X90" s="440">
        <f t="shared" ref="X90" si="34">$T90*AC$53/$U$53</f>
        <v>0.92237772820142461</v>
      </c>
      <c r="Y90" s="440">
        <f t="shared" ref="Y90" si="35">$T90*AD$53/$U$53</f>
        <v>0.27262341469957163</v>
      </c>
      <c r="Z90" s="440">
        <f t="shared" ref="Z90" si="36">$T90*AE$53/$U$53</f>
        <v>1.3086493894584639</v>
      </c>
      <c r="AA90" s="585">
        <f>$U90*AA53/$U$53</f>
        <v>0.22272416345575219</v>
      </c>
      <c r="AB90" s="585">
        <f t="shared" ref="AB90:AE90" si="37">$U90*AB53/$U$53</f>
        <v>0.12084127515446877</v>
      </c>
      <c r="AC90" s="585">
        <f t="shared" si="37"/>
        <v>0.1383566592302137</v>
      </c>
      <c r="AD90" s="585">
        <f t="shared" si="37"/>
        <v>4.0893512204935735E-2</v>
      </c>
      <c r="AE90" s="585">
        <f t="shared" si="37"/>
        <v>0.19629740841876955</v>
      </c>
      <c r="AF90" s="434"/>
    </row>
    <row r="91" spans="1:34">
      <c r="A91" s="182" t="s">
        <v>2479</v>
      </c>
      <c r="B91" s="182" t="s">
        <v>1022</v>
      </c>
      <c r="C91" s="182" t="s">
        <v>1023</v>
      </c>
      <c r="D91" s="182" t="s">
        <v>348</v>
      </c>
      <c r="E91" s="182" t="s">
        <v>352</v>
      </c>
      <c r="F91" s="182" t="s">
        <v>366</v>
      </c>
      <c r="G91" s="275" t="s">
        <v>847</v>
      </c>
      <c r="H91" s="275">
        <v>15</v>
      </c>
      <c r="I91" s="275">
        <v>12.292720843386961</v>
      </c>
      <c r="J91" s="430">
        <v>0.7</v>
      </c>
      <c r="K91" s="275">
        <v>1</v>
      </c>
      <c r="L91" s="275">
        <v>1</v>
      </c>
      <c r="M91" s="275">
        <v>0.15</v>
      </c>
      <c r="O91" s="275">
        <v>0.18</v>
      </c>
      <c r="P91" s="275"/>
      <c r="R91" s="275">
        <f t="shared" si="31"/>
        <v>0.7</v>
      </c>
    </row>
    <row r="92" spans="1:34">
      <c r="A92" s="280" t="s">
        <v>402</v>
      </c>
      <c r="B92" s="280"/>
      <c r="C92" s="280"/>
      <c r="D92" s="280"/>
      <c r="E92" s="280"/>
      <c r="F92" s="280"/>
      <c r="G92" s="435"/>
      <c r="H92" s="435"/>
      <c r="I92" s="435"/>
      <c r="J92" s="436"/>
      <c r="K92" s="435"/>
      <c r="L92" s="435"/>
      <c r="M92" s="435"/>
      <c r="N92" s="435"/>
      <c r="O92" s="435"/>
      <c r="P92" s="442"/>
      <c r="Q92" s="443"/>
      <c r="R92" s="435"/>
      <c r="S92" s="435"/>
      <c r="T92" s="435"/>
      <c r="U92" s="477">
        <f>SUM(U94:U114)</f>
        <v>41.698225201467018</v>
      </c>
      <c r="V92" s="477"/>
      <c r="W92" s="477"/>
      <c r="X92" s="477"/>
      <c r="Y92" s="477"/>
      <c r="Z92" s="477"/>
      <c r="AA92" s="477">
        <f>ResDemand!E104</f>
        <v>12.609343816791917</v>
      </c>
      <c r="AB92" s="477">
        <f>ResDemand!E105</f>
        <v>7.6119136017768341</v>
      </c>
      <c r="AC92" s="477">
        <f>ResDemand!E106</f>
        <v>13.049702051152163</v>
      </c>
      <c r="AD92" s="477">
        <f>ResDemand!E107</f>
        <v>2.125436784096856</v>
      </c>
      <c r="AE92" s="477">
        <f>ResDemand!E108</f>
        <v>6.3018289476492484</v>
      </c>
      <c r="AF92" s="594">
        <f>SUM(AA92:AE92)-U92</f>
        <v>0</v>
      </c>
      <c r="AG92" s="182"/>
      <c r="AH92" s="182"/>
    </row>
    <row r="93" spans="1:34">
      <c r="A93" s="445" t="s">
        <v>2404</v>
      </c>
      <c r="B93" s="445"/>
      <c r="C93" s="445"/>
      <c r="D93" s="445"/>
      <c r="E93" s="445"/>
      <c r="F93" s="445"/>
      <c r="G93" s="446"/>
      <c r="H93" s="446"/>
      <c r="I93" s="446"/>
      <c r="J93" s="447"/>
      <c r="K93" s="446"/>
      <c r="L93" s="446"/>
      <c r="M93" s="446">
        <f>M94</f>
        <v>0.1</v>
      </c>
      <c r="N93" s="446"/>
      <c r="O93" s="446"/>
      <c r="P93" s="446">
        <f>SUM(P95:P100)</f>
        <v>1190.0516923675102</v>
      </c>
      <c r="Q93" s="448" t="s">
        <v>2404</v>
      </c>
      <c r="R93" s="446"/>
      <c r="S93" s="446"/>
      <c r="T93" s="446">
        <f>'2010 Fuel Share'!D73</f>
        <v>47.505373594968376</v>
      </c>
      <c r="U93" s="446"/>
      <c r="V93" s="446"/>
      <c r="W93" s="446"/>
      <c r="X93" s="446"/>
      <c r="Y93" s="446"/>
      <c r="Z93" s="446"/>
      <c r="AA93" s="446">
        <f>SUM(AA94:AA114)</f>
        <v>12.609343816791919</v>
      </c>
      <c r="AB93" s="446">
        <f t="shared" ref="AB93:AE93" si="38">SUM(AB94:AB114)</f>
        <v>7.6119136017768341</v>
      </c>
      <c r="AC93" s="446">
        <f t="shared" si="38"/>
        <v>13.049702051152163</v>
      </c>
      <c r="AD93" s="446">
        <f t="shared" si="38"/>
        <v>2.1254367840968564</v>
      </c>
      <c r="AE93" s="446">
        <f t="shared" si="38"/>
        <v>6.3018289476492484</v>
      </c>
    </row>
    <row r="94" spans="1:34">
      <c r="A94" s="182" t="s">
        <v>2479</v>
      </c>
      <c r="B94" s="182" t="s">
        <v>817</v>
      </c>
      <c r="C94" s="182" t="s">
        <v>816</v>
      </c>
      <c r="D94" s="182" t="s">
        <v>348</v>
      </c>
      <c r="E94" s="182" t="s">
        <v>352</v>
      </c>
      <c r="F94" s="182" t="s">
        <v>368</v>
      </c>
      <c r="G94" s="275" t="s">
        <v>488</v>
      </c>
      <c r="H94" s="275">
        <v>10</v>
      </c>
      <c r="J94" s="430">
        <v>0.57569998502731301</v>
      </c>
      <c r="K94" s="275">
        <v>1</v>
      </c>
      <c r="L94" s="275">
        <v>1</v>
      </c>
      <c r="M94" s="275">
        <v>0.1</v>
      </c>
      <c r="O94" s="275">
        <v>0.18</v>
      </c>
      <c r="R94" s="275">
        <f t="shared" ref="R94:R100" si="39">J94</f>
        <v>0.57569998502731301</v>
      </c>
    </row>
    <row r="95" spans="1:34">
      <c r="A95" s="182" t="s">
        <v>2479</v>
      </c>
      <c r="B95" s="182" t="s">
        <v>287</v>
      </c>
      <c r="C95" s="182" t="s">
        <v>288</v>
      </c>
      <c r="D95" s="182" t="s">
        <v>348</v>
      </c>
      <c r="E95" s="182" t="s">
        <v>352</v>
      </c>
      <c r="F95" s="182" t="s">
        <v>368</v>
      </c>
      <c r="G95" s="275" t="s">
        <v>489</v>
      </c>
      <c r="H95" s="275">
        <v>10</v>
      </c>
      <c r="I95" s="275">
        <v>7.6212655484737528</v>
      </c>
      <c r="J95" s="430">
        <f>TechData_DMD!J222</f>
        <v>0.59</v>
      </c>
      <c r="K95" s="275">
        <v>1</v>
      </c>
      <c r="L95" s="275">
        <v>1</v>
      </c>
      <c r="M95" s="275">
        <v>0.1</v>
      </c>
      <c r="O95" s="275">
        <v>0.18</v>
      </c>
      <c r="P95" s="275">
        <v>1190.0516923675102</v>
      </c>
      <c r="Q95" s="439">
        <f>P95/P93</f>
        <v>1</v>
      </c>
      <c r="R95" s="275">
        <f t="shared" si="39"/>
        <v>0.59</v>
      </c>
      <c r="T95" s="275">
        <f>T93*$Q$95*$R$95/M95</f>
        <v>280.28170421031336</v>
      </c>
      <c r="U95" s="275">
        <f>T93*$Q$95*$R$95</f>
        <v>28.028170421031341</v>
      </c>
      <c r="V95" s="440">
        <f>$T95*AA$92/$U$92</f>
        <v>84.755846486719946</v>
      </c>
      <c r="W95" s="440">
        <f t="shared" ref="W95:Z95" si="40">$T95*AB$92/$U$92</f>
        <v>51.164770354125665</v>
      </c>
      <c r="X95" s="440">
        <f t="shared" si="40"/>
        <v>87.715789165172183</v>
      </c>
      <c r="Y95" s="440">
        <f t="shared" si="40"/>
        <v>14.286484404544781</v>
      </c>
      <c r="Z95" s="440">
        <f t="shared" si="40"/>
        <v>42.358813799750784</v>
      </c>
      <c r="AA95" s="585">
        <f>$U95*AA92/$U$92</f>
        <v>8.4755846486719975</v>
      </c>
      <c r="AB95" s="585">
        <f t="shared" ref="AB95:AE95" si="41">$U95*AB92/$U$92</f>
        <v>5.1164770354125677</v>
      </c>
      <c r="AC95" s="585">
        <f t="shared" si="41"/>
        <v>8.7715789165172193</v>
      </c>
      <c r="AD95" s="585">
        <f t="shared" si="41"/>
        <v>1.4286484404544784</v>
      </c>
      <c r="AE95" s="585">
        <f t="shared" si="41"/>
        <v>4.235881379975079</v>
      </c>
    </row>
    <row r="96" spans="1:34">
      <c r="A96" s="182" t="s">
        <v>2479</v>
      </c>
      <c r="B96" s="182" t="s">
        <v>1030</v>
      </c>
      <c r="C96" s="182" t="s">
        <v>1031</v>
      </c>
      <c r="D96" s="182" t="s">
        <v>348</v>
      </c>
      <c r="E96" s="182" t="s">
        <v>352</v>
      </c>
      <c r="F96" s="182" t="s">
        <v>368</v>
      </c>
      <c r="G96" s="275" t="s">
        <v>490</v>
      </c>
      <c r="H96" s="275">
        <v>10</v>
      </c>
      <c r="I96" s="275">
        <v>7.7906270051065025</v>
      </c>
      <c r="J96" s="430">
        <v>0.62</v>
      </c>
      <c r="K96" s="275">
        <v>1</v>
      </c>
      <c r="L96" s="275">
        <v>1</v>
      </c>
      <c r="M96" s="275">
        <v>0.1</v>
      </c>
      <c r="O96" s="275">
        <v>0.18</v>
      </c>
      <c r="P96" s="275"/>
      <c r="R96" s="275">
        <f t="shared" si="39"/>
        <v>0.62</v>
      </c>
    </row>
    <row r="97" spans="1:31">
      <c r="A97" s="182" t="s">
        <v>2479</v>
      </c>
      <c r="B97" s="182" t="s">
        <v>834</v>
      </c>
      <c r="C97" s="182" t="s">
        <v>835</v>
      </c>
      <c r="D97" s="182" t="s">
        <v>348</v>
      </c>
      <c r="E97" s="182" t="s">
        <v>352</v>
      </c>
      <c r="F97" s="182" t="s">
        <v>368</v>
      </c>
      <c r="G97" s="275" t="s">
        <v>489</v>
      </c>
      <c r="H97" s="275">
        <v>10</v>
      </c>
      <c r="I97" s="275">
        <v>10.585091039546878</v>
      </c>
      <c r="J97" s="430">
        <v>0.67</v>
      </c>
      <c r="K97" s="275">
        <v>1</v>
      </c>
      <c r="L97" s="275">
        <v>1</v>
      </c>
      <c r="M97" s="275">
        <v>0.1</v>
      </c>
      <c r="O97" s="275">
        <v>0.18</v>
      </c>
      <c r="P97" s="275"/>
      <c r="R97" s="275">
        <f t="shared" si="39"/>
        <v>0.67</v>
      </c>
    </row>
    <row r="98" spans="1:31">
      <c r="A98" s="182" t="s">
        <v>2479</v>
      </c>
      <c r="B98" s="182" t="s">
        <v>158</v>
      </c>
      <c r="C98" s="182" t="s">
        <v>159</v>
      </c>
      <c r="D98" s="182" t="s">
        <v>348</v>
      </c>
      <c r="E98" s="182" t="s">
        <v>352</v>
      </c>
      <c r="F98" s="182" t="s">
        <v>368</v>
      </c>
      <c r="G98" s="275" t="s">
        <v>489</v>
      </c>
      <c r="H98" s="275">
        <v>10</v>
      </c>
      <c r="I98" s="275">
        <v>18.629760229602507</v>
      </c>
      <c r="J98" s="430">
        <v>0.82</v>
      </c>
      <c r="K98" s="275">
        <v>1</v>
      </c>
      <c r="L98" s="275">
        <v>1</v>
      </c>
      <c r="M98" s="275">
        <v>0.1</v>
      </c>
      <c r="O98" s="275">
        <v>0.18</v>
      </c>
      <c r="P98" s="275"/>
      <c r="R98" s="275">
        <f t="shared" si="39"/>
        <v>0.82</v>
      </c>
    </row>
    <row r="99" spans="1:31">
      <c r="A99" s="182" t="s">
        <v>2479</v>
      </c>
      <c r="B99" s="182" t="s">
        <v>836</v>
      </c>
      <c r="C99" s="182" t="s">
        <v>837</v>
      </c>
      <c r="D99" s="182" t="s">
        <v>348</v>
      </c>
      <c r="E99" s="182" t="s">
        <v>352</v>
      </c>
      <c r="F99" s="182" t="s">
        <v>368</v>
      </c>
      <c r="G99" s="275" t="s">
        <v>847</v>
      </c>
      <c r="H99" s="275">
        <v>20</v>
      </c>
      <c r="I99" s="275">
        <v>17.782952946438755</v>
      </c>
      <c r="J99" s="430">
        <v>0.9</v>
      </c>
      <c r="K99" s="275">
        <v>1</v>
      </c>
      <c r="L99" s="275">
        <v>1</v>
      </c>
      <c r="M99" s="275">
        <v>0.1</v>
      </c>
      <c r="O99" s="275">
        <v>0.18</v>
      </c>
      <c r="P99" s="275"/>
      <c r="R99" s="275">
        <f t="shared" si="39"/>
        <v>0.9</v>
      </c>
    </row>
    <row r="100" spans="1:31">
      <c r="A100" s="182" t="s">
        <v>2479</v>
      </c>
      <c r="B100" s="182" t="s">
        <v>160</v>
      </c>
      <c r="C100" s="182" t="s">
        <v>161</v>
      </c>
      <c r="D100" s="182" t="s">
        <v>348</v>
      </c>
      <c r="E100" s="182" t="s">
        <v>352</v>
      </c>
      <c r="F100" s="182" t="s">
        <v>368</v>
      </c>
      <c r="G100" s="275" t="s">
        <v>489</v>
      </c>
      <c r="H100" s="275">
        <v>20</v>
      </c>
      <c r="I100" s="275">
        <v>13.548916530620005</v>
      </c>
      <c r="J100" s="430">
        <v>0.85</v>
      </c>
      <c r="K100" s="275">
        <v>1</v>
      </c>
      <c r="L100" s="275">
        <v>1</v>
      </c>
      <c r="M100" s="275">
        <v>0.1</v>
      </c>
      <c r="O100" s="275">
        <v>0.45</v>
      </c>
      <c r="P100" s="275"/>
      <c r="R100" s="275">
        <f t="shared" si="39"/>
        <v>0.85</v>
      </c>
    </row>
    <row r="101" spans="1:31">
      <c r="A101" s="445" t="s">
        <v>346</v>
      </c>
      <c r="B101" s="445"/>
      <c r="C101" s="445"/>
      <c r="D101" s="445"/>
      <c r="E101" s="445"/>
      <c r="F101" s="445"/>
      <c r="G101" s="446"/>
      <c r="H101" s="446"/>
      <c r="I101" s="446"/>
      <c r="J101" s="447"/>
      <c r="K101" s="446"/>
      <c r="L101" s="446"/>
      <c r="M101" s="446">
        <f>M102</f>
        <v>0.1</v>
      </c>
      <c r="N101" s="446"/>
      <c r="O101" s="446"/>
      <c r="P101" s="446">
        <f>SUM(P103:P109)</f>
        <v>303.49755654813748</v>
      </c>
      <c r="Q101" s="448" t="s">
        <v>346</v>
      </c>
      <c r="R101" s="446"/>
      <c r="S101" s="446"/>
      <c r="T101" s="446">
        <f>'2010 Fuel Share'!D72</f>
        <v>1.3536304619780846</v>
      </c>
      <c r="U101" s="446"/>
      <c r="V101" s="446"/>
      <c r="W101" s="446"/>
      <c r="X101" s="446"/>
      <c r="Y101" s="446"/>
      <c r="Z101" s="446"/>
      <c r="AA101" s="446"/>
      <c r="AB101" s="446"/>
      <c r="AC101" s="446"/>
      <c r="AD101" s="446"/>
      <c r="AE101" s="446"/>
    </row>
    <row r="102" spans="1:31">
      <c r="A102" s="182" t="s">
        <v>2479</v>
      </c>
      <c r="B102" s="182" t="s">
        <v>819</v>
      </c>
      <c r="C102" s="182" t="s">
        <v>818</v>
      </c>
      <c r="D102" s="182" t="s">
        <v>348</v>
      </c>
      <c r="E102" s="182" t="s">
        <v>349</v>
      </c>
      <c r="F102" s="182" t="s">
        <v>368</v>
      </c>
      <c r="G102" s="275" t="s">
        <v>488</v>
      </c>
      <c r="H102" s="275">
        <v>15</v>
      </c>
      <c r="J102" s="430">
        <v>0.88819998502731301</v>
      </c>
      <c r="K102" s="275">
        <v>1</v>
      </c>
      <c r="L102" s="275">
        <v>1</v>
      </c>
      <c r="M102" s="275">
        <v>0.1</v>
      </c>
      <c r="O102" s="275">
        <v>0.18</v>
      </c>
      <c r="R102" s="275">
        <f t="shared" ref="R102:R109" si="42">J102</f>
        <v>0.88819998502731301</v>
      </c>
    </row>
    <row r="103" spans="1:31">
      <c r="A103" s="182" t="s">
        <v>2479</v>
      </c>
      <c r="B103" s="182" t="s">
        <v>289</v>
      </c>
      <c r="C103" s="182" t="s">
        <v>290</v>
      </c>
      <c r="D103" s="182" t="s">
        <v>348</v>
      </c>
      <c r="E103" s="182" t="s">
        <v>349</v>
      </c>
      <c r="F103" s="182" t="s">
        <v>368</v>
      </c>
      <c r="G103" s="275" t="s">
        <v>489</v>
      </c>
      <c r="H103" s="275">
        <v>15</v>
      </c>
      <c r="I103" s="275">
        <v>5.0808436989825019</v>
      </c>
      <c r="J103" s="430">
        <f>TechData_DMD!J243</f>
        <v>0.9</v>
      </c>
      <c r="K103" s="275">
        <v>1</v>
      </c>
      <c r="L103" s="275">
        <v>1</v>
      </c>
      <c r="M103" s="275">
        <v>0.1</v>
      </c>
      <c r="O103" s="275">
        <v>0.18</v>
      </c>
      <c r="P103" s="275">
        <v>303.49755654813748</v>
      </c>
      <c r="Q103" s="439">
        <f>P103/P101</f>
        <v>1</v>
      </c>
      <c r="R103" s="275">
        <f t="shared" si="42"/>
        <v>0.9</v>
      </c>
      <c r="T103" s="275">
        <f t="shared" ref="T103" si="43">T101*$Q$103*$R$103/$M$103</f>
        <v>12.182674157802762</v>
      </c>
      <c r="U103" s="275">
        <f>T101*$Q$103*$R$103</f>
        <v>1.2182674157802762</v>
      </c>
      <c r="V103" s="440">
        <f>$T103*AA$92/$U$92</f>
        <v>3.6839823834582881</v>
      </c>
      <c r="W103" s="440">
        <f t="shared" ref="W103" si="44">$T103*AB$92/$U$92</f>
        <v>2.2239187082842906</v>
      </c>
      <c r="X103" s="440">
        <f t="shared" ref="X103" si="45">$T103*AC$92/$U$92</f>
        <v>3.8126387196931333</v>
      </c>
      <c r="Y103" s="440">
        <f t="shared" ref="Y103" si="46">$T103*AD$92/$U$92</f>
        <v>0.62097376227775747</v>
      </c>
      <c r="Z103" s="440">
        <f t="shared" ref="Z103" si="47">$T103*AE$92/$U$92</f>
        <v>1.8411605840892924</v>
      </c>
      <c r="AA103" s="585">
        <f>$U103*AA92/$U$92</f>
        <v>0.3683982383458288</v>
      </c>
      <c r="AB103" s="585">
        <f t="shared" ref="AB103:AE103" si="48">$U103*AB92/$U$92</f>
        <v>0.22239187082842907</v>
      </c>
      <c r="AC103" s="585">
        <f t="shared" si="48"/>
        <v>0.38126387196931333</v>
      </c>
      <c r="AD103" s="585">
        <f t="shared" si="48"/>
        <v>6.2097376227775752E-2</v>
      </c>
      <c r="AE103" s="585">
        <f t="shared" si="48"/>
        <v>0.18411605840892925</v>
      </c>
    </row>
    <row r="104" spans="1:31">
      <c r="A104" s="182" t="s">
        <v>2479</v>
      </c>
      <c r="B104" s="182" t="s">
        <v>291</v>
      </c>
      <c r="C104" s="182" t="s">
        <v>292</v>
      </c>
      <c r="D104" s="182" t="s">
        <v>348</v>
      </c>
      <c r="E104" s="182" t="s">
        <v>349</v>
      </c>
      <c r="F104" s="182" t="s">
        <v>368</v>
      </c>
      <c r="G104" s="275" t="s">
        <v>489</v>
      </c>
      <c r="H104" s="275">
        <v>15</v>
      </c>
      <c r="I104" s="275">
        <v>5.292545519773439</v>
      </c>
      <c r="J104" s="430">
        <v>0.91</v>
      </c>
      <c r="K104" s="275">
        <v>1</v>
      </c>
      <c r="L104" s="275">
        <v>1</v>
      </c>
      <c r="M104" s="275">
        <v>0.1</v>
      </c>
      <c r="O104" s="275">
        <v>0.18</v>
      </c>
      <c r="P104" s="275"/>
      <c r="R104" s="275">
        <f t="shared" si="42"/>
        <v>0.91</v>
      </c>
    </row>
    <row r="105" spans="1:31">
      <c r="A105" s="182" t="s">
        <v>2479</v>
      </c>
      <c r="B105" s="182" t="s">
        <v>1198</v>
      </c>
      <c r="C105" s="182" t="s">
        <v>1199</v>
      </c>
      <c r="D105" s="182" t="s">
        <v>348</v>
      </c>
      <c r="E105" s="182" t="s">
        <v>349</v>
      </c>
      <c r="F105" s="182" t="s">
        <v>368</v>
      </c>
      <c r="G105" s="275" t="s">
        <v>490</v>
      </c>
      <c r="H105" s="275">
        <v>15</v>
      </c>
      <c r="I105" s="275">
        <v>5.7159491613553151</v>
      </c>
      <c r="J105" s="430">
        <v>0.95</v>
      </c>
      <c r="K105" s="275">
        <v>1</v>
      </c>
      <c r="L105" s="275">
        <v>1</v>
      </c>
      <c r="M105" s="275">
        <v>0.1</v>
      </c>
      <c r="O105" s="275">
        <v>0.18</v>
      </c>
      <c r="P105" s="275"/>
      <c r="R105" s="275">
        <f t="shared" si="42"/>
        <v>0.95</v>
      </c>
    </row>
    <row r="106" spans="1:31">
      <c r="A106" s="182" t="s">
        <v>2479</v>
      </c>
      <c r="B106" s="182" t="s">
        <v>838</v>
      </c>
      <c r="C106" s="182" t="s">
        <v>839</v>
      </c>
      <c r="D106" s="182" t="s">
        <v>348</v>
      </c>
      <c r="E106" s="182" t="s">
        <v>349</v>
      </c>
      <c r="F106" s="182" t="s">
        <v>368</v>
      </c>
      <c r="G106" s="275" t="s">
        <v>489</v>
      </c>
      <c r="H106" s="275">
        <v>15</v>
      </c>
      <c r="I106" s="275">
        <v>6.1393528029371884</v>
      </c>
      <c r="J106" s="430">
        <v>0.96</v>
      </c>
      <c r="K106" s="275">
        <v>1</v>
      </c>
      <c r="L106" s="275">
        <v>1</v>
      </c>
      <c r="M106" s="275">
        <v>0.1</v>
      </c>
      <c r="O106" s="275">
        <v>0.18</v>
      </c>
      <c r="P106" s="275"/>
      <c r="R106" s="275">
        <f t="shared" si="42"/>
        <v>0.96</v>
      </c>
    </row>
    <row r="107" spans="1:31">
      <c r="A107" s="182" t="s">
        <v>2479</v>
      </c>
      <c r="B107" s="182" t="s">
        <v>840</v>
      </c>
      <c r="C107" s="182" t="s">
        <v>841</v>
      </c>
      <c r="D107" s="182" t="s">
        <v>348</v>
      </c>
      <c r="E107" s="182" t="s">
        <v>349</v>
      </c>
      <c r="F107" s="182" t="s">
        <v>368</v>
      </c>
      <c r="G107" s="275" t="s">
        <v>489</v>
      </c>
      <c r="H107" s="275">
        <v>15</v>
      </c>
      <c r="I107" s="275">
        <v>15.66593473852938</v>
      </c>
      <c r="J107" s="430">
        <v>2</v>
      </c>
      <c r="K107" s="275">
        <v>1</v>
      </c>
      <c r="L107" s="275">
        <v>1</v>
      </c>
      <c r="M107" s="275">
        <v>0.1</v>
      </c>
      <c r="O107" s="275">
        <v>0.45</v>
      </c>
      <c r="P107" s="275"/>
      <c r="R107" s="275">
        <f t="shared" si="42"/>
        <v>2</v>
      </c>
    </row>
    <row r="108" spans="1:31">
      <c r="A108" s="182" t="s">
        <v>2479</v>
      </c>
      <c r="B108" s="182" t="s">
        <v>162</v>
      </c>
      <c r="C108" s="182" t="s">
        <v>163</v>
      </c>
      <c r="D108" s="182" t="s">
        <v>348</v>
      </c>
      <c r="E108" s="182" t="s">
        <v>349</v>
      </c>
      <c r="F108" s="182" t="s">
        <v>368</v>
      </c>
      <c r="G108" s="275" t="s">
        <v>847</v>
      </c>
      <c r="H108" s="275">
        <v>15</v>
      </c>
      <c r="I108" s="275">
        <v>15.242531096947506</v>
      </c>
      <c r="J108" s="430">
        <v>2</v>
      </c>
      <c r="K108" s="275">
        <v>1</v>
      </c>
      <c r="L108" s="275">
        <v>1</v>
      </c>
      <c r="M108" s="275">
        <v>0.1</v>
      </c>
      <c r="O108" s="275">
        <v>0.45</v>
      </c>
      <c r="P108" s="275"/>
      <c r="R108" s="275">
        <f t="shared" si="42"/>
        <v>2</v>
      </c>
    </row>
    <row r="109" spans="1:31">
      <c r="A109" s="182" t="s">
        <v>2479</v>
      </c>
      <c r="B109" s="182" t="s">
        <v>149</v>
      </c>
      <c r="C109" s="182" t="s">
        <v>164</v>
      </c>
      <c r="D109" s="182" t="s">
        <v>348</v>
      </c>
      <c r="E109" s="182" t="s">
        <v>349</v>
      </c>
      <c r="F109" s="182" t="s">
        <v>368</v>
      </c>
      <c r="G109" s="275" t="s">
        <v>489</v>
      </c>
      <c r="H109" s="275">
        <v>15</v>
      </c>
      <c r="I109" s="275">
        <v>17.359549304856881</v>
      </c>
      <c r="J109" s="430">
        <v>2.35</v>
      </c>
      <c r="K109" s="275">
        <v>1</v>
      </c>
      <c r="L109" s="275">
        <v>1</v>
      </c>
      <c r="M109" s="275">
        <v>0.1</v>
      </c>
      <c r="O109" s="275">
        <v>0.45</v>
      </c>
      <c r="P109" s="275"/>
      <c r="R109" s="275">
        <f t="shared" si="42"/>
        <v>2.35</v>
      </c>
    </row>
    <row r="110" spans="1:31">
      <c r="A110" s="445" t="s">
        <v>2405</v>
      </c>
      <c r="B110" s="445"/>
      <c r="C110" s="445"/>
      <c r="D110" s="445"/>
      <c r="E110" s="445"/>
      <c r="F110" s="445"/>
      <c r="G110" s="446"/>
      <c r="H110" s="446"/>
      <c r="I110" s="446"/>
      <c r="J110" s="447"/>
      <c r="K110" s="446"/>
      <c r="L110" s="446"/>
      <c r="M110" s="446"/>
      <c r="N110" s="446"/>
      <c r="O110" s="446"/>
      <c r="P110" s="446">
        <f>SUM(P112:P114)</f>
        <v>48.526233211600392</v>
      </c>
      <c r="Q110" s="448" t="s">
        <v>2405</v>
      </c>
      <c r="R110" s="446"/>
      <c r="S110" s="446"/>
      <c r="T110" s="446">
        <f>'2010 Fuel Share'!D74</f>
        <v>23.493938423878117</v>
      </c>
      <c r="U110" s="446"/>
      <c r="V110" s="446"/>
      <c r="W110" s="446"/>
      <c r="X110" s="446"/>
      <c r="Y110" s="446"/>
      <c r="Z110" s="446"/>
      <c r="AA110" s="446"/>
      <c r="AB110" s="446"/>
      <c r="AC110" s="446"/>
      <c r="AD110" s="446"/>
      <c r="AE110" s="446"/>
    </row>
    <row r="111" spans="1:31">
      <c r="A111" s="182" t="s">
        <v>2479</v>
      </c>
      <c r="B111" s="182" t="s">
        <v>821</v>
      </c>
      <c r="C111" s="182" t="s">
        <v>820</v>
      </c>
      <c r="D111" s="182" t="s">
        <v>348</v>
      </c>
      <c r="E111" s="182" t="s">
        <v>354</v>
      </c>
      <c r="F111" s="182" t="s">
        <v>368</v>
      </c>
      <c r="G111" s="275" t="s">
        <v>488</v>
      </c>
      <c r="H111" s="275">
        <v>10</v>
      </c>
      <c r="J111" s="430">
        <v>0.54500001668930098</v>
      </c>
      <c r="K111" s="275">
        <v>1</v>
      </c>
      <c r="L111" s="275">
        <v>1</v>
      </c>
      <c r="M111" s="275">
        <v>0.1</v>
      </c>
      <c r="O111" s="275">
        <v>0.45</v>
      </c>
      <c r="R111" s="275">
        <f t="shared" ref="R111:R114" si="49">J111</f>
        <v>0.54500001668930098</v>
      </c>
    </row>
    <row r="112" spans="1:31">
      <c r="A112" s="182" t="s">
        <v>2479</v>
      </c>
      <c r="B112" s="182" t="s">
        <v>293</v>
      </c>
      <c r="C112" s="182" t="s">
        <v>294</v>
      </c>
      <c r="D112" s="182" t="s">
        <v>348</v>
      </c>
      <c r="E112" s="182" t="s">
        <v>354</v>
      </c>
      <c r="F112" s="182" t="s">
        <v>368</v>
      </c>
      <c r="G112" s="275" t="s">
        <v>489</v>
      </c>
      <c r="H112" s="275">
        <v>10</v>
      </c>
      <c r="I112" s="275">
        <v>16.089338380111254</v>
      </c>
      <c r="J112" s="430">
        <f>TechData_DMD!J267</f>
        <v>0.53</v>
      </c>
      <c r="K112" s="275">
        <v>1</v>
      </c>
      <c r="L112" s="275">
        <v>1</v>
      </c>
      <c r="M112" s="275">
        <v>0.1</v>
      </c>
      <c r="O112" s="275">
        <v>0.45</v>
      </c>
      <c r="P112" s="275">
        <v>48.526233211600392</v>
      </c>
      <c r="Q112" s="439">
        <f>P112/P110</f>
        <v>1</v>
      </c>
      <c r="R112" s="275">
        <f t="shared" si="49"/>
        <v>0.53</v>
      </c>
      <c r="T112" s="275">
        <f t="shared" ref="T112" si="50">T110*$Q$112*$R$112/$M$112</f>
        <v>124.51787364655402</v>
      </c>
      <c r="U112" s="275">
        <f>T110*$Q$112*$R$112</f>
        <v>12.451787364655402</v>
      </c>
      <c r="V112" s="440">
        <f>$T112*AA$92/$U$92</f>
        <v>37.653609297740921</v>
      </c>
      <c r="W112" s="440">
        <f t="shared" ref="W112" si="51">$T112*AB$92/$U$92</f>
        <v>22.730446955358374</v>
      </c>
      <c r="X112" s="440">
        <f t="shared" ref="X112" si="52">$T112*AC$92/$U$92</f>
        <v>38.96859262665631</v>
      </c>
      <c r="Y112" s="440">
        <f t="shared" ref="Y112" si="53">$T112*AD$92/$U$92</f>
        <v>6.3469096741460209</v>
      </c>
      <c r="Z112" s="440">
        <f t="shared" ref="Z112" si="54">$T112*AE$92/$U$92</f>
        <v>18.818315092652405</v>
      </c>
      <c r="AA112" s="585">
        <f>$U112*AA92/$U$92</f>
        <v>3.7653609297740918</v>
      </c>
      <c r="AB112" s="585">
        <f t="shared" ref="AB112:AE112" si="55">$U112*AB92/$U$92</f>
        <v>2.2730446955358374</v>
      </c>
      <c r="AC112" s="585">
        <f t="shared" si="55"/>
        <v>3.8968592626656307</v>
      </c>
      <c r="AD112" s="585">
        <f t="shared" si="55"/>
        <v>0.63469096741460218</v>
      </c>
      <c r="AE112" s="585">
        <f t="shared" si="55"/>
        <v>1.8818315092652402</v>
      </c>
    </row>
    <row r="113" spans="1:35">
      <c r="A113" s="182" t="s">
        <v>2479</v>
      </c>
      <c r="B113" s="182" t="s">
        <v>295</v>
      </c>
      <c r="C113" s="182" t="s">
        <v>296</v>
      </c>
      <c r="D113" s="182" t="s">
        <v>348</v>
      </c>
      <c r="E113" s="182" t="s">
        <v>354</v>
      </c>
      <c r="F113" s="182" t="s">
        <v>368</v>
      </c>
      <c r="G113" s="275" t="s">
        <v>489</v>
      </c>
      <c r="H113" s="275">
        <v>10</v>
      </c>
      <c r="I113" s="275">
        <v>17.782952946438755</v>
      </c>
      <c r="J113" s="430">
        <v>0.62</v>
      </c>
      <c r="K113" s="275">
        <v>1</v>
      </c>
      <c r="L113" s="275">
        <v>1</v>
      </c>
      <c r="M113" s="275">
        <v>0.1</v>
      </c>
      <c r="O113" s="275">
        <v>0.45</v>
      </c>
      <c r="P113" s="275"/>
      <c r="R113" s="275">
        <f t="shared" si="49"/>
        <v>0.62</v>
      </c>
    </row>
    <row r="114" spans="1:35">
      <c r="A114" s="182" t="s">
        <v>2479</v>
      </c>
      <c r="B114" s="182" t="s">
        <v>156</v>
      </c>
      <c r="C114" s="182" t="s">
        <v>157</v>
      </c>
      <c r="D114" s="182" t="s">
        <v>348</v>
      </c>
      <c r="E114" s="182" t="s">
        <v>354</v>
      </c>
      <c r="F114" s="182" t="s">
        <v>368</v>
      </c>
      <c r="G114" s="275" t="s">
        <v>489</v>
      </c>
      <c r="H114" s="275">
        <v>10</v>
      </c>
      <c r="I114" s="275">
        <v>19.053163871184381</v>
      </c>
      <c r="J114" s="430">
        <v>0.68</v>
      </c>
      <c r="K114" s="275">
        <v>1</v>
      </c>
      <c r="L114" s="275">
        <v>1</v>
      </c>
      <c r="M114" s="275">
        <v>0.1</v>
      </c>
      <c r="O114" s="275">
        <v>0.45</v>
      </c>
      <c r="P114" s="275"/>
      <c r="R114" s="275">
        <f t="shared" si="49"/>
        <v>0.68</v>
      </c>
    </row>
    <row r="115" spans="1:35">
      <c r="A115" s="280" t="s">
        <v>1490</v>
      </c>
      <c r="B115" s="280"/>
      <c r="C115" s="280"/>
      <c r="D115" s="280"/>
      <c r="E115" s="280"/>
      <c r="F115" s="280"/>
      <c r="G115" s="435"/>
      <c r="H115" s="435"/>
      <c r="I115" s="435"/>
      <c r="J115" s="436"/>
      <c r="K115" s="435"/>
      <c r="L115" s="435"/>
      <c r="M115" s="435"/>
      <c r="N115" s="435"/>
      <c r="O115" s="435"/>
      <c r="P115" s="435"/>
      <c r="Q115" s="441"/>
      <c r="R115" s="435"/>
      <c r="S115" s="435"/>
      <c r="T115" s="435">
        <f>'2010 Fuel Share'!F72</f>
        <v>14.177960207408754</v>
      </c>
      <c r="U115" s="477">
        <f>SUM(AA115:AE115)</f>
        <v>9.9996907963731889</v>
      </c>
      <c r="V115" s="477">
        <f t="shared" ref="V115:AE115" si="56">SUM(V117:V121)</f>
        <v>3.0782416160614448</v>
      </c>
      <c r="W115" s="477">
        <f t="shared" si="56"/>
        <v>1.7751646292430898</v>
      </c>
      <c r="X115" s="477">
        <f t="shared" si="56"/>
        <v>2.9737076988733784</v>
      </c>
      <c r="Y115" s="477">
        <f t="shared" si="56"/>
        <v>0.59899058435141805</v>
      </c>
      <c r="Z115" s="477">
        <f t="shared" si="56"/>
        <v>1.5735862678438581</v>
      </c>
      <c r="AA115" s="604">
        <f t="shared" si="56"/>
        <v>3.0782416160614448</v>
      </c>
      <c r="AB115" s="604">
        <f t="shared" si="56"/>
        <v>1.7751646292430898</v>
      </c>
      <c r="AC115" s="604">
        <f t="shared" si="56"/>
        <v>2.9737076988733784</v>
      </c>
      <c r="AD115" s="604">
        <f t="shared" si="56"/>
        <v>0.59899058435141805</v>
      </c>
      <c r="AE115" s="604">
        <f t="shared" si="56"/>
        <v>1.5735862678438581</v>
      </c>
      <c r="AF115" s="594">
        <f>SUM(AA115:AE115)-U115</f>
        <v>0</v>
      </c>
      <c r="AG115" s="581"/>
      <c r="AH115" s="581"/>
      <c r="AI115" s="182"/>
    </row>
    <row r="116" spans="1:35">
      <c r="A116" s="445" t="s">
        <v>346</v>
      </c>
      <c r="B116" s="445"/>
      <c r="C116" s="445"/>
      <c r="D116" s="445"/>
      <c r="E116" s="445"/>
      <c r="F116" s="445"/>
      <c r="G116" s="446"/>
      <c r="H116" s="446"/>
      <c r="I116" s="446"/>
      <c r="J116" s="447"/>
      <c r="K116" s="446"/>
      <c r="L116" s="446"/>
      <c r="M116" s="446"/>
      <c r="N116" s="446"/>
      <c r="O116" s="446"/>
      <c r="P116" s="446">
        <f>SUM(P117:P121)</f>
        <v>67.239449024324784</v>
      </c>
      <c r="Q116" s="448" t="s">
        <v>346</v>
      </c>
      <c r="R116" s="446"/>
      <c r="S116" s="446"/>
      <c r="T116" s="662">
        <f>'2010 Fuel Share'!F72</f>
        <v>14.177960207408754</v>
      </c>
      <c r="U116" s="446"/>
      <c r="V116" s="446">
        <f>ResDemand!$D$56/ResDemand!$D$64</f>
        <v>0.30783367993517352</v>
      </c>
      <c r="W116" s="446">
        <f>ResDemand!$D$57/ResDemand!$D$64</f>
        <v>0.17752195196744769</v>
      </c>
      <c r="X116" s="446">
        <f>ResDemand!$D$58/ResDemand!$D$64</f>
        <v>0.29737996498370922</v>
      </c>
      <c r="Y116" s="446">
        <f>ResDemand!$D$59/ResDemand!$D$64</f>
        <v>5.9900910593022265E-2</v>
      </c>
      <c r="Z116" s="446">
        <f>ResDemand!$D$60/ResDemand!$D$64</f>
        <v>0.1573634925206473</v>
      </c>
      <c r="AA116" s="605">
        <f>ResDemand!D56</f>
        <v>2.7997869380132285</v>
      </c>
      <c r="AB116" s="605">
        <f>ResDemand!D57</f>
        <v>1.6145850006852391</v>
      </c>
      <c r="AC116" s="605">
        <f>ResDemand!D58</f>
        <v>2.7047090551091002</v>
      </c>
      <c r="AD116" s="605">
        <f>ResDemand!D59</f>
        <v>0.54480649124800073</v>
      </c>
      <c r="AE116" s="605">
        <f>ResDemand!D60</f>
        <v>1.4312412175699327</v>
      </c>
      <c r="AI116" s="182"/>
    </row>
    <row r="117" spans="1:35">
      <c r="B117" s="182" t="str">
        <f>TechData_DMD!B349</f>
        <v>RLTGINC10</v>
      </c>
      <c r="C117" s="664" t="s">
        <v>1369</v>
      </c>
      <c r="D117" s="182" t="s">
        <v>376</v>
      </c>
      <c r="E117" s="182" t="s">
        <v>349</v>
      </c>
      <c r="F117" s="182" t="s">
        <v>374</v>
      </c>
      <c r="G117" s="275" t="s">
        <v>489</v>
      </c>
      <c r="H117" s="275">
        <v>1.1643835616438356</v>
      </c>
      <c r="I117" s="275">
        <v>0.29993805021193348</v>
      </c>
      <c r="J117" s="582">
        <f>TechData_DMD!J349</f>
        <v>0.45981100563498845</v>
      </c>
      <c r="K117" s="275">
        <v>1</v>
      </c>
      <c r="L117" s="275">
        <v>1</v>
      </c>
      <c r="M117" s="275">
        <v>1</v>
      </c>
      <c r="O117" s="275">
        <v>0.18</v>
      </c>
      <c r="P117" s="275">
        <v>40.577382241806873</v>
      </c>
      <c r="Q117" s="663">
        <f>USDemand!$C$67</f>
        <v>0.60306000000000004</v>
      </c>
      <c r="R117" s="444">
        <f>'RTEKTY Conv'!G177</f>
        <v>0.45981100563498845</v>
      </c>
      <c r="T117" s="275">
        <f>USDemand!A67*1.1</f>
        <v>6.0304135316608161</v>
      </c>
      <c r="V117" s="440">
        <f>T117*$V$116</f>
        <v>1.8563643889820149</v>
      </c>
      <c r="W117" s="440">
        <f>T117*$W$116</f>
        <v>1.0705307813113381</v>
      </c>
      <c r="X117" s="440">
        <f>T117*$X$116</f>
        <v>1.7933241648825797</v>
      </c>
      <c r="Y117" s="440">
        <f>T117*$Y$116</f>
        <v>0.36122726179896619</v>
      </c>
      <c r="Z117" s="440">
        <f>T117*$Z$116</f>
        <v>0.94896693468591709</v>
      </c>
      <c r="AA117" s="585">
        <f>V117</f>
        <v>1.8563643889820149</v>
      </c>
      <c r="AB117" s="585">
        <f t="shared" ref="AA117:AE121" si="57">W117</f>
        <v>1.0705307813113381</v>
      </c>
      <c r="AC117" s="585">
        <f t="shared" si="57"/>
        <v>1.7933241648825797</v>
      </c>
      <c r="AD117" s="585">
        <f t="shared" si="57"/>
        <v>0.36122726179896619</v>
      </c>
      <c r="AE117" s="585">
        <f t="shared" si="57"/>
        <v>0.94896693468591709</v>
      </c>
      <c r="AI117" s="182"/>
    </row>
    <row r="118" spans="1:35">
      <c r="B118" s="275" t="str">
        <f>TechData_DMD!B353</f>
        <v>RLTGCFL10</v>
      </c>
      <c r="C118" s="182" t="s">
        <v>1368</v>
      </c>
      <c r="D118" s="182" t="s">
        <v>376</v>
      </c>
      <c r="E118" s="182" t="s">
        <v>349</v>
      </c>
      <c r="F118" s="182" t="s">
        <v>374</v>
      </c>
      <c r="G118" s="275" t="s">
        <v>489</v>
      </c>
      <c r="H118" s="275">
        <v>13.698630136986301</v>
      </c>
      <c r="I118" s="275">
        <v>2.7903327701534422</v>
      </c>
      <c r="J118" s="582">
        <f>TechData_DMD!J353</f>
        <v>2.1309861778393948</v>
      </c>
      <c r="K118" s="275">
        <v>1</v>
      </c>
      <c r="L118" s="275">
        <v>1</v>
      </c>
      <c r="M118" s="275">
        <v>1</v>
      </c>
      <c r="O118" s="275">
        <v>0.28000000000000003</v>
      </c>
      <c r="P118" s="275">
        <v>7.8575864321274471</v>
      </c>
      <c r="Q118" s="439">
        <f>USDemand!$C$68</f>
        <v>0.11700000000000001</v>
      </c>
      <c r="R118" s="444">
        <f>'RTEKTY Conv'!G181</f>
        <v>2.1309861778393948</v>
      </c>
      <c r="T118" s="275">
        <f>USDemand!A68*1.1</f>
        <v>1.1699638231756633</v>
      </c>
      <c r="V118" s="440">
        <f>T118*$V$116</f>
        <v>0.36015426907918907</v>
      </c>
      <c r="W118" s="440">
        <f>T118*$W$116</f>
        <v>0.20769426162144156</v>
      </c>
      <c r="X118" s="440">
        <f>T118*$X$116</f>
        <v>0.3479238007681853</v>
      </c>
      <c r="Y118" s="440">
        <f>T118*$Y$116</f>
        <v>7.0081898369115922E-2</v>
      </c>
      <c r="Z118" s="440">
        <f>T118*$Z$116</f>
        <v>0.18410959333773141</v>
      </c>
      <c r="AA118" s="585">
        <f>V118</f>
        <v>0.36015426907918907</v>
      </c>
      <c r="AB118" s="585">
        <f t="shared" si="57"/>
        <v>0.20769426162144156</v>
      </c>
      <c r="AC118" s="585">
        <f t="shared" si="57"/>
        <v>0.3479238007681853</v>
      </c>
      <c r="AD118" s="585">
        <f t="shared" si="57"/>
        <v>7.0081898369115922E-2</v>
      </c>
      <c r="AE118" s="585">
        <f t="shared" si="57"/>
        <v>0.18410959333773141</v>
      </c>
      <c r="AI118" s="182"/>
    </row>
    <row r="119" spans="1:35">
      <c r="B119" s="182" t="str">
        <f>TechData_DMD!B366</f>
        <v>RLTRINC10</v>
      </c>
      <c r="C119" s="182" t="s">
        <v>1398</v>
      </c>
      <c r="D119" s="182" t="s">
        <v>376</v>
      </c>
      <c r="E119" s="182" t="s">
        <v>349</v>
      </c>
      <c r="F119" s="182" t="s">
        <v>374</v>
      </c>
      <c r="G119" s="275" t="s">
        <v>489</v>
      </c>
      <c r="H119" s="275">
        <v>1.1643835616438356</v>
      </c>
      <c r="I119" s="275">
        <v>3.0084695339439387</v>
      </c>
      <c r="J119" s="582">
        <f>TechData_DMD!J366</f>
        <v>0.76793723125015889</v>
      </c>
      <c r="K119" s="275">
        <v>1</v>
      </c>
      <c r="L119" s="275">
        <v>1</v>
      </c>
      <c r="M119" s="275">
        <v>1</v>
      </c>
      <c r="O119" s="275">
        <v>0.18</v>
      </c>
      <c r="P119" s="275">
        <v>3.3579429197125843</v>
      </c>
      <c r="Q119" s="439">
        <f>USDemand!$C$70</f>
        <v>0.05</v>
      </c>
      <c r="R119" s="444">
        <f>TechData_DMD!J366</f>
        <v>0.76793723125015889</v>
      </c>
      <c r="T119" s="275">
        <f>USDemand!A70*1.1</f>
        <v>0.49998453981865942</v>
      </c>
      <c r="V119" s="440">
        <f>T119*$V$116</f>
        <v>0.15391208080307223</v>
      </c>
      <c r="W119" s="440">
        <f>T119*$W$116</f>
        <v>8.8758231462154488E-2</v>
      </c>
      <c r="X119" s="440">
        <f>T119*$X$116</f>
        <v>0.1486853849436689</v>
      </c>
      <c r="Y119" s="440">
        <f>T119*$Y$116</f>
        <v>2.9949529217570898E-2</v>
      </c>
      <c r="Z119" s="440">
        <f>T119*$Z$116</f>
        <v>7.867931339219289E-2</v>
      </c>
      <c r="AA119" s="585">
        <f t="shared" si="57"/>
        <v>0.15391208080307223</v>
      </c>
      <c r="AB119" s="585">
        <f t="shared" si="57"/>
        <v>8.8758231462154488E-2</v>
      </c>
      <c r="AC119" s="585">
        <f t="shared" si="57"/>
        <v>0.1486853849436689</v>
      </c>
      <c r="AD119" s="585">
        <f t="shared" si="57"/>
        <v>2.9949529217570898E-2</v>
      </c>
      <c r="AE119" s="585">
        <f t="shared" si="57"/>
        <v>7.867931339219289E-2</v>
      </c>
      <c r="AI119" s="182"/>
    </row>
    <row r="120" spans="1:35">
      <c r="B120" s="182" t="str">
        <f>TechData_DMD!C385</f>
        <v>RLT.LFL.10</v>
      </c>
      <c r="C120" s="664" t="s">
        <v>1429</v>
      </c>
      <c r="D120" s="182" t="s">
        <v>376</v>
      </c>
      <c r="E120" s="182" t="s">
        <v>349</v>
      </c>
      <c r="F120" s="182" t="s">
        <v>374</v>
      </c>
      <c r="G120" s="275" t="s">
        <v>489</v>
      </c>
      <c r="H120" s="275">
        <v>32.876712328767127</v>
      </c>
      <c r="I120" s="275">
        <v>5.2625494264457418</v>
      </c>
      <c r="J120" s="582">
        <f>TechData_DMD!J385</f>
        <v>2.0009706521081223</v>
      </c>
      <c r="K120" s="275">
        <v>1</v>
      </c>
      <c r="L120" s="275">
        <v>1</v>
      </c>
      <c r="M120" s="275">
        <v>1</v>
      </c>
      <c r="O120" s="275">
        <v>0.18</v>
      </c>
      <c r="P120" s="275">
        <v>12.088594510965303</v>
      </c>
      <c r="Q120" s="663">
        <f>USDemand!$C$69</f>
        <v>0.18</v>
      </c>
      <c r="R120" s="444">
        <f>'RTEKTY Conv'!G220</f>
        <v>2.0009706521081223</v>
      </c>
      <c r="T120" s="275">
        <f>USDemand!A69*1.1</f>
        <v>1.7999443433471738</v>
      </c>
      <c r="V120" s="440">
        <f>T120*$V$116</f>
        <v>0.55408349089106002</v>
      </c>
      <c r="W120" s="440">
        <f>T120*$W$116</f>
        <v>0.31952963326375616</v>
      </c>
      <c r="X120" s="440">
        <f>T120*$X$116</f>
        <v>0.53526738579720801</v>
      </c>
      <c r="Y120" s="440">
        <f>T120*$Y$116</f>
        <v>0.10781830518325523</v>
      </c>
      <c r="Z120" s="440">
        <f>T120*$Z$116</f>
        <v>0.28324552821189442</v>
      </c>
      <c r="AA120" s="585">
        <f>V120</f>
        <v>0.55408349089106002</v>
      </c>
      <c r="AB120" s="585">
        <f t="shared" si="57"/>
        <v>0.31952963326375616</v>
      </c>
      <c r="AC120" s="585">
        <f t="shared" si="57"/>
        <v>0.53526738579720801</v>
      </c>
      <c r="AD120" s="585">
        <f t="shared" si="57"/>
        <v>0.10781830518325523</v>
      </c>
      <c r="AE120" s="585">
        <f t="shared" si="57"/>
        <v>0.28324552821189442</v>
      </c>
      <c r="AI120" s="182"/>
    </row>
    <row r="121" spans="1:35">
      <c r="B121" s="182" t="str">
        <f>TechData_DMD!B393</f>
        <v>RLTEXTBS</v>
      </c>
      <c r="C121" s="182" t="s">
        <v>1447</v>
      </c>
      <c r="D121" s="182" t="s">
        <v>376</v>
      </c>
      <c r="E121" s="182" t="s">
        <v>349</v>
      </c>
      <c r="F121" s="182" t="s">
        <v>374</v>
      </c>
      <c r="G121" s="275" t="s">
        <v>489</v>
      </c>
      <c r="H121" s="275">
        <v>2.1465753424657534</v>
      </c>
      <c r="I121" s="275">
        <v>2.9175792156978977</v>
      </c>
      <c r="J121" s="582">
        <f>TechData_DMD!J393</f>
        <v>1.3102451539881022</v>
      </c>
      <c r="K121" s="275">
        <v>1</v>
      </c>
      <c r="L121" s="275">
        <v>1</v>
      </c>
      <c r="M121" s="275">
        <v>1</v>
      </c>
      <c r="O121" s="275">
        <v>0.18</v>
      </c>
      <c r="P121" s="275">
        <v>3.3579429197125843</v>
      </c>
      <c r="Q121" s="439">
        <f>USDemand!$C$71</f>
        <v>4.9939999999999998E-2</v>
      </c>
      <c r="R121" s="444">
        <f>TechData_DMD!J393</f>
        <v>1.3102451539881022</v>
      </c>
      <c r="T121" s="275">
        <f>USDemand!A71*1.1</f>
        <v>0.49938455837087703</v>
      </c>
      <c r="V121" s="440">
        <f>T121*$V$116</f>
        <v>0.15372738630610855</v>
      </c>
      <c r="W121" s="440">
        <f>T121*$W$116</f>
        <v>8.8651721584399906E-2</v>
      </c>
      <c r="X121" s="440">
        <f>T121*$X$116</f>
        <v>0.1485069624817365</v>
      </c>
      <c r="Y121" s="440">
        <f>T121*$Y$116</f>
        <v>2.9913589782509815E-2</v>
      </c>
      <c r="Z121" s="440">
        <f>T121*$Z$116</f>
        <v>7.8584898216122259E-2</v>
      </c>
      <c r="AA121" s="585">
        <f t="shared" si="57"/>
        <v>0.15372738630610855</v>
      </c>
      <c r="AB121" s="585">
        <f t="shared" si="57"/>
        <v>8.8651721584399906E-2</v>
      </c>
      <c r="AC121" s="585">
        <f t="shared" si="57"/>
        <v>0.1485069624817365</v>
      </c>
      <c r="AD121" s="585">
        <f t="shared" si="57"/>
        <v>2.9913589782509815E-2</v>
      </c>
      <c r="AE121" s="585">
        <f t="shared" si="57"/>
        <v>7.8584898216122259E-2</v>
      </c>
      <c r="AI121" s="182"/>
    </row>
    <row r="122" spans="1:35">
      <c r="P122" s="275"/>
      <c r="T122" s="275">
        <f>SUM(T117:T121)</f>
        <v>9.9996907963731907</v>
      </c>
      <c r="AI122" s="182"/>
    </row>
    <row r="123" spans="1:35">
      <c r="A123" s="280"/>
      <c r="B123" s="280" t="s">
        <v>1090</v>
      </c>
      <c r="C123" s="280" t="s">
        <v>1087</v>
      </c>
      <c r="D123" s="280" t="s">
        <v>348</v>
      </c>
      <c r="E123" s="280" t="s">
        <v>349</v>
      </c>
      <c r="F123" s="280" t="s">
        <v>377</v>
      </c>
      <c r="G123" s="435">
        <v>2010</v>
      </c>
      <c r="H123" s="435">
        <v>30</v>
      </c>
      <c r="I123" s="435"/>
      <c r="J123" s="436">
        <v>1</v>
      </c>
      <c r="K123" s="435">
        <v>1</v>
      </c>
      <c r="L123" s="435">
        <v>1</v>
      </c>
      <c r="M123" s="435">
        <v>1</v>
      </c>
      <c r="N123" s="435"/>
      <c r="O123" s="435">
        <v>0.18</v>
      </c>
      <c r="P123" s="435"/>
      <c r="Q123" s="441"/>
      <c r="R123" s="435">
        <f t="shared" ref="R123:R124" si="58">J123</f>
        <v>1</v>
      </c>
      <c r="S123" s="435"/>
      <c r="T123" s="435"/>
      <c r="U123" s="435"/>
      <c r="V123" s="435">
        <f>ResDemand!E68</f>
        <v>9.6248377466974055</v>
      </c>
      <c r="W123" s="435">
        <f>ResDemand!E69</f>
        <v>4.8441160833300101</v>
      </c>
      <c r="X123" s="435">
        <f>ResDemand!E70</f>
        <v>6.7282357346674937</v>
      </c>
      <c r="Y123" s="435">
        <f>ResDemand!E71</f>
        <v>2.4575994045761966</v>
      </c>
      <c r="Z123" s="435">
        <f>ResDemand!E72</f>
        <v>4.9241949405521845</v>
      </c>
      <c r="AA123" s="435"/>
      <c r="AB123" s="435"/>
      <c r="AC123" s="435"/>
      <c r="AD123" s="435"/>
      <c r="AE123" s="435"/>
      <c r="AF123" s="594">
        <f>SUM(AA123:AE123)-U123</f>
        <v>0</v>
      </c>
      <c r="AI123" s="182"/>
    </row>
    <row r="124" spans="1:35">
      <c r="A124" s="280"/>
      <c r="B124" s="280" t="str">
        <f>Technologies!D377</f>
        <v>ROTHNGA</v>
      </c>
      <c r="C124" s="280" t="str">
        <f>Technologies!E377</f>
        <v>Residential Other - NGA</v>
      </c>
      <c r="D124" s="280" t="str">
        <f>Technologies!F377</f>
        <v>PJ</v>
      </c>
      <c r="E124" s="280" t="str">
        <f>TechData_DMD!E412</f>
        <v>RESNGAEA</v>
      </c>
      <c r="F124" s="280" t="str">
        <f>TechData_DMD!F412</f>
        <v>ROG</v>
      </c>
      <c r="G124" s="280">
        <f>TechData_DMD!G412</f>
        <v>2010</v>
      </c>
      <c r="H124" s="280">
        <f>TechData_DMD!H412</f>
        <v>45</v>
      </c>
      <c r="I124" s="280"/>
      <c r="J124" s="280">
        <f>TechData_DMD!J412</f>
        <v>1</v>
      </c>
      <c r="K124" s="280">
        <f>TechData_DMD!K412</f>
        <v>1</v>
      </c>
      <c r="L124" s="280">
        <v>1</v>
      </c>
      <c r="M124" s="280" t="e">
        <f>TechData_DMD!#REF!</f>
        <v>#REF!</v>
      </c>
      <c r="N124" s="280">
        <f>TechData_DMD!L412</f>
        <v>1</v>
      </c>
      <c r="O124" s="280">
        <f>TechData_DMD!L412</f>
        <v>1</v>
      </c>
      <c r="P124" s="435"/>
      <c r="Q124" s="435"/>
      <c r="R124" s="435">
        <f t="shared" si="58"/>
        <v>1</v>
      </c>
      <c r="S124" s="435"/>
      <c r="T124" s="435"/>
      <c r="U124" s="435"/>
      <c r="V124" s="435">
        <f>ResDemand!E80</f>
        <v>0.65454182801082939</v>
      </c>
      <c r="W124" s="435">
        <f>ResDemand!E81</f>
        <v>0.49073984106104068</v>
      </c>
      <c r="X124" s="435">
        <f>ResDemand!E82</f>
        <v>0.99731969089646599</v>
      </c>
      <c r="Y124" s="435">
        <f>ResDemand!E83</f>
        <v>6.5798580988431207E-2</v>
      </c>
      <c r="Z124" s="435">
        <f>ResDemand!E84</f>
        <v>0.13283714841908131</v>
      </c>
      <c r="AA124" s="435"/>
      <c r="AB124" s="435"/>
      <c r="AC124" s="435"/>
      <c r="AD124" s="435"/>
      <c r="AE124" s="435"/>
      <c r="AI124" s="182"/>
    </row>
    <row r="125" spans="1:35">
      <c r="A125" s="275"/>
      <c r="B125" s="275"/>
      <c r="C125" s="275"/>
      <c r="D125" s="275"/>
      <c r="E125" s="275"/>
      <c r="F125" s="275"/>
      <c r="J125" s="275"/>
      <c r="P125" s="275"/>
      <c r="Q125" s="275"/>
      <c r="AI125" s="182"/>
    </row>
    <row r="126" spans="1:35">
      <c r="A126" s="275"/>
      <c r="B126" s="275"/>
      <c r="C126" s="275"/>
      <c r="D126" s="275"/>
      <c r="E126" s="275"/>
      <c r="F126" s="275"/>
      <c r="J126" s="275"/>
      <c r="P126" s="275"/>
      <c r="Q126" s="275"/>
      <c r="AI126" s="182"/>
    </row>
    <row r="127" spans="1:35">
      <c r="A127" s="275"/>
      <c r="B127" s="275"/>
      <c r="C127" s="275"/>
      <c r="D127" s="275"/>
      <c r="E127" s="275"/>
      <c r="F127" s="275"/>
      <c r="J127" s="275"/>
      <c r="P127" s="275"/>
      <c r="Q127" s="275"/>
      <c r="AI127" s="182"/>
    </row>
    <row r="128" spans="1:35">
      <c r="A128" s="275"/>
      <c r="B128" s="275"/>
      <c r="C128" s="275"/>
      <c r="D128" s="275"/>
      <c r="E128" s="275"/>
      <c r="F128" s="275"/>
      <c r="J128" s="275"/>
      <c r="P128" s="275"/>
      <c r="Q128" s="275"/>
      <c r="AI128" s="182"/>
    </row>
    <row r="129" spans="1:35">
      <c r="A129" s="275"/>
      <c r="B129" s="275"/>
      <c r="C129" s="275"/>
      <c r="D129" s="275"/>
      <c r="E129" s="275"/>
      <c r="F129" s="275"/>
      <c r="J129" s="275"/>
      <c r="P129" s="275"/>
      <c r="Q129" s="275"/>
      <c r="AI129" s="182"/>
    </row>
    <row r="130" spans="1:35">
      <c r="E130" s="275"/>
      <c r="F130" s="275"/>
      <c r="H130" s="430"/>
      <c r="J130" s="275"/>
      <c r="O130" s="439"/>
      <c r="P130" s="275"/>
      <c r="Q130" s="275"/>
    </row>
    <row r="131" spans="1:35">
      <c r="P131" s="275"/>
    </row>
    <row r="132" spans="1:35">
      <c r="P132" s="275"/>
    </row>
    <row r="133" spans="1:35">
      <c r="P133" s="275"/>
    </row>
    <row r="134" spans="1:35">
      <c r="P134" s="275"/>
    </row>
    <row r="135" spans="1:35">
      <c r="P135" s="275"/>
    </row>
    <row r="136" spans="1:35">
      <c r="P136" s="275"/>
    </row>
    <row r="137" spans="1:35">
      <c r="P137" s="275"/>
    </row>
    <row r="138" spans="1:35">
      <c r="P138" s="275"/>
    </row>
    <row r="139" spans="1:35">
      <c r="P139" s="275"/>
    </row>
    <row r="140" spans="1:35">
      <c r="P140" s="275"/>
    </row>
    <row r="141" spans="1:35">
      <c r="P141" s="275"/>
    </row>
    <row r="142" spans="1:35">
      <c r="P142" s="275"/>
    </row>
    <row r="143" spans="1:35">
      <c r="P143" s="275"/>
    </row>
    <row r="144" spans="1:35">
      <c r="P144" s="275"/>
    </row>
    <row r="145" spans="16:16">
      <c r="P145" s="275"/>
    </row>
    <row r="146" spans="16:16">
      <c r="P146" s="275"/>
    </row>
    <row r="147" spans="16:16">
      <c r="P147" s="275"/>
    </row>
    <row r="148" spans="16:16">
      <c r="P148" s="275"/>
    </row>
    <row r="149" spans="16:16">
      <c r="P149" s="275"/>
    </row>
  </sheetData>
  <mergeCells count="2">
    <mergeCell ref="V1:Z1"/>
    <mergeCell ref="AA1:A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112"/>
  <sheetViews>
    <sheetView zoomScale="80" zoomScaleNormal="80" workbookViewId="0">
      <selection activeCell="C33" sqref="C33"/>
    </sheetView>
  </sheetViews>
  <sheetFormatPr defaultColWidth="9.28515625" defaultRowHeight="12"/>
  <cols>
    <col min="1" max="2" width="6" style="161" customWidth="1"/>
    <col min="3" max="3" width="16.7109375" style="161" customWidth="1"/>
    <col min="4" max="14" width="9.7109375" style="161" customWidth="1"/>
    <col min="15" max="15" width="9.28515625" style="161"/>
    <col min="16" max="26" width="9.7109375" style="161" customWidth="1"/>
    <col min="27" max="27" width="12.5703125" style="161" bestFit="1" customWidth="1"/>
    <col min="28" max="16384" width="9.28515625" style="161"/>
  </cols>
  <sheetData>
    <row r="1" spans="1:26" ht="13.5" customHeight="1">
      <c r="A1" s="48" t="s">
        <v>661</v>
      </c>
      <c r="B1" s="48"/>
    </row>
    <row r="2" spans="1:26" ht="13.5" customHeight="1"/>
    <row r="3" spans="1:26">
      <c r="A3" s="267" t="s">
        <v>662</v>
      </c>
      <c r="B3" s="267"/>
      <c r="C3" s="268"/>
      <c r="D3" s="268"/>
      <c r="E3" s="268"/>
      <c r="F3" s="268"/>
      <c r="G3" s="268"/>
      <c r="H3" s="268"/>
      <c r="I3" s="269" t="s">
        <v>663</v>
      </c>
      <c r="J3" s="268"/>
      <c r="K3" s="268"/>
      <c r="L3" s="268"/>
      <c r="M3" s="268"/>
      <c r="N3" s="268"/>
      <c r="P3" s="268"/>
      <c r="Q3" s="268"/>
      <c r="R3" s="268"/>
      <c r="S3" s="268"/>
      <c r="T3" s="268"/>
      <c r="U3" s="269" t="s">
        <v>663</v>
      </c>
      <c r="V3" s="268"/>
      <c r="W3" s="268"/>
      <c r="X3" s="268"/>
      <c r="Y3" s="268"/>
      <c r="Z3" s="268"/>
    </row>
    <row r="4" spans="1:26">
      <c r="C4" s="163" t="s">
        <v>664</v>
      </c>
      <c r="D4" s="164">
        <v>2005</v>
      </c>
      <c r="E4" s="164">
        <v>2010</v>
      </c>
      <c r="F4" s="164">
        <v>2015</v>
      </c>
      <c r="G4" s="164">
        <v>2020</v>
      </c>
      <c r="H4" s="164">
        <v>2025</v>
      </c>
      <c r="I4" s="164">
        <v>2030</v>
      </c>
      <c r="J4" s="164">
        <v>2035</v>
      </c>
      <c r="K4" s="164">
        <v>2040</v>
      </c>
      <c r="L4" s="164">
        <v>2045</v>
      </c>
      <c r="M4" s="164">
        <v>2050</v>
      </c>
      <c r="N4" s="164">
        <v>2055</v>
      </c>
      <c r="P4" s="164">
        <v>2005</v>
      </c>
      <c r="Q4" s="164">
        <v>2010</v>
      </c>
      <c r="R4" s="164">
        <v>2015</v>
      </c>
      <c r="S4" s="164">
        <v>2020</v>
      </c>
      <c r="T4" s="164">
        <v>2025</v>
      </c>
      <c r="U4" s="164">
        <v>2030</v>
      </c>
      <c r="V4" s="164">
        <v>2035</v>
      </c>
      <c r="W4" s="164">
        <v>2040</v>
      </c>
      <c r="X4" s="164">
        <v>2045</v>
      </c>
      <c r="Y4" s="164">
        <v>2050</v>
      </c>
      <c r="Z4" s="164">
        <v>2055</v>
      </c>
    </row>
    <row r="5" spans="1:26">
      <c r="A5" s="449" t="s">
        <v>464</v>
      </c>
      <c r="B5" s="449" t="s">
        <v>665</v>
      </c>
      <c r="C5" s="449" t="s">
        <v>500</v>
      </c>
      <c r="D5" s="450">
        <f>(1-ResCalc!D110)*ResCalc!D$89*ResCalc!D$62*ResCalc!D66*ResCalc!T44*ResCalc!D$86/'Conv Factors'!$B$17</f>
        <v>0</v>
      </c>
      <c r="E5" s="450">
        <f>(1-ResCalc!E110)*ResCalc!E$89*ResCalc!E$62*ResCalc!E66*ResCalc!U44*ResCalc!E$86/'Conv Factors'!$B$17</f>
        <v>0</v>
      </c>
      <c r="F5" s="450">
        <f>(1-ResCalc!F110)*ResCalc!F$89*ResCalc!F$62*ResCalc!F66*ResCalc!V44*ResCalc!F$86/'Conv Factors'!$B$17</f>
        <v>0</v>
      </c>
      <c r="G5" s="450">
        <f>(1-ResCalc!G110)*ResCalc!G$89*ResCalc!G$62*ResCalc!G66*ResCalc!W44*ResCalc!G$86/'Conv Factors'!$B$17</f>
        <v>0</v>
      </c>
      <c r="H5" s="450">
        <f>(1-ResCalc!H110)*ResCalc!H$89*ResCalc!H$62*ResCalc!H66*ResCalc!X44*ResCalc!H$86/'Conv Factors'!$B$17</f>
        <v>0</v>
      </c>
      <c r="I5" s="450">
        <f>(1-ResCalc!I110)*ResCalc!I$89*ResCalc!I$62*ResCalc!I66*ResCalc!Y44*ResCalc!I$86/'Conv Factors'!$B$17</f>
        <v>0</v>
      </c>
      <c r="J5" s="450">
        <f>(1-ResCalc!J110)*ResCalc!J$89*ResCalc!J$62*ResCalc!J66*ResCalc!Z44*ResCalc!J$86/'Conv Factors'!$B$17</f>
        <v>0</v>
      </c>
      <c r="K5" s="450">
        <f>(1-ResCalc!K110)*ResCalc!K$89*ResCalc!K$62*ResCalc!K66*ResCalc!AA44*ResCalc!K$86/'Conv Factors'!$B$17</f>
        <v>0</v>
      </c>
      <c r="L5" s="450">
        <f>(1-ResCalc!L110)*ResCalc!L$89*ResCalc!L$62*ResCalc!L66*ResCalc!AB44*ResCalc!L$86/'Conv Factors'!$B$17</f>
        <v>0</v>
      </c>
      <c r="M5" s="450">
        <f>(1-ResCalc!M110)*ResCalc!M$89*ResCalc!M$62*ResCalc!M66*ResCalc!AC44*ResCalc!M$86/'Conv Factors'!$B$17</f>
        <v>0</v>
      </c>
      <c r="N5" s="450">
        <f>(1-ResCalc!N110)*ResCalc!N$89*ResCalc!N$62*ResCalc!N66*ResCalc!AD44*ResCalc!N$86/'Conv Factors'!$B$17</f>
        <v>0</v>
      </c>
      <c r="P5" s="450">
        <v>0</v>
      </c>
      <c r="Q5" s="450">
        <v>0</v>
      </c>
      <c r="R5" s="450">
        <v>0</v>
      </c>
      <c r="S5" s="450">
        <v>0</v>
      </c>
      <c r="T5" s="450">
        <v>0</v>
      </c>
      <c r="U5" s="450">
        <v>0</v>
      </c>
      <c r="V5" s="450">
        <v>0</v>
      </c>
      <c r="W5" s="450">
        <v>0</v>
      </c>
      <c r="X5" s="450">
        <v>0</v>
      </c>
      <c r="Y5" s="450">
        <v>0</v>
      </c>
      <c r="Z5" s="450">
        <v>0</v>
      </c>
    </row>
    <row r="6" spans="1:26" ht="12.75">
      <c r="A6" s="144"/>
      <c r="C6" s="182" t="s">
        <v>2345</v>
      </c>
      <c r="D6" s="451">
        <f>(1-ResCalc!D$111)*ResCalc!D$89*ResCalc!D$62*ResCalc!D67*ResCalc!$I35*ResCalc!D86/'Conv Factors'!$B$17</f>
        <v>7.6932806246514112</v>
      </c>
      <c r="E6" s="451">
        <f>(1-ResCalc!E$111)*ResCalc!E$89*ResCalc!E$62*ResCalc!E67*ResCalc!$I35*ResCalc!E86/'Conv Factors'!$B$17</f>
        <v>8.0344681393833923</v>
      </c>
      <c r="F6" s="451">
        <f>(1-ResCalc!F$111)*ResCalc!F$89*ResCalc!F$62*ResCalc!F67*ResCalc!$I35*ResCalc!F86/'Conv Factors'!$B$17</f>
        <v>7.9922343319403799</v>
      </c>
      <c r="G6" s="451">
        <f>(1-ResCalc!G$111)*ResCalc!G$89*ResCalc!G$62*ResCalc!G67*ResCalc!$I35*ResCalc!G86/'Conv Factors'!$B$17</f>
        <v>8.4017127097168416</v>
      </c>
      <c r="H6" s="451">
        <f>(1-ResCalc!H$111)*ResCalc!H$89*ResCalc!H$62*ResCalc!H67*ResCalc!$I35*ResCalc!H86/'Conv Factors'!$B$17</f>
        <v>9.0434442573572973</v>
      </c>
      <c r="I6" s="451">
        <f>(1-ResCalc!I$111)*ResCalc!I$89*ResCalc!I$62*ResCalc!I67*ResCalc!$I35*ResCalc!I86/'Conv Factors'!$B$17</f>
        <v>9.7060084062019545</v>
      </c>
      <c r="J6" s="451">
        <f>(1-ResCalc!J$111)*ResCalc!J$89*ResCalc!J$62*ResCalc!J67*ResCalc!$I35*ResCalc!J86/'Conv Factors'!$B$17</f>
        <v>10.569516632976589</v>
      </c>
      <c r="K6" s="451">
        <f>(1-ResCalc!K$111)*ResCalc!K$89*ResCalc!K$62*ResCalc!K67*ResCalc!$I35*ResCalc!K86/'Conv Factors'!$B$17</f>
        <v>11.508576494387427</v>
      </c>
      <c r="L6" s="451">
        <f>(1-ResCalc!L$111)*ResCalc!L$89*ResCalc!L$62*ResCalc!L67*ResCalc!$I35*ResCalc!L86/'Conv Factors'!$B$17</f>
        <v>12.408697038474909</v>
      </c>
      <c r="M6" s="451">
        <f>(1-ResCalc!M$111)*ResCalc!M$89*ResCalc!M$62*ResCalc!M67*ResCalc!$I35*ResCalc!M86/'Conv Factors'!$B$17</f>
        <v>13.471523974879522</v>
      </c>
      <c r="N6" s="451">
        <f>(1-ResCalc!N$111)*ResCalc!N$89*ResCalc!N$62*ResCalc!N67*ResCalc!$I35*ResCalc!N86/'Conv Factors'!$B$17</f>
        <v>14.624840333311552</v>
      </c>
      <c r="P6" s="451">
        <v>19.014617681409472</v>
      </c>
      <c r="Q6" s="451">
        <v>19.857892542528017</v>
      </c>
      <c r="R6" s="451">
        <v>19.753507983984044</v>
      </c>
      <c r="S6" s="451">
        <v>20.765569701487813</v>
      </c>
      <c r="T6" s="451">
        <v>22.351665494403903</v>
      </c>
      <c r="U6" s="451">
        <v>23.989250887990202</v>
      </c>
      <c r="V6" s="451">
        <v>26.123487190804838</v>
      </c>
      <c r="W6" s="451">
        <v>28.444455983684868</v>
      </c>
      <c r="X6" s="451">
        <v>30.669182839242833</v>
      </c>
      <c r="Y6" s="451">
        <v>33.296052811005126</v>
      </c>
      <c r="Z6" s="451">
        <v>36.146575324252737</v>
      </c>
    </row>
    <row r="7" spans="1:26" ht="12.75">
      <c r="A7" s="144"/>
      <c r="C7" s="182" t="s">
        <v>2346</v>
      </c>
      <c r="D7" s="451">
        <f>(1-ResCalc!D112)*ResCalc!D$89*ResCalc!D$62*ResCalc!D68*ResCalc!T46*ResCalc!D$86/'Conv Factors'!$B$17</f>
        <v>4.1753936571066257</v>
      </c>
      <c r="E7" s="451">
        <f>(1-ResCalc!E$111)*ResCalc!E$89*ResCalc!E$62*ResCalc!E68*ResCalc!$I36*ResCalc!E87/'Conv Factors'!$B$17</f>
        <v>4.3591829466851975</v>
      </c>
      <c r="F7" s="451">
        <f>(1-ResCalc!F$111)*ResCalc!F$89*ResCalc!F$62*ResCalc!F68*ResCalc!$I36*ResCalc!F87/'Conv Factors'!$B$17</f>
        <v>4.4116111421954178</v>
      </c>
      <c r="G7" s="451">
        <f>(1-ResCalc!G$111)*ResCalc!G$89*ResCalc!G$62*ResCalc!G68*ResCalc!$I36*ResCalc!G87/'Conv Factors'!$B$17</f>
        <v>4.5896611031145023</v>
      </c>
      <c r="H7" s="451">
        <f>(1-ResCalc!H$111)*ResCalc!H$89*ResCalc!H$62*ResCalc!H68*ResCalc!$I36*ResCalc!H87/'Conv Factors'!$B$17</f>
        <v>4.9645745467205913</v>
      </c>
      <c r="I7" s="451">
        <f>(1-ResCalc!I$111)*ResCalc!I$89*ResCalc!I$62*ResCalc!I68*ResCalc!$I36*ResCalc!I87/'Conv Factors'!$B$17</f>
        <v>5.3534347044631874</v>
      </c>
      <c r="J7" s="451">
        <f>(1-ResCalc!J$111)*ResCalc!J$89*ResCalc!J$62*ResCalc!J68*ResCalc!$I36*ResCalc!J87/'Conv Factors'!$B$17</f>
        <v>5.8533795525245322</v>
      </c>
      <c r="K7" s="451">
        <f>(1-ResCalc!K$111)*ResCalc!K$89*ResCalc!K$62*ResCalc!K68*ResCalc!$I36*ResCalc!K87/'Conv Factors'!$B$17</f>
        <v>6.3984164497333662</v>
      </c>
      <c r="L7" s="451">
        <f>(1-ResCalc!L$111)*ResCalc!L$89*ResCalc!L$62*ResCalc!L68*ResCalc!$I36*ResCalc!L87/'Conv Factors'!$B$17</f>
        <v>6.9375125298511646</v>
      </c>
      <c r="M7" s="451">
        <f>(1-ResCalc!M$111)*ResCalc!M$89*ResCalc!M$62*ResCalc!M68*ResCalc!$I36*ResCalc!M87/'Conv Factors'!$B$17</f>
        <v>7.559020211665997</v>
      </c>
      <c r="N7" s="451">
        <f>(1-ResCalc!N$111)*ResCalc!N$89*ResCalc!N$62*ResCalc!N68*ResCalc!$I36*ResCalc!N87/'Conv Factors'!$B$17</f>
        <v>8.2347847763766797</v>
      </c>
      <c r="P7" s="451">
        <v>10.31985156044688</v>
      </c>
      <c r="Q7" s="451">
        <v>10.774102905975139</v>
      </c>
      <c r="R7" s="451">
        <v>10.9036837885649</v>
      </c>
      <c r="S7" s="451">
        <v>11.343749880034128</v>
      </c>
      <c r="T7" s="451">
        <v>12.270381331764577</v>
      </c>
      <c r="U7" s="451">
        <v>13.231483310459533</v>
      </c>
      <c r="V7" s="451">
        <v>14.467140842204328</v>
      </c>
      <c r="W7" s="451">
        <v>15.814247327502628</v>
      </c>
      <c r="X7" s="451">
        <v>17.146670562414961</v>
      </c>
      <c r="Y7" s="451">
        <v>18.682781297528518</v>
      </c>
      <c r="Z7" s="451">
        <v>20.35299267646154</v>
      </c>
    </row>
    <row r="8" spans="1:26" ht="12.75">
      <c r="A8" s="144"/>
      <c r="C8" s="182" t="s">
        <v>2347</v>
      </c>
      <c r="D8" s="451">
        <f>(1-ResCalc!D113)*ResCalc!D$89*ResCalc!D$62*ResCalc!D69*ResCalc!T47*ResCalc!D$86/'Conv Factors'!$B$17</f>
        <v>4.9006533845601892</v>
      </c>
      <c r="E8" s="451">
        <f>(1-ResCalc!E$113)*ResCalc!E$89*ResCalc!E$62*ResCalc!E69*ResCalc!$I37*ResCalc!E86/'Conv Factors'!$B$17</f>
        <v>4.9910263583839622</v>
      </c>
      <c r="F8" s="451">
        <f>(1-ResCalc!F$113)*ResCalc!F$89*ResCalc!F$62*ResCalc!F69*ResCalc!$I37*ResCalc!F86/'Conv Factors'!$B$17</f>
        <v>4.9913321493037781</v>
      </c>
      <c r="G8" s="451">
        <f>(1-ResCalc!G$113)*ResCalc!G$89*ResCalc!G$62*ResCalc!G69*ResCalc!$I37*ResCalc!G86/'Conv Factors'!$B$17</f>
        <v>5.3885795909007363</v>
      </c>
      <c r="H8" s="451">
        <f>(1-ResCalc!H$113)*ResCalc!H$89*ResCalc!H$62*ResCalc!H69*ResCalc!$I37*ResCalc!H86/'Conv Factors'!$B$17</f>
        <v>5.9505961129206817</v>
      </c>
      <c r="I8" s="451">
        <f>(1-ResCalc!I$113)*ResCalc!I$89*ResCalc!I$62*ResCalc!I69*ResCalc!$I37*ResCalc!I86/'Conv Factors'!$B$17</f>
        <v>6.5368334840271407</v>
      </c>
      <c r="J8" s="451">
        <f>(1-ResCalc!J$113)*ResCalc!J$89*ResCalc!J$62*ResCalc!J69*ResCalc!$I37*ResCalc!J86/'Conv Factors'!$B$17</f>
        <v>7.0394432867144303</v>
      </c>
      <c r="K8" s="451">
        <f>(1-ResCalc!K$113)*ResCalc!K$89*ResCalc!K$62*ResCalc!K69*ResCalc!$I37*ResCalc!K86/'Conv Factors'!$B$17</f>
        <v>7.5815255560876764</v>
      </c>
      <c r="L8" s="451">
        <f>(1-ResCalc!L$113)*ResCalc!L$89*ResCalc!L$62*ResCalc!L69*ResCalc!$I37*ResCalc!L86/'Conv Factors'!$B$17</f>
        <v>8.1802586689701524</v>
      </c>
      <c r="M8" s="451">
        <f>(1-ResCalc!M$113)*ResCalc!M$89*ResCalc!M$62*ResCalc!M69*ResCalc!$I37*ResCalc!M86/'Conv Factors'!$B$17</f>
        <v>8.8286516777857482</v>
      </c>
      <c r="N8" s="451">
        <f>(1-ResCalc!N$113)*ResCalc!N$89*ResCalc!N$62*ResCalc!N69*ResCalc!$I37*ResCalc!N86/'Conv Factors'!$B$17</f>
        <v>9.5296807400474197</v>
      </c>
      <c r="P8" s="451">
        <v>12.112394574289899</v>
      </c>
      <c r="Q8" s="451">
        <v>12.335759303828661</v>
      </c>
      <c r="R8" s="451">
        <v>12.336515092901548</v>
      </c>
      <c r="S8" s="451">
        <v>13.318346979116724</v>
      </c>
      <c r="T8" s="451">
        <v>14.707420096065317</v>
      </c>
      <c r="U8" s="451">
        <v>16.156357165437978</v>
      </c>
      <c r="V8" s="451">
        <v>17.398601366228522</v>
      </c>
      <c r="W8" s="451">
        <v>18.738405229742231</v>
      </c>
      <c r="X8" s="451">
        <v>20.218226620655852</v>
      </c>
      <c r="Y8" s="451">
        <v>21.820786799004463</v>
      </c>
      <c r="Z8" s="451">
        <v>23.55344159905821</v>
      </c>
    </row>
    <row r="9" spans="1:26" ht="12.75">
      <c r="A9" s="144"/>
      <c r="C9" s="182" t="s">
        <v>2348</v>
      </c>
      <c r="D9" s="451">
        <f>(1-ResCalc!D$114)*ResCalc!D$89*ResCalc!D$62*ResCalc!D70*ResCalc!$I38*ResCalc!D86/'Conv Factors'!$B$17</f>
        <v>1.4311834900239542</v>
      </c>
      <c r="E9" s="451">
        <f>(1-ResCalc!E$114)*ResCalc!E$89*ResCalc!E$62*ResCalc!E70*ResCalc!$I38*ResCalc!E86/'Conv Factors'!$B$17</f>
        <v>1.4751772588128522</v>
      </c>
      <c r="F9" s="451">
        <f>(1-ResCalc!F$114)*ResCalc!F$89*ResCalc!F$62*ResCalc!F70*ResCalc!$I38*ResCalc!F86/'Conv Factors'!$B$17</f>
        <v>1.4403470208956681</v>
      </c>
      <c r="G9" s="451">
        <f>(1-ResCalc!G$114)*ResCalc!G$89*ResCalc!G$62*ResCalc!G70*ResCalc!$I38*ResCalc!G86/'Conv Factors'!$B$17</f>
        <v>1.5932736255303648</v>
      </c>
      <c r="H9" s="451">
        <f>(1-ResCalc!H$114)*ResCalc!H$89*ResCalc!H$62*ResCalc!H70*ResCalc!$I38*ResCalc!H86/'Conv Factors'!$B$17</f>
        <v>1.6997443596421058</v>
      </c>
      <c r="I9" s="451">
        <f>(1-ResCalc!I$114)*ResCalc!I$89*ResCalc!I$62*ResCalc!I70*ResCalc!$I38*ResCalc!I86/'Conv Factors'!$B$17</f>
        <v>1.8085611022781594</v>
      </c>
      <c r="J9" s="451">
        <f>(1-ResCalc!J$114)*ResCalc!J$89*ResCalc!J$62*ResCalc!J70*ResCalc!$I38*ResCalc!J86/'Conv Factors'!$B$17</f>
        <v>1.9455502088990186</v>
      </c>
      <c r="K9" s="451">
        <f>(1-ResCalc!K$114)*ResCalc!K$89*ResCalc!K$62*ResCalc!K70*ResCalc!$I38*ResCalc!K86/'Conv Factors'!$B$17</f>
        <v>2.0931612078699389</v>
      </c>
      <c r="L9" s="451">
        <f>(1-ResCalc!L$114)*ResCalc!L$89*ResCalc!L$62*ResCalc!L70*ResCalc!$I38*ResCalc!L86/'Conv Factors'!$B$17</f>
        <v>2.3267285104200397</v>
      </c>
      <c r="M9" s="451">
        <f>(1-ResCalc!M$114)*ResCalc!M$89*ResCalc!M$62*ResCalc!M70*ResCalc!$I38*ResCalc!M86/'Conv Factors'!$B$17</f>
        <v>2.5306728146522284</v>
      </c>
      <c r="N9" s="451">
        <f>(1-ResCalc!N$114)*ResCalc!N$89*ResCalc!N$62*ResCalc!N70*ResCalc!$I38*ResCalc!N86/'Conv Factors'!$B$17</f>
        <v>2.7522098129459627</v>
      </c>
      <c r="P9" s="451">
        <v>3.5372954949220845</v>
      </c>
      <c r="Q9" s="451">
        <v>3.6460299522620088</v>
      </c>
      <c r="R9" s="451">
        <v>3.55994396501417</v>
      </c>
      <c r="S9" s="451">
        <v>3.9379154783796504</v>
      </c>
      <c r="T9" s="451">
        <v>4.2010672340697646</v>
      </c>
      <c r="U9" s="451">
        <v>4.4700173555473164</v>
      </c>
      <c r="V9" s="451">
        <v>4.8085979450252294</v>
      </c>
      <c r="W9" s="451">
        <v>5.1734314728715036</v>
      </c>
      <c r="X9" s="451">
        <v>5.7507135424527771</v>
      </c>
      <c r="Y9" s="451">
        <v>6.2547797740744588</v>
      </c>
      <c r="Z9" s="451">
        <v>6.802327891758428</v>
      </c>
    </row>
    <row r="10" spans="1:26" ht="12.75">
      <c r="A10" s="144"/>
      <c r="C10" s="182" t="s">
        <v>2349</v>
      </c>
      <c r="D10" s="451">
        <f>(1-ResCalc!D115)*ResCalc!D$89*ResCalc!D$62*ResCalc!D71*ResCalc!T49*ResCalc!D$86/'Conv Factors'!$B$17</f>
        <v>6.8912245493074549</v>
      </c>
      <c r="E10" s="451">
        <f>(1-ResCalc!E$115)*ResCalc!E$89*ResCalc!E$62*ResCalc!E71*ResCalc!$I39*ResCalc!E86/'Conv Factors'!$B$17</f>
        <v>7.0811592658533398</v>
      </c>
      <c r="F10" s="451">
        <f>(1-ResCalc!F$115)*ResCalc!F$89*ResCalc!F$62*ResCalc!F71*ResCalc!$I39*ResCalc!F86/'Conv Factors'!$B$17</f>
        <v>7.0996332037982768</v>
      </c>
      <c r="G10" s="451">
        <f>(1-ResCalc!G$115)*ResCalc!G$89*ResCalc!G$62*ResCalc!G71*ResCalc!$I39*ResCalc!G86/'Conv Factors'!$B$17</f>
        <v>7.6647291141007123</v>
      </c>
      <c r="H10" s="451">
        <f>(1-ResCalc!H$115)*ResCalc!H$89*ResCalc!H$62*ResCalc!H71*ResCalc!$I39*ResCalc!H86/'Conv Factors'!$B$17</f>
        <v>8.4436438249573662</v>
      </c>
      <c r="I10" s="451">
        <f>(1-ResCalc!I$115)*ResCalc!I$89*ResCalc!I$62*ResCalc!I71*ResCalc!$I39*ResCalc!I86/'Conv Factors'!$B$17</f>
        <v>9.2534875547772479</v>
      </c>
      <c r="J10" s="451">
        <f>(1-ResCalc!J$115)*ResCalc!J$89*ResCalc!J$62*ResCalc!J71*ResCalc!$I39*ResCalc!J86/'Conv Factors'!$B$17</f>
        <v>10.002616560894177</v>
      </c>
      <c r="K10" s="451">
        <f>(1-ResCalc!K$115)*ResCalc!K$89*ResCalc!K$62*ResCalc!K71*ResCalc!$I39*ResCalc!K86/'Conv Factors'!$B$17</f>
        <v>10.813062325200901</v>
      </c>
      <c r="L10" s="451">
        <f>(1-ResCalc!L$115)*ResCalc!L$89*ResCalc!L$62*ResCalc!L71*ResCalc!$I39*ResCalc!L86/'Conv Factors'!$B$17</f>
        <v>11.783251489011324</v>
      </c>
      <c r="M10" s="451">
        <f>(1-ResCalc!M$115)*ResCalc!M$89*ResCalc!M$62*ResCalc!M71*ResCalc!$I39*ResCalc!M86/'Conv Factors'!$B$17</f>
        <v>12.758058044364033</v>
      </c>
      <c r="N10" s="451">
        <f>(1-ResCalc!N$115)*ResCalc!N$89*ResCalc!N$62*ResCalc!N71*ResCalc!$I39*ResCalc!N86/'Conv Factors'!$B$17</f>
        <v>13.814166912186369</v>
      </c>
      <c r="P10" s="451">
        <v>17.032265759545439</v>
      </c>
      <c r="Q10" s="451">
        <v>17.501706066710948</v>
      </c>
      <c r="R10" s="451">
        <v>17.547366024306612</v>
      </c>
      <c r="S10" s="451">
        <v>18.944050119424453</v>
      </c>
      <c r="T10" s="451">
        <v>20.869206129710506</v>
      </c>
      <c r="U10" s="451">
        <v>22.870805922504935</v>
      </c>
      <c r="V10" s="451">
        <v>24.722343951642291</v>
      </c>
      <c r="W10" s="451">
        <v>26.725431725462887</v>
      </c>
      <c r="X10" s="451">
        <v>29.123339318926945</v>
      </c>
      <c r="Y10" s="451">
        <v>31.53265920048311</v>
      </c>
      <c r="Z10" s="451">
        <v>34.14292487664229</v>
      </c>
    </row>
    <row r="11" spans="1:26">
      <c r="A11" s="449" t="s">
        <v>467</v>
      </c>
      <c r="B11" s="449"/>
      <c r="C11" s="449" t="s">
        <v>569</v>
      </c>
      <c r="D11" s="450">
        <f>(1-ResCalc!D116)*ResCalc!D$89*ResCalc!D$62*ResCalc!D72*ResCalc!T47*ResCalc!D$86/'Conv Factors'!$B$17</f>
        <v>0</v>
      </c>
      <c r="E11" s="450">
        <f>(1-ResCalc!E116)*ResCalc!E$89*ResCalc!E$62*ResCalc!E72*ResCalc!U47*ResCalc!E$86/'Conv Factors'!$B$17</f>
        <v>0</v>
      </c>
      <c r="F11" s="450">
        <f>(1-ResCalc!F116)*ResCalc!F$89*ResCalc!F$62*ResCalc!F72*ResCalc!V47*ResCalc!F$86/'Conv Factors'!$B$17</f>
        <v>0</v>
      </c>
      <c r="G11" s="450">
        <f>(1-ResCalc!G116)*ResCalc!G$89*ResCalc!G$62*ResCalc!G72*ResCalc!W47*ResCalc!G$86/'Conv Factors'!$B$17</f>
        <v>0</v>
      </c>
      <c r="H11" s="450">
        <f>(1-ResCalc!H116)*ResCalc!H$89*ResCalc!H$62*ResCalc!H72*ResCalc!X47*ResCalc!H$86/'Conv Factors'!$B$17</f>
        <v>0</v>
      </c>
      <c r="I11" s="450">
        <f>(1-ResCalc!I116)*ResCalc!I$89*ResCalc!I$62*ResCalc!I72*ResCalc!Y47*ResCalc!I$86/'Conv Factors'!$B$17</f>
        <v>0</v>
      </c>
      <c r="J11" s="450">
        <f>(1-ResCalc!J116)*ResCalc!J$89*ResCalc!J$62*ResCalc!J72*ResCalc!Z47*ResCalc!J$86/'Conv Factors'!$B$17</f>
        <v>0</v>
      </c>
      <c r="K11" s="450">
        <f>(1-ResCalc!K116)*ResCalc!K$89*ResCalc!K$62*ResCalc!K72*ResCalc!AA47*ResCalc!K$86/'Conv Factors'!$B$17</f>
        <v>0</v>
      </c>
      <c r="L11" s="450">
        <f>(1-ResCalc!L116)*ResCalc!L$89*ResCalc!L$62*ResCalc!L72*ResCalc!AB47*ResCalc!L$86/'Conv Factors'!$B$17</f>
        <v>0</v>
      </c>
      <c r="M11" s="450">
        <f>(1-ResCalc!M116)*ResCalc!M$89*ResCalc!M$62*ResCalc!M72*ResCalc!AC47*ResCalc!M$86/'Conv Factors'!$B$17</f>
        <v>0</v>
      </c>
      <c r="N11" s="450">
        <f>(1-ResCalc!N116)*ResCalc!N$89*ResCalc!N$62*ResCalc!N72*ResCalc!AD47*ResCalc!N$86/'Conv Factors'!$B$17</f>
        <v>0</v>
      </c>
      <c r="P11" s="450">
        <v>0</v>
      </c>
      <c r="Q11" s="450">
        <v>0</v>
      </c>
      <c r="R11" s="450">
        <v>0</v>
      </c>
      <c r="S11" s="450">
        <v>0</v>
      </c>
      <c r="T11" s="450">
        <v>0</v>
      </c>
      <c r="U11" s="450">
        <v>0</v>
      </c>
      <c r="V11" s="450">
        <v>0</v>
      </c>
      <c r="W11" s="450">
        <v>0</v>
      </c>
      <c r="X11" s="450">
        <v>0</v>
      </c>
      <c r="Y11" s="450">
        <v>0</v>
      </c>
      <c r="Z11" s="450">
        <v>0</v>
      </c>
    </row>
    <row r="12" spans="1:26">
      <c r="A12" s="449" t="s">
        <v>471</v>
      </c>
      <c r="B12" s="449" t="s">
        <v>672</v>
      </c>
      <c r="C12" s="449" t="s">
        <v>572</v>
      </c>
      <c r="D12" s="450">
        <f>(1-ResCalc!D117)*ResCalc!D$89*ResCalc!D$62*ResCalc!D73*ResCalc!T51*ResCalc!D$86/'Conv Factors'!$B$17</f>
        <v>0</v>
      </c>
      <c r="E12" s="450">
        <f>(1-ResCalc!E117)*ResCalc!E$89*ResCalc!E$62*ResCalc!E73*ResCalc!U51*ResCalc!E$86/'Conv Factors'!$B$17</f>
        <v>0</v>
      </c>
      <c r="F12" s="450">
        <f>(1-ResCalc!F117)*ResCalc!F$89*ResCalc!F$62*ResCalc!F73*ResCalc!V51*ResCalc!F$86/'Conv Factors'!$B$17</f>
        <v>0</v>
      </c>
      <c r="G12" s="450">
        <f>(1-ResCalc!G117)*ResCalc!G$89*ResCalc!G$62*ResCalc!G73*ResCalc!W51*ResCalc!G$86/'Conv Factors'!$B$17</f>
        <v>0</v>
      </c>
      <c r="H12" s="450">
        <f>(1-ResCalc!H117)*ResCalc!H$89*ResCalc!H$62*ResCalc!H73*ResCalc!X51*ResCalc!H$86/'Conv Factors'!$B$17</f>
        <v>0</v>
      </c>
      <c r="I12" s="450">
        <f>(1-ResCalc!I117)*ResCalc!I$89*ResCalc!I$62*ResCalc!I73*ResCalc!Y51*ResCalc!I$86/'Conv Factors'!$B$17</f>
        <v>0</v>
      </c>
      <c r="J12" s="450">
        <f>(1-ResCalc!J117)*ResCalc!J$89*ResCalc!J$62*ResCalc!J73*ResCalc!Z51*ResCalc!J$86/'Conv Factors'!$B$17</f>
        <v>0</v>
      </c>
      <c r="K12" s="450">
        <f>(1-ResCalc!K117)*ResCalc!K$89*ResCalc!K$62*ResCalc!K73*ResCalc!AA51*ResCalc!K$86/'Conv Factors'!$B$17</f>
        <v>0</v>
      </c>
      <c r="L12" s="450">
        <f>(1-ResCalc!L117)*ResCalc!L$89*ResCalc!L$62*ResCalc!L73*ResCalc!AB51*ResCalc!L$86/'Conv Factors'!$B$17</f>
        <v>0</v>
      </c>
      <c r="M12" s="450">
        <f>(1-ResCalc!M117)*ResCalc!M$89*ResCalc!M$62*ResCalc!M73*ResCalc!AC51*ResCalc!M$86/'Conv Factors'!$B$17</f>
        <v>0</v>
      </c>
      <c r="N12" s="450">
        <f>(1-ResCalc!N117)*ResCalc!N$89*ResCalc!N$62*ResCalc!N73*ResCalc!AD51*ResCalc!N$86/'Conv Factors'!$B$17</f>
        <v>0</v>
      </c>
      <c r="P12" s="450">
        <v>0</v>
      </c>
      <c r="Q12" s="450">
        <v>0</v>
      </c>
      <c r="R12" s="450">
        <v>0</v>
      </c>
      <c r="S12" s="450">
        <v>0</v>
      </c>
      <c r="T12" s="450">
        <v>0</v>
      </c>
      <c r="U12" s="450">
        <v>0</v>
      </c>
      <c r="V12" s="450">
        <v>0</v>
      </c>
      <c r="W12" s="450">
        <v>0</v>
      </c>
      <c r="X12" s="450">
        <v>0</v>
      </c>
      <c r="Y12" s="450">
        <v>0</v>
      </c>
      <c r="Z12" s="450">
        <v>0</v>
      </c>
    </row>
    <row r="13" spans="1:26">
      <c r="A13" s="449" t="s">
        <v>472</v>
      </c>
      <c r="B13" s="449" t="s">
        <v>673</v>
      </c>
      <c r="C13" s="449" t="s">
        <v>534</v>
      </c>
      <c r="D13" s="450">
        <f>(1-ResCalc!D118)*ResCalc!D$89*ResCalc!D$62*ResCalc!D74*ResCalc!T52*ResCalc!D$86/'Conv Factors'!$B$17</f>
        <v>0</v>
      </c>
      <c r="E13" s="450">
        <f>(1-ResCalc!E118)*ResCalc!E$89*ResCalc!E$62*ResCalc!E74*ResCalc!U52*ResCalc!E$86/'Conv Factors'!$B$17</f>
        <v>0</v>
      </c>
      <c r="F13" s="450">
        <f>(1-ResCalc!F118)*ResCalc!F$89*ResCalc!F$62*ResCalc!F74*ResCalc!V52*ResCalc!F$86/'Conv Factors'!$B$17</f>
        <v>0</v>
      </c>
      <c r="G13" s="450">
        <f>(1-ResCalc!G118)*ResCalc!G$89*ResCalc!G$62*ResCalc!G74*ResCalc!W52*ResCalc!G$86/'Conv Factors'!$B$17</f>
        <v>0</v>
      </c>
      <c r="H13" s="450">
        <f>(1-ResCalc!H118)*ResCalc!H$89*ResCalc!H$62*ResCalc!H74*ResCalc!X52*ResCalc!H$86/'Conv Factors'!$B$17</f>
        <v>0</v>
      </c>
      <c r="I13" s="450">
        <f>(1-ResCalc!I118)*ResCalc!I$89*ResCalc!I$62*ResCalc!I74*ResCalc!Y52*ResCalc!I$86/'Conv Factors'!$B$17</f>
        <v>0</v>
      </c>
      <c r="J13" s="450">
        <f>(1-ResCalc!J118)*ResCalc!J$89*ResCalc!J$62*ResCalc!J74*ResCalc!Z52*ResCalc!J$86/'Conv Factors'!$B$17</f>
        <v>0</v>
      </c>
      <c r="K13" s="450">
        <f>(1-ResCalc!K118)*ResCalc!K$89*ResCalc!K$62*ResCalc!K74*ResCalc!AA52*ResCalc!K$86/'Conv Factors'!$B$17</f>
        <v>0</v>
      </c>
      <c r="L13" s="450">
        <f>(1-ResCalc!L118)*ResCalc!L$89*ResCalc!L$62*ResCalc!L74*ResCalc!AB52*ResCalc!L$86/'Conv Factors'!$B$17</f>
        <v>0</v>
      </c>
      <c r="M13" s="450">
        <f>(1-ResCalc!M118)*ResCalc!M$89*ResCalc!M$62*ResCalc!M74*ResCalc!AC52*ResCalc!M$86/'Conv Factors'!$B$17</f>
        <v>0</v>
      </c>
      <c r="N13" s="450">
        <f>(1-ResCalc!N118)*ResCalc!N$89*ResCalc!N$62*ResCalc!N74*ResCalc!AD52*ResCalc!N$86/'Conv Factors'!$B$17</f>
        <v>0</v>
      </c>
      <c r="P13" s="450">
        <v>0</v>
      </c>
      <c r="Q13" s="450">
        <v>0</v>
      </c>
      <c r="R13" s="450">
        <v>0</v>
      </c>
      <c r="S13" s="450">
        <v>0</v>
      </c>
      <c r="T13" s="450">
        <v>0</v>
      </c>
      <c r="U13" s="450">
        <v>0</v>
      </c>
      <c r="V13" s="450">
        <v>0</v>
      </c>
      <c r="W13" s="450">
        <v>0</v>
      </c>
      <c r="X13" s="450">
        <v>0</v>
      </c>
      <c r="Y13" s="450">
        <v>0</v>
      </c>
      <c r="Z13" s="450">
        <v>0</v>
      </c>
    </row>
    <row r="14" spans="1:26">
      <c r="C14" s="166" t="s">
        <v>2351</v>
      </c>
      <c r="D14" s="165">
        <f>SUM(D6:D10)</f>
        <v>25.091735705649636</v>
      </c>
      <c r="E14" s="165">
        <f>SUM(E6:E10)</f>
        <v>25.941013969118746</v>
      </c>
      <c r="F14" s="165">
        <f t="shared" ref="F14:N14" si="0">SUM(F6:F10)</f>
        <v>25.935157848133521</v>
      </c>
      <c r="G14" s="165">
        <f t="shared" si="0"/>
        <v>27.637956143363159</v>
      </c>
      <c r="H14" s="165">
        <f t="shared" si="0"/>
        <v>30.102003101598044</v>
      </c>
      <c r="I14" s="165">
        <f t="shared" si="0"/>
        <v>32.658325251747691</v>
      </c>
      <c r="J14" s="165">
        <f t="shared" si="0"/>
        <v>35.410506242008744</v>
      </c>
      <c r="K14" s="165">
        <f t="shared" si="0"/>
        <v>38.394742033279314</v>
      </c>
      <c r="L14" s="165">
        <f t="shared" si="0"/>
        <v>41.636448236727588</v>
      </c>
      <c r="M14" s="165">
        <f t="shared" si="0"/>
        <v>45.147926723347531</v>
      </c>
      <c r="N14" s="165">
        <f t="shared" si="0"/>
        <v>48.955682574867978</v>
      </c>
      <c r="P14" s="165">
        <v>62.016425070613778</v>
      </c>
      <c r="Q14" s="165">
        <v>64.115490771304778</v>
      </c>
      <c r="R14" s="165">
        <v>64.101016854771274</v>
      </c>
      <c r="S14" s="165">
        <v>68.309632158442781</v>
      </c>
      <c r="T14" s="165">
        <v>74.399740286014065</v>
      </c>
      <c r="U14" s="165">
        <v>80.717914641939956</v>
      </c>
      <c r="V14" s="165">
        <v>87.5201712959052</v>
      </c>
      <c r="W14" s="165">
        <v>94.895971739264112</v>
      </c>
      <c r="X14" s="165">
        <v>102.90813288369336</v>
      </c>
      <c r="Y14" s="165">
        <v>111.58705988209569</v>
      </c>
      <c r="Z14" s="165">
        <v>120.99826236817319</v>
      </c>
    </row>
    <row r="15" spans="1:26">
      <c r="A15" s="161" t="s">
        <v>675</v>
      </c>
    </row>
    <row r="17" spans="1:26">
      <c r="A17" s="267" t="s">
        <v>676</v>
      </c>
      <c r="B17" s="267"/>
      <c r="C17" s="268"/>
      <c r="D17" s="268"/>
      <c r="E17" s="268"/>
      <c r="F17" s="268"/>
      <c r="G17" s="268"/>
      <c r="H17" s="268"/>
      <c r="I17" s="269" t="s">
        <v>677</v>
      </c>
      <c r="J17" s="268"/>
      <c r="K17" s="268"/>
      <c r="L17" s="268"/>
      <c r="M17" s="268"/>
      <c r="N17" s="268"/>
      <c r="P17" s="268"/>
      <c r="Q17" s="268"/>
      <c r="R17" s="268"/>
      <c r="S17" s="268"/>
      <c r="T17" s="268"/>
      <c r="U17" s="269" t="s">
        <v>677</v>
      </c>
      <c r="V17" s="268"/>
      <c r="W17" s="268"/>
      <c r="X17" s="268"/>
      <c r="Y17" s="268"/>
      <c r="Z17" s="268"/>
    </row>
    <row r="18" spans="1:26" s="449" customFormat="1">
      <c r="A18" s="449" t="s">
        <v>464</v>
      </c>
      <c r="B18" s="449" t="s">
        <v>665</v>
      </c>
      <c r="C18" s="449" t="s">
        <v>500</v>
      </c>
      <c r="D18" s="450">
        <f>ResCalc!D$90*ResCalc!D$62*ResCalc!D66*ResCalc!T32*ResCalc!D$87/'Conv Factors'!$B$17</f>
        <v>0</v>
      </c>
      <c r="E18" s="450">
        <f>ResCalc!E$90*ResCalc!E$62*ResCalc!E66*ResCalc!U32*ResCalc!E$87/'Conv Factors'!$B$17</f>
        <v>0</v>
      </c>
      <c r="F18" s="450">
        <f>ResCalc!F$90*ResCalc!F$62*ResCalc!F66*ResCalc!V32*ResCalc!F$87/'Conv Factors'!$B$17</f>
        <v>0</v>
      </c>
      <c r="G18" s="450">
        <f>ResCalc!G$90*ResCalc!G$62*ResCalc!G66*ResCalc!W32*ResCalc!G$87/'Conv Factors'!$B$17</f>
        <v>0</v>
      </c>
      <c r="H18" s="450">
        <f>ResCalc!H$90*ResCalc!H$62*ResCalc!H66*ResCalc!X32*ResCalc!H$87/'Conv Factors'!$B$17</f>
        <v>0</v>
      </c>
      <c r="I18" s="450">
        <f>ResCalc!I$90*ResCalc!I$62*ResCalc!I66*ResCalc!Y32*ResCalc!I$87/'Conv Factors'!$B$17</f>
        <v>0</v>
      </c>
      <c r="J18" s="450">
        <f>ResCalc!J$90*ResCalc!J$62*ResCalc!J66*ResCalc!Z32*ResCalc!J$87/'Conv Factors'!$B$17</f>
        <v>0</v>
      </c>
      <c r="K18" s="450">
        <f>ResCalc!K$90*ResCalc!K$62*ResCalc!K66*ResCalc!AA32*ResCalc!K$87/'Conv Factors'!$B$17</f>
        <v>0</v>
      </c>
      <c r="L18" s="450">
        <f>ResCalc!L$90*ResCalc!L$62*ResCalc!L66*ResCalc!AB32*ResCalc!L$87/'Conv Factors'!$B$17</f>
        <v>0</v>
      </c>
      <c r="M18" s="450">
        <f>ResCalc!M$90*ResCalc!M$62*ResCalc!M66*ResCalc!AC32*ResCalc!M$87/'Conv Factors'!$B$17</f>
        <v>0</v>
      </c>
      <c r="N18" s="450">
        <f>ResCalc!N$90*ResCalc!N$62*ResCalc!N66*ResCalc!AD32*ResCalc!N$87/'Conv Factors'!$B$17</f>
        <v>0</v>
      </c>
      <c r="P18" s="450">
        <v>0</v>
      </c>
      <c r="Q18" s="450">
        <v>0</v>
      </c>
      <c r="R18" s="450">
        <v>0</v>
      </c>
      <c r="S18" s="450">
        <v>0</v>
      </c>
      <c r="T18" s="450">
        <v>0</v>
      </c>
      <c r="U18" s="450">
        <v>0</v>
      </c>
      <c r="V18" s="450">
        <v>0</v>
      </c>
      <c r="W18" s="450">
        <v>0</v>
      </c>
      <c r="X18" s="450">
        <v>0</v>
      </c>
      <c r="Y18" s="450">
        <v>0</v>
      </c>
      <c r="Z18" s="450">
        <v>0</v>
      </c>
    </row>
    <row r="19" spans="1:26" ht="12.75">
      <c r="C19" s="182" t="s">
        <v>2345</v>
      </c>
      <c r="D19" s="588">
        <f>ResCalc!D$90*ResCalc!D$62*ResCalc!D67*ResCalc!$J35*ResCalc!D87/'Conv Factors'!$B$17</f>
        <v>47.297559400895494</v>
      </c>
      <c r="E19" s="588">
        <f>'2010 Fuel Share'!$Q$73*ResCalc!E$90*ResCalc!E$62*ResCalc!E67*ResCalc!$J35*ResCalc!E87/'Conv Factors'!$B$17</f>
        <v>45.222792956592869</v>
      </c>
      <c r="F19" s="588">
        <f>'2010 Fuel Share'!$Q$73*ResCalc!F$90*ResCalc!F$62*ResCalc!F67*ResCalc!$J35*ResCalc!F87/'Conv Factors'!$B$17</f>
        <v>45.026375977898184</v>
      </c>
      <c r="G19" s="588">
        <f>'2010 Fuel Share'!$Q$73*ResCalc!G$90*ResCalc!G$62*ResCalc!G67*ResCalc!$J35*ResCalc!G87/'Conv Factors'!$B$17</f>
        <v>40.666139217359039</v>
      </c>
      <c r="H19" s="588">
        <f>'2010 Fuel Share'!$Q$73*ResCalc!H$90*ResCalc!H$62*ResCalc!H67*ResCalc!$J35*ResCalc!H87/'Conv Factors'!$B$17</f>
        <v>39.594571078758953</v>
      </c>
      <c r="I19" s="588">
        <f>'2010 Fuel Share'!$Q$73*ResCalc!I$90*ResCalc!I$62*ResCalc!I67*ResCalc!$J35*ResCalc!I87/'Conv Factors'!$B$17</f>
        <v>38.453657477515009</v>
      </c>
      <c r="J19" s="588">
        <f>'2010 Fuel Share'!$Q$73*ResCalc!J$90*ResCalc!J$62*ResCalc!J67*ResCalc!$J35*ResCalc!J87/'Conv Factors'!$B$17</f>
        <v>37.275477946418604</v>
      </c>
      <c r="K19" s="588">
        <f>'2010 Fuel Share'!$Q$73*ResCalc!K$90*ResCalc!K$62*ResCalc!K67*ResCalc!$J35*ResCalc!K87/'Conv Factors'!$B$17</f>
        <v>36.099109700443137</v>
      </c>
      <c r="L19" s="588">
        <f>'2010 Fuel Share'!$Q$73*ResCalc!L$90*ResCalc!L$62*ResCalc!L67*ResCalc!$J35*ResCalc!L87/'Conv Factors'!$B$17</f>
        <v>34.624395201954258</v>
      </c>
      <c r="M19" s="588">
        <f>'2010 Fuel Share'!$Q$73*ResCalc!M$90*ResCalc!M$62*ResCalc!M67*ResCalc!$J35*ResCalc!M87/'Conv Factors'!$B$17</f>
        <v>33.434898759122468</v>
      </c>
      <c r="N19" s="588">
        <f>'2010 Fuel Share'!$Q$73*ResCalc!N$90*ResCalc!N$62*ResCalc!N67*ResCalc!$J35*ResCalc!N87/'Conv Factors'!$B$17</f>
        <v>32.285113418384171</v>
      </c>
      <c r="P19" s="588">
        <v>49.117206713631397</v>
      </c>
      <c r="Q19" s="588">
        <v>46.877785202839327</v>
      </c>
      <c r="R19" s="588">
        <v>46.674180066237568</v>
      </c>
      <c r="S19" s="588">
        <v>42.154374257466088</v>
      </c>
      <c r="T19" s="588">
        <v>41.043590563064086</v>
      </c>
      <c r="U19" s="588">
        <v>39.860923610462372</v>
      </c>
      <c r="V19" s="588">
        <v>38.639626928452209</v>
      </c>
      <c r="W19" s="588">
        <v>37.420207818110896</v>
      </c>
      <c r="X19" s="588">
        <v>35.891524051010734</v>
      </c>
      <c r="Y19" s="588">
        <v>34.658496298829832</v>
      </c>
      <c r="Z19" s="588">
        <v>33.466632932844476</v>
      </c>
    </row>
    <row r="20" spans="1:26" ht="12.75">
      <c r="C20" s="182" t="s">
        <v>2346</v>
      </c>
      <c r="D20" s="588">
        <f>ResCalc!D$90*ResCalc!D$62*ResCalc!D68*ResCalc!$J36*ResCalc!D87/'Conv Factors'!$B$17</f>
        <v>25.669924074564893</v>
      </c>
      <c r="E20" s="588">
        <f>'2010 Fuel Share'!$R$73*ResCalc!E$90*ResCalc!E$62*ResCalc!E68*ResCalc!$J36*ResCalc!E87/'Conv Factors'!$B$17</f>
        <v>26.278628573319622</v>
      </c>
      <c r="F20" s="588">
        <f>'2010 Fuel Share'!$R$73*ResCalc!F$90*ResCalc!F$62*ResCalc!F68*ResCalc!$J36*ResCalc!F87/'Conv Factors'!$B$17</f>
        <v>26.619099659159527</v>
      </c>
      <c r="G20" s="588">
        <f>'2010 Fuel Share'!$R$73*ResCalc!G$90*ResCalc!G$62*ResCalc!G68*ResCalc!$J36*ResCalc!G87/'Conv Factors'!$B$17</f>
        <v>23.792664873564743</v>
      </c>
      <c r="H20" s="588">
        <f>'2010 Fuel Share'!$R$73*ResCalc!H$90*ResCalc!H$62*ResCalc!H68*ResCalc!$J36*ResCalc!H87/'Conv Factors'!$B$17</f>
        <v>23.27990296331609</v>
      </c>
      <c r="I20" s="588">
        <f>'2010 Fuel Share'!$R$73*ResCalc!I$90*ResCalc!I$62*ResCalc!I68*ResCalc!$J36*ResCalc!I87/'Conv Factors'!$B$17</f>
        <v>22.715738113123823</v>
      </c>
      <c r="J20" s="588">
        <f>'2010 Fuel Share'!$R$73*ResCalc!J$90*ResCalc!J$62*ResCalc!J68*ResCalc!$J36*ResCalc!J87/'Conv Factors'!$B$17</f>
        <v>22.109154419034603</v>
      </c>
      <c r="K20" s="588">
        <f>'2010 Fuel Share'!$R$73*ResCalc!K$90*ResCalc!K$62*ResCalc!K68*ResCalc!$J36*ResCalc!K87/'Conv Factors'!$B$17</f>
        <v>21.495360768289654</v>
      </c>
      <c r="L20" s="588">
        <f>'2010 Fuel Share'!$R$73*ResCalc!L$90*ResCalc!L$62*ResCalc!L68*ResCalc!$J36*ResCalc!L87/'Conv Factors'!$B$17</f>
        <v>20.732761322532596</v>
      </c>
      <c r="M20" s="588">
        <f>'2010 Fuel Share'!$R$73*ResCalc!M$90*ResCalc!M$62*ResCalc!M68*ResCalc!$J36*ResCalc!M87/'Conv Factors'!$B$17</f>
        <v>20.093062884060323</v>
      </c>
      <c r="N20" s="588">
        <f>'2010 Fuel Share'!$R$73*ResCalc!N$90*ResCalc!N$62*ResCalc!N68*ResCalc!$J36*ResCalc!N87/'Conv Factors'!$B$17</f>
        <v>19.46976854688538</v>
      </c>
      <c r="P20" s="588">
        <v>26.657505864240328</v>
      </c>
      <c r="Q20" s="588">
        <v>27.321821399866469</v>
      </c>
      <c r="R20" s="588">
        <v>27.67580829736313</v>
      </c>
      <c r="S20" s="588">
        <v>24.737171442896731</v>
      </c>
      <c r="T20" s="588">
        <v>24.204054225863121</v>
      </c>
      <c r="U20" s="588">
        <v>23.617493506606827</v>
      </c>
      <c r="V20" s="588">
        <v>22.986830026290985</v>
      </c>
      <c r="W20" s="588">
        <v>22.348670372896756</v>
      </c>
      <c r="X20" s="588">
        <v>21.555797723607679</v>
      </c>
      <c r="Y20" s="588">
        <v>20.89070493016343</v>
      </c>
      <c r="Z20" s="588">
        <v>20.242667437935548</v>
      </c>
    </row>
    <row r="21" spans="1:26" ht="12.75">
      <c r="C21" s="182" t="s">
        <v>2347</v>
      </c>
      <c r="D21" s="588">
        <f>ResCalc!D$90*ResCalc!D$62*ResCalc!D69*ResCalc!$J37*ResCalc!D87/'Conv Factors'!$B$17</f>
        <v>30.067435147532464</v>
      </c>
      <c r="E21" s="588">
        <f>'2010 Fuel Share'!$S$73*ResCalc!E$90*ResCalc!E$62*ResCalc!E69*ResCalc!$J37*ResCalc!E87/'Conv Factors'!$B$17</f>
        <v>43.385375911699349</v>
      </c>
      <c r="F21" s="588">
        <f>'2010 Fuel Share'!$S$73*ResCalc!F$90*ResCalc!F$62*ResCalc!F69*ResCalc!$J37*ResCalc!F87/'Conv Factors'!$B$17</f>
        <v>43.370296795636357</v>
      </c>
      <c r="G21" s="588">
        <f>'2010 Fuel Share'!$S$73*ResCalc!G$90*ResCalc!G$62*ResCalc!G69*ResCalc!$J37*ResCalc!G87/'Conv Factors'!$B$17</f>
        <v>38.849236199142666</v>
      </c>
      <c r="H21" s="588">
        <f>'2010 Fuel Share'!$S$73*ResCalc!H$90*ResCalc!H$62*ResCalc!H69*ResCalc!$J37*ResCalc!H87/'Conv Factors'!$B$17</f>
        <v>37.521562852771623</v>
      </c>
      <c r="I21" s="588">
        <f>'2010 Fuel Share'!$S$73*ResCalc!I$90*ResCalc!I$62*ResCalc!I69*ResCalc!$J37*ResCalc!I87/'Conv Factors'!$B$17</f>
        <v>36.156476093954304</v>
      </c>
      <c r="J21" s="588">
        <f>'2010 Fuel Share'!$S$73*ResCalc!J$90*ResCalc!J$62*ResCalc!J69*ResCalc!$J37*ResCalc!J87/'Conv Factors'!$B$17</f>
        <v>34.659962809758483</v>
      </c>
      <c r="K21" s="588">
        <f>'2010 Fuel Share'!$S$73*ResCalc!K$90*ResCalc!K$62*ResCalc!K69*ResCalc!$J37*ResCalc!K87/'Conv Factors'!$B$17</f>
        <v>33.201153271405225</v>
      </c>
      <c r="L21" s="588">
        <f>'2010 Fuel Share'!$S$73*ResCalc!L$90*ResCalc!L$62*ResCalc!L69*ResCalc!$J37*ResCalc!L87/'Conv Factors'!$B$17</f>
        <v>31.867260861961419</v>
      </c>
      <c r="M21" s="588">
        <f>'2010 Fuel Share'!$S$73*ResCalc!M$90*ResCalc!M$62*ResCalc!M69*ResCalc!$J37*ResCalc!M87/'Conv Factors'!$B$17</f>
        <v>30.591399855065394</v>
      </c>
      <c r="N21" s="588">
        <f>'2010 Fuel Share'!$S$73*ResCalc!N$90*ResCalc!N$62*ResCalc!N69*ResCalc!$J37*ResCalc!N87/'Conv Factors'!$B$17</f>
        <v>29.370491765088772</v>
      </c>
      <c r="P21" s="588">
        <v>31.224199434317896</v>
      </c>
      <c r="Q21" s="588">
        <v>45.245792124856443</v>
      </c>
      <c r="R21" s="588">
        <v>45.2300663984688</v>
      </c>
      <c r="S21" s="588">
        <v>40.515137378396126</v>
      </c>
      <c r="T21" s="588">
        <v>39.130531829238755</v>
      </c>
      <c r="U21" s="588">
        <v>37.706908536275975</v>
      </c>
      <c r="V21" s="588">
        <v>36.14622299314226</v>
      </c>
      <c r="W21" s="588">
        <v>34.624857977049594</v>
      </c>
      <c r="X21" s="588">
        <v>33.23376668404218</v>
      </c>
      <c r="Y21" s="588">
        <v>31.903195248733702</v>
      </c>
      <c r="Z21" s="588">
        <v>30.629933176392367</v>
      </c>
    </row>
    <row r="22" spans="1:26" ht="12.75">
      <c r="C22" s="182" t="s">
        <v>2348</v>
      </c>
      <c r="D22" s="588">
        <f>ResCalc!D$90*ResCalc!D$62*ResCalc!D70*ResCalc!$J38*ResCalc!D87/'Conv Factors'!$B$17</f>
        <v>8.7987803169543231</v>
      </c>
      <c r="E22" s="588">
        <f>'2010 Fuel Share'!$U$73*ResCalc!E$90*ResCalc!E$62*ResCalc!E70*ResCalc!$J38*ResCalc!E87/'Conv Factors'!$B$17</f>
        <v>8.5055488451713028</v>
      </c>
      <c r="F22" s="588">
        <f>'2010 Fuel Share'!$U$73*ResCalc!F$90*ResCalc!F$62*ResCalc!F70*ResCalc!$J38*ResCalc!F87/'Conv Factors'!$B$17</f>
        <v>8.3013303094860937</v>
      </c>
      <c r="G22" s="588">
        <f>'2010 Fuel Share'!$U$73*ResCalc!G$90*ResCalc!G$62*ResCalc!G70*ResCalc!$J38*ResCalc!G87/'Conv Factors'!$B$17</f>
        <v>7.6624188393285948</v>
      </c>
      <c r="H22" s="588">
        <f>'2010 Fuel Share'!$U$73*ResCalc!H$90*ResCalc!H$62*ResCalc!H70*ResCalc!$J38*ResCalc!H87/'Conv Factors'!$B$17</f>
        <v>7.3942782600234489</v>
      </c>
      <c r="I22" s="588">
        <f>'2010 Fuel Share'!$U$73*ResCalc!I$90*ResCalc!I$62*ResCalc!I70*ResCalc!$J38*ResCalc!I87/'Conv Factors'!$B$17</f>
        <v>7.1193538801778322</v>
      </c>
      <c r="J22" s="588">
        <f>'2010 Fuel Share'!$U$73*ResCalc!J$90*ResCalc!J$62*ResCalc!J70*ResCalc!$J38*ResCalc!J87/'Conv Factors'!$B$17</f>
        <v>6.8174339925613117</v>
      </c>
      <c r="K22" s="588">
        <f>'2010 Fuel Share'!$U$73*ResCalc!K$90*ResCalc!K$62*ResCalc!K70*ResCalc!$J38*ResCalc!K87/'Conv Factors'!$B$17</f>
        <v>6.5236096182565282</v>
      </c>
      <c r="L22" s="588">
        <f>'2010 Fuel Share'!$U$73*ResCalc!L$90*ResCalc!L$62*ResCalc!L70*ResCalc!$J38*ResCalc!L87/'Conv Factors'!$B$17</f>
        <v>6.450778514293491</v>
      </c>
      <c r="M22" s="588">
        <f>'2010 Fuel Share'!$U$73*ResCalc!M$90*ResCalc!M$62*ResCalc!M70*ResCalc!$J38*ResCalc!M87/'Conv Factors'!$B$17</f>
        <v>6.2406480171602245</v>
      </c>
      <c r="N22" s="588">
        <f>'2010 Fuel Share'!$U$73*ResCalc!N$90*ResCalc!N$62*ResCalc!N70*ResCalc!$J38*ResCalc!N87/'Conv Factors'!$B$17</f>
        <v>6.0367491061232617</v>
      </c>
      <c r="P22" s="588">
        <v>9.1372898967699001</v>
      </c>
      <c r="Q22" s="588">
        <v>8.7463732589860008</v>
      </c>
      <c r="R22" s="588">
        <v>8.536372520406923</v>
      </c>
      <c r="S22" s="588">
        <v>7.8793710382959263</v>
      </c>
      <c r="T22" s="588">
        <v>7.603638380101275</v>
      </c>
      <c r="U22" s="588">
        <v>7.3209298461904861</v>
      </c>
      <c r="V22" s="588">
        <v>7.0104614590852394</v>
      </c>
      <c r="W22" s="588">
        <v>6.708317800041228</v>
      </c>
      <c r="X22" s="588">
        <v>6.633424570724654</v>
      </c>
      <c r="Y22" s="588">
        <v>6.4173444806000477</v>
      </c>
      <c r="Z22" s="588">
        <v>6.2076724164577666</v>
      </c>
    </row>
    <row r="23" spans="1:26" ht="12.75">
      <c r="C23" s="182" t="s">
        <v>2349</v>
      </c>
      <c r="D23" s="588">
        <f>ResCalc!D$90*ResCalc!D$62*ResCalc!D71*ResCalc!$J39*ResCalc!D87/'Conv Factors'!$B$17</f>
        <v>42.366594742609848</v>
      </c>
      <c r="E23" s="588">
        <f>'2010 Fuel Share'!$T$73*ResCalc!E$90*ResCalc!E$62*ResCalc!E71*ResCalc!$J39*ResCalc!E87/'Conv Factors'!$B$17</f>
        <v>22.721632326347429</v>
      </c>
      <c r="F23" s="588">
        <f>'2010 Fuel Share'!$T$73*ResCalc!F$90*ResCalc!F$62*ResCalc!F71*ResCalc!$J39*ResCalc!F87/'Conv Factors'!$B$17</f>
        <v>22.771597520441844</v>
      </c>
      <c r="G23" s="588">
        <f>'2010 Fuel Share'!$T$73*ResCalc!G$90*ResCalc!G$62*ResCalc!G71*ResCalc!$J39*ResCalc!G87/'Conv Factors'!$B$17</f>
        <v>20.397956333099671</v>
      </c>
      <c r="H23" s="588">
        <f>'2010 Fuel Share'!$T$73*ResCalc!H$90*ResCalc!H$62*ResCalc!H71*ResCalc!$J39*ResCalc!H87/'Conv Factors'!$B$17</f>
        <v>19.653143024806646</v>
      </c>
      <c r="I23" s="588">
        <f>'2010 Fuel Share'!$T$73*ResCalc!I$90*ResCalc!I$62*ResCalc!I71*ResCalc!$J39*ResCalc!I87/'Conv Factors'!$B$17</f>
        <v>18.893211387021243</v>
      </c>
      <c r="J23" s="588">
        <f>'2010 Fuel Share'!$T$73*ResCalc!J$90*ResCalc!J$62*ResCalc!J71*ResCalc!$J39*ResCalc!J87/'Conv Factors'!$B$17</f>
        <v>18.179630968670338</v>
      </c>
      <c r="K23" s="588">
        <f>'2010 Fuel Share'!$T$73*ResCalc!K$90*ResCalc!K$62*ResCalc!K71*ResCalc!$J39*ResCalc!K87/'Conv Factors'!$B$17</f>
        <v>17.479416737796971</v>
      </c>
      <c r="L23" s="588">
        <f>'2010 Fuel Share'!$T$73*ResCalc!L$90*ResCalc!L$62*ResCalc!L71*ResCalc!$J39*ResCalc!L87/'Conv Factors'!$B$17</f>
        <v>16.944334247309488</v>
      </c>
      <c r="M23" s="588">
        <f>'2010 Fuel Share'!$T$73*ResCalc!M$90*ResCalc!M$62*ResCalc!M71*ResCalc!$J39*ResCalc!M87/'Conv Factors'!$B$17</f>
        <v>16.31816070748334</v>
      </c>
      <c r="N23" s="588">
        <f>'2010 Fuel Share'!$T$73*ResCalc!N$90*ResCalc!N$62*ResCalc!N71*ResCalc!$J39*ResCalc!N87/'Conv Factors'!$B$17</f>
        <v>15.715899042295634</v>
      </c>
      <c r="P23" s="588">
        <v>43.996536355869935</v>
      </c>
      <c r="Q23" s="588">
        <v>23.54355182714465</v>
      </c>
      <c r="R23" s="588">
        <v>23.595324433963537</v>
      </c>
      <c r="S23" s="588">
        <v>21.135820490295089</v>
      </c>
      <c r="T23" s="588">
        <v>20.364064725855137</v>
      </c>
      <c r="U23" s="588">
        <v>19.576643750006454</v>
      </c>
      <c r="V23" s="588">
        <v>18.837250676437566</v>
      </c>
      <c r="W23" s="588">
        <v>18.111707291266466</v>
      </c>
      <c r="X23" s="588">
        <v>17.557269028836629</v>
      </c>
      <c r="Y23" s="588">
        <v>16.908444640872709</v>
      </c>
      <c r="Z23" s="588">
        <v>16.284397102201503</v>
      </c>
    </row>
    <row r="24" spans="1:26" s="449" customFormat="1">
      <c r="C24" s="449" t="s">
        <v>569</v>
      </c>
      <c r="D24" s="450">
        <f>ResCalc!D$90*ResCalc!D$62*ResCalc!D72*ResCalc!T35*ResCalc!D$87/'Conv Factors'!$B$17</f>
        <v>0</v>
      </c>
      <c r="E24" s="450">
        <f>ResCalc!E$90*ResCalc!E$62*ResCalc!E72*ResCalc!U35*ResCalc!E$87/'Conv Factors'!$B$17</f>
        <v>0</v>
      </c>
      <c r="F24" s="450">
        <f>ResCalc!F$90*ResCalc!F$62*ResCalc!F72*ResCalc!V35*ResCalc!F$87/'Conv Factors'!$B$17</f>
        <v>0</v>
      </c>
      <c r="G24" s="450">
        <f>ResCalc!G$90*ResCalc!G$62*ResCalc!G72*ResCalc!W35*ResCalc!G$87/'Conv Factors'!$B$17</f>
        <v>0</v>
      </c>
      <c r="H24" s="450">
        <f>ResCalc!H$90*ResCalc!H$62*ResCalc!H72*ResCalc!X35*ResCalc!H$87/'Conv Factors'!$B$17</f>
        <v>0</v>
      </c>
      <c r="I24" s="450">
        <f>ResCalc!I$90*ResCalc!I$62*ResCalc!I72*ResCalc!Y35*ResCalc!I$87/'Conv Factors'!$B$17</f>
        <v>0</v>
      </c>
      <c r="J24" s="450">
        <f>ResCalc!J$90*ResCalc!J$62*ResCalc!J72*ResCalc!Z35*ResCalc!J$87/'Conv Factors'!$B$17</f>
        <v>0</v>
      </c>
      <c r="K24" s="450">
        <f>ResCalc!K$90*ResCalc!K$62*ResCalc!K72*ResCalc!AA35*ResCalc!K$87/'Conv Factors'!$B$17</f>
        <v>0</v>
      </c>
      <c r="L24" s="450">
        <f>ResCalc!L$90*ResCalc!L$62*ResCalc!L72*ResCalc!AB35*ResCalc!L$87/'Conv Factors'!$B$17</f>
        <v>0</v>
      </c>
      <c r="M24" s="450">
        <f>ResCalc!M$90*ResCalc!M$62*ResCalc!M72*ResCalc!AC35*ResCalc!M$87/'Conv Factors'!$B$17</f>
        <v>0</v>
      </c>
      <c r="N24" s="450">
        <f>ResCalc!N$90*ResCalc!N$62*ResCalc!N72*ResCalc!AD35*ResCalc!N$87/'Conv Factors'!$B$17</f>
        <v>0</v>
      </c>
      <c r="P24" s="450">
        <v>0</v>
      </c>
      <c r="Q24" s="450">
        <v>0</v>
      </c>
      <c r="R24" s="450">
        <v>0</v>
      </c>
      <c r="S24" s="450">
        <v>0</v>
      </c>
      <c r="T24" s="450">
        <v>0</v>
      </c>
      <c r="U24" s="450">
        <v>0</v>
      </c>
      <c r="V24" s="450">
        <v>0</v>
      </c>
      <c r="W24" s="450">
        <v>0</v>
      </c>
      <c r="X24" s="450">
        <v>0</v>
      </c>
      <c r="Y24" s="450">
        <v>0</v>
      </c>
      <c r="Z24" s="450">
        <v>0</v>
      </c>
    </row>
    <row r="25" spans="1:26" s="449" customFormat="1">
      <c r="B25" s="449" t="s">
        <v>672</v>
      </c>
      <c r="C25" s="449" t="s">
        <v>572</v>
      </c>
      <c r="D25" s="450">
        <f>ResCalc!D$90*ResCalc!D$62*ResCalc!D73*ResCalc!T39*ResCalc!D$87/'Conv Factors'!$B$17*0.9</f>
        <v>0</v>
      </c>
      <c r="E25" s="450">
        <f>ResCalc!E$90*ResCalc!E$62*ResCalc!E73*ResCalc!U39*ResCalc!E$87/'Conv Factors'!$B$17*0.9</f>
        <v>0</v>
      </c>
      <c r="F25" s="450">
        <f>ResCalc!F$90*ResCalc!F$62*ResCalc!F73*ResCalc!V39*ResCalc!F$87/'Conv Factors'!$B$17*0.9</f>
        <v>0</v>
      </c>
      <c r="G25" s="450">
        <f>ResCalc!G$90*ResCalc!G$62*ResCalc!G73*ResCalc!W39*ResCalc!G$87/'Conv Factors'!$B$17*0.9</f>
        <v>0</v>
      </c>
      <c r="H25" s="450">
        <f>ResCalc!H$90*ResCalc!H$62*ResCalc!H73*ResCalc!X39*ResCalc!H$87/'Conv Factors'!$B$17*0.9</f>
        <v>0</v>
      </c>
      <c r="I25" s="450">
        <f>ResCalc!I$90*ResCalc!I$62*ResCalc!I73*ResCalc!Y39*ResCalc!I$87/'Conv Factors'!$B$17*0.9</f>
        <v>0</v>
      </c>
      <c r="J25" s="450">
        <f>ResCalc!J$90*ResCalc!J$62*ResCalc!J73*ResCalc!Z39*ResCalc!J$87/'Conv Factors'!$B$17*0.9</f>
        <v>0</v>
      </c>
      <c r="K25" s="450">
        <f>ResCalc!K$90*ResCalc!K$62*ResCalc!K73*ResCalc!AA39*ResCalc!K$87/'Conv Factors'!$B$17*0.9</f>
        <v>0</v>
      </c>
      <c r="L25" s="450">
        <f>ResCalc!L$90*ResCalc!L$62*ResCalc!L73*ResCalc!AB39*ResCalc!L$87/'Conv Factors'!$B$17*0.9</f>
        <v>0</v>
      </c>
      <c r="M25" s="450">
        <f>ResCalc!M$90*ResCalc!M$62*ResCalc!M73*ResCalc!AC39*ResCalc!M$87/'Conv Factors'!$B$17*0.9</f>
        <v>0</v>
      </c>
      <c r="N25" s="450">
        <f>ResCalc!N$90*ResCalc!N$62*ResCalc!N73*ResCalc!AD39*ResCalc!N$87/'Conv Factors'!$B$17*0.9</f>
        <v>0</v>
      </c>
      <c r="P25" s="450">
        <v>0</v>
      </c>
      <c r="Q25" s="450">
        <v>0</v>
      </c>
      <c r="R25" s="450">
        <v>0</v>
      </c>
      <c r="S25" s="450">
        <v>0</v>
      </c>
      <c r="T25" s="450">
        <v>0</v>
      </c>
      <c r="U25" s="450">
        <v>0</v>
      </c>
      <c r="V25" s="450">
        <v>0</v>
      </c>
      <c r="W25" s="450">
        <v>0</v>
      </c>
      <c r="X25" s="450">
        <v>0</v>
      </c>
      <c r="Y25" s="450">
        <v>0</v>
      </c>
      <c r="Z25" s="450">
        <v>0</v>
      </c>
    </row>
    <row r="26" spans="1:26" s="449" customFormat="1">
      <c r="B26" s="449" t="s">
        <v>673</v>
      </c>
      <c r="C26" s="449" t="s">
        <v>534</v>
      </c>
      <c r="D26" s="450">
        <f>ResCalc!D$90*ResCalc!D$62*ResCalc!D74*ResCalc!T40*ResCalc!D$87/'Conv Factors'!$B$17*0.8</f>
        <v>0</v>
      </c>
      <c r="E26" s="450">
        <f>ResCalc!E$90*ResCalc!E$62*ResCalc!E74*ResCalc!U40*ResCalc!E$87/'Conv Factors'!$B$17*0.8</f>
        <v>0</v>
      </c>
      <c r="F26" s="450">
        <f>ResCalc!F$90*ResCalc!F$62*ResCalc!F74*ResCalc!V40*ResCalc!F$87/'Conv Factors'!$B$17*0.8</f>
        <v>0</v>
      </c>
      <c r="G26" s="450">
        <f>ResCalc!G$90*ResCalc!G$62*ResCalc!G74*ResCalc!W40*ResCalc!G$87/'Conv Factors'!$B$17*0.8</f>
        <v>0</v>
      </c>
      <c r="H26" s="450">
        <f>ResCalc!H$90*ResCalc!H$62*ResCalc!H74*ResCalc!X40*ResCalc!H$87/'Conv Factors'!$B$17*0.8</f>
        <v>0</v>
      </c>
      <c r="I26" s="450">
        <f>ResCalc!I$90*ResCalc!I$62*ResCalc!I74*ResCalc!Y40*ResCalc!I$87/'Conv Factors'!$B$17*0.8</f>
        <v>0</v>
      </c>
      <c r="J26" s="450">
        <f>ResCalc!J$90*ResCalc!J$62*ResCalc!J74*ResCalc!Z40*ResCalc!J$87/'Conv Factors'!$B$17*0.8</f>
        <v>0</v>
      </c>
      <c r="K26" s="450">
        <f>ResCalc!K$90*ResCalc!K$62*ResCalc!K74*ResCalc!AA40*ResCalc!K$87/'Conv Factors'!$B$17*0.8</f>
        <v>0</v>
      </c>
      <c r="L26" s="450">
        <f>ResCalc!L$90*ResCalc!L$62*ResCalc!L74*ResCalc!AB40*ResCalc!L$87/'Conv Factors'!$B$17*0.8</f>
        <v>0</v>
      </c>
      <c r="M26" s="450">
        <f>ResCalc!M$90*ResCalc!M$62*ResCalc!M74*ResCalc!AC40*ResCalc!M$87/'Conv Factors'!$B$17*0.8</f>
        <v>0</v>
      </c>
      <c r="N26" s="450">
        <f>ResCalc!N$90*ResCalc!N$62*ResCalc!N74*ResCalc!AD40*ResCalc!N$87/'Conv Factors'!$B$17*0.8</f>
        <v>0</v>
      </c>
      <c r="P26" s="450">
        <v>0</v>
      </c>
      <c r="Q26" s="450">
        <v>0</v>
      </c>
      <c r="R26" s="450">
        <v>0</v>
      </c>
      <c r="S26" s="450">
        <v>0</v>
      </c>
      <c r="T26" s="450">
        <v>0</v>
      </c>
      <c r="U26" s="450">
        <v>0</v>
      </c>
      <c r="V26" s="450">
        <v>0</v>
      </c>
      <c r="W26" s="450">
        <v>0</v>
      </c>
      <c r="X26" s="450">
        <v>0</v>
      </c>
      <c r="Y26" s="450">
        <v>0</v>
      </c>
      <c r="Z26" s="450">
        <v>0</v>
      </c>
    </row>
    <row r="27" spans="1:26">
      <c r="C27" s="166" t="s">
        <v>2351</v>
      </c>
      <c r="D27" s="165">
        <f>SUM(D19:D23)</f>
        <v>154.200293682557</v>
      </c>
      <c r="E27" s="165">
        <f>SUM(E19:E23)</f>
        <v>146.11397861313057</v>
      </c>
      <c r="F27" s="165">
        <f t="shared" ref="F27:N27" si="1">SUM(F19:F23)</f>
        <v>146.08870026262201</v>
      </c>
      <c r="G27" s="165">
        <f t="shared" si="1"/>
        <v>131.36841546249471</v>
      </c>
      <c r="H27" s="165">
        <f t="shared" si="1"/>
        <v>127.44345817967678</v>
      </c>
      <c r="I27" s="165">
        <f t="shared" si="1"/>
        <v>123.33843695179219</v>
      </c>
      <c r="J27" s="165">
        <f t="shared" si="1"/>
        <v>119.04166013644334</v>
      </c>
      <c r="K27" s="165">
        <f t="shared" si="1"/>
        <v>114.79865009619151</v>
      </c>
      <c r="L27" s="165">
        <f t="shared" si="1"/>
        <v>110.61953014805124</v>
      </c>
      <c r="M27" s="165">
        <f t="shared" si="1"/>
        <v>106.67817022289175</v>
      </c>
      <c r="N27" s="165">
        <f t="shared" si="1"/>
        <v>102.87802187877722</v>
      </c>
      <c r="P27" s="165">
        <v>160.13273826482947</v>
      </c>
      <c r="Q27" s="165">
        <v>151.7353238136929</v>
      </c>
      <c r="R27" s="165">
        <v>151.71175171643995</v>
      </c>
      <c r="S27" s="165">
        <v>136.42187460734999</v>
      </c>
      <c r="T27" s="165">
        <v>132.34587972412237</v>
      </c>
      <c r="U27" s="165">
        <v>128.08289924954209</v>
      </c>
      <c r="V27" s="165">
        <v>123.62039208340825</v>
      </c>
      <c r="W27" s="165">
        <v>119.21376125936494</v>
      </c>
      <c r="X27" s="165">
        <v>114.87178205822188</v>
      </c>
      <c r="Y27" s="165">
        <v>110.77818559919973</v>
      </c>
      <c r="Z27" s="165">
        <v>106.83130306583166</v>
      </c>
    </row>
    <row r="28" spans="1:26">
      <c r="A28" s="161" t="s">
        <v>678</v>
      </c>
    </row>
    <row r="29" spans="1:26">
      <c r="E29" s="167"/>
      <c r="F29" s="167"/>
      <c r="G29" s="167"/>
      <c r="H29" s="167"/>
      <c r="I29" s="167"/>
      <c r="J29" s="167"/>
      <c r="K29" s="167"/>
      <c r="L29" s="167"/>
      <c r="M29" s="167"/>
      <c r="N29" s="167"/>
      <c r="Q29" s="167"/>
      <c r="R29" s="167"/>
      <c r="S29" s="167"/>
      <c r="T29" s="167"/>
      <c r="U29" s="167"/>
      <c r="V29" s="167"/>
      <c r="W29" s="167"/>
      <c r="X29" s="167"/>
      <c r="Y29" s="167"/>
      <c r="Z29" s="167"/>
    </row>
    <row r="30" spans="1:26" s="449" customFormat="1" hidden="1">
      <c r="A30" s="454" t="s">
        <v>679</v>
      </c>
      <c r="B30" s="454"/>
      <c r="I30" s="455" t="s">
        <v>680</v>
      </c>
      <c r="U30" s="455" t="s">
        <v>680</v>
      </c>
    </row>
    <row r="31" spans="1:26" s="449" customFormat="1" hidden="1">
      <c r="B31" s="449" t="s">
        <v>665</v>
      </c>
      <c r="C31" s="449" t="s">
        <v>500</v>
      </c>
      <c r="D31" s="452">
        <f>USDemand!C$11*ResCalc!D66/ResCalc!D$75</f>
        <v>0</v>
      </c>
      <c r="E31" s="452">
        <f>USDemand!D$11*ResCalc!E66/ResCalc!E$75</f>
        <v>0</v>
      </c>
      <c r="F31" s="452">
        <f>USDemand!E$11*ResCalc!F66/ResCalc!F$75</f>
        <v>0</v>
      </c>
      <c r="G31" s="452">
        <f>USDemand!F$11*ResCalc!G66/ResCalc!G$75</f>
        <v>0</v>
      </c>
      <c r="H31" s="452">
        <f>USDemand!G$11*ResCalc!H66/ResCalc!H$75</f>
        <v>0</v>
      </c>
      <c r="I31" s="452">
        <f>USDemand!H$11*ResCalc!I66/ResCalc!I$75</f>
        <v>0</v>
      </c>
      <c r="J31" s="452">
        <f>USDemand!I$11*ResCalc!J66/ResCalc!J$75</f>
        <v>0</v>
      </c>
      <c r="K31" s="452">
        <f>USDemand!J$11*ResCalc!K66/ResCalc!K$75</f>
        <v>0</v>
      </c>
      <c r="L31" s="452">
        <f>USDemand!K$11*ResCalc!L66/ResCalc!L$75</f>
        <v>0</v>
      </c>
      <c r="M31" s="452">
        <f>USDemand!L$11*ResCalc!M66/ResCalc!M$75</f>
        <v>0</v>
      </c>
      <c r="N31" s="452">
        <f>USDemand!M$11*ResCalc!N66/ResCalc!N$75</f>
        <v>0</v>
      </c>
      <c r="P31" s="452">
        <v>0</v>
      </c>
      <c r="Q31" s="452">
        <v>0</v>
      </c>
      <c r="R31" s="452">
        <v>0</v>
      </c>
      <c r="S31" s="452">
        <v>0</v>
      </c>
      <c r="T31" s="452">
        <v>0</v>
      </c>
      <c r="U31" s="452">
        <v>0</v>
      </c>
      <c r="V31" s="452">
        <v>0</v>
      </c>
      <c r="W31" s="452">
        <v>0</v>
      </c>
      <c r="X31" s="452">
        <v>0</v>
      </c>
      <c r="Y31" s="452">
        <v>0</v>
      </c>
      <c r="Z31" s="452">
        <v>0</v>
      </c>
    </row>
    <row r="32" spans="1:26" s="449" customFormat="1" hidden="1">
      <c r="B32" s="449" t="s">
        <v>666</v>
      </c>
      <c r="C32" s="449" t="s">
        <v>567</v>
      </c>
      <c r="D32" s="452">
        <f>USDemand!C$11*ResCalc!D67/ResCalc!D$75</f>
        <v>52.671675369676898</v>
      </c>
      <c r="E32" s="452">
        <f>USDemand!D$11*ResCalc!E67/ResCalc!E$75</f>
        <v>58.611465970764392</v>
      </c>
      <c r="F32" s="452">
        <f>USDemand!E$11*ResCalc!F67/ResCalc!F$75</f>
        <v>65.191962130316668</v>
      </c>
      <c r="G32" s="452">
        <f>USDemand!F$11*ResCalc!G67/ResCalc!G$75</f>
        <v>71.752959619339819</v>
      </c>
      <c r="H32" s="452">
        <f>USDemand!G$11*ResCalc!H67/ResCalc!H$75</f>
        <v>78.085430669334244</v>
      </c>
      <c r="I32" s="452">
        <f>USDemand!H$11*ResCalc!I67/ResCalc!I$75</f>
        <v>84.686724122731661</v>
      </c>
      <c r="J32" s="452">
        <f>USDemand!I$11*ResCalc!J67/ResCalc!J$75</f>
        <v>91.367017346774361</v>
      </c>
      <c r="K32" s="452">
        <f>USDemand!J$11*ResCalc!K67/ResCalc!K$75</f>
        <v>95.651076585407651</v>
      </c>
      <c r="L32" s="452">
        <f>USDemand!K$11*ResCalc!L67/ResCalc!L$75</f>
        <v>99.175114784425745</v>
      </c>
      <c r="M32" s="452">
        <f>USDemand!L$11*ResCalc!M67/ResCalc!M$75</f>
        <v>103.52558003608026</v>
      </c>
      <c r="N32" s="452">
        <f>USDemand!M$11*ResCalc!N67/ResCalc!N$75</f>
        <v>108.06302504100174</v>
      </c>
      <c r="P32" s="452">
        <v>52.671675369676898</v>
      </c>
      <c r="Q32" s="452">
        <v>58.611465970764392</v>
      </c>
      <c r="R32" s="452">
        <v>65.191962130316668</v>
      </c>
      <c r="S32" s="452">
        <v>71.752959619339819</v>
      </c>
      <c r="T32" s="452">
        <v>78.085430669334244</v>
      </c>
      <c r="U32" s="452">
        <v>84.686724122731661</v>
      </c>
      <c r="V32" s="452">
        <v>91.367017346774361</v>
      </c>
      <c r="W32" s="452">
        <v>95.651076585407651</v>
      </c>
      <c r="X32" s="452">
        <v>99.175114784425745</v>
      </c>
      <c r="Y32" s="452">
        <v>103.52558003608026</v>
      </c>
      <c r="Z32" s="452">
        <v>108.06302504100174</v>
      </c>
    </row>
    <row r="33" spans="1:27" s="449" customFormat="1" hidden="1">
      <c r="B33" s="449" t="s">
        <v>667</v>
      </c>
      <c r="C33" s="449" t="s">
        <v>530</v>
      </c>
      <c r="D33" s="452">
        <f>USDemand!C$11*ResCalc!D68/ResCalc!D$75</f>
        <v>28.586631630598191</v>
      </c>
      <c r="E33" s="452">
        <f>USDemand!D$11*ResCalc!E68/ResCalc!E$75</f>
        <v>31.800250932301807</v>
      </c>
      <c r="F33" s="452">
        <f>USDemand!E$11*ResCalc!F68/ResCalc!F$75</f>
        <v>35.985129385697313</v>
      </c>
      <c r="G33" s="452">
        <f>USDemand!F$11*ResCalc!G68/ResCalc!G$75</f>
        <v>39.196980327280009</v>
      </c>
      <c r="H33" s="452">
        <f>USDemand!G$11*ResCalc!H68/ResCalc!H$75</f>
        <v>42.8665152942487</v>
      </c>
      <c r="I33" s="452">
        <f>USDemand!H$11*ResCalc!I68/ResCalc!I$75</f>
        <v>46.709711031801703</v>
      </c>
      <c r="J33" s="452">
        <f>USDemand!I$11*ResCalc!J68/ResCalc!J$75</f>
        <v>50.598892048117357</v>
      </c>
      <c r="K33" s="452">
        <f>USDemand!J$11*ResCalc!K68/ResCalc!K$75</f>
        <v>53.179072334206566</v>
      </c>
      <c r="L33" s="452">
        <f>USDemand!K$11*ResCalc!L68/ResCalc!L$75</f>
        <v>55.44728824735197</v>
      </c>
      <c r="M33" s="452">
        <f>USDemand!L$11*ResCalc!M68/ResCalc!M$75</f>
        <v>58.089341144803555</v>
      </c>
      <c r="N33" s="452">
        <f>USDemand!M$11*ResCalc!N68/ResCalc!N$75</f>
        <v>60.846869655728774</v>
      </c>
      <c r="P33" s="452">
        <v>28.586631630598191</v>
      </c>
      <c r="Q33" s="452">
        <v>31.800250932301807</v>
      </c>
      <c r="R33" s="452">
        <v>35.985129385697313</v>
      </c>
      <c r="S33" s="452">
        <v>39.196980327280009</v>
      </c>
      <c r="T33" s="452">
        <v>42.8665152942487</v>
      </c>
      <c r="U33" s="452">
        <v>46.709711031801703</v>
      </c>
      <c r="V33" s="452">
        <v>50.598892048117357</v>
      </c>
      <c r="W33" s="452">
        <v>53.179072334206566</v>
      </c>
      <c r="X33" s="452">
        <v>55.44728824735197</v>
      </c>
      <c r="Y33" s="452">
        <v>58.089341144803555</v>
      </c>
      <c r="Z33" s="452">
        <v>60.846869655728774</v>
      </c>
    </row>
    <row r="34" spans="1:27" s="449" customFormat="1" hidden="1">
      <c r="B34" s="449" t="s">
        <v>668</v>
      </c>
      <c r="C34" s="449" t="s">
        <v>570</v>
      </c>
      <c r="D34" s="452">
        <f>USDemand!C$11*ResCalc!D69/ResCalc!D$75</f>
        <v>33.483803463644648</v>
      </c>
      <c r="E34" s="452">
        <f>USDemand!D$11*ResCalc!E69/ResCalc!E$75</f>
        <v>36.409550263778897</v>
      </c>
      <c r="F34" s="452">
        <f>USDemand!E$11*ResCalc!F69/ResCalc!F$75</f>
        <v>40.659890045311379</v>
      </c>
      <c r="G34" s="452">
        <f>USDemand!F$11*ResCalc!G69/ResCalc!G$75</f>
        <v>44.384988075348041</v>
      </c>
      <c r="H34" s="452">
        <f>USDemand!G$11*ResCalc!H69/ResCalc!H$75</f>
        <v>47.91395639029578</v>
      </c>
      <c r="I34" s="452">
        <f>USDemand!H$11*ResCalc!I69/ResCalc!I$75</f>
        <v>51.559716787805208</v>
      </c>
      <c r="J34" s="452">
        <f>USDemand!I$11*ResCalc!J69/ResCalc!J$75</f>
        <v>55.009926672852799</v>
      </c>
      <c r="K34" s="452">
        <f>USDemand!J$11*ResCalc!K69/ResCalc!K$75</f>
        <v>56.963056906796297</v>
      </c>
      <c r="L34" s="452">
        <f>USDemand!K$11*ResCalc!L69/ResCalc!L$75</f>
        <v>59.103336418893782</v>
      </c>
      <c r="M34" s="452">
        <f>USDemand!L$11*ResCalc!M69/ResCalc!M$75</f>
        <v>61.332936345997993</v>
      </c>
      <c r="N34" s="452">
        <f>USDemand!M$11*ResCalc!N69/ResCalc!N$75</f>
        <v>63.655036150608538</v>
      </c>
      <c r="P34" s="452">
        <v>33.483803463644648</v>
      </c>
      <c r="Q34" s="452">
        <v>36.409550263778897</v>
      </c>
      <c r="R34" s="452">
        <v>40.659890045311379</v>
      </c>
      <c r="S34" s="452">
        <v>44.384988075348041</v>
      </c>
      <c r="T34" s="452">
        <v>47.91395639029578</v>
      </c>
      <c r="U34" s="452">
        <v>51.559716787805208</v>
      </c>
      <c r="V34" s="452">
        <v>55.009926672852799</v>
      </c>
      <c r="W34" s="452">
        <v>56.963056906796297</v>
      </c>
      <c r="X34" s="452">
        <v>59.103336418893782</v>
      </c>
      <c r="Y34" s="452">
        <v>61.332936345997993</v>
      </c>
      <c r="Z34" s="452">
        <v>63.655036150608538</v>
      </c>
    </row>
    <row r="35" spans="1:27" s="449" customFormat="1" hidden="1">
      <c r="B35" s="449" t="s">
        <v>669</v>
      </c>
      <c r="C35" s="449" t="s">
        <v>568</v>
      </c>
      <c r="D35" s="452">
        <f>USDemand!C$11*ResCalc!D70/ResCalc!D$75</f>
        <v>9.7985288537942274</v>
      </c>
      <c r="E35" s="452">
        <f>USDemand!D$11*ResCalc!E70/ResCalc!E$75</f>
        <v>10.761421939298469</v>
      </c>
      <c r="F35" s="452">
        <f>USDemand!E$11*ResCalc!F70/ResCalc!F$75</f>
        <v>11.733210642950018</v>
      </c>
      <c r="G35" s="452">
        <f>USDemand!F$11*ResCalc!G70/ResCalc!G$75</f>
        <v>13.198205232097651</v>
      </c>
      <c r="H35" s="452">
        <f>USDemand!G$11*ResCalc!H70/ResCalc!H$75</f>
        <v>14.235485088730856</v>
      </c>
      <c r="I35" s="452">
        <f>USDemand!H$11*ResCalc!I70/ResCalc!I$75</f>
        <v>15.305952974505734</v>
      </c>
      <c r="J35" s="452">
        <f>USDemand!I$11*ResCalc!J70/ResCalc!J$75</f>
        <v>16.312828952860833</v>
      </c>
      <c r="K35" s="452">
        <f>USDemand!J$11*ResCalc!K70/ResCalc!K$75</f>
        <v>16.874209991687113</v>
      </c>
      <c r="L35" s="452">
        <f>USDemand!K$11*ResCalc!L70/ResCalc!L$75</f>
        <v>18.037434212452055</v>
      </c>
      <c r="M35" s="452">
        <f>USDemand!L$11*ResCalc!M70/ResCalc!M$75</f>
        <v>18.863377757609523</v>
      </c>
      <c r="N35" s="452">
        <f>USDemand!M$11*ResCalc!N70/ResCalc!N$75</f>
        <v>19.725137735061651</v>
      </c>
      <c r="P35" s="452">
        <v>9.7985288537942274</v>
      </c>
      <c r="Q35" s="452">
        <v>10.761421939298469</v>
      </c>
      <c r="R35" s="452">
        <v>11.733210642950018</v>
      </c>
      <c r="S35" s="452">
        <v>13.198205232097651</v>
      </c>
      <c r="T35" s="452">
        <v>14.235485088730856</v>
      </c>
      <c r="U35" s="452">
        <v>15.305952974505734</v>
      </c>
      <c r="V35" s="452">
        <v>16.312828952860833</v>
      </c>
      <c r="W35" s="452">
        <v>16.874209991687113</v>
      </c>
      <c r="X35" s="452">
        <v>18.037434212452055</v>
      </c>
      <c r="Y35" s="452">
        <v>18.863377757609523</v>
      </c>
      <c r="Z35" s="452">
        <v>19.725137735061651</v>
      </c>
      <c r="AA35" s="450">
        <v>219.39124102032494</v>
      </c>
    </row>
    <row r="36" spans="1:27" s="449" customFormat="1" hidden="1">
      <c r="B36" s="449" t="s">
        <v>670</v>
      </c>
      <c r="C36" s="449" t="s">
        <v>571</v>
      </c>
      <c r="D36" s="452">
        <f>USDemand!C$11*ResCalc!D71/ResCalc!D$75</f>
        <v>47.180437068369237</v>
      </c>
      <c r="E36" s="452">
        <f>USDemand!D$11*ResCalc!E71/ResCalc!E$75</f>
        <v>51.657075259243989</v>
      </c>
      <c r="F36" s="452">
        <f>USDemand!E$11*ResCalc!F71/ResCalc!F$75</f>
        <v>57.834320937496656</v>
      </c>
      <c r="G36" s="452">
        <f>USDemand!F$11*ResCalc!G71/ResCalc!G$75</f>
        <v>63.133318268992404</v>
      </c>
      <c r="H36" s="452">
        <f>USDemand!G$11*ResCalc!H71/ResCalc!H$75</f>
        <v>67.987874546845461</v>
      </c>
      <c r="I36" s="452">
        <f>USDemand!H$11*ResCalc!I71/ResCalc!I$75</f>
        <v>72.987509746058876</v>
      </c>
      <c r="J36" s="452">
        <f>USDemand!I$11*ResCalc!J71/ResCalc!J$75</f>
        <v>78.165727194638805</v>
      </c>
      <c r="K36" s="452">
        <f>USDemand!J$11*ResCalc!K71/ResCalc!K$75</f>
        <v>81.242894983394692</v>
      </c>
      <c r="L36" s="452">
        <f>USDemand!K$11*ResCalc!L71/ResCalc!L$75</f>
        <v>85.13538569448977</v>
      </c>
      <c r="M36" s="452">
        <f>USDemand!L$11*ResCalc!M71/ResCalc!M$75</f>
        <v>88.630652843898076</v>
      </c>
      <c r="N36" s="452">
        <f>USDemand!M$11*ResCalc!N71/ResCalc!N$75</f>
        <v>92.273951055928876</v>
      </c>
      <c r="P36" s="452">
        <v>47.180437068369237</v>
      </c>
      <c r="Q36" s="452">
        <v>51.657075259243989</v>
      </c>
      <c r="R36" s="452">
        <v>57.834320937496656</v>
      </c>
      <c r="S36" s="452">
        <v>63.133318268992404</v>
      </c>
      <c r="T36" s="452">
        <v>67.987874546845461</v>
      </c>
      <c r="U36" s="452">
        <v>72.987509746058876</v>
      </c>
      <c r="V36" s="452">
        <v>78.165727194638805</v>
      </c>
      <c r="W36" s="452">
        <v>81.242894983394692</v>
      </c>
      <c r="X36" s="452">
        <v>85.13538569448977</v>
      </c>
      <c r="Y36" s="452">
        <v>88.630652843898076</v>
      </c>
      <c r="Z36" s="452">
        <v>92.273951055928876</v>
      </c>
      <c r="AA36" s="450">
        <v>208.35668199718791</v>
      </c>
    </row>
    <row r="37" spans="1:27" s="449" customFormat="1" hidden="1">
      <c r="B37" s="449" t="s">
        <v>671</v>
      </c>
      <c r="C37" s="449" t="s">
        <v>569</v>
      </c>
      <c r="D37" s="452">
        <f>USDemand!C$11*ResCalc!D72/ResCalc!D$75</f>
        <v>0</v>
      </c>
      <c r="E37" s="452">
        <f>USDemand!D$11*ResCalc!E72/ResCalc!E$75</f>
        <v>0</v>
      </c>
      <c r="F37" s="452">
        <f>USDemand!E$11*ResCalc!F72/ResCalc!F$75</f>
        <v>0</v>
      </c>
      <c r="G37" s="452">
        <f>USDemand!F$11*ResCalc!G72/ResCalc!G$75</f>
        <v>0</v>
      </c>
      <c r="H37" s="452">
        <f>USDemand!G$11*ResCalc!H72/ResCalc!H$75</f>
        <v>0</v>
      </c>
      <c r="I37" s="452">
        <f>USDemand!H$11*ResCalc!I72/ResCalc!I$75</f>
        <v>0</v>
      </c>
      <c r="J37" s="452">
        <f>USDemand!I$11*ResCalc!J72/ResCalc!J$75</f>
        <v>0</v>
      </c>
      <c r="K37" s="452">
        <f>USDemand!J$11*ResCalc!K72/ResCalc!K$75</f>
        <v>0</v>
      </c>
      <c r="L37" s="452">
        <f>USDemand!K$11*ResCalc!L72/ResCalc!L$75</f>
        <v>0</v>
      </c>
      <c r="M37" s="452">
        <f>USDemand!L$11*ResCalc!M72/ResCalc!M$75</f>
        <v>0</v>
      </c>
      <c r="N37" s="452">
        <f>USDemand!M$11*ResCalc!N72/ResCalc!N$75</f>
        <v>0</v>
      </c>
      <c r="P37" s="452">
        <v>0</v>
      </c>
      <c r="Q37" s="452">
        <v>0</v>
      </c>
      <c r="R37" s="452">
        <v>0</v>
      </c>
      <c r="S37" s="452">
        <v>0</v>
      </c>
      <c r="T37" s="452">
        <v>0</v>
      </c>
      <c r="U37" s="452">
        <v>0</v>
      </c>
      <c r="V37" s="452">
        <v>0</v>
      </c>
      <c r="W37" s="452">
        <v>0</v>
      </c>
      <c r="X37" s="452">
        <v>0</v>
      </c>
      <c r="Y37" s="452">
        <v>0</v>
      </c>
      <c r="Z37" s="452">
        <v>0</v>
      </c>
      <c r="AA37" s="450"/>
    </row>
    <row r="38" spans="1:27" s="449" customFormat="1" hidden="1">
      <c r="B38" s="449" t="s">
        <v>672</v>
      </c>
      <c r="C38" s="449" t="s">
        <v>572</v>
      </c>
      <c r="D38" s="452">
        <f>USDemand!C$11*ResCalc!D73/ResCalc!D$75</f>
        <v>0</v>
      </c>
      <c r="E38" s="452">
        <f>USDemand!D$11*ResCalc!E73/ResCalc!E$75</f>
        <v>0</v>
      </c>
      <c r="F38" s="452">
        <f>USDemand!E$11*ResCalc!F73/ResCalc!F$75</f>
        <v>0</v>
      </c>
      <c r="G38" s="452">
        <f>USDemand!F$11*ResCalc!G73/ResCalc!G$75</f>
        <v>0</v>
      </c>
      <c r="H38" s="452">
        <f>USDemand!G$11*ResCalc!H73/ResCalc!H$75</f>
        <v>0</v>
      </c>
      <c r="I38" s="452">
        <f>USDemand!H$11*ResCalc!I73/ResCalc!I$75</f>
        <v>0</v>
      </c>
      <c r="J38" s="452">
        <f>USDemand!I$11*ResCalc!J73/ResCalc!J$75</f>
        <v>0</v>
      </c>
      <c r="K38" s="452">
        <f>USDemand!J$11*ResCalc!K73/ResCalc!K$75</f>
        <v>0</v>
      </c>
      <c r="L38" s="452">
        <f>USDemand!K$11*ResCalc!L73/ResCalc!L$75</f>
        <v>0</v>
      </c>
      <c r="M38" s="452">
        <f>USDemand!L$11*ResCalc!M73/ResCalc!M$75</f>
        <v>0</v>
      </c>
      <c r="N38" s="452">
        <f>USDemand!M$11*ResCalc!N73/ResCalc!N$75</f>
        <v>0</v>
      </c>
      <c r="P38" s="452">
        <v>0</v>
      </c>
      <c r="Q38" s="452">
        <v>0</v>
      </c>
      <c r="R38" s="452">
        <v>0</v>
      </c>
      <c r="S38" s="452">
        <v>0</v>
      </c>
      <c r="T38" s="452">
        <v>0</v>
      </c>
      <c r="U38" s="452">
        <v>0</v>
      </c>
      <c r="V38" s="452">
        <v>0</v>
      </c>
      <c r="W38" s="452">
        <v>0</v>
      </c>
      <c r="X38" s="452">
        <v>0</v>
      </c>
      <c r="Y38" s="452">
        <v>0</v>
      </c>
      <c r="Z38" s="452">
        <v>0</v>
      </c>
    </row>
    <row r="39" spans="1:27" s="449" customFormat="1" hidden="1">
      <c r="B39" s="449" t="s">
        <v>673</v>
      </c>
      <c r="C39" s="449" t="s">
        <v>534</v>
      </c>
      <c r="D39" s="452">
        <f>USDemand!C$11*ResCalc!D74/ResCalc!D$75</f>
        <v>0</v>
      </c>
      <c r="E39" s="452">
        <f>USDemand!D$11*ResCalc!E74/ResCalc!E$75</f>
        <v>0</v>
      </c>
      <c r="F39" s="452">
        <f>USDemand!E$11*ResCalc!F74/ResCalc!F$75</f>
        <v>0</v>
      </c>
      <c r="G39" s="452">
        <f>USDemand!F$11*ResCalc!G74/ResCalc!G$75</f>
        <v>0</v>
      </c>
      <c r="H39" s="452">
        <f>USDemand!G$11*ResCalc!H74/ResCalc!H$75</f>
        <v>0</v>
      </c>
      <c r="I39" s="452">
        <f>USDemand!H$11*ResCalc!I74/ResCalc!I$75</f>
        <v>0</v>
      </c>
      <c r="J39" s="452">
        <f>USDemand!I$11*ResCalc!J74/ResCalc!J$75</f>
        <v>0</v>
      </c>
      <c r="K39" s="452">
        <f>USDemand!J$11*ResCalc!K74/ResCalc!K$75</f>
        <v>0</v>
      </c>
      <c r="L39" s="452">
        <f>USDemand!K$11*ResCalc!L74/ResCalc!L$75</f>
        <v>0</v>
      </c>
      <c r="M39" s="452">
        <f>USDemand!L$11*ResCalc!M74/ResCalc!M$75</f>
        <v>0</v>
      </c>
      <c r="N39" s="452">
        <f>USDemand!M$11*ResCalc!N74/ResCalc!N$75</f>
        <v>0</v>
      </c>
      <c r="P39" s="452">
        <v>0</v>
      </c>
      <c r="Q39" s="452">
        <v>0</v>
      </c>
      <c r="R39" s="452">
        <v>0</v>
      </c>
      <c r="S39" s="452">
        <v>0</v>
      </c>
      <c r="T39" s="452">
        <v>0</v>
      </c>
      <c r="U39" s="452">
        <v>0</v>
      </c>
      <c r="V39" s="452">
        <v>0</v>
      </c>
      <c r="W39" s="452">
        <v>0</v>
      </c>
      <c r="X39" s="452">
        <v>0</v>
      </c>
      <c r="Y39" s="452">
        <v>0</v>
      </c>
      <c r="Z39" s="452">
        <v>0</v>
      </c>
    </row>
    <row r="40" spans="1:27" s="449" customFormat="1" hidden="1">
      <c r="C40" s="453" t="s">
        <v>674</v>
      </c>
      <c r="D40" s="452">
        <f t="shared" ref="D40:N40" si="2">SUM(D31:D39)</f>
        <v>171.72107638608321</v>
      </c>
      <c r="E40" s="452">
        <f t="shared" si="2"/>
        <v>189.23976436538754</v>
      </c>
      <c r="F40" s="452">
        <f t="shared" si="2"/>
        <v>211.40451314177204</v>
      </c>
      <c r="G40" s="452">
        <f t="shared" si="2"/>
        <v>231.66645152305793</v>
      </c>
      <c r="H40" s="452">
        <f t="shared" si="2"/>
        <v>251.08926198945503</v>
      </c>
      <c r="I40" s="452">
        <f t="shared" si="2"/>
        <v>271.24961466290318</v>
      </c>
      <c r="J40" s="452">
        <f t="shared" si="2"/>
        <v>291.45439221524418</v>
      </c>
      <c r="K40" s="452">
        <f t="shared" si="2"/>
        <v>303.9103108014923</v>
      </c>
      <c r="L40" s="452">
        <f t="shared" si="2"/>
        <v>316.89855935761329</v>
      </c>
      <c r="M40" s="452">
        <f t="shared" si="2"/>
        <v>330.44188812838945</v>
      </c>
      <c r="N40" s="452">
        <f t="shared" si="2"/>
        <v>344.56401963832957</v>
      </c>
      <c r="P40" s="452">
        <v>171.72107638608321</v>
      </c>
      <c r="Q40" s="452">
        <v>189.23976436538754</v>
      </c>
      <c r="R40" s="452">
        <v>211.40451314177204</v>
      </c>
      <c r="S40" s="452">
        <v>231.66645152305793</v>
      </c>
      <c r="T40" s="452">
        <v>251.08926198945503</v>
      </c>
      <c r="U40" s="452">
        <v>271.24961466290318</v>
      </c>
      <c r="V40" s="452">
        <v>291.45439221524418</v>
      </c>
      <c r="W40" s="452">
        <v>303.9103108014923</v>
      </c>
      <c r="X40" s="452">
        <v>316.89855935761329</v>
      </c>
      <c r="Y40" s="452">
        <v>330.44188812838945</v>
      </c>
      <c r="Z40" s="452">
        <v>344.56401963832957</v>
      </c>
    </row>
    <row r="41" spans="1:27" s="449" customFormat="1" hidden="1">
      <c r="C41" s="449" t="s">
        <v>681</v>
      </c>
      <c r="D41" s="452">
        <f>USDemand!C254</f>
        <v>137.59495544433599</v>
      </c>
      <c r="E41" s="452">
        <f>USDemand!D254</f>
        <v>142.74478099999999</v>
      </c>
      <c r="F41" s="452">
        <f>USDemand!E254</f>
        <v>146.25145000000001</v>
      </c>
      <c r="G41" s="452">
        <f>USDemand!F254</f>
        <v>154.08332799999999</v>
      </c>
      <c r="H41" s="452">
        <f>USDemand!G254</f>
        <v>161.34394800000001</v>
      </c>
      <c r="I41" s="452">
        <f>USDemand!H254</f>
        <v>168.56379699999999</v>
      </c>
      <c r="J41" s="452">
        <f>USDemand!I254</f>
        <v>175.27842699999999</v>
      </c>
      <c r="K41" s="452"/>
      <c r="L41" s="452"/>
      <c r="M41" s="452"/>
      <c r="N41" s="452"/>
      <c r="P41" s="452">
        <v>137.59495544433599</v>
      </c>
      <c r="Q41" s="452">
        <v>142.74478099999999</v>
      </c>
      <c r="R41" s="452">
        <v>146.25145000000001</v>
      </c>
      <c r="S41" s="452">
        <v>154.08332799999999</v>
      </c>
      <c r="T41" s="452">
        <v>161.34394800000001</v>
      </c>
      <c r="U41" s="452">
        <v>168.56379699999999</v>
      </c>
      <c r="V41" s="452">
        <v>175.27842699999999</v>
      </c>
      <c r="W41" s="452"/>
      <c r="X41" s="452"/>
      <c r="Y41" s="452"/>
      <c r="Z41" s="452"/>
    </row>
    <row r="42" spans="1:27" s="449" customFormat="1" hidden="1">
      <c r="A42" s="454" t="s">
        <v>682</v>
      </c>
      <c r="B42" s="454"/>
      <c r="I42" s="455" t="s">
        <v>683</v>
      </c>
      <c r="U42" s="455" t="s">
        <v>683</v>
      </c>
    </row>
    <row r="43" spans="1:27" s="449" customFormat="1" hidden="1">
      <c r="B43" s="449" t="s">
        <v>665</v>
      </c>
      <c r="C43" s="449" t="s">
        <v>500</v>
      </c>
      <c r="D43" s="452">
        <f>USDemand!C$5*ResCalc!D66/ResCalc!D$75</f>
        <v>0</v>
      </c>
      <c r="E43" s="452">
        <f>USDemand!D$5*ResCalc!E66/ResCalc!E$75</f>
        <v>0</v>
      </c>
      <c r="F43" s="452">
        <f>USDemand!E$5*ResCalc!F66/ResCalc!F$75</f>
        <v>0</v>
      </c>
      <c r="G43" s="452">
        <f>USDemand!F$5*ResCalc!G66/ResCalc!G$75</f>
        <v>0</v>
      </c>
      <c r="H43" s="452">
        <f>USDemand!G$5*ResCalc!H66/ResCalc!H$75</f>
        <v>0</v>
      </c>
      <c r="I43" s="452">
        <f>USDemand!H$5*ResCalc!I66/ResCalc!I$75</f>
        <v>0</v>
      </c>
      <c r="J43" s="452">
        <f>USDemand!I$5*ResCalc!J66/ResCalc!J$75</f>
        <v>0</v>
      </c>
      <c r="K43" s="452">
        <f>USDemand!J$5*ResCalc!K66/ResCalc!K$75</f>
        <v>0</v>
      </c>
      <c r="L43" s="452">
        <f>USDemand!K$5*ResCalc!L66/ResCalc!L$75</f>
        <v>0</v>
      </c>
      <c r="M43" s="452">
        <f>USDemand!L$5*ResCalc!M66/ResCalc!M$75</f>
        <v>0</v>
      </c>
      <c r="N43" s="452">
        <f>USDemand!M$5*ResCalc!N66/ResCalc!N$75</f>
        <v>0</v>
      </c>
      <c r="P43" s="452">
        <v>0</v>
      </c>
      <c r="Q43" s="452">
        <v>0</v>
      </c>
      <c r="R43" s="452">
        <v>0</v>
      </c>
      <c r="S43" s="452">
        <v>0</v>
      </c>
      <c r="T43" s="452">
        <v>0</v>
      </c>
      <c r="U43" s="452">
        <v>0</v>
      </c>
      <c r="V43" s="452">
        <v>0</v>
      </c>
      <c r="W43" s="452">
        <v>0</v>
      </c>
      <c r="X43" s="452">
        <v>0</v>
      </c>
      <c r="Y43" s="452">
        <v>0</v>
      </c>
      <c r="Z43" s="452">
        <v>0</v>
      </c>
    </row>
    <row r="44" spans="1:27" s="449" customFormat="1" hidden="1">
      <c r="B44" s="449" t="s">
        <v>666</v>
      </c>
      <c r="C44" s="449" t="s">
        <v>567</v>
      </c>
      <c r="D44" s="452">
        <f>USDemand!C$5*ResCalc!D67/ResCalc!D$75</f>
        <v>15.597742107893986</v>
      </c>
      <c r="E44" s="452">
        <f>USDemand!D$5*ResCalc!E67/ResCalc!E$75</f>
        <v>15.764636975504233</v>
      </c>
      <c r="F44" s="452">
        <f>USDemand!E$5*ResCalc!F67/ResCalc!F$75</f>
        <v>16.613027567780392</v>
      </c>
      <c r="G44" s="452">
        <f>USDemand!F$5*ResCalc!G67/ResCalc!G$75</f>
        <v>17.403036464150716</v>
      </c>
      <c r="H44" s="452">
        <f>USDemand!G$5*ResCalc!H67/ResCalc!H$75</f>
        <v>17.234363492041609</v>
      </c>
      <c r="I44" s="452">
        <f>USDemand!H$5*ResCalc!I67/ResCalc!I$75</f>
        <v>17.144148275511569</v>
      </c>
      <c r="J44" s="452">
        <f>USDemand!I$5*ResCalc!J67/ResCalc!J$75</f>
        <v>17.172290886993004</v>
      </c>
      <c r="K44" s="452">
        <f>USDemand!J$5*ResCalc!K67/ResCalc!K$75</f>
        <v>17.468234850748996</v>
      </c>
      <c r="L44" s="452">
        <f>USDemand!K$5*ResCalc!L67/ResCalc!L$75</f>
        <v>17.598767030405302</v>
      </c>
      <c r="M44" s="452">
        <f>USDemand!L$5*ResCalc!M67/ResCalc!M$75</f>
        <v>17.850384432342413</v>
      </c>
      <c r="N44" s="452">
        <f>USDemand!M$5*ResCalc!N67/ResCalc!N$75</f>
        <v>18.104952624228726</v>
      </c>
      <c r="P44" s="452">
        <v>15.597742107893986</v>
      </c>
      <c r="Q44" s="452">
        <v>15.764636975504233</v>
      </c>
      <c r="R44" s="452">
        <v>16.613027567780392</v>
      </c>
      <c r="S44" s="452">
        <v>17.403036464150716</v>
      </c>
      <c r="T44" s="452">
        <v>17.234363492041609</v>
      </c>
      <c r="U44" s="452">
        <v>17.144148275511569</v>
      </c>
      <c r="V44" s="452">
        <v>17.172290886993004</v>
      </c>
      <c r="W44" s="452">
        <v>17.468234850748996</v>
      </c>
      <c r="X44" s="452">
        <v>17.598767030405302</v>
      </c>
      <c r="Y44" s="452">
        <v>17.850384432342413</v>
      </c>
      <c r="Z44" s="452">
        <v>18.104952624228726</v>
      </c>
    </row>
    <row r="45" spans="1:27" s="449" customFormat="1" hidden="1">
      <c r="B45" s="449" t="s">
        <v>667</v>
      </c>
      <c r="C45" s="449" t="s">
        <v>530</v>
      </c>
      <c r="D45" s="452">
        <f>USDemand!C$5*ResCalc!D68/ResCalc!D$75</f>
        <v>8.4654020358754867</v>
      </c>
      <c r="E45" s="452">
        <f>USDemand!D$5*ResCalc!E68/ResCalc!E$75</f>
        <v>8.5532651909395678</v>
      </c>
      <c r="F45" s="452">
        <f>USDemand!E$5*ResCalc!F68/ResCalc!F$75</f>
        <v>9.1701787609906074</v>
      </c>
      <c r="G45" s="452">
        <f>USDemand!F$5*ResCalc!G68/ResCalc!G$75</f>
        <v>9.5068758353542702</v>
      </c>
      <c r="H45" s="452">
        <f>USDemand!G$5*ResCalc!H68/ResCalc!H$75</f>
        <v>9.461138907547527</v>
      </c>
      <c r="I45" s="452">
        <f>USDemand!H$5*ResCalc!I68/ResCalc!I$75</f>
        <v>9.4560064771776435</v>
      </c>
      <c r="J45" s="452">
        <f>USDemand!I$5*ResCalc!J68/ResCalc!J$75</f>
        <v>9.5099842157702241</v>
      </c>
      <c r="K45" s="452">
        <f>USDemand!J$5*ResCalc!K68/ResCalc!K$75</f>
        <v>9.7118041724227364</v>
      </c>
      <c r="L45" s="452">
        <f>USDemand!K$5*ResCalc!L68/ResCalc!L$75</f>
        <v>9.8392011993528374</v>
      </c>
      <c r="M45" s="452">
        <f>USDemand!L$5*ResCalc!M68/ResCalc!M$75</f>
        <v>10.016046956654069</v>
      </c>
      <c r="N45" s="452">
        <f>USDemand!M$5*ResCalc!N68/ResCalc!N$75</f>
        <v>10.194325876326383</v>
      </c>
      <c r="P45" s="452">
        <v>8.4654020358754867</v>
      </c>
      <c r="Q45" s="452">
        <v>8.5532651909395678</v>
      </c>
      <c r="R45" s="452">
        <v>9.1701787609906074</v>
      </c>
      <c r="S45" s="452">
        <v>9.5068758353542702</v>
      </c>
      <c r="T45" s="452">
        <v>9.461138907547527</v>
      </c>
      <c r="U45" s="452">
        <v>9.4560064771776435</v>
      </c>
      <c r="V45" s="452">
        <v>9.5099842157702241</v>
      </c>
      <c r="W45" s="452">
        <v>9.7118041724227364</v>
      </c>
      <c r="X45" s="452">
        <v>9.8392011993528374</v>
      </c>
      <c r="Y45" s="452">
        <v>10.016046956654069</v>
      </c>
      <c r="Z45" s="452">
        <v>10.194325876326383</v>
      </c>
    </row>
    <row r="46" spans="1:27" s="449" customFormat="1" hidden="1">
      <c r="B46" s="449" t="s">
        <v>668</v>
      </c>
      <c r="C46" s="449" t="s">
        <v>570</v>
      </c>
      <c r="D46" s="452">
        <f>USDemand!C$5*ResCalc!D69/ResCalc!D$75</f>
        <v>9.9156088647601415</v>
      </c>
      <c r="E46" s="452">
        <f>USDemand!D$5*ResCalc!E69/ResCalc!E$75</f>
        <v>9.793021430928782</v>
      </c>
      <c r="F46" s="452">
        <f>USDemand!E$5*ResCalc!F69/ResCalc!F$75</f>
        <v>10.361459482925312</v>
      </c>
      <c r="G46" s="452">
        <f>USDemand!F$5*ResCalc!G69/ResCalc!G$75</f>
        <v>10.765180558879415</v>
      </c>
      <c r="H46" s="452">
        <f>USDemand!G$5*ResCalc!H69/ResCalc!H$75</f>
        <v>10.575167911527991</v>
      </c>
      <c r="I46" s="452">
        <f>USDemand!H$5*ResCalc!I69/ResCalc!I$75</f>
        <v>10.437851254849114</v>
      </c>
      <c r="J46" s="452">
        <f>USDemand!I$5*ResCalc!J69/ResCalc!J$75</f>
        <v>10.339031413415549</v>
      </c>
      <c r="K46" s="452">
        <f>USDemand!J$5*ResCalc!K69/ResCalc!K$75</f>
        <v>10.402852653477602</v>
      </c>
      <c r="L46" s="452">
        <f>USDemand!K$5*ResCalc!L69/ResCalc!L$75</f>
        <v>10.487972215779308</v>
      </c>
      <c r="M46" s="452">
        <f>USDemand!L$5*ResCalc!M69/ResCalc!M$75</f>
        <v>10.57532342981213</v>
      </c>
      <c r="N46" s="452">
        <f>USDemand!M$5*ResCalc!N69/ResCalc!N$75</f>
        <v>10.664807998508822</v>
      </c>
      <c r="P46" s="452">
        <v>9.9156088647601415</v>
      </c>
      <c r="Q46" s="452">
        <v>9.793021430928782</v>
      </c>
      <c r="R46" s="452">
        <v>10.361459482925312</v>
      </c>
      <c r="S46" s="452">
        <v>10.765180558879415</v>
      </c>
      <c r="T46" s="452">
        <v>10.575167911527991</v>
      </c>
      <c r="U46" s="452">
        <v>10.437851254849114</v>
      </c>
      <c r="V46" s="452">
        <v>10.339031413415549</v>
      </c>
      <c r="W46" s="452">
        <v>10.402852653477602</v>
      </c>
      <c r="X46" s="452">
        <v>10.487972215779308</v>
      </c>
      <c r="Y46" s="452">
        <v>10.57532342981213</v>
      </c>
      <c r="Z46" s="452">
        <v>10.664807998508822</v>
      </c>
    </row>
    <row r="47" spans="1:27" s="449" customFormat="1" hidden="1">
      <c r="B47" s="449" t="s">
        <v>669</v>
      </c>
      <c r="C47" s="449" t="s">
        <v>568</v>
      </c>
      <c r="D47" s="452">
        <f>USDemand!C$5*ResCalc!D70/ResCalc!D$75</f>
        <v>2.9016530236710016</v>
      </c>
      <c r="E47" s="452">
        <f>USDemand!D$5*ResCalc!E70/ResCalc!E$75</f>
        <v>2.8944833131778194</v>
      </c>
      <c r="F47" s="452">
        <f>USDemand!E$5*ResCalc!F70/ResCalc!F$75</f>
        <v>2.9900028393110145</v>
      </c>
      <c r="G47" s="452">
        <f>USDemand!F$5*ResCalc!G70/ResCalc!G$75</f>
        <v>3.2011062419456131</v>
      </c>
      <c r="H47" s="452">
        <f>USDemand!G$5*ResCalc!H70/ResCalc!H$75</f>
        <v>3.1419372653991857</v>
      </c>
      <c r="I47" s="452">
        <f>USDemand!H$5*ResCalc!I70/ResCalc!I$75</f>
        <v>3.0985674556574101</v>
      </c>
      <c r="J47" s="452">
        <f>USDemand!I$5*ResCalc!J70/ResCalc!J$75</f>
        <v>3.0659712016765033</v>
      </c>
      <c r="K47" s="452">
        <f>USDemand!J$5*ResCalc!K70/ResCalc!K$75</f>
        <v>3.0816450120396679</v>
      </c>
      <c r="L47" s="452">
        <f>USDemand!K$5*ResCalc!L70/ResCalc!L$75</f>
        <v>3.2007686930457218</v>
      </c>
      <c r="M47" s="452">
        <f>USDemand!L$5*ResCalc!M70/ResCalc!M$75</f>
        <v>3.2525154126011713</v>
      </c>
      <c r="N47" s="452">
        <f>USDemand!M$5*ResCalc!N70/ResCalc!N$75</f>
        <v>3.3047629757188131</v>
      </c>
      <c r="P47" s="452">
        <v>2.9016530236710016</v>
      </c>
      <c r="Q47" s="452">
        <v>2.8944833131778194</v>
      </c>
      <c r="R47" s="452">
        <v>2.9900028393110145</v>
      </c>
      <c r="S47" s="452">
        <v>3.2011062419456131</v>
      </c>
      <c r="T47" s="452">
        <v>3.1419372653991857</v>
      </c>
      <c r="U47" s="452">
        <v>3.0985674556574101</v>
      </c>
      <c r="V47" s="452">
        <v>3.0659712016765033</v>
      </c>
      <c r="W47" s="452">
        <v>3.0816450120396679</v>
      </c>
      <c r="X47" s="452">
        <v>3.2007686930457218</v>
      </c>
      <c r="Y47" s="452">
        <v>3.2525154126011713</v>
      </c>
      <c r="Z47" s="452">
        <v>3.3047629757188131</v>
      </c>
    </row>
    <row r="48" spans="1:27" s="449" customFormat="1" hidden="1">
      <c r="B48" s="449" t="s">
        <v>670</v>
      </c>
      <c r="C48" s="449" t="s">
        <v>571</v>
      </c>
      <c r="D48" s="452">
        <f>USDemand!C$5*ResCalc!D71/ResCalc!D$75</f>
        <v>13.971613486094045</v>
      </c>
      <c r="E48" s="452">
        <f>USDemand!D$5*ResCalc!E71/ResCalc!E$75</f>
        <v>13.894125069051949</v>
      </c>
      <c r="F48" s="452">
        <f>USDemand!E$5*ResCalc!F71/ResCalc!F$75</f>
        <v>14.738061820840359</v>
      </c>
      <c r="G48" s="452">
        <f>USDemand!F$5*ResCalc!G71/ResCalc!G$75</f>
        <v>15.312419804938166</v>
      </c>
      <c r="H48" s="452">
        <f>USDemand!G$5*ResCalc!H71/ResCalc!H$75</f>
        <v>15.005715316517039</v>
      </c>
      <c r="I48" s="452">
        <f>USDemand!H$5*ResCalc!I71/ResCalc!I$75</f>
        <v>14.775736129943207</v>
      </c>
      <c r="J48" s="452">
        <f>USDemand!I$5*ResCalc!J71/ResCalc!J$75</f>
        <v>14.691128634364524</v>
      </c>
      <c r="K48" s="452">
        <f>USDemand!J$5*ResCalc!K71/ResCalc!K$75</f>
        <v>14.83694716449414</v>
      </c>
      <c r="L48" s="452">
        <f>USDemand!K$5*ResCalc!L71/ResCalc!L$75</f>
        <v>15.107396872066055</v>
      </c>
      <c r="M48" s="452">
        <f>USDemand!L$5*ResCalc!M71/ResCalc!M$75</f>
        <v>15.282128583116171</v>
      </c>
      <c r="N48" s="452">
        <f>USDemand!M$5*ResCalc!N71/ResCalc!N$75</f>
        <v>15.459640443011107</v>
      </c>
      <c r="P48" s="452">
        <v>13.971613486094045</v>
      </c>
      <c r="Q48" s="452">
        <v>13.894125069051949</v>
      </c>
      <c r="R48" s="452">
        <v>14.738061820840359</v>
      </c>
      <c r="S48" s="452">
        <v>15.312419804938166</v>
      </c>
      <c r="T48" s="452">
        <v>15.005715316517039</v>
      </c>
      <c r="U48" s="452">
        <v>14.775736129943207</v>
      </c>
      <c r="V48" s="452">
        <v>14.691128634364524</v>
      </c>
      <c r="W48" s="452">
        <v>14.83694716449414</v>
      </c>
      <c r="X48" s="452">
        <v>15.107396872066055</v>
      </c>
      <c r="Y48" s="452">
        <v>15.282128583116171</v>
      </c>
      <c r="Z48" s="452">
        <v>15.459640443011107</v>
      </c>
    </row>
    <row r="49" spans="1:26" s="449" customFormat="1" hidden="1">
      <c r="B49" s="449" t="s">
        <v>671</v>
      </c>
      <c r="C49" s="449" t="s">
        <v>569</v>
      </c>
      <c r="D49" s="452">
        <f>USDemand!C$5*ResCalc!D72/ResCalc!D$75</f>
        <v>0</v>
      </c>
      <c r="E49" s="452">
        <f>USDemand!D$5*ResCalc!E72/ResCalc!E$75</f>
        <v>0</v>
      </c>
      <c r="F49" s="452">
        <f>USDemand!E$5*ResCalc!F72/ResCalc!F$75</f>
        <v>0</v>
      </c>
      <c r="G49" s="452">
        <f>USDemand!F$5*ResCalc!G72/ResCalc!G$75</f>
        <v>0</v>
      </c>
      <c r="H49" s="452">
        <f>USDemand!G$5*ResCalc!H72/ResCalc!H$75</f>
        <v>0</v>
      </c>
      <c r="I49" s="452">
        <f>USDemand!H$5*ResCalc!I72/ResCalc!I$75</f>
        <v>0</v>
      </c>
      <c r="J49" s="452">
        <f>USDemand!I$5*ResCalc!J72/ResCalc!J$75</f>
        <v>0</v>
      </c>
      <c r="K49" s="452">
        <f>USDemand!J$5*ResCalc!K72/ResCalc!K$75</f>
        <v>0</v>
      </c>
      <c r="L49" s="452">
        <f>USDemand!K$5*ResCalc!L72/ResCalc!L$75</f>
        <v>0</v>
      </c>
      <c r="M49" s="452">
        <f>USDemand!L$5*ResCalc!M72/ResCalc!M$75</f>
        <v>0</v>
      </c>
      <c r="N49" s="452">
        <f>USDemand!M$5*ResCalc!N72/ResCalc!N$75</f>
        <v>0</v>
      </c>
      <c r="P49" s="452">
        <v>0</v>
      </c>
      <c r="Q49" s="452">
        <v>0</v>
      </c>
      <c r="R49" s="452">
        <v>0</v>
      </c>
      <c r="S49" s="452">
        <v>0</v>
      </c>
      <c r="T49" s="452">
        <v>0</v>
      </c>
      <c r="U49" s="452">
        <v>0</v>
      </c>
      <c r="V49" s="452">
        <v>0</v>
      </c>
      <c r="W49" s="452">
        <v>0</v>
      </c>
      <c r="X49" s="452">
        <v>0</v>
      </c>
      <c r="Y49" s="452">
        <v>0</v>
      </c>
      <c r="Z49" s="452">
        <v>0</v>
      </c>
    </row>
    <row r="50" spans="1:26" s="449" customFormat="1" hidden="1">
      <c r="B50" s="449" t="s">
        <v>672</v>
      </c>
      <c r="C50" s="449" t="s">
        <v>572</v>
      </c>
      <c r="D50" s="452">
        <f>USDemand!C$5*ResCalc!D73/ResCalc!D$75</f>
        <v>0</v>
      </c>
      <c r="E50" s="452">
        <f>USDemand!D$5*ResCalc!E73/ResCalc!E$75</f>
        <v>0</v>
      </c>
      <c r="F50" s="452">
        <f>USDemand!E$5*ResCalc!F73/ResCalc!F$75</f>
        <v>0</v>
      </c>
      <c r="G50" s="452">
        <f>USDemand!F$5*ResCalc!G73/ResCalc!G$75</f>
        <v>0</v>
      </c>
      <c r="H50" s="452">
        <f>USDemand!G$5*ResCalc!H73/ResCalc!H$75</f>
        <v>0</v>
      </c>
      <c r="I50" s="452">
        <f>USDemand!H$5*ResCalc!I73/ResCalc!I$75</f>
        <v>0</v>
      </c>
      <c r="J50" s="452">
        <f>USDemand!I$5*ResCalc!J73/ResCalc!J$75</f>
        <v>0</v>
      </c>
      <c r="K50" s="452">
        <f>USDemand!J$5*ResCalc!K73/ResCalc!K$75</f>
        <v>0</v>
      </c>
      <c r="L50" s="452">
        <f>USDemand!K$5*ResCalc!L73/ResCalc!L$75</f>
        <v>0</v>
      </c>
      <c r="M50" s="452">
        <f>USDemand!L$5*ResCalc!M73/ResCalc!M$75</f>
        <v>0</v>
      </c>
      <c r="N50" s="452">
        <f>USDemand!M$5*ResCalc!N73/ResCalc!N$75</f>
        <v>0</v>
      </c>
      <c r="P50" s="452">
        <v>0</v>
      </c>
      <c r="Q50" s="452">
        <v>0</v>
      </c>
      <c r="R50" s="452">
        <v>0</v>
      </c>
      <c r="S50" s="452">
        <v>0</v>
      </c>
      <c r="T50" s="452">
        <v>0</v>
      </c>
      <c r="U50" s="452">
        <v>0</v>
      </c>
      <c r="V50" s="452">
        <v>0</v>
      </c>
      <c r="W50" s="452">
        <v>0</v>
      </c>
      <c r="X50" s="452">
        <v>0</v>
      </c>
      <c r="Y50" s="452">
        <v>0</v>
      </c>
      <c r="Z50" s="452">
        <v>0</v>
      </c>
    </row>
    <row r="51" spans="1:26" s="449" customFormat="1" hidden="1">
      <c r="B51" s="449" t="s">
        <v>673</v>
      </c>
      <c r="C51" s="449" t="s">
        <v>534</v>
      </c>
      <c r="D51" s="452">
        <f>USDemand!C$5*ResCalc!D74/ResCalc!D$75</f>
        <v>0</v>
      </c>
      <c r="E51" s="452">
        <f>USDemand!D$5*ResCalc!E74/ResCalc!E$75</f>
        <v>0</v>
      </c>
      <c r="F51" s="452">
        <f>USDemand!E$5*ResCalc!F74/ResCalc!F$75</f>
        <v>0</v>
      </c>
      <c r="G51" s="452">
        <f>USDemand!F$5*ResCalc!G74/ResCalc!G$75</f>
        <v>0</v>
      </c>
      <c r="H51" s="452">
        <f>USDemand!G$5*ResCalc!H74/ResCalc!H$75</f>
        <v>0</v>
      </c>
      <c r="I51" s="452">
        <f>USDemand!H$5*ResCalc!I74/ResCalc!I$75</f>
        <v>0</v>
      </c>
      <c r="J51" s="452">
        <f>USDemand!I$5*ResCalc!J74/ResCalc!J$75</f>
        <v>0</v>
      </c>
      <c r="K51" s="452">
        <f>USDemand!J$5*ResCalc!K74/ResCalc!K$75</f>
        <v>0</v>
      </c>
      <c r="L51" s="452">
        <f>USDemand!K$5*ResCalc!L74/ResCalc!L$75</f>
        <v>0</v>
      </c>
      <c r="M51" s="452">
        <f>USDemand!L$5*ResCalc!M74/ResCalc!M$75</f>
        <v>0</v>
      </c>
      <c r="N51" s="452">
        <f>USDemand!M$5*ResCalc!N74/ResCalc!N$75</f>
        <v>0</v>
      </c>
      <c r="P51" s="452">
        <v>0</v>
      </c>
      <c r="Q51" s="452">
        <v>0</v>
      </c>
      <c r="R51" s="452">
        <v>0</v>
      </c>
      <c r="S51" s="452">
        <v>0</v>
      </c>
      <c r="T51" s="452">
        <v>0</v>
      </c>
      <c r="U51" s="452">
        <v>0</v>
      </c>
      <c r="V51" s="452">
        <v>0</v>
      </c>
      <c r="W51" s="452">
        <v>0</v>
      </c>
      <c r="X51" s="452">
        <v>0</v>
      </c>
      <c r="Y51" s="452">
        <v>0</v>
      </c>
      <c r="Z51" s="452">
        <v>0</v>
      </c>
    </row>
    <row r="52" spans="1:26" s="449" customFormat="1" hidden="1">
      <c r="C52" s="453" t="s">
        <v>674</v>
      </c>
      <c r="D52" s="452">
        <f t="shared" ref="D52:J52" si="3">SUM(D43:D51)</f>
        <v>50.852019518294654</v>
      </c>
      <c r="E52" s="452">
        <f t="shared" si="3"/>
        <v>50.899531979602358</v>
      </c>
      <c r="F52" s="452">
        <f t="shared" si="3"/>
        <v>53.872730471847689</v>
      </c>
      <c r="G52" s="452">
        <f t="shared" si="3"/>
        <v>56.188618905268179</v>
      </c>
      <c r="H52" s="452">
        <f t="shared" si="3"/>
        <v>55.418322893033356</v>
      </c>
      <c r="I52" s="452">
        <f t="shared" si="3"/>
        <v>54.912309593138943</v>
      </c>
      <c r="J52" s="452">
        <f t="shared" si="3"/>
        <v>54.778406352219804</v>
      </c>
      <c r="K52" s="452">
        <f t="shared" ref="K52:N52" si="4">SUM(K43:K51)</f>
        <v>55.501483853183139</v>
      </c>
      <c r="L52" s="452">
        <f t="shared" si="4"/>
        <v>56.234106010649228</v>
      </c>
      <c r="M52" s="452">
        <f t="shared" si="4"/>
        <v>56.97639881452595</v>
      </c>
      <c r="N52" s="452">
        <f t="shared" si="4"/>
        <v>57.728489917793851</v>
      </c>
      <c r="P52" s="452">
        <v>50.852019518294654</v>
      </c>
      <c r="Q52" s="452">
        <v>50.899531979602358</v>
      </c>
      <c r="R52" s="452">
        <v>53.872730471847689</v>
      </c>
      <c r="S52" s="452">
        <v>56.188618905268179</v>
      </c>
      <c r="T52" s="452">
        <v>55.418322893033356</v>
      </c>
      <c r="U52" s="452">
        <v>54.912309593138943</v>
      </c>
      <c r="V52" s="452">
        <v>54.778406352219804</v>
      </c>
      <c r="W52" s="452">
        <v>55.501483853183139</v>
      </c>
      <c r="X52" s="452">
        <v>56.234106010649228</v>
      </c>
      <c r="Y52" s="452">
        <v>56.97639881452595</v>
      </c>
      <c r="Z52" s="452">
        <v>57.728489917793851</v>
      </c>
    </row>
    <row r="53" spans="1:26" s="449" customFormat="1" hidden="1">
      <c r="C53" s="449" t="s">
        <v>681</v>
      </c>
      <c r="D53" s="452">
        <f>USDemand!C255</f>
        <v>38.425449371337898</v>
      </c>
      <c r="E53" s="452">
        <f>USDemand!D255</f>
        <v>38.009281000000001</v>
      </c>
      <c r="F53" s="452">
        <f>USDemand!E255</f>
        <v>38.799267</v>
      </c>
      <c r="G53" s="452">
        <f>USDemand!F255</f>
        <v>40.689968</v>
      </c>
      <c r="H53" s="452">
        <f>USDemand!G255</f>
        <v>42.401108000000001</v>
      </c>
      <c r="I53" s="452">
        <f>USDemand!H255</f>
        <v>44.059565999999997</v>
      </c>
      <c r="J53" s="452">
        <f>USDemand!I255</f>
        <v>45.560253000000003</v>
      </c>
      <c r="K53" s="452"/>
      <c r="L53" s="452"/>
      <c r="M53" s="452"/>
      <c r="N53" s="452"/>
      <c r="P53" s="452">
        <v>38.425449371337898</v>
      </c>
      <c r="Q53" s="452">
        <v>38.009281000000001</v>
      </c>
      <c r="R53" s="452">
        <v>38.799267</v>
      </c>
      <c r="S53" s="452">
        <v>40.689968</v>
      </c>
      <c r="T53" s="452">
        <v>42.401108000000001</v>
      </c>
      <c r="U53" s="452">
        <v>44.059565999999997</v>
      </c>
      <c r="V53" s="452">
        <v>45.560253000000003</v>
      </c>
      <c r="W53" s="452"/>
      <c r="X53" s="452"/>
      <c r="Y53" s="452"/>
      <c r="Z53" s="452"/>
    </row>
    <row r="54" spans="1:26">
      <c r="A54" s="267" t="s">
        <v>684</v>
      </c>
      <c r="B54" s="267"/>
      <c r="C54" s="268"/>
      <c r="D54" s="268"/>
      <c r="E54" s="268"/>
      <c r="F54" s="268"/>
      <c r="G54" s="268"/>
      <c r="H54" s="268"/>
      <c r="I54" s="269" t="s">
        <v>685</v>
      </c>
      <c r="J54" s="268"/>
      <c r="K54" s="268"/>
      <c r="L54" s="268"/>
      <c r="M54" s="268"/>
      <c r="N54" s="268"/>
      <c r="P54" s="268"/>
      <c r="Q54" s="268"/>
      <c r="R54" s="268"/>
      <c r="S54" s="268"/>
      <c r="T54" s="268"/>
      <c r="U54" s="269" t="s">
        <v>685</v>
      </c>
      <c r="V54" s="268"/>
      <c r="W54" s="268"/>
      <c r="X54" s="268"/>
      <c r="Y54" s="268"/>
      <c r="Z54" s="268"/>
    </row>
    <row r="55" spans="1:26">
      <c r="C55" s="449" t="s">
        <v>500</v>
      </c>
      <c r="D55" s="452">
        <f>USDemand!C$7*ResCalc!D66/ResCalc!D$75</f>
        <v>0</v>
      </c>
      <c r="E55" s="452">
        <f>USDemand!D$7*ResCalc!E66/ResCalc!E$75</f>
        <v>0</v>
      </c>
      <c r="F55" s="452">
        <f>USDemand!E$7*ResCalc!F66/ResCalc!F$75</f>
        <v>0</v>
      </c>
      <c r="G55" s="452">
        <f>USDemand!F$7*ResCalc!G66/ResCalc!G$75</f>
        <v>0</v>
      </c>
      <c r="H55" s="452">
        <f>USDemand!G$7*ResCalc!H66/ResCalc!H$75</f>
        <v>0</v>
      </c>
      <c r="I55" s="452">
        <f>USDemand!H$7*ResCalc!I66/ResCalc!I$75</f>
        <v>0</v>
      </c>
      <c r="J55" s="452">
        <f>USDemand!I$7*ResCalc!J66/ResCalc!J$75</f>
        <v>0</v>
      </c>
      <c r="K55" s="452">
        <f>USDemand!J$7*ResCalc!K66/ResCalc!K$75</f>
        <v>0</v>
      </c>
      <c r="L55" s="452">
        <f>USDemand!K$7*ResCalc!L66/ResCalc!L$75</f>
        <v>0</v>
      </c>
      <c r="M55" s="452">
        <f>USDemand!L$7*ResCalc!M66/ResCalc!M$75</f>
        <v>0</v>
      </c>
      <c r="N55" s="452">
        <f>USDemand!M$7*ResCalc!N66/ResCalc!N$75</f>
        <v>0</v>
      </c>
      <c r="P55" s="452">
        <v>0</v>
      </c>
      <c r="Q55" s="452">
        <v>0</v>
      </c>
      <c r="R55" s="452">
        <v>0</v>
      </c>
      <c r="S55" s="452">
        <v>0</v>
      </c>
      <c r="T55" s="452">
        <v>0</v>
      </c>
      <c r="U55" s="452">
        <v>0</v>
      </c>
      <c r="V55" s="452">
        <v>0</v>
      </c>
      <c r="W55" s="452">
        <v>0</v>
      </c>
      <c r="X55" s="452">
        <v>0</v>
      </c>
      <c r="Y55" s="452">
        <v>0</v>
      </c>
      <c r="Z55" s="452">
        <v>0</v>
      </c>
    </row>
    <row r="56" spans="1:26" ht="12.75">
      <c r="C56" s="182" t="s">
        <v>2345</v>
      </c>
      <c r="D56" s="580">
        <f>'2010 Fuel Share'!Q49*DmdCalc!C$7*ResCalc!D67/ResCalc!D$75</f>
        <v>2.7997869380132285</v>
      </c>
      <c r="E56" s="580">
        <f>D56</f>
        <v>2.7997869380132285</v>
      </c>
      <c r="F56" s="580">
        <f>'2010 Fuel Share'!$Q$49*DmdCalc!E$7*ResCalc!F67/ResCalc!F$75</f>
        <v>2.8148240342854804</v>
      </c>
      <c r="G56" s="580">
        <f>'2010 Fuel Share'!$Q$49*DmdCalc!F$7*ResCalc!G67/ResCalc!G$75</f>
        <v>2.9669515784904212</v>
      </c>
      <c r="H56" s="580">
        <f>'2010 Fuel Share'!$Q$49*DmdCalc!G$7*ResCalc!H67/ResCalc!H$75</f>
        <v>3.0987861065517763</v>
      </c>
      <c r="I56" s="580">
        <f>'2010 Fuel Share'!$Q$49*DmdCalc!H$7*ResCalc!I67/ResCalc!I$75</f>
        <v>3.2272390539337246</v>
      </c>
      <c r="J56" s="580">
        <f>'2010 Fuel Share'!$Q$49*DmdCalc!I$7*ResCalc!J67/ResCalc!J$75</f>
        <v>3.3346900375589419</v>
      </c>
      <c r="K56" s="580">
        <f>'2010 Fuel Share'!$Q$49*DmdCalc!J$7*ResCalc!K67/ResCalc!K$75</f>
        <v>3.4437032872395892</v>
      </c>
      <c r="L56" s="580">
        <f>'2010 Fuel Share'!$Q$49*DmdCalc!K$7*ResCalc!L67/ResCalc!L$75</f>
        <v>3.5856144124854055</v>
      </c>
      <c r="M56" s="580">
        <f>'2010 Fuel Share'!$Q$49*DmdCalc!L$7*ResCalc!M67/ResCalc!M$75</f>
        <v>3.710660674262146</v>
      </c>
      <c r="N56" s="580">
        <f>'2010 Fuel Share'!$Q$49*DmdCalc!M$7*ResCalc!N67/ResCalc!N$75</f>
        <v>3.8389176410710961</v>
      </c>
      <c r="P56" s="580">
        <v>7.0373898738647229</v>
      </c>
      <c r="Q56" s="580">
        <v>7.0373898738647229</v>
      </c>
      <c r="R56" s="580">
        <v>7.2078727775773865</v>
      </c>
      <c r="S56" s="580">
        <v>7.4575656851702865</v>
      </c>
      <c r="T56" s="580">
        <v>7.7889376764486933</v>
      </c>
      <c r="U56" s="580">
        <v>8.1118099132251391</v>
      </c>
      <c r="V56" s="580">
        <v>8.3818927734007396</v>
      </c>
      <c r="W56" s="580">
        <v>8.6559024592820784</v>
      </c>
      <c r="X56" s="580">
        <v>9.0126024289241737</v>
      </c>
      <c r="Y56" s="580">
        <v>9.3269118088431782</v>
      </c>
      <c r="Z56" s="580">
        <v>9.6492914396712326</v>
      </c>
    </row>
    <row r="57" spans="1:26" ht="12.75">
      <c r="C57" s="182" t="s">
        <v>2346</v>
      </c>
      <c r="D57" s="580">
        <f>'2010 Fuel Share'!R49*DmdCalc!C$7*ResCalc!D68/ResCalc!D$75</f>
        <v>1.6145850006852391</v>
      </c>
      <c r="E57" s="580">
        <f t="shared" ref="E57:E60" si="5">D57</f>
        <v>1.6145850006852391</v>
      </c>
      <c r="F57" s="580">
        <f>'2010 Fuel Share'!$R$49*DmdCalc!E$7*ResCalc!F68/ResCalc!F$75</f>
        <v>1.6509364050589816</v>
      </c>
      <c r="G57" s="580">
        <f>'2010 Fuel Share'!$R$49*DmdCalc!F$7*ResCalc!G68/ResCalc!G$75</f>
        <v>1.7221593265201645</v>
      </c>
      <c r="H57" s="580">
        <f>'2010 Fuel Share'!$R$49*DmdCalc!G$7*ResCalc!H68/ResCalc!H$75</f>
        <v>1.8075480384911999</v>
      </c>
      <c r="I57" s="580">
        <f>'2010 Fuel Share'!$R$49*DmdCalc!H$7*ResCalc!I68/ResCalc!I$75</f>
        <v>1.8913550398401393</v>
      </c>
      <c r="J57" s="580">
        <f>'2010 Fuel Share'!$R$49*DmdCalc!I$7*ResCalc!J68/ResCalc!J$75</f>
        <v>1.9622625229233337</v>
      </c>
      <c r="K57" s="580">
        <f>'2010 Fuel Share'!$R$49*DmdCalc!J$7*ResCalc!K68/ResCalc!K$75</f>
        <v>2.0343547978585734</v>
      </c>
      <c r="L57" s="580">
        <f>'2010 Fuel Share'!$R$49*DmdCalc!K$7*ResCalc!L68/ResCalc!L$75</f>
        <v>2.1300571793085101</v>
      </c>
      <c r="M57" s="580">
        <f>'2010 Fuel Share'!$R$49*DmdCalc!L$7*ResCalc!M68/ResCalc!M$75</f>
        <v>2.2123309626843368</v>
      </c>
      <c r="N57" s="580">
        <f>'2010 Fuel Share'!$R$49*DmdCalc!M$7*ResCalc!N68/ResCalc!N$75</f>
        <v>2.2967831444921636</v>
      </c>
      <c r="P57" s="580">
        <v>4.0583317180482101</v>
      </c>
      <c r="Q57" s="580">
        <v>4.0583317180482101</v>
      </c>
      <c r="R57" s="580">
        <v>4.2275252117337958</v>
      </c>
      <c r="S57" s="580">
        <v>4.3287246043925318</v>
      </c>
      <c r="T57" s="580">
        <v>4.5433529565748367</v>
      </c>
      <c r="U57" s="580">
        <v>4.7540056082621502</v>
      </c>
      <c r="V57" s="580">
        <v>4.9322347430065969</v>
      </c>
      <c r="W57" s="580">
        <v>5.1134419051391378</v>
      </c>
      <c r="X57" s="580">
        <v>5.3539941275159038</v>
      </c>
      <c r="Y57" s="580">
        <v>5.5607929671534819</v>
      </c>
      <c r="Z57" s="580">
        <v>5.7730673088224673</v>
      </c>
    </row>
    <row r="58" spans="1:26" ht="12.75">
      <c r="C58" s="182" t="s">
        <v>2347</v>
      </c>
      <c r="D58" s="580">
        <f>'2010 Fuel Share'!S49*DmdCalc!C$7*ResCalc!D69/ResCalc!D$75</f>
        <v>2.7047090551091002</v>
      </c>
      <c r="E58" s="580">
        <f t="shared" si="5"/>
        <v>2.7047090551091002</v>
      </c>
      <c r="F58" s="580">
        <f>'2010 Fuel Share'!$S$49*DmdCalc!E$7*ResCalc!F69/ResCalc!F$75</f>
        <v>2.6678494505274641</v>
      </c>
      <c r="G58" s="580">
        <f>'2010 Fuel Share'!$S$49*DmdCalc!F$7*ResCalc!G69/ResCalc!G$75</f>
        <v>2.7889752943266011</v>
      </c>
      <c r="H58" s="580">
        <f>'2010 Fuel Share'!$S$49*DmdCalc!G$7*ResCalc!H69/ResCalc!H$75</f>
        <v>2.88949231533533</v>
      </c>
      <c r="I58" s="580">
        <f>'2010 Fuel Share'!$S$49*DmdCalc!H$7*ResCalc!I69/ResCalc!I$75</f>
        <v>2.9858242865614018</v>
      </c>
      <c r="J58" s="580">
        <f>'2010 Fuel Share'!$S$49*DmdCalc!I$7*ResCalc!J69/ResCalc!J$75</f>
        <v>3.0510196922748367</v>
      </c>
      <c r="K58" s="580">
        <f>'2010 Fuel Share'!$S$49*DmdCalc!J$7*ResCalc!K69/ResCalc!K$75</f>
        <v>3.1164995643672784</v>
      </c>
      <c r="L58" s="580">
        <f>'2010 Fuel Share'!$S$49*DmdCalc!K$7*ResCalc!L69/ResCalc!L$75</f>
        <v>3.2472131059092852</v>
      </c>
      <c r="M58" s="580">
        <f>'2010 Fuel Share'!$S$49*DmdCalc!L$7*ResCalc!M69/ResCalc!M$75</f>
        <v>3.3406828436096303</v>
      </c>
      <c r="N58" s="580">
        <f>'2010 Fuel Share'!$S$49*DmdCalc!M$7*ResCalc!N69/ResCalc!N$75</f>
        <v>3.4363893447072673</v>
      </c>
      <c r="P58" s="580">
        <v>6.7984073565547369</v>
      </c>
      <c r="Q58" s="580">
        <v>6.7984073565547369</v>
      </c>
      <c r="R58" s="580">
        <v>6.8315174216611183</v>
      </c>
      <c r="S58" s="580">
        <v>7.0102143231943916</v>
      </c>
      <c r="T58" s="580">
        <v>7.2628683577545514</v>
      </c>
      <c r="U58" s="580">
        <v>7.5050030822335696</v>
      </c>
      <c r="V58" s="580">
        <v>7.6688746546596471</v>
      </c>
      <c r="W58" s="580">
        <v>7.8334612460708888</v>
      </c>
      <c r="X58" s="580">
        <v>8.1620155875228413</v>
      </c>
      <c r="Y58" s="580">
        <v>8.3969559598327308</v>
      </c>
      <c r="Z58" s="580">
        <v>8.6375185371285159</v>
      </c>
    </row>
    <row r="59" spans="1:26" ht="12.75">
      <c r="C59" s="182" t="s">
        <v>2348</v>
      </c>
      <c r="D59" s="580">
        <f>'2010 Fuel Share'!U49*DmdCalc!C$7*ResCalc!D70/ResCalc!D$75</f>
        <v>0.54480649124800073</v>
      </c>
      <c r="E59" s="580">
        <f t="shared" si="5"/>
        <v>0.54480649124800073</v>
      </c>
      <c r="F59" s="580">
        <f>'2010 Fuel Share'!$U$49*DmdCalc!E$7*ResCalc!F70/ResCalc!F$75</f>
        <v>0.52991670780729405</v>
      </c>
      <c r="G59" s="580">
        <f>'2010 Fuel Share'!$U$49*DmdCalc!F$7*ResCalc!G70/ResCalc!G$75</f>
        <v>0.57084613340767187</v>
      </c>
      <c r="H59" s="580">
        <f>'2010 Fuel Share'!$U$49*DmdCalc!G$7*ResCalc!H70/ResCalc!H$75</f>
        <v>0.59091825687534472</v>
      </c>
      <c r="I59" s="580">
        <f>'2010 Fuel Share'!$U$49*DmdCalc!H$7*ResCalc!I70/ResCalc!I$75</f>
        <v>0.61011222129907616</v>
      </c>
      <c r="J59" s="580">
        <f>'2010 Fuel Share'!$U$49*DmdCalc!I$7*ResCalc!J70/ResCalc!J$75</f>
        <v>0.62277167813687995</v>
      </c>
      <c r="K59" s="580">
        <f>'2010 Fuel Share'!$U$49*DmdCalc!J$7*ResCalc!K70/ResCalc!K$75</f>
        <v>0.63546679031664488</v>
      </c>
      <c r="L59" s="580">
        <f>'2010 Fuel Share'!$U$49*DmdCalc!K$7*ResCalc!L70/ResCalc!L$75</f>
        <v>0.682133188578535</v>
      </c>
      <c r="M59" s="580">
        <f>'2010 Fuel Share'!$U$49*DmdCalc!L$7*ResCalc!M70/ResCalc!M$75</f>
        <v>0.70722332902743834</v>
      </c>
      <c r="N59" s="580">
        <f>'2010 Fuel Share'!$U$49*DmdCalc!M$7*ResCalc!N70/ResCalc!N$75</f>
        <v>0.73296842402928075</v>
      </c>
      <c r="P59" s="580">
        <v>1.3693955181622228</v>
      </c>
      <c r="Q59" s="580">
        <v>1.3693955181622228</v>
      </c>
      <c r="R59" s="580">
        <v>1.3569488415844047</v>
      </c>
      <c r="S59" s="580">
        <v>1.4348473250713472</v>
      </c>
      <c r="T59" s="580">
        <v>1.4852995064571926</v>
      </c>
      <c r="U59" s="580">
        <v>1.533544395752497</v>
      </c>
      <c r="V59" s="580">
        <v>1.5653645075436484</v>
      </c>
      <c r="W59" s="580">
        <v>1.5972742406338576</v>
      </c>
      <c r="X59" s="580">
        <v>1.7145723228982914</v>
      </c>
      <c r="Y59" s="580">
        <v>1.7776375147282997</v>
      </c>
      <c r="Z59" s="580">
        <v>1.8423489641631696</v>
      </c>
    </row>
    <row r="60" spans="1:26" ht="12.75">
      <c r="C60" s="182" t="s">
        <v>2349</v>
      </c>
      <c r="D60" s="580">
        <f>'2010 Fuel Share'!T49*DmdCalc!C$7*ResCalc!D71/ResCalc!D$75</f>
        <v>1.4312412175699327</v>
      </c>
      <c r="E60" s="580">
        <f t="shared" si="5"/>
        <v>1.4312412175699327</v>
      </c>
      <c r="F60" s="580">
        <f>'2010 Fuel Share'!$T$49*DmdCalc!E$7*ResCalc!F71/ResCalc!F$75</f>
        <v>1.4251017165215984</v>
      </c>
      <c r="G60" s="580">
        <f>'2010 Fuel Share'!$T$49*DmdCalc!F$7*ResCalc!G71/ResCalc!G$75</f>
        <v>1.4898147854739772</v>
      </c>
      <c r="H60" s="580">
        <f>'2010 Fuel Share'!$T$49*DmdCalc!G$7*ResCalc!H71/ResCalc!H$75</f>
        <v>1.5397707983974973</v>
      </c>
      <c r="I60" s="580">
        <f>'2010 Fuel Share'!$T$49*DmdCalc!H$7*ResCalc!I71/ResCalc!I$75</f>
        <v>1.5873305450143895</v>
      </c>
      <c r="J60" s="580">
        <f>'2010 Fuel Share'!$T$49*DmdCalc!I$7*ResCalc!J71/ResCalc!J$75</f>
        <v>1.6281162891317176</v>
      </c>
      <c r="K60" s="580">
        <f>'2010 Fuel Share'!$T$49*DmdCalc!J$7*ResCalc!K71/ResCalc!K$75</f>
        <v>1.6692611184104769</v>
      </c>
      <c r="L60" s="580">
        <f>'2010 Fuel Share'!$T$49*DmdCalc!K$7*ResCalc!L71/ResCalc!L$75</f>
        <v>1.7566045583007179</v>
      </c>
      <c r="M60" s="580">
        <f>'2010 Fuel Share'!$T$49*DmdCalc!L$7*ResCalc!M71/ResCalc!M$75</f>
        <v>1.8129696834438147</v>
      </c>
      <c r="N60" s="580">
        <f>'2010 Fuel Share'!$T$49*DmdCalc!M$7*ResCalc!N71/ResCalc!N$75</f>
        <v>1.8707416511122985</v>
      </c>
      <c r="P60" s="580">
        <v>3.5974889070422789</v>
      </c>
      <c r="Q60" s="580">
        <v>3.5974889070422789</v>
      </c>
      <c r="R60" s="580">
        <v>3.6492341058194362</v>
      </c>
      <c r="S60" s="580">
        <v>3.7447161935359281</v>
      </c>
      <c r="T60" s="580">
        <v>3.8702828695973963</v>
      </c>
      <c r="U60" s="580">
        <v>3.9898264229660656</v>
      </c>
      <c r="V60" s="580">
        <v>4.0923432176379482</v>
      </c>
      <c r="W60" s="580">
        <v>4.1957625889468613</v>
      </c>
      <c r="X60" s="580">
        <v>4.4153042373082441</v>
      </c>
      <c r="Y60" s="580">
        <v>4.5569805040039606</v>
      </c>
      <c r="Z60" s="580">
        <v>4.7021929324010783</v>
      </c>
    </row>
    <row r="61" spans="1:26">
      <c r="C61" s="449" t="s">
        <v>569</v>
      </c>
      <c r="D61" s="452">
        <f>USDemand!C$7*ResCalc!D72/ResCalc!D$75</f>
        <v>0</v>
      </c>
      <c r="E61" s="452">
        <f>USDemand!D$7*ResCalc!E72/ResCalc!E$75</f>
        <v>0</v>
      </c>
      <c r="F61" s="452">
        <f>USDemand!E$7*ResCalc!F72/ResCalc!F$75</f>
        <v>0</v>
      </c>
      <c r="G61" s="452">
        <f>USDemand!F$7*ResCalc!G72/ResCalc!G$75</f>
        <v>0</v>
      </c>
      <c r="H61" s="452">
        <f>USDemand!G$7*ResCalc!H72/ResCalc!H$75</f>
        <v>0</v>
      </c>
      <c r="I61" s="452">
        <f>USDemand!H$7*ResCalc!I72/ResCalc!I$75</f>
        <v>0</v>
      </c>
      <c r="J61" s="452">
        <f>USDemand!I$7*ResCalc!J72/ResCalc!J$75</f>
        <v>0</v>
      </c>
      <c r="K61" s="452">
        <f>USDemand!J$7*ResCalc!K72/ResCalc!K$75</f>
        <v>0</v>
      </c>
      <c r="L61" s="452">
        <f>USDemand!K$7*ResCalc!L72/ResCalc!L$75</f>
        <v>0</v>
      </c>
      <c r="M61" s="452">
        <f>USDemand!L$7*ResCalc!M72/ResCalc!M$75</f>
        <v>0</v>
      </c>
      <c r="N61" s="452">
        <f>USDemand!M$7*ResCalc!N72/ResCalc!N$75</f>
        <v>0</v>
      </c>
      <c r="P61" s="452">
        <v>0</v>
      </c>
      <c r="Q61" s="452">
        <v>0</v>
      </c>
      <c r="R61" s="452">
        <v>0</v>
      </c>
      <c r="S61" s="452">
        <v>0</v>
      </c>
      <c r="T61" s="452">
        <v>0</v>
      </c>
      <c r="U61" s="452">
        <v>0</v>
      </c>
      <c r="V61" s="452">
        <v>0</v>
      </c>
      <c r="W61" s="452">
        <v>0</v>
      </c>
      <c r="X61" s="452">
        <v>0</v>
      </c>
      <c r="Y61" s="452">
        <v>0</v>
      </c>
      <c r="Z61" s="452">
        <v>0</v>
      </c>
    </row>
    <row r="62" spans="1:26">
      <c r="C62" s="449" t="s">
        <v>572</v>
      </c>
      <c r="D62" s="452">
        <f>USDemand!C$7*ResCalc!D73/ResCalc!D$75</f>
        <v>0</v>
      </c>
      <c r="E62" s="452">
        <f>USDemand!D$7*ResCalc!E73/ResCalc!E$75</f>
        <v>0</v>
      </c>
      <c r="F62" s="452">
        <f>USDemand!E$7*ResCalc!F73/ResCalc!F$75</f>
        <v>0</v>
      </c>
      <c r="G62" s="452">
        <f>USDemand!F$7*ResCalc!G73/ResCalc!G$75</f>
        <v>0</v>
      </c>
      <c r="H62" s="452">
        <f>USDemand!G$7*ResCalc!H73/ResCalc!H$75</f>
        <v>0</v>
      </c>
      <c r="I62" s="452">
        <f>USDemand!H$7*ResCalc!I73/ResCalc!I$75</f>
        <v>0</v>
      </c>
      <c r="J62" s="452">
        <f>USDemand!I$7*ResCalc!J73/ResCalc!J$75</f>
        <v>0</v>
      </c>
      <c r="K62" s="452">
        <f>USDemand!J$7*ResCalc!K73/ResCalc!K$75</f>
        <v>0</v>
      </c>
      <c r="L62" s="452">
        <f>USDemand!K$7*ResCalc!L73/ResCalc!L$75</f>
        <v>0</v>
      </c>
      <c r="M62" s="452">
        <f>USDemand!L$7*ResCalc!M73/ResCalc!M$75</f>
        <v>0</v>
      </c>
      <c r="N62" s="452">
        <f>USDemand!M$7*ResCalc!N73/ResCalc!N$75</f>
        <v>0</v>
      </c>
      <c r="P62" s="452">
        <v>0</v>
      </c>
      <c r="Q62" s="452">
        <v>0</v>
      </c>
      <c r="R62" s="452">
        <v>0</v>
      </c>
      <c r="S62" s="452">
        <v>0</v>
      </c>
      <c r="T62" s="452">
        <v>0</v>
      </c>
      <c r="U62" s="452">
        <v>0</v>
      </c>
      <c r="V62" s="452">
        <v>0</v>
      </c>
      <c r="W62" s="452">
        <v>0</v>
      </c>
      <c r="X62" s="452">
        <v>0</v>
      </c>
      <c r="Y62" s="452">
        <v>0</v>
      </c>
      <c r="Z62" s="452">
        <v>0</v>
      </c>
    </row>
    <row r="63" spans="1:26">
      <c r="C63" s="449" t="s">
        <v>534</v>
      </c>
      <c r="D63" s="452">
        <f>USDemand!C$7*ResCalc!D74/ResCalc!D$75</f>
        <v>0</v>
      </c>
      <c r="E63" s="452">
        <f>USDemand!D$7*ResCalc!E74/ResCalc!E$75</f>
        <v>0</v>
      </c>
      <c r="F63" s="452">
        <f>USDemand!E$7*ResCalc!F74/ResCalc!F$75</f>
        <v>0</v>
      </c>
      <c r="G63" s="452">
        <f>USDemand!F$7*ResCalc!G74/ResCalc!G$75</f>
        <v>0</v>
      </c>
      <c r="H63" s="452">
        <f>USDemand!G$7*ResCalc!H74/ResCalc!H$75</f>
        <v>0</v>
      </c>
      <c r="I63" s="452">
        <f>USDemand!H$7*ResCalc!I74/ResCalc!I$75</f>
        <v>0</v>
      </c>
      <c r="J63" s="452">
        <f>USDemand!I$7*ResCalc!J74/ResCalc!J$75</f>
        <v>0</v>
      </c>
      <c r="K63" s="452">
        <f>USDemand!J$7*ResCalc!K74/ResCalc!K$75</f>
        <v>0</v>
      </c>
      <c r="L63" s="452">
        <f>USDemand!K$7*ResCalc!L74/ResCalc!L$75</f>
        <v>0</v>
      </c>
      <c r="M63" s="452">
        <f>USDemand!L$7*ResCalc!M74/ResCalc!M$75</f>
        <v>0</v>
      </c>
      <c r="N63" s="452">
        <f>USDemand!M$7*ResCalc!N74/ResCalc!N$75</f>
        <v>0</v>
      </c>
      <c r="P63" s="452">
        <v>0</v>
      </c>
      <c r="Q63" s="452">
        <v>0</v>
      </c>
      <c r="R63" s="452">
        <v>0</v>
      </c>
      <c r="S63" s="452">
        <v>0</v>
      </c>
      <c r="T63" s="452">
        <v>0</v>
      </c>
      <c r="U63" s="452">
        <v>0</v>
      </c>
      <c r="V63" s="452">
        <v>0</v>
      </c>
      <c r="W63" s="452">
        <v>0</v>
      </c>
      <c r="X63" s="452">
        <v>0</v>
      </c>
      <c r="Y63" s="452">
        <v>0</v>
      </c>
      <c r="Z63" s="452">
        <v>0</v>
      </c>
    </row>
    <row r="64" spans="1:26">
      <c r="C64" s="166" t="s">
        <v>2351</v>
      </c>
      <c r="D64" s="162">
        <f>SUM(D55:D60)</f>
        <v>9.0951287026255017</v>
      </c>
      <c r="E64" s="162">
        <f>SUM(E56:E60)</f>
        <v>9.0951287026255017</v>
      </c>
      <c r="F64" s="162">
        <f t="shared" ref="F64:N64" si="6">SUM(F55:F60)</f>
        <v>9.08862831420082</v>
      </c>
      <c r="G64" s="162">
        <f t="shared" si="6"/>
        <v>9.5387471182188346</v>
      </c>
      <c r="H64" s="162">
        <f t="shared" si="6"/>
        <v>9.9265155156511469</v>
      </c>
      <c r="I64" s="162">
        <f t="shared" si="6"/>
        <v>10.301861146648731</v>
      </c>
      <c r="J64" s="162">
        <f t="shared" si="6"/>
        <v>10.598860220025712</v>
      </c>
      <c r="K64" s="162">
        <f t="shared" si="6"/>
        <v>10.899285558192561</v>
      </c>
      <c r="L64" s="162">
        <f t="shared" si="6"/>
        <v>11.401622444582454</v>
      </c>
      <c r="M64" s="162">
        <f t="shared" si="6"/>
        <v>11.783867493027365</v>
      </c>
      <c r="N64" s="162">
        <f t="shared" si="6"/>
        <v>12.175800205412108</v>
      </c>
      <c r="P64" s="162">
        <v>22.861013373672172</v>
      </c>
      <c r="Q64" s="162">
        <v>22.861013373672172</v>
      </c>
      <c r="R64" s="162">
        <v>23.273098358376142</v>
      </c>
      <c r="S64" s="162">
        <v>23.976068131364485</v>
      </c>
      <c r="T64" s="162">
        <v>24.95074136683267</v>
      </c>
      <c r="U64" s="162">
        <v>25.894189422439418</v>
      </c>
      <c r="V64" s="162">
        <v>26.64070989624858</v>
      </c>
      <c r="W64" s="162">
        <v>27.395842440072826</v>
      </c>
      <c r="X64" s="162">
        <v>28.658488704169454</v>
      </c>
      <c r="Y64" s="162">
        <v>29.619278754561652</v>
      </c>
      <c r="Z64" s="162">
        <v>30.604419182186462</v>
      </c>
    </row>
    <row r="66" spans="1:26">
      <c r="A66" s="267" t="s">
        <v>686</v>
      </c>
      <c r="B66" s="267"/>
      <c r="C66" s="268"/>
      <c r="D66" s="268"/>
      <c r="E66" s="268"/>
      <c r="F66" s="268"/>
      <c r="G66" s="268"/>
      <c r="H66" s="268"/>
      <c r="I66" s="269" t="s">
        <v>687</v>
      </c>
      <c r="J66" s="268"/>
      <c r="K66" s="268"/>
      <c r="L66" s="268"/>
      <c r="M66" s="268"/>
      <c r="N66" s="268"/>
      <c r="P66" s="268"/>
      <c r="Q66" s="268"/>
      <c r="R66" s="268"/>
      <c r="S66" s="268"/>
      <c r="T66" s="268"/>
      <c r="U66" s="269" t="s">
        <v>687</v>
      </c>
      <c r="V66" s="268"/>
      <c r="W66" s="268"/>
      <c r="X66" s="268"/>
      <c r="Y66" s="268"/>
      <c r="Z66" s="268"/>
    </row>
    <row r="67" spans="1:26" s="449" customFormat="1">
      <c r="B67" s="449" t="s">
        <v>665</v>
      </c>
      <c r="C67" s="449" t="s">
        <v>500</v>
      </c>
      <c r="D67" s="452">
        <f>ResCalc!D$136*ResCalc!D66</f>
        <v>0</v>
      </c>
      <c r="E67" s="452">
        <f>ResCalc!E$136*ResCalc!E66</f>
        <v>0</v>
      </c>
      <c r="F67" s="452">
        <f>ResCalc!F$136*ResCalc!F66</f>
        <v>0</v>
      </c>
      <c r="G67" s="452">
        <f>ResCalc!G$136*ResCalc!G66</f>
        <v>0</v>
      </c>
      <c r="H67" s="452">
        <f>ResCalc!H$136*ResCalc!H66</f>
        <v>0</v>
      </c>
      <c r="I67" s="452">
        <f>ResCalc!I$136*ResCalc!I66</f>
        <v>0</v>
      </c>
      <c r="J67" s="452">
        <f>ResCalc!J$136*ResCalc!J66</f>
        <v>0</v>
      </c>
      <c r="K67" s="452">
        <f>ResCalc!K$136*ResCalc!K66</f>
        <v>0</v>
      </c>
      <c r="L67" s="452">
        <f>ResCalc!L$136*ResCalc!L66</f>
        <v>0</v>
      </c>
      <c r="M67" s="452">
        <f>ResCalc!M$136*ResCalc!M66</f>
        <v>0</v>
      </c>
      <c r="N67" s="452">
        <f>ResCalc!N$136*ResCalc!N66</f>
        <v>0</v>
      </c>
      <c r="P67" s="452">
        <v>0</v>
      </c>
      <c r="Q67" s="452">
        <v>0</v>
      </c>
      <c r="R67" s="452">
        <v>0</v>
      </c>
      <c r="S67" s="452">
        <v>0</v>
      </c>
      <c r="T67" s="452">
        <v>0</v>
      </c>
      <c r="U67" s="452">
        <v>0</v>
      </c>
      <c r="V67" s="452">
        <v>0</v>
      </c>
      <c r="W67" s="452">
        <v>0</v>
      </c>
      <c r="X67" s="452">
        <v>0</v>
      </c>
      <c r="Y67" s="452">
        <v>0</v>
      </c>
      <c r="Z67" s="452">
        <v>0</v>
      </c>
    </row>
    <row r="68" spans="1:26" ht="12.75">
      <c r="C68" s="182" t="s">
        <v>2345</v>
      </c>
      <c r="D68" s="580">
        <f>ResCalc!D$136*ResCalc!D67</f>
        <v>8.1509592008974607</v>
      </c>
      <c r="E68" s="580">
        <f>'2010 Fuel Share'!$Q$55*ResCalc!E$136*ResCalc!E67</f>
        <v>9.6248377466974055</v>
      </c>
      <c r="F68" s="580">
        <f>'2010 Fuel Share'!$Q$55*ResCalc!F$136*ResCalc!F67</f>
        <v>9.5830340139547712</v>
      </c>
      <c r="G68" s="580">
        <f>'2010 Fuel Share'!$Q$55*ResCalc!G$136*ResCalc!G67</f>
        <v>9.3597063701487073</v>
      </c>
      <c r="H68" s="580">
        <f>'2010 Fuel Share'!$Q$55*ResCalc!H$136*ResCalc!H67</f>
        <v>9.2142061263361548</v>
      </c>
      <c r="I68" s="580">
        <f>'2010 Fuel Share'!$Q$55*ResCalc!I$136*ResCalc!I67</f>
        <v>8.8864885573111803</v>
      </c>
      <c r="J68" s="580">
        <f>'2010 Fuel Share'!$Q$55*ResCalc!J$136*ResCalc!J67</f>
        <v>8.7595236836668349</v>
      </c>
      <c r="K68" s="580">
        <f>'2010 Fuel Share'!$Q$55*ResCalc!K$136*ResCalc!K67</f>
        <v>8.6334373458753682</v>
      </c>
      <c r="L68" s="580">
        <f>'2010 Fuel Share'!$Q$55*ResCalc!L$136*ResCalc!L67</f>
        <v>8.4275129102853708</v>
      </c>
      <c r="M68" s="580">
        <f>'2010 Fuel Share'!$Q$55*ResCalc!M$136*ResCalc!M67</f>
        <v>8.2822287785405955</v>
      </c>
      <c r="N68" s="580">
        <f>'2010 Fuel Share'!$Q$55*ResCalc!N$136*ResCalc!N67</f>
        <v>8.1391585135664144</v>
      </c>
      <c r="P68" s="580">
        <v>20.487801040812354</v>
      </c>
      <c r="Q68" s="580">
        <v>24.192460782127995</v>
      </c>
      <c r="R68" s="580">
        <v>24.588712354715128</v>
      </c>
      <c r="S68" s="580">
        <v>24.015685149927254</v>
      </c>
      <c r="T68" s="580">
        <v>23.642352065912522</v>
      </c>
      <c r="U68" s="580">
        <v>22.801475050699256</v>
      </c>
      <c r="V68" s="580">
        <v>22.475701109727378</v>
      </c>
      <c r="W68" s="580">
        <v>22.152181367722999</v>
      </c>
      <c r="X68" s="580">
        <v>21.623808338246508</v>
      </c>
      <c r="Y68" s="580">
        <v>21.251029767287175</v>
      </c>
      <c r="Z68" s="580">
        <v>20.883931665909234</v>
      </c>
    </row>
    <row r="69" spans="1:26" ht="12.75">
      <c r="C69" s="182" t="s">
        <v>2346</v>
      </c>
      <c r="D69" s="580">
        <f>ResCalc!D$136*ResCalc!D68</f>
        <v>4.4237907087009756</v>
      </c>
      <c r="E69" s="580">
        <f>'2010 Fuel Share'!$R$55*ResCalc!E$136*ResCalc!E68</f>
        <v>4.8441160833300101</v>
      </c>
      <c r="F69" s="580">
        <f>'2010 Fuel Share'!$R$55*ResCalc!F$136*ResCalc!F68</f>
        <v>4.9068774050719082</v>
      </c>
      <c r="G69" s="580">
        <f>'2010 Fuel Share'!$R$55*ResCalc!G$136*ResCalc!G68</f>
        <v>4.7429459770221385</v>
      </c>
      <c r="H69" s="580">
        <f>'2010 Fuel Share'!$R$55*ResCalc!H$136*ResCalc!H68</f>
        <v>4.6922296087218927</v>
      </c>
      <c r="I69" s="580">
        <f>'2010 Fuel Share'!$R$55*ResCalc!I$136*ResCalc!I68</f>
        <v>4.5466884337966844</v>
      </c>
      <c r="J69" s="580">
        <f>'2010 Fuel Share'!$R$55*ResCalc!J$136*ResCalc!J68</f>
        <v>4.4999243494972543</v>
      </c>
      <c r="K69" s="580">
        <f>'2010 Fuel Share'!$R$55*ResCalc!K$136*ResCalc!K68</f>
        <v>4.4525396765516767</v>
      </c>
      <c r="L69" s="580">
        <f>'2010 Fuel Share'!$R$55*ResCalc!L$136*ResCalc!L68</f>
        <v>4.3706918443751217</v>
      </c>
      <c r="M69" s="580">
        <f>'2010 Fuel Share'!$R$55*ResCalc!M$136*ResCalc!M68</f>
        <v>4.3109120531842287</v>
      </c>
      <c r="N69" s="580">
        <f>'2010 Fuel Share'!$R$55*ResCalc!N$136*ResCalc!N68</f>
        <v>4.2512220352691088</v>
      </c>
      <c r="P69" s="580">
        <v>11.119396092190064</v>
      </c>
      <c r="Q69" s="580">
        <v>12.175902748100746</v>
      </c>
      <c r="R69" s="580">
        <v>12.590354672379185</v>
      </c>
      <c r="S69" s="580">
        <v>12.169729771711639</v>
      </c>
      <c r="T69" s="580">
        <v>12.039598730749599</v>
      </c>
      <c r="U69" s="580">
        <v>11.666160623278422</v>
      </c>
      <c r="V69" s="580">
        <v>11.54617058508218</v>
      </c>
      <c r="W69" s="580">
        <v>11.42458820403413</v>
      </c>
      <c r="X69" s="580">
        <v>11.214578221880702</v>
      </c>
      <c r="Y69" s="580">
        <v>11.061191717348075</v>
      </c>
      <c r="Z69" s="580">
        <v>10.908035558366961</v>
      </c>
    </row>
    <row r="70" spans="1:26" ht="12.75">
      <c r="C70" s="182" t="s">
        <v>2347</v>
      </c>
      <c r="D70" s="580">
        <f>ResCalc!D$136*ResCalc!D69</f>
        <v>5.1816296711184497</v>
      </c>
      <c r="E70" s="580">
        <f>'2010 Fuel Share'!$S$55*ResCalc!E$136*ResCalc!E69</f>
        <v>6.7282357346674937</v>
      </c>
      <c r="F70" s="580">
        <f>'2010 Fuel Share'!$S$55*ResCalc!F$136*ResCalc!F69</f>
        <v>6.7258972543521738</v>
      </c>
      <c r="G70" s="580">
        <f>'2010 Fuel Share'!$S$55*ResCalc!G$136*ResCalc!G69</f>
        <v>6.51528719697383</v>
      </c>
      <c r="H70" s="580">
        <f>'2010 Fuel Share'!$S$55*ResCalc!H$136*ResCalc!H69</f>
        <v>6.3624590250410646</v>
      </c>
      <c r="I70" s="580">
        <f>'2010 Fuel Share'!$S$55*ResCalc!I$136*ResCalc!I69</f>
        <v>6.0883614463963136</v>
      </c>
      <c r="J70" s="580">
        <f>'2010 Fuel Share'!$S$55*ResCalc!J$136*ResCalc!J69</f>
        <v>5.9348146660927394</v>
      </c>
      <c r="K70" s="580">
        <f>'2010 Fuel Share'!$S$55*ResCalc!K$136*ResCalc!K69</f>
        <v>5.7857840294136267</v>
      </c>
      <c r="L70" s="580">
        <f>'2010 Fuel Share'!$S$55*ResCalc!L$136*ResCalc!L69</f>
        <v>5.6517606867430059</v>
      </c>
      <c r="M70" s="580">
        <f>'2010 Fuel Share'!$S$55*ResCalc!M$136*ResCalc!M69</f>
        <v>5.5216434480575529</v>
      </c>
      <c r="N70" s="580">
        <f>'2010 Fuel Share'!$S$55*ResCalc!N$136*ResCalc!N69</f>
        <v>5.3952330220342635</v>
      </c>
      <c r="P70" s="580">
        <v>13.024258268567456</v>
      </c>
      <c r="Q70" s="580">
        <v>16.911721883281412</v>
      </c>
      <c r="R70" s="580">
        <v>17.257702797861985</v>
      </c>
      <c r="S70" s="580">
        <v>16.717307124388945</v>
      </c>
      <c r="T70" s="580">
        <v>16.325171611368795</v>
      </c>
      <c r="U70" s="580">
        <v>15.621875921443731</v>
      </c>
      <c r="V70" s="580">
        <v>15.227896560796642</v>
      </c>
      <c r="W70" s="580">
        <v>14.845504987104366</v>
      </c>
      <c r="X70" s="580">
        <v>14.501620011120091</v>
      </c>
      <c r="Y70" s="580">
        <v>14.167757546501115</v>
      </c>
      <c r="Z70" s="580">
        <v>13.843406239848397</v>
      </c>
    </row>
    <row r="71" spans="1:26" ht="12.75">
      <c r="C71" s="182" t="s">
        <v>2348</v>
      </c>
      <c r="D71" s="580">
        <f>ResCalc!D$136*ResCalc!D70</f>
        <v>1.5163255840172689</v>
      </c>
      <c r="E71" s="580">
        <f>'2010 Fuel Share'!$U$55*ResCalc!E$136*ResCalc!E70</f>
        <v>2.4575994045761966</v>
      </c>
      <c r="F71" s="580">
        <f>'2010 Fuel Share'!$U$55*ResCalc!F$136*ResCalc!F70</f>
        <v>2.3985923539038212</v>
      </c>
      <c r="G71" s="580">
        <f>'2010 Fuel Share'!$U$55*ResCalc!G$136*ResCalc!G70</f>
        <v>2.3942411059424704</v>
      </c>
      <c r="H71" s="580">
        <f>'2010 Fuel Share'!$U$55*ResCalc!H$136*ResCalc!H70</f>
        <v>2.3360965312023598</v>
      </c>
      <c r="I71" s="580">
        <f>'2010 Fuel Share'!$U$55*ResCalc!I$136*ResCalc!I70</f>
        <v>2.2336021928427154</v>
      </c>
      <c r="J71" s="580">
        <f>'2010 Fuel Share'!$U$55*ResCalc!J$136*ResCalc!J70</f>
        <v>2.1749582574096467</v>
      </c>
      <c r="K71" s="580">
        <f>'2010 Fuel Share'!$U$55*ResCalc!K$136*ResCalc!K70</f>
        <v>2.1181071624145642</v>
      </c>
      <c r="L71" s="580">
        <f>'2010 Fuel Share'!$U$55*ResCalc!L$136*ResCalc!L70</f>
        <v>2.1315821516945594</v>
      </c>
      <c r="M71" s="580">
        <f>'2010 Fuel Share'!$U$55*ResCalc!M$136*ResCalc!M70</f>
        <v>2.0986963761760897</v>
      </c>
      <c r="N71" s="580">
        <f>'2010 Fuel Share'!$U$55*ResCalc!N$136*ResCalc!N70</f>
        <v>2.0661080541081045</v>
      </c>
      <c r="P71" s="580">
        <v>3.8113522731188323</v>
      </c>
      <c r="Q71" s="580">
        <v>6.1772861816597189</v>
      </c>
      <c r="R71" s="580">
        <v>6.1544493487632606</v>
      </c>
      <c r="S71" s="580">
        <v>6.1432846608001492</v>
      </c>
      <c r="T71" s="580">
        <v>5.9940938908216745</v>
      </c>
      <c r="U71" s="580">
        <v>5.7311078886597073</v>
      </c>
      <c r="V71" s="580">
        <v>5.5806358296424472</v>
      </c>
      <c r="W71" s="580">
        <v>5.4347639460772781</v>
      </c>
      <c r="X71" s="580">
        <v>5.4693388661815137</v>
      </c>
      <c r="Y71" s="580">
        <v>5.3849586089886579</v>
      </c>
      <c r="Z71" s="580">
        <v>5.3013415753555044</v>
      </c>
    </row>
    <row r="72" spans="1:26" ht="12.75">
      <c r="C72" s="182" t="s">
        <v>2349</v>
      </c>
      <c r="D72" s="580">
        <f>ResCalc!D$136*ResCalc!D71</f>
        <v>7.3011882558454291</v>
      </c>
      <c r="E72" s="580">
        <f>'2010 Fuel Share'!$T$55*ResCalc!E$136*ResCalc!E71</f>
        <v>4.9241949405521845</v>
      </c>
      <c r="F72" s="580">
        <f>'2010 Fuel Share'!$T$55*ResCalc!F$136*ResCalc!F71</f>
        <v>4.9350233155751422</v>
      </c>
      <c r="G72" s="580">
        <f>'2010 Fuel Share'!$T$55*ResCalc!G$136*ResCalc!G71</f>
        <v>4.7805252069020998</v>
      </c>
      <c r="H72" s="580">
        <f>'2010 Fuel Share'!$T$55*ResCalc!H$136*ResCalc!H71</f>
        <v>4.6570829009158432</v>
      </c>
      <c r="I72" s="580">
        <f>'2010 Fuel Share'!$T$55*ResCalc!I$136*ResCalc!I71</f>
        <v>4.4458825927085934</v>
      </c>
      <c r="J72" s="580">
        <f>'2010 Fuel Share'!$T$55*ResCalc!J$136*ResCalc!J71</f>
        <v>4.3501277106773193</v>
      </c>
      <c r="K72" s="580">
        <f>'2010 Fuel Share'!$T$55*ResCalc!K$136*ResCalc!K71</f>
        <v>4.2567080100818036</v>
      </c>
      <c r="L72" s="580">
        <f>'2010 Fuel Share'!$T$55*ResCalc!L$136*ResCalc!L71</f>
        <v>4.1995370161937382</v>
      </c>
      <c r="M72" s="580">
        <f>'2010 Fuel Share'!$T$55*ResCalc!M$136*ResCalc!M71</f>
        <v>4.1160258124180817</v>
      </c>
      <c r="N72" s="580">
        <f>'2010 Fuel Share'!$T$55*ResCalc!N$136*ResCalc!N71</f>
        <v>4.0343734206567703</v>
      </c>
      <c r="P72" s="580">
        <v>18.351863708360462</v>
      </c>
      <c r="Q72" s="580">
        <v>12.377184542538251</v>
      </c>
      <c r="R72" s="580">
        <v>12.662573105113305</v>
      </c>
      <c r="S72" s="580">
        <v>12.266152770177941</v>
      </c>
      <c r="T72" s="580">
        <v>11.949417240503431</v>
      </c>
      <c r="U72" s="580">
        <v>11.407507066734563</v>
      </c>
      <c r="V72" s="580">
        <v>11.161813558040127</v>
      </c>
      <c r="W72" s="580">
        <v>10.922111795230794</v>
      </c>
      <c r="X72" s="580">
        <v>10.7754190962693</v>
      </c>
      <c r="Y72" s="580">
        <v>10.561141137426054</v>
      </c>
      <c r="Z72" s="580">
        <v>10.351632627786021</v>
      </c>
    </row>
    <row r="73" spans="1:26" s="449" customFormat="1">
      <c r="C73" s="449" t="s">
        <v>569</v>
      </c>
      <c r="D73" s="452">
        <f>ResCalc!D$136*ResCalc!D72</f>
        <v>0</v>
      </c>
      <c r="E73" s="452">
        <f>ResCalc!E$136*ResCalc!E72</f>
        <v>0</v>
      </c>
      <c r="F73" s="452">
        <f>ResCalc!F$136*ResCalc!F72</f>
        <v>0</v>
      </c>
      <c r="G73" s="452">
        <f>ResCalc!G$136*ResCalc!G72</f>
        <v>0</v>
      </c>
      <c r="H73" s="452">
        <f>ResCalc!H$136*ResCalc!H72</f>
        <v>0</v>
      </c>
      <c r="I73" s="452">
        <f>ResCalc!I$136*ResCalc!I72</f>
        <v>0</v>
      </c>
      <c r="J73" s="452">
        <f>ResCalc!J$136*ResCalc!J72</f>
        <v>0</v>
      </c>
      <c r="K73" s="452">
        <f>ResCalc!K$136*ResCalc!K72</f>
        <v>0</v>
      </c>
      <c r="L73" s="452">
        <f>ResCalc!L$136*ResCalc!L72</f>
        <v>0</v>
      </c>
      <c r="M73" s="452">
        <f>ResCalc!M$136*ResCalc!M72</f>
        <v>0</v>
      </c>
      <c r="N73" s="452">
        <f>ResCalc!N$136*ResCalc!N72</f>
        <v>0</v>
      </c>
      <c r="P73" s="452">
        <v>0</v>
      </c>
      <c r="Q73" s="452">
        <v>0</v>
      </c>
      <c r="R73" s="452">
        <v>0</v>
      </c>
      <c r="S73" s="452">
        <v>0</v>
      </c>
      <c r="T73" s="452">
        <v>0</v>
      </c>
      <c r="U73" s="452">
        <v>0</v>
      </c>
      <c r="V73" s="452">
        <v>0</v>
      </c>
      <c r="W73" s="452">
        <v>0</v>
      </c>
      <c r="X73" s="452">
        <v>0</v>
      </c>
      <c r="Y73" s="452">
        <v>0</v>
      </c>
      <c r="Z73" s="452">
        <v>0</v>
      </c>
    </row>
    <row r="74" spans="1:26" s="449" customFormat="1">
      <c r="C74" s="449" t="s">
        <v>572</v>
      </c>
      <c r="D74" s="452">
        <f>ResCalc!D$136*ResCalc!D73</f>
        <v>0</v>
      </c>
      <c r="E74" s="452">
        <f>ResCalc!E$136*ResCalc!E73</f>
        <v>0</v>
      </c>
      <c r="F74" s="452">
        <f>ResCalc!F$136*ResCalc!F73</f>
        <v>0</v>
      </c>
      <c r="G74" s="452">
        <f>ResCalc!G$136*ResCalc!G73</f>
        <v>0</v>
      </c>
      <c r="H74" s="452">
        <f>ResCalc!H$136*ResCalc!H73</f>
        <v>0</v>
      </c>
      <c r="I74" s="452">
        <f>ResCalc!I$136*ResCalc!I73</f>
        <v>0</v>
      </c>
      <c r="J74" s="452">
        <f>ResCalc!J$136*ResCalc!J73</f>
        <v>0</v>
      </c>
      <c r="K74" s="452">
        <f>ResCalc!K$136*ResCalc!K73</f>
        <v>0</v>
      </c>
      <c r="L74" s="452">
        <f>ResCalc!L$136*ResCalc!L73</f>
        <v>0</v>
      </c>
      <c r="M74" s="452">
        <f>ResCalc!M$136*ResCalc!M73</f>
        <v>0</v>
      </c>
      <c r="N74" s="452">
        <f>ResCalc!N$136*ResCalc!N73</f>
        <v>0</v>
      </c>
      <c r="P74" s="452">
        <v>0</v>
      </c>
      <c r="Q74" s="452">
        <v>0</v>
      </c>
      <c r="R74" s="452">
        <v>0</v>
      </c>
      <c r="S74" s="452">
        <v>0</v>
      </c>
      <c r="T74" s="452">
        <v>0</v>
      </c>
      <c r="U74" s="452">
        <v>0</v>
      </c>
      <c r="V74" s="452">
        <v>0</v>
      </c>
      <c r="W74" s="452">
        <v>0</v>
      </c>
      <c r="X74" s="452">
        <v>0</v>
      </c>
      <c r="Y74" s="452">
        <v>0</v>
      </c>
      <c r="Z74" s="452">
        <v>0</v>
      </c>
    </row>
    <row r="75" spans="1:26" s="449" customFormat="1">
      <c r="C75" s="449" t="s">
        <v>534</v>
      </c>
      <c r="D75" s="452">
        <f>ResCalc!D$136*ResCalc!D74*0.7</f>
        <v>0</v>
      </c>
      <c r="E75" s="452">
        <f>ResCalc!E$136*ResCalc!E74*0.7</f>
        <v>0</v>
      </c>
      <c r="F75" s="452">
        <f>ResCalc!F$136*ResCalc!F74*0.7</f>
        <v>0</v>
      </c>
      <c r="G75" s="452">
        <f>ResCalc!G$136*ResCalc!G74*0.7</f>
        <v>0</v>
      </c>
      <c r="H75" s="452">
        <f>ResCalc!H$136*ResCalc!H74*0.7</f>
        <v>0</v>
      </c>
      <c r="I75" s="452">
        <f>ResCalc!I$136*ResCalc!I74*0.7</f>
        <v>0</v>
      </c>
      <c r="J75" s="452">
        <f>ResCalc!J$136*ResCalc!J74*0.7</f>
        <v>0</v>
      </c>
      <c r="K75" s="452">
        <f>ResCalc!K$136*ResCalc!K74*0.7</f>
        <v>0</v>
      </c>
      <c r="L75" s="452">
        <f>ResCalc!L$136*ResCalc!L74*0.7</f>
        <v>0</v>
      </c>
      <c r="M75" s="452">
        <f>ResCalc!M$136*ResCalc!M74*0.7</f>
        <v>0</v>
      </c>
      <c r="N75" s="452">
        <f>ResCalc!N$136*ResCalc!N74*0.7</f>
        <v>0</v>
      </c>
      <c r="P75" s="452">
        <v>0</v>
      </c>
      <c r="Q75" s="452">
        <v>0</v>
      </c>
      <c r="R75" s="452">
        <v>0</v>
      </c>
      <c r="S75" s="452">
        <v>0</v>
      </c>
      <c r="T75" s="452">
        <v>0</v>
      </c>
      <c r="U75" s="452">
        <v>0</v>
      </c>
      <c r="V75" s="452">
        <v>0</v>
      </c>
      <c r="W75" s="452">
        <v>0</v>
      </c>
      <c r="X75" s="452">
        <v>0</v>
      </c>
      <c r="Y75" s="452">
        <v>0</v>
      </c>
      <c r="Z75" s="452">
        <v>0</v>
      </c>
    </row>
    <row r="76" spans="1:26">
      <c r="C76" s="166" t="s">
        <v>2351</v>
      </c>
      <c r="D76" s="162">
        <f>SUM(D68:D72)</f>
        <v>26.573893420579584</v>
      </c>
      <c r="E76" s="162">
        <f t="shared" ref="E76:N76" si="7">SUM(E68:E72)</f>
        <v>28.57898390982329</v>
      </c>
      <c r="F76" s="162">
        <f t="shared" si="7"/>
        <v>28.549424342857819</v>
      </c>
      <c r="G76" s="162">
        <f t="shared" si="7"/>
        <v>27.792705856989244</v>
      </c>
      <c r="H76" s="162">
        <f t="shared" si="7"/>
        <v>27.262074192217316</v>
      </c>
      <c r="I76" s="162">
        <f t="shared" si="7"/>
        <v>26.201023223055486</v>
      </c>
      <c r="J76" s="162">
        <f t="shared" si="7"/>
        <v>25.719348667343795</v>
      </c>
      <c r="K76" s="162">
        <f t="shared" si="7"/>
        <v>25.246576224337041</v>
      </c>
      <c r="L76" s="162">
        <f t="shared" si="7"/>
        <v>24.781084609291796</v>
      </c>
      <c r="M76" s="162">
        <f t="shared" si="7"/>
        <v>24.32950646837655</v>
      </c>
      <c r="N76" s="162">
        <f t="shared" si="7"/>
        <v>23.886095045634661</v>
      </c>
      <c r="P76" s="162">
        <v>66.794671383049177</v>
      </c>
      <c r="Q76" s="162">
        <v>71.83455613770812</v>
      </c>
      <c r="R76" s="162">
        <v>73.253792278832861</v>
      </c>
      <c r="S76" s="162">
        <v>71.312159477005935</v>
      </c>
      <c r="T76" s="162">
        <v>69.950633539356019</v>
      </c>
      <c r="U76" s="162">
        <v>67.228126550815688</v>
      </c>
      <c r="V76" s="162">
        <v>65.992217643288782</v>
      </c>
      <c r="W76" s="162">
        <v>64.779150300169562</v>
      </c>
      <c r="X76" s="162">
        <v>63.58476453369812</v>
      </c>
      <c r="Y76" s="162">
        <v>62.426078777551076</v>
      </c>
      <c r="Z76" s="162">
        <v>61.288347667266109</v>
      </c>
    </row>
    <row r="78" spans="1:26">
      <c r="A78" s="267" t="s">
        <v>688</v>
      </c>
      <c r="B78" s="267"/>
      <c r="C78" s="268"/>
      <c r="D78" s="268"/>
      <c r="E78" s="268"/>
      <c r="F78" s="268"/>
      <c r="G78" s="268"/>
      <c r="H78" s="268"/>
      <c r="I78" s="269" t="s">
        <v>689</v>
      </c>
      <c r="J78" s="268"/>
      <c r="K78" s="268"/>
      <c r="L78" s="268"/>
      <c r="M78" s="268"/>
      <c r="N78" s="268"/>
      <c r="P78" s="268"/>
      <c r="Q78" s="268"/>
      <c r="R78" s="268"/>
      <c r="S78" s="268"/>
      <c r="T78" s="268"/>
      <c r="U78" s="269" t="s">
        <v>689</v>
      </c>
      <c r="V78" s="268"/>
      <c r="W78" s="268"/>
      <c r="X78" s="268"/>
      <c r="Y78" s="268"/>
      <c r="Z78" s="268"/>
    </row>
    <row r="79" spans="1:26" s="449" customFormat="1">
      <c r="C79" s="449" t="s">
        <v>500</v>
      </c>
      <c r="D79" s="452">
        <f>ResCalc!D$137*ResCalc!D66</f>
        <v>0</v>
      </c>
      <c r="E79" s="452">
        <f>ResCalc!E$137*ResCalc!E66</f>
        <v>0</v>
      </c>
      <c r="F79" s="452" t="e">
        <f>ResCalc!F$137*ResCalc!F66</f>
        <v>#REF!</v>
      </c>
      <c r="G79" s="452" t="e">
        <f>ResCalc!G$137*ResCalc!G66</f>
        <v>#REF!</v>
      </c>
      <c r="H79" s="452" t="e">
        <f>ResCalc!H$137*ResCalc!H66</f>
        <v>#REF!</v>
      </c>
      <c r="I79" s="452" t="e">
        <f>ResCalc!I$137*ResCalc!I66</f>
        <v>#REF!</v>
      </c>
      <c r="J79" s="452" t="e">
        <f>ResCalc!J$137*ResCalc!J66</f>
        <v>#REF!</v>
      </c>
      <c r="K79" s="452" t="e">
        <f>ResCalc!K$137*ResCalc!K66</f>
        <v>#REF!</v>
      </c>
      <c r="L79" s="452" t="e">
        <f>ResCalc!L$137*ResCalc!L66</f>
        <v>#REF!</v>
      </c>
      <c r="M79" s="452" t="e">
        <f>ResCalc!M$137*ResCalc!M66</f>
        <v>#REF!</v>
      </c>
      <c r="N79" s="452" t="e">
        <f>ResCalc!N$137*ResCalc!N66</f>
        <v>#REF!</v>
      </c>
      <c r="P79" s="452">
        <v>0</v>
      </c>
      <c r="Q79" s="452">
        <v>0</v>
      </c>
      <c r="R79" s="452">
        <v>0</v>
      </c>
      <c r="S79" s="452">
        <v>0</v>
      </c>
      <c r="T79" s="452">
        <v>0</v>
      </c>
      <c r="U79" s="452">
        <v>0</v>
      </c>
      <c r="V79" s="452">
        <v>0</v>
      </c>
      <c r="W79" s="452">
        <v>0</v>
      </c>
      <c r="X79" s="452">
        <v>0</v>
      </c>
      <c r="Y79" s="452">
        <v>0</v>
      </c>
      <c r="Z79" s="452">
        <v>0</v>
      </c>
    </row>
    <row r="80" spans="1:26" ht="12.75">
      <c r="C80" s="182" t="s">
        <v>2345</v>
      </c>
      <c r="D80" s="580">
        <f>ResCalc!D$137*ResCalc!D67</f>
        <v>0.76256326629601368</v>
      </c>
      <c r="E80" s="580">
        <f>'2010 Fuel Share'!$Q$61*ResCalc!E$137*ResCalc!E67</f>
        <v>0.65454182801082939</v>
      </c>
      <c r="F80" s="580" t="e">
        <f>'2010 Fuel Share'!$Q$61*ResCalc!F$137*ResCalc!F67</f>
        <v>#REF!</v>
      </c>
      <c r="G80" s="580" t="e">
        <f>'2010 Fuel Share'!$Q$61*ResCalc!G$137*ResCalc!G67</f>
        <v>#REF!</v>
      </c>
      <c r="H80" s="580" t="e">
        <f>'2010 Fuel Share'!$Q$61*ResCalc!H$137*ResCalc!H67</f>
        <v>#REF!</v>
      </c>
      <c r="I80" s="580" t="e">
        <f>'2010 Fuel Share'!$Q$61*ResCalc!I$137*ResCalc!I67</f>
        <v>#REF!</v>
      </c>
      <c r="J80" s="580" t="e">
        <f>'2010 Fuel Share'!$Q$61*ResCalc!J$137*ResCalc!J67</f>
        <v>#REF!</v>
      </c>
      <c r="K80" s="580" t="e">
        <f>'2010 Fuel Share'!$Q$61*ResCalc!K$137*ResCalc!K67</f>
        <v>#REF!</v>
      </c>
      <c r="L80" s="580" t="e">
        <f>'2010 Fuel Share'!$Q$61*ResCalc!L$137*ResCalc!L67</f>
        <v>#REF!</v>
      </c>
      <c r="M80" s="580" t="e">
        <f>'2010 Fuel Share'!$Q$61*ResCalc!M$137*ResCalc!M67</f>
        <v>#REF!</v>
      </c>
      <c r="N80" s="580" t="e">
        <f>'2010 Fuel Share'!$Q$61*ResCalc!N$137*ResCalc!N67</f>
        <v>#REF!</v>
      </c>
      <c r="P80" s="580">
        <v>0.76256326629601368</v>
      </c>
      <c r="Q80" s="580">
        <v>0.65454182801082939</v>
      </c>
      <c r="R80" s="580">
        <v>0.9162367004610914</v>
      </c>
      <c r="S80" s="580">
        <v>0.91112268150628117</v>
      </c>
      <c r="T80" s="580">
        <v>0.90350500872761996</v>
      </c>
      <c r="U80" s="580">
        <v>0.89236308211756565</v>
      </c>
      <c r="V80" s="580">
        <v>0.87424000799706381</v>
      </c>
      <c r="W80" s="580">
        <v>0.85455322821806157</v>
      </c>
      <c r="X80" s="580">
        <v>0.84972253922121044</v>
      </c>
      <c r="Y80" s="580">
        <v>0.85064287505749758</v>
      </c>
      <c r="Z80" s="580">
        <v>0.85153379153147513</v>
      </c>
    </row>
    <row r="81" spans="1:26" ht="12.75">
      <c r="C81" s="182" t="s">
        <v>2346</v>
      </c>
      <c r="D81" s="580">
        <f>ResCalc!D$137*ResCalc!D68</f>
        <v>0.41386789077113073</v>
      </c>
      <c r="E81" s="580">
        <f>'2010 Fuel Share'!$R$61*ResCalc!E$137*ResCalc!E68</f>
        <v>0.49073984106104068</v>
      </c>
      <c r="F81" s="580" t="e">
        <f>'2010 Fuel Share'!$R$61*ResCalc!F$137*ResCalc!F68</f>
        <v>#REF!</v>
      </c>
      <c r="G81" s="580" t="e">
        <f>'2010 Fuel Share'!$R$61*ResCalc!G$137*ResCalc!G68</f>
        <v>#REF!</v>
      </c>
      <c r="H81" s="580" t="e">
        <f>'2010 Fuel Share'!$R$61*ResCalc!H$137*ResCalc!H68</f>
        <v>#REF!</v>
      </c>
      <c r="I81" s="580" t="e">
        <f>'2010 Fuel Share'!$R$61*ResCalc!I$137*ResCalc!I68</f>
        <v>#REF!</v>
      </c>
      <c r="J81" s="580" t="e">
        <f>'2010 Fuel Share'!$R$61*ResCalc!J$137*ResCalc!J68</f>
        <v>#REF!</v>
      </c>
      <c r="K81" s="580" t="e">
        <f>'2010 Fuel Share'!$R$61*ResCalc!K$137*ResCalc!K68</f>
        <v>#REF!</v>
      </c>
      <c r="L81" s="580" t="e">
        <f>'2010 Fuel Share'!$R$61*ResCalc!L$137*ResCalc!L68</f>
        <v>#REF!</v>
      </c>
      <c r="M81" s="580" t="e">
        <f>'2010 Fuel Share'!$R$61*ResCalc!M$137*ResCalc!M68</f>
        <v>#REF!</v>
      </c>
      <c r="N81" s="580" t="e">
        <f>'2010 Fuel Share'!$R$61*ResCalc!N$137*ResCalc!N68</f>
        <v>#REF!</v>
      </c>
      <c r="P81" s="580">
        <v>0.41386789077113073</v>
      </c>
      <c r="Q81" s="580">
        <v>0.49073984106104068</v>
      </c>
      <c r="R81" s="580">
        <v>0.69888005997893754</v>
      </c>
      <c r="S81" s="580">
        <v>0.68778959214268687</v>
      </c>
      <c r="T81" s="580">
        <v>0.68540092258878094</v>
      </c>
      <c r="U81" s="580">
        <v>0.68014168270639452</v>
      </c>
      <c r="V81" s="580">
        <v>0.66903399657370477</v>
      </c>
      <c r="W81" s="580">
        <v>0.65653209787530087</v>
      </c>
      <c r="X81" s="580">
        <v>0.65647877212839933</v>
      </c>
      <c r="Y81" s="580">
        <v>0.65957167503042347</v>
      </c>
      <c r="Z81" s="580">
        <v>0.66256571051093127</v>
      </c>
    </row>
    <row r="82" spans="1:26" ht="12.75">
      <c r="C82" s="182" t="s">
        <v>2347</v>
      </c>
      <c r="D82" s="580">
        <f>ResCalc!D$137*ResCalc!D69</f>
        <v>0.48476754077107442</v>
      </c>
      <c r="E82" s="580">
        <f>'2010 Fuel Share'!$S$61*ResCalc!E$137*ResCalc!E69</f>
        <v>0.99731969089646599</v>
      </c>
      <c r="F82" s="580" t="e">
        <f>'2010 Fuel Share'!$S$61*ResCalc!F$137*ResCalc!F69</f>
        <v>#REF!</v>
      </c>
      <c r="G82" s="580" t="e">
        <f>'2010 Fuel Share'!$S$61*ResCalc!G$137*ResCalc!G69</f>
        <v>#REF!</v>
      </c>
      <c r="H82" s="580" t="e">
        <f>'2010 Fuel Share'!$S$61*ResCalc!H$137*ResCalc!H69</f>
        <v>#REF!</v>
      </c>
      <c r="I82" s="580" t="e">
        <f>'2010 Fuel Share'!$S$61*ResCalc!I$137*ResCalc!I69</f>
        <v>#REF!</v>
      </c>
      <c r="J82" s="580" t="e">
        <f>'2010 Fuel Share'!$S$61*ResCalc!J$137*ResCalc!J69</f>
        <v>#REF!</v>
      </c>
      <c r="K82" s="580" t="e">
        <f>'2010 Fuel Share'!$S$61*ResCalc!K$137*ResCalc!K69</f>
        <v>#REF!</v>
      </c>
      <c r="L82" s="580" t="e">
        <f>'2010 Fuel Share'!$S$61*ResCalc!L$137*ResCalc!L69</f>
        <v>#REF!</v>
      </c>
      <c r="M82" s="580" t="e">
        <f>'2010 Fuel Share'!$S$61*ResCalc!M$137*ResCalc!M69</f>
        <v>#REF!</v>
      </c>
      <c r="N82" s="580" t="e">
        <f>'2010 Fuel Share'!$S$61*ResCalc!N$137*ResCalc!N69</f>
        <v>#REF!</v>
      </c>
      <c r="P82" s="580">
        <v>0.48476754077107442</v>
      </c>
      <c r="Q82" s="580">
        <v>0.99731969089646599</v>
      </c>
      <c r="R82" s="580">
        <v>1.4016645489235606</v>
      </c>
      <c r="S82" s="580">
        <v>1.3824117119412265</v>
      </c>
      <c r="T82" s="580">
        <v>1.3598369755718231</v>
      </c>
      <c r="U82" s="580">
        <v>1.3326037849882884</v>
      </c>
      <c r="V82" s="580">
        <v>1.2910603802453207</v>
      </c>
      <c r="W82" s="580">
        <v>1.2482650252686858</v>
      </c>
      <c r="X82" s="580">
        <v>1.2420831847400891</v>
      </c>
      <c r="Y82" s="580">
        <v>1.2361113999479805</v>
      </c>
      <c r="Z82" s="580">
        <v>1.230330508624871</v>
      </c>
    </row>
    <row r="83" spans="1:26" ht="12.75">
      <c r="C83" s="182" t="s">
        <v>2348</v>
      </c>
      <c r="D83" s="580">
        <f>ResCalc!D$137*ResCalc!D70</f>
        <v>0.14185989177679914</v>
      </c>
      <c r="E83" s="580">
        <f>'2010 Fuel Share'!$T$61*ResCalc!E$137*ResCalc!E70</f>
        <v>6.5798580988431207E-2</v>
      </c>
      <c r="F83" s="580" t="e">
        <f>'2010 Fuel Share'!$T$61*ResCalc!F$137*ResCalc!F70</f>
        <v>#REF!</v>
      </c>
      <c r="G83" s="580" t="e">
        <f>'2010 Fuel Share'!$T$61*ResCalc!G$137*ResCalc!G70</f>
        <v>#REF!</v>
      </c>
      <c r="H83" s="580" t="e">
        <f>'2010 Fuel Share'!$T$61*ResCalc!H$137*ResCalc!H70</f>
        <v>#REF!</v>
      </c>
      <c r="I83" s="580" t="e">
        <f>'2010 Fuel Share'!$T$61*ResCalc!I$137*ResCalc!I70</f>
        <v>#REF!</v>
      </c>
      <c r="J83" s="580" t="e">
        <f>'2010 Fuel Share'!$T$61*ResCalc!J$137*ResCalc!J70</f>
        <v>#REF!</v>
      </c>
      <c r="K83" s="580" t="e">
        <f>'2010 Fuel Share'!$T$61*ResCalc!K$137*ResCalc!K70</f>
        <v>#REF!</v>
      </c>
      <c r="L83" s="580" t="e">
        <f>'2010 Fuel Share'!$T$61*ResCalc!L$137*ResCalc!L70</f>
        <v>#REF!</v>
      </c>
      <c r="M83" s="580" t="e">
        <f>'2010 Fuel Share'!$T$61*ResCalc!M$137*ResCalc!M70</f>
        <v>#REF!</v>
      </c>
      <c r="N83" s="580" t="e">
        <f>'2010 Fuel Share'!$T$61*ResCalc!N$137*ResCalc!N70</f>
        <v>#REF!</v>
      </c>
      <c r="P83" s="580">
        <v>0.14185989177679914</v>
      </c>
      <c r="Q83" s="580">
        <v>6.5798580988431207E-2</v>
      </c>
      <c r="R83" s="580">
        <v>9.0286443427946089E-2</v>
      </c>
      <c r="S83" s="580">
        <v>9.1758005101689535E-2</v>
      </c>
      <c r="T83" s="580">
        <v>9.0183040256838029E-2</v>
      </c>
      <c r="U83" s="580">
        <v>8.8303655556861746E-2</v>
      </c>
      <c r="V83" s="580">
        <v>8.5459935145333205E-2</v>
      </c>
      <c r="W83" s="580">
        <v>8.2540054799190313E-2</v>
      </c>
      <c r="X83" s="580">
        <v>8.4613806583763038E-2</v>
      </c>
      <c r="Y83" s="580">
        <v>8.4861578377258801E-2</v>
      </c>
      <c r="Z83" s="580">
        <v>8.510142992264999E-2</v>
      </c>
    </row>
    <row r="84" spans="1:26" ht="12.75">
      <c r="C84" s="182" t="s">
        <v>2349</v>
      </c>
      <c r="D84" s="580">
        <f>ResCalc!D$137*ResCalc!D71</f>
        <v>0.68306291652233564</v>
      </c>
      <c r="E84" s="580">
        <f>'2010 Fuel Share'!$U$61*ResCalc!E$137*ResCalc!E71</f>
        <v>0.13283714841908131</v>
      </c>
      <c r="F84" s="580" t="e">
        <f>'2010 Fuel Share'!$U$61*ResCalc!F$137*ResCalc!F71</f>
        <v>#REF!</v>
      </c>
      <c r="G84" s="580" t="e">
        <f>'2010 Fuel Share'!$U$61*ResCalc!G$137*ResCalc!G71</f>
        <v>#REF!</v>
      </c>
      <c r="H84" s="580" t="e">
        <f>'2010 Fuel Share'!$U$61*ResCalc!H$137*ResCalc!H71</f>
        <v>#REF!</v>
      </c>
      <c r="I84" s="580" t="e">
        <f>'2010 Fuel Share'!$U$61*ResCalc!I$137*ResCalc!I71</f>
        <v>#REF!</v>
      </c>
      <c r="J84" s="580" t="e">
        <f>'2010 Fuel Share'!$U$61*ResCalc!J$137*ResCalc!J71</f>
        <v>#REF!</v>
      </c>
      <c r="K84" s="580" t="e">
        <f>'2010 Fuel Share'!$U$61*ResCalc!K$137*ResCalc!K71</f>
        <v>#REF!</v>
      </c>
      <c r="L84" s="580" t="e">
        <f>'2010 Fuel Share'!$U$61*ResCalc!L$137*ResCalc!L71</f>
        <v>#REF!</v>
      </c>
      <c r="M84" s="580" t="e">
        <f>'2010 Fuel Share'!$U$61*ResCalc!M$137*ResCalc!M71</f>
        <v>#REF!</v>
      </c>
      <c r="N84" s="580" t="e">
        <f>'2010 Fuel Share'!$U$61*ResCalc!N$137*ResCalc!N71</f>
        <v>#REF!</v>
      </c>
      <c r="P84" s="580">
        <v>0.68306291652233564</v>
      </c>
      <c r="Q84" s="580">
        <v>0.13283714841908131</v>
      </c>
      <c r="R84" s="580">
        <v>0.18716911267433278</v>
      </c>
      <c r="S84" s="580">
        <v>0.18459951885139225</v>
      </c>
      <c r="T84" s="580">
        <v>0.18114524085094544</v>
      </c>
      <c r="U84" s="580">
        <v>0.17709639346722636</v>
      </c>
      <c r="V84" s="580">
        <v>0.17222353999156104</v>
      </c>
      <c r="W84" s="580">
        <v>0.1671358277993838</v>
      </c>
      <c r="X84" s="580">
        <v>0.16796525123979747</v>
      </c>
      <c r="Y84" s="580">
        <v>0.16769435912329764</v>
      </c>
      <c r="Z84" s="580">
        <v>0.16743212631681023</v>
      </c>
    </row>
    <row r="85" spans="1:26">
      <c r="C85" s="449" t="s">
        <v>569</v>
      </c>
      <c r="D85" s="452">
        <f>ResCalc!D$137*ResCalc!D72</f>
        <v>0</v>
      </c>
      <c r="E85" s="452">
        <f>ResCalc!E$137*ResCalc!E72</f>
        <v>0</v>
      </c>
      <c r="F85" s="452" t="e">
        <f>ResCalc!F$137*ResCalc!F72</f>
        <v>#REF!</v>
      </c>
      <c r="G85" s="452" t="e">
        <f>ResCalc!G$137*ResCalc!G72</f>
        <v>#REF!</v>
      </c>
      <c r="H85" s="452" t="e">
        <f>ResCalc!H$137*ResCalc!H72</f>
        <v>#REF!</v>
      </c>
      <c r="I85" s="452" t="e">
        <f>ResCalc!I$137*ResCalc!I72</f>
        <v>#REF!</v>
      </c>
      <c r="J85" s="452" t="e">
        <f>ResCalc!J$137*ResCalc!J72</f>
        <v>#REF!</v>
      </c>
      <c r="K85" s="452" t="e">
        <f>ResCalc!K$137*ResCalc!K72</f>
        <v>#REF!</v>
      </c>
      <c r="L85" s="452" t="e">
        <f>ResCalc!L$137*ResCalc!L72</f>
        <v>#REF!</v>
      </c>
      <c r="M85" s="452" t="e">
        <f>ResCalc!M$137*ResCalc!M72</f>
        <v>#REF!</v>
      </c>
      <c r="N85" s="452" t="e">
        <f>ResCalc!N$137*ResCalc!N72</f>
        <v>#REF!</v>
      </c>
      <c r="P85" s="452">
        <v>0</v>
      </c>
      <c r="Q85" s="452">
        <v>0</v>
      </c>
      <c r="R85" s="452">
        <v>0</v>
      </c>
      <c r="S85" s="452">
        <v>0</v>
      </c>
      <c r="T85" s="452">
        <v>0</v>
      </c>
      <c r="U85" s="452">
        <v>0</v>
      </c>
      <c r="V85" s="452">
        <v>0</v>
      </c>
      <c r="W85" s="452">
        <v>0</v>
      </c>
      <c r="X85" s="452">
        <v>0</v>
      </c>
      <c r="Y85" s="452">
        <v>0</v>
      </c>
      <c r="Z85" s="452">
        <v>0</v>
      </c>
    </row>
    <row r="86" spans="1:26">
      <c r="C86" s="449" t="s">
        <v>572</v>
      </c>
      <c r="D86" s="452">
        <f>ResCalc!D$137*ResCalc!D73</f>
        <v>0</v>
      </c>
      <c r="E86" s="452">
        <f>ResCalc!E$137*ResCalc!E73</f>
        <v>0</v>
      </c>
      <c r="F86" s="452" t="e">
        <f>ResCalc!F$137*ResCalc!F73</f>
        <v>#REF!</v>
      </c>
      <c r="G86" s="452" t="e">
        <f>ResCalc!G$137*ResCalc!G73</f>
        <v>#REF!</v>
      </c>
      <c r="H86" s="452" t="e">
        <f>ResCalc!H$137*ResCalc!H73</f>
        <v>#REF!</v>
      </c>
      <c r="I86" s="452" t="e">
        <f>ResCalc!I$137*ResCalc!I73</f>
        <v>#REF!</v>
      </c>
      <c r="J86" s="452" t="e">
        <f>ResCalc!J$137*ResCalc!J73</f>
        <v>#REF!</v>
      </c>
      <c r="K86" s="452" t="e">
        <f>ResCalc!K$137*ResCalc!K73</f>
        <v>#REF!</v>
      </c>
      <c r="L86" s="452" t="e">
        <f>ResCalc!L$137*ResCalc!L73</f>
        <v>#REF!</v>
      </c>
      <c r="M86" s="452" t="e">
        <f>ResCalc!M$137*ResCalc!M73</f>
        <v>#REF!</v>
      </c>
      <c r="N86" s="452" t="e">
        <f>ResCalc!N$137*ResCalc!N73</f>
        <v>#REF!</v>
      </c>
      <c r="P86" s="452">
        <v>0</v>
      </c>
      <c r="Q86" s="452">
        <v>0</v>
      </c>
      <c r="R86" s="452">
        <v>0</v>
      </c>
      <c r="S86" s="452">
        <v>0</v>
      </c>
      <c r="T86" s="452">
        <v>0</v>
      </c>
      <c r="U86" s="452">
        <v>0</v>
      </c>
      <c r="V86" s="452">
        <v>0</v>
      </c>
      <c r="W86" s="452">
        <v>0</v>
      </c>
      <c r="X86" s="452">
        <v>0</v>
      </c>
      <c r="Y86" s="452">
        <v>0</v>
      </c>
      <c r="Z86" s="452">
        <v>0</v>
      </c>
    </row>
    <row r="87" spans="1:26">
      <c r="C87" s="449" t="s">
        <v>534</v>
      </c>
      <c r="D87" s="452">
        <f>ResCalc!D$137*ResCalc!D74</f>
        <v>0</v>
      </c>
      <c r="E87" s="452">
        <f>ResCalc!E$137*ResCalc!E74</f>
        <v>0</v>
      </c>
      <c r="F87" s="452" t="e">
        <f>ResCalc!F$137*ResCalc!F74</f>
        <v>#REF!</v>
      </c>
      <c r="G87" s="452" t="e">
        <f>ResCalc!G$137*ResCalc!G74</f>
        <v>#REF!</v>
      </c>
      <c r="H87" s="452" t="e">
        <f>ResCalc!H$137*ResCalc!H74</f>
        <v>#REF!</v>
      </c>
      <c r="I87" s="452" t="e">
        <f>ResCalc!I$137*ResCalc!I74</f>
        <v>#REF!</v>
      </c>
      <c r="J87" s="452" t="e">
        <f>ResCalc!J$137*ResCalc!J74</f>
        <v>#REF!</v>
      </c>
      <c r="K87" s="452" t="e">
        <f>ResCalc!K$137*ResCalc!K74</f>
        <v>#REF!</v>
      </c>
      <c r="L87" s="452" t="e">
        <f>ResCalc!L$137*ResCalc!L74</f>
        <v>#REF!</v>
      </c>
      <c r="M87" s="452" t="e">
        <f>ResCalc!M$137*ResCalc!M74</f>
        <v>#REF!</v>
      </c>
      <c r="N87" s="452" t="e">
        <f>ResCalc!N$137*ResCalc!N74</f>
        <v>#REF!</v>
      </c>
      <c r="P87" s="452">
        <v>0</v>
      </c>
      <c r="Q87" s="452">
        <v>0</v>
      </c>
      <c r="R87" s="452">
        <v>0</v>
      </c>
      <c r="S87" s="452">
        <v>0</v>
      </c>
      <c r="T87" s="452">
        <v>0</v>
      </c>
      <c r="U87" s="452">
        <v>0</v>
      </c>
      <c r="V87" s="452">
        <v>0</v>
      </c>
      <c r="W87" s="452">
        <v>0</v>
      </c>
      <c r="X87" s="452">
        <v>0</v>
      </c>
      <c r="Y87" s="452">
        <v>0</v>
      </c>
      <c r="Z87" s="452">
        <v>0</v>
      </c>
    </row>
    <row r="88" spans="1:26">
      <c r="C88" s="166" t="s">
        <v>2351</v>
      </c>
      <c r="D88" s="162">
        <f>SUM(D80:D84)</f>
        <v>2.4861215061373541</v>
      </c>
      <c r="E88" s="162">
        <f t="shared" ref="E88:N88" si="8">SUM(E80:E84)</f>
        <v>2.3412370893758485</v>
      </c>
      <c r="F88" s="162" t="e">
        <f t="shared" si="8"/>
        <v>#REF!</v>
      </c>
      <c r="G88" s="162" t="e">
        <f t="shared" si="8"/>
        <v>#REF!</v>
      </c>
      <c r="H88" s="162" t="e">
        <f t="shared" si="8"/>
        <v>#REF!</v>
      </c>
      <c r="I88" s="162" t="e">
        <f t="shared" si="8"/>
        <v>#REF!</v>
      </c>
      <c r="J88" s="162" t="e">
        <f t="shared" si="8"/>
        <v>#REF!</v>
      </c>
      <c r="K88" s="162" t="e">
        <f t="shared" si="8"/>
        <v>#REF!</v>
      </c>
      <c r="L88" s="162" t="e">
        <f t="shared" si="8"/>
        <v>#REF!</v>
      </c>
      <c r="M88" s="162" t="e">
        <f t="shared" si="8"/>
        <v>#REF!</v>
      </c>
      <c r="N88" s="162" t="e">
        <f t="shared" si="8"/>
        <v>#REF!</v>
      </c>
      <c r="P88" s="162">
        <v>2.4861215061373541</v>
      </c>
      <c r="Q88" s="162">
        <v>2.3412370893758485</v>
      </c>
      <c r="R88" s="162">
        <v>3.2942368654658689</v>
      </c>
      <c r="S88" s="162">
        <v>3.2576815095432767</v>
      </c>
      <c r="T88" s="162">
        <v>3.2200711879960076</v>
      </c>
      <c r="U88" s="162">
        <v>3.1705085988363368</v>
      </c>
      <c r="V88" s="162">
        <v>3.0920178599529837</v>
      </c>
      <c r="W88" s="162">
        <v>3.0090262339606224</v>
      </c>
      <c r="X88" s="162">
        <v>3.0008635539132595</v>
      </c>
      <c r="Y88" s="162">
        <v>2.9988818875364576</v>
      </c>
      <c r="Z88" s="162">
        <v>2.9969635669067372</v>
      </c>
    </row>
    <row r="90" spans="1:26" s="449" customFormat="1" hidden="1">
      <c r="A90" s="454" t="s">
        <v>1083</v>
      </c>
      <c r="B90" s="454"/>
      <c r="I90" s="455" t="s">
        <v>689</v>
      </c>
      <c r="U90" s="455" t="s">
        <v>689</v>
      </c>
    </row>
    <row r="91" spans="1:26" s="449" customFormat="1" hidden="1">
      <c r="B91" s="449" t="s">
        <v>665</v>
      </c>
      <c r="C91" s="449" t="s">
        <v>500</v>
      </c>
      <c r="D91" s="452">
        <f>ResCalc!D$138*ResCalc!D66</f>
        <v>0</v>
      </c>
      <c r="E91" s="452">
        <f>ResCalc!E$138*ResCalc!E66</f>
        <v>0</v>
      </c>
      <c r="F91" s="452">
        <f>ResCalc!F$138*ResCalc!F66</f>
        <v>0</v>
      </c>
      <c r="G91" s="452">
        <f>ResCalc!G$138*ResCalc!G66</f>
        <v>0</v>
      </c>
      <c r="H91" s="452">
        <f>ResCalc!H$138*ResCalc!H66</f>
        <v>0</v>
      </c>
      <c r="I91" s="452">
        <f>ResCalc!I$138*ResCalc!I66</f>
        <v>0</v>
      </c>
      <c r="J91" s="452">
        <f>ResCalc!J$138*ResCalc!J66</f>
        <v>0</v>
      </c>
      <c r="K91" s="452">
        <f>ResCalc!K$138*ResCalc!K66</f>
        <v>0</v>
      </c>
      <c r="L91" s="452">
        <f>ResCalc!L$138*ResCalc!L66</f>
        <v>0</v>
      </c>
      <c r="M91" s="452">
        <f>ResCalc!M$138*ResCalc!M66</f>
        <v>0</v>
      </c>
      <c r="N91" s="452">
        <f>ResCalc!N$138*ResCalc!N66</f>
        <v>0</v>
      </c>
      <c r="P91" s="452">
        <v>0</v>
      </c>
      <c r="Q91" s="452">
        <v>0</v>
      </c>
      <c r="R91" s="452">
        <v>0</v>
      </c>
      <c r="S91" s="452">
        <v>0</v>
      </c>
      <c r="T91" s="452">
        <v>0</v>
      </c>
      <c r="U91" s="452">
        <v>0</v>
      </c>
      <c r="V91" s="452">
        <v>0</v>
      </c>
      <c r="W91" s="452">
        <v>0</v>
      </c>
      <c r="X91" s="452">
        <v>0</v>
      </c>
      <c r="Y91" s="452">
        <v>0</v>
      </c>
      <c r="Z91" s="452">
        <v>0</v>
      </c>
    </row>
    <row r="92" spans="1:26" s="449" customFormat="1" hidden="1">
      <c r="B92" s="449" t="s">
        <v>666</v>
      </c>
      <c r="C92" s="449" t="s">
        <v>567</v>
      </c>
      <c r="D92" s="452">
        <f>ResCalc!D$138*ResCalc!D67</f>
        <v>12.94392480747636</v>
      </c>
      <c r="E92" s="452">
        <f>ResCalc!E$138*ResCalc!E67</f>
        <v>12.96826447685106</v>
      </c>
      <c r="F92" s="452">
        <f>ResCalc!F$138*ResCalc!F67</f>
        <v>13.925686468851474</v>
      </c>
      <c r="G92" s="452">
        <f>ResCalc!G$138*ResCalc!G67</f>
        <v>15.22865838982497</v>
      </c>
      <c r="H92" s="452">
        <f>ResCalc!H$138*ResCalc!H67</f>
        <v>16.508227217052408</v>
      </c>
      <c r="I92" s="452">
        <f>ResCalc!I$138*ResCalc!I67</f>
        <v>17.83236287337121</v>
      </c>
      <c r="J92" s="452">
        <f>ResCalc!J$138*ResCalc!J67</f>
        <v>19.135936983471865</v>
      </c>
      <c r="K92" s="452">
        <f>ResCalc!K$138*ResCalc!K67</f>
        <v>20.53257965967887</v>
      </c>
      <c r="L92" s="452">
        <f>ResCalc!L$138*ResCalc!L67</f>
        <v>21.819748232528998</v>
      </c>
      <c r="M92" s="452">
        <f>ResCalc!M$138*ResCalc!M67</f>
        <v>23.344687533021592</v>
      </c>
      <c r="N92" s="452">
        <f>ResCalc!N$138*ResCalc!N67</f>
        <v>24.975309742540073</v>
      </c>
      <c r="P92" s="452">
        <v>12.94392480747636</v>
      </c>
      <c r="Q92" s="452">
        <v>12.96826447685106</v>
      </c>
      <c r="R92" s="452">
        <v>13.925686468851474</v>
      </c>
      <c r="S92" s="452">
        <v>15.22865838982497</v>
      </c>
      <c r="T92" s="452">
        <v>16.508227217052408</v>
      </c>
      <c r="U92" s="452">
        <v>17.83236287337121</v>
      </c>
      <c r="V92" s="452">
        <v>19.135936983471865</v>
      </c>
      <c r="W92" s="452">
        <v>20.53257965967887</v>
      </c>
      <c r="X92" s="452">
        <v>21.819748232528998</v>
      </c>
      <c r="Y92" s="452">
        <v>23.344687533021592</v>
      </c>
      <c r="Z92" s="452">
        <v>24.975309742540073</v>
      </c>
    </row>
    <row r="93" spans="1:26" s="449" customFormat="1" hidden="1">
      <c r="B93" s="449" t="s">
        <v>667</v>
      </c>
      <c r="C93" s="449" t="s">
        <v>530</v>
      </c>
      <c r="D93" s="452">
        <f>ResCalc!D$138*ResCalc!D68</f>
        <v>7.0250890583691357</v>
      </c>
      <c r="E93" s="452">
        <f>ResCalc!E$138*ResCalc!E68</f>
        <v>7.0360646622628913</v>
      </c>
      <c r="F93" s="452">
        <f>ResCalc!F$138*ResCalc!F68</f>
        <v>7.6868008415601361</v>
      </c>
      <c r="G93" s="452">
        <f>ResCalc!G$138*ResCalc!G68</f>
        <v>8.319063443286149</v>
      </c>
      <c r="H93" s="452">
        <f>ResCalc!H$138*ResCalc!H68</f>
        <v>9.0625122819309549</v>
      </c>
      <c r="I93" s="452">
        <f>ResCalc!I$138*ResCalc!I68</f>
        <v>9.8355973200977633</v>
      </c>
      <c r="J93" s="452">
        <f>ResCalc!J$138*ResCalc!J68</f>
        <v>10.597447938913737</v>
      </c>
      <c r="K93" s="452">
        <f>ResCalc!K$138*ResCalc!K68</f>
        <v>11.415486138882619</v>
      </c>
      <c r="L93" s="452">
        <f>ResCalc!L$138*ResCalc!L68</f>
        <v>12.199087163785926</v>
      </c>
      <c r="M93" s="452">
        <f>ResCalc!M$138*ResCalc!M68</f>
        <v>13.098960832210937</v>
      </c>
      <c r="N93" s="452">
        <f>ResCalc!N$138*ResCalc!N68</f>
        <v>14.062806551447077</v>
      </c>
      <c r="P93" s="452">
        <v>7.0250890583691357</v>
      </c>
      <c r="Q93" s="452">
        <v>7.0360646622628913</v>
      </c>
      <c r="R93" s="452">
        <v>7.6868008415601361</v>
      </c>
      <c r="S93" s="452">
        <v>8.319063443286149</v>
      </c>
      <c r="T93" s="452">
        <v>9.0625122819309549</v>
      </c>
      <c r="U93" s="452">
        <v>9.8355973200977633</v>
      </c>
      <c r="V93" s="452">
        <v>10.597447938913737</v>
      </c>
      <c r="W93" s="452">
        <v>11.415486138882619</v>
      </c>
      <c r="X93" s="452">
        <v>12.199087163785926</v>
      </c>
      <c r="Y93" s="452">
        <v>13.098960832210937</v>
      </c>
      <c r="Z93" s="452">
        <v>14.062806551447077</v>
      </c>
    </row>
    <row r="94" spans="1:26" s="449" customFormat="1" hidden="1">
      <c r="B94" s="449" t="s">
        <v>668</v>
      </c>
      <c r="C94" s="449" t="s">
        <v>570</v>
      </c>
      <c r="D94" s="452">
        <f>ResCalc!D$138*ResCalc!D69</f>
        <v>8.2285560742054589</v>
      </c>
      <c r="E94" s="452">
        <f>ResCalc!E$138*ResCalc!E69</f>
        <v>8.0559097010029816</v>
      </c>
      <c r="F94" s="452">
        <f>ResCalc!F$138*ResCalc!F69</f>
        <v>8.6853787204185053</v>
      </c>
      <c r="G94" s="452">
        <f>ResCalc!G$138*ResCalc!G69</f>
        <v>9.4201524873929525</v>
      </c>
      <c r="H94" s="452">
        <f>ResCalc!H$138*ResCalc!H69</f>
        <v>10.129603847719762</v>
      </c>
      <c r="I94" s="452">
        <f>ResCalc!I$138*ResCalc!I69</f>
        <v>10.856856123941125</v>
      </c>
      <c r="J94" s="452">
        <f>ResCalc!J$138*ResCalc!J69</f>
        <v>11.521296424527346</v>
      </c>
      <c r="K94" s="452">
        <f>ResCalc!K$138*ResCalc!K69</f>
        <v>12.227760997057581</v>
      </c>
      <c r="L94" s="452">
        <f>ResCalc!L$138*ResCalc!L69</f>
        <v>13.003462846157889</v>
      </c>
      <c r="M94" s="452">
        <f>ResCalc!M$138*ResCalc!M69</f>
        <v>13.830381186765845</v>
      </c>
      <c r="N94" s="452">
        <f>ResCalc!N$138*ResCalc!N69</f>
        <v>14.711824362966183</v>
      </c>
      <c r="P94" s="452">
        <v>8.2285560742054589</v>
      </c>
      <c r="Q94" s="452">
        <v>8.0559097010029816</v>
      </c>
      <c r="R94" s="452">
        <v>8.6853787204185053</v>
      </c>
      <c r="S94" s="452">
        <v>9.4201524873929525</v>
      </c>
      <c r="T94" s="452">
        <v>10.129603847719762</v>
      </c>
      <c r="U94" s="452">
        <v>10.856856123941125</v>
      </c>
      <c r="V94" s="452">
        <v>11.521296424527346</v>
      </c>
      <c r="W94" s="452">
        <v>12.227760997057581</v>
      </c>
      <c r="X94" s="452">
        <v>13.003462846157889</v>
      </c>
      <c r="Y94" s="452">
        <v>13.830381186765845</v>
      </c>
      <c r="Z94" s="452">
        <v>14.711824362966183</v>
      </c>
    </row>
    <row r="95" spans="1:26" s="449" customFormat="1" hidden="1">
      <c r="B95" s="449" t="s">
        <v>669</v>
      </c>
      <c r="C95" s="449" t="s">
        <v>568</v>
      </c>
      <c r="D95" s="452">
        <f>ResCalc!D$138*ResCalc!D70</f>
        <v>2.4079625304726284</v>
      </c>
      <c r="E95" s="452">
        <f>ResCalc!E$138*ResCalc!E70</f>
        <v>2.3810522999957295</v>
      </c>
      <c r="F95" s="452">
        <f>ResCalc!F$138*ResCalc!F70</f>
        <v>2.5063367836681416</v>
      </c>
      <c r="G95" s="452">
        <f>ResCalc!G$138*ResCalc!G70</f>
        <v>2.8011521741361305</v>
      </c>
      <c r="H95" s="452">
        <f>ResCalc!H$138*ResCalc!H70</f>
        <v>3.0095578698270633</v>
      </c>
      <c r="I95" s="452">
        <f>ResCalc!I$138*ResCalc!I70</f>
        <v>3.222952716515322</v>
      </c>
      <c r="J95" s="452">
        <f>ResCalc!J$138*ResCalc!J70</f>
        <v>3.4165640504529495</v>
      </c>
      <c r="K95" s="452">
        <f>ResCalc!K$138*ResCalc!K70</f>
        <v>3.6222390088740695</v>
      </c>
      <c r="L95" s="452">
        <f>ResCalc!L$138*ResCalc!L70</f>
        <v>3.9684579557281698</v>
      </c>
      <c r="M95" s="452">
        <f>ResCalc!M$138*ResCalc!M70</f>
        <v>4.2536314156875212</v>
      </c>
      <c r="N95" s="452">
        <f>ResCalc!N$138*ResCalc!N70</f>
        <v>4.5588342956391417</v>
      </c>
      <c r="P95" s="452">
        <v>2.4079625304726284</v>
      </c>
      <c r="Q95" s="452">
        <v>2.3810522999957295</v>
      </c>
      <c r="R95" s="452">
        <v>2.5063367836681416</v>
      </c>
      <c r="S95" s="452">
        <v>2.8011521741361305</v>
      </c>
      <c r="T95" s="452">
        <v>3.0095578698270633</v>
      </c>
      <c r="U95" s="452">
        <v>3.222952716515322</v>
      </c>
      <c r="V95" s="452">
        <v>3.4165640504529495</v>
      </c>
      <c r="W95" s="452">
        <v>3.6222390088740695</v>
      </c>
      <c r="X95" s="452">
        <v>3.9684579557281698</v>
      </c>
      <c r="Y95" s="452">
        <v>4.2536314156875212</v>
      </c>
      <c r="Z95" s="452">
        <v>4.5588342956391417</v>
      </c>
    </row>
    <row r="96" spans="1:26" s="449" customFormat="1" hidden="1">
      <c r="B96" s="449" t="s">
        <v>670</v>
      </c>
      <c r="C96" s="449" t="s">
        <v>571</v>
      </c>
      <c r="D96" s="452">
        <f>ResCalc!D$138*ResCalc!D71</f>
        <v>11.594467529476423</v>
      </c>
      <c r="E96" s="452">
        <f>ResCalc!E$138*ResCalc!E71</f>
        <v>11.429548859887337</v>
      </c>
      <c r="F96" s="452">
        <f>ResCalc!F$138*ResCalc!F71</f>
        <v>12.354017185501739</v>
      </c>
      <c r="G96" s="452">
        <f>ResCalc!G$138*ResCalc!G71</f>
        <v>13.399248505359802</v>
      </c>
      <c r="H96" s="452">
        <f>ResCalc!H$138*ResCalc!H71</f>
        <v>14.37347878346981</v>
      </c>
      <c r="I96" s="452">
        <f>ResCalc!I$138*ResCalc!I71</f>
        <v>15.368875966074587</v>
      </c>
      <c r="J96" s="452">
        <f>ResCalc!J$138*ResCalc!J71</f>
        <v>16.371054602634114</v>
      </c>
      <c r="K96" s="452">
        <f>ResCalc!K$138*ResCalc!K71</f>
        <v>17.439701387364856</v>
      </c>
      <c r="L96" s="452">
        <f>ResCalc!L$138*ResCalc!L71</f>
        <v>18.730834701536804</v>
      </c>
      <c r="M96" s="452">
        <f>ResCalc!M$138*ResCalc!M71</f>
        <v>19.985929040604404</v>
      </c>
      <c r="N96" s="452">
        <f>ResCalc!N$138*ResCalc!N71</f>
        <v>21.326170611227997</v>
      </c>
      <c r="P96" s="452">
        <v>11.594467529476423</v>
      </c>
      <c r="Q96" s="452">
        <v>11.429548859887337</v>
      </c>
      <c r="R96" s="452">
        <v>12.354017185501739</v>
      </c>
      <c r="S96" s="452">
        <v>13.399248505359802</v>
      </c>
      <c r="T96" s="452">
        <v>14.37347878346981</v>
      </c>
      <c r="U96" s="452">
        <v>15.368875966074587</v>
      </c>
      <c r="V96" s="452">
        <v>16.371054602634114</v>
      </c>
      <c r="W96" s="452">
        <v>17.439701387364856</v>
      </c>
      <c r="X96" s="452">
        <v>18.730834701536804</v>
      </c>
      <c r="Y96" s="452">
        <v>19.985929040604404</v>
      </c>
      <c r="Z96" s="452">
        <v>21.326170611227997</v>
      </c>
    </row>
    <row r="97" spans="1:26" s="449" customFormat="1" hidden="1">
      <c r="B97" s="449" t="s">
        <v>671</v>
      </c>
      <c r="C97" s="449" t="s">
        <v>569</v>
      </c>
      <c r="D97" s="452">
        <f>ResCalc!D$138*ResCalc!D72</f>
        <v>0</v>
      </c>
      <c r="E97" s="452">
        <f>ResCalc!E$138*ResCalc!E72</f>
        <v>0</v>
      </c>
      <c r="F97" s="452">
        <f>ResCalc!F$138*ResCalc!F72</f>
        <v>0</v>
      </c>
      <c r="G97" s="452">
        <f>ResCalc!G$138*ResCalc!G72</f>
        <v>0</v>
      </c>
      <c r="H97" s="452">
        <f>ResCalc!H$138*ResCalc!H72</f>
        <v>0</v>
      </c>
      <c r="I97" s="452">
        <f>ResCalc!I$138*ResCalc!I72</f>
        <v>0</v>
      </c>
      <c r="J97" s="452">
        <f>ResCalc!J$138*ResCalc!J72</f>
        <v>0</v>
      </c>
      <c r="K97" s="452">
        <f>ResCalc!K$138*ResCalc!K72</f>
        <v>0</v>
      </c>
      <c r="L97" s="452">
        <f>ResCalc!L$138*ResCalc!L72</f>
        <v>0</v>
      </c>
      <c r="M97" s="452">
        <f>ResCalc!M$138*ResCalc!M72</f>
        <v>0</v>
      </c>
      <c r="N97" s="452">
        <f>ResCalc!N$138*ResCalc!N72</f>
        <v>0</v>
      </c>
      <c r="P97" s="452">
        <v>0</v>
      </c>
      <c r="Q97" s="452">
        <v>0</v>
      </c>
      <c r="R97" s="452">
        <v>0</v>
      </c>
      <c r="S97" s="452">
        <v>0</v>
      </c>
      <c r="T97" s="452">
        <v>0</v>
      </c>
      <c r="U97" s="452">
        <v>0</v>
      </c>
      <c r="V97" s="452">
        <v>0</v>
      </c>
      <c r="W97" s="452">
        <v>0</v>
      </c>
      <c r="X97" s="452">
        <v>0</v>
      </c>
      <c r="Y97" s="452">
        <v>0</v>
      </c>
      <c r="Z97" s="452">
        <v>0</v>
      </c>
    </row>
    <row r="98" spans="1:26" s="449" customFormat="1" hidden="1">
      <c r="B98" s="449" t="s">
        <v>672</v>
      </c>
      <c r="C98" s="449" t="s">
        <v>572</v>
      </c>
      <c r="D98" s="452">
        <f>ResCalc!D$138*ResCalc!D73</f>
        <v>0</v>
      </c>
      <c r="E98" s="452">
        <f>ResCalc!E$138*ResCalc!E73</f>
        <v>0</v>
      </c>
      <c r="F98" s="452">
        <f>ResCalc!F$138*ResCalc!F73</f>
        <v>0</v>
      </c>
      <c r="G98" s="452">
        <f>ResCalc!G$138*ResCalc!G73</f>
        <v>0</v>
      </c>
      <c r="H98" s="452">
        <f>ResCalc!H$138*ResCalc!H73</f>
        <v>0</v>
      </c>
      <c r="I98" s="452">
        <f>ResCalc!I$138*ResCalc!I73</f>
        <v>0</v>
      </c>
      <c r="J98" s="452">
        <f>ResCalc!J$138*ResCalc!J73</f>
        <v>0</v>
      </c>
      <c r="K98" s="452">
        <f>ResCalc!K$138*ResCalc!K73</f>
        <v>0</v>
      </c>
      <c r="L98" s="452">
        <f>ResCalc!L$138*ResCalc!L73</f>
        <v>0</v>
      </c>
      <c r="M98" s="452">
        <f>ResCalc!M$138*ResCalc!M73</f>
        <v>0</v>
      </c>
      <c r="N98" s="452">
        <f>ResCalc!N$138*ResCalc!N73</f>
        <v>0</v>
      </c>
      <c r="P98" s="452">
        <v>0</v>
      </c>
      <c r="Q98" s="452">
        <v>0</v>
      </c>
      <c r="R98" s="452">
        <v>0</v>
      </c>
      <c r="S98" s="452">
        <v>0</v>
      </c>
      <c r="T98" s="452">
        <v>0</v>
      </c>
      <c r="U98" s="452">
        <v>0</v>
      </c>
      <c r="V98" s="452">
        <v>0</v>
      </c>
      <c r="W98" s="452">
        <v>0</v>
      </c>
      <c r="X98" s="452">
        <v>0</v>
      </c>
      <c r="Y98" s="452">
        <v>0</v>
      </c>
      <c r="Z98" s="452">
        <v>0</v>
      </c>
    </row>
    <row r="99" spans="1:26" s="449" customFormat="1" hidden="1">
      <c r="B99" s="449" t="s">
        <v>673</v>
      </c>
      <c r="C99" s="449" t="s">
        <v>534</v>
      </c>
      <c r="D99" s="452">
        <f>ResCalc!D$138*ResCalc!D74</f>
        <v>0</v>
      </c>
      <c r="E99" s="452">
        <f>ResCalc!E$138*ResCalc!E74</f>
        <v>0</v>
      </c>
      <c r="F99" s="452">
        <f>ResCalc!F$138*ResCalc!F74</f>
        <v>0</v>
      </c>
      <c r="G99" s="452">
        <f>ResCalc!G$138*ResCalc!G74</f>
        <v>0</v>
      </c>
      <c r="H99" s="452">
        <f>ResCalc!H$138*ResCalc!H74</f>
        <v>0</v>
      </c>
      <c r="I99" s="452">
        <f>ResCalc!I$138*ResCalc!I74</f>
        <v>0</v>
      </c>
      <c r="J99" s="452">
        <f>ResCalc!J$138*ResCalc!J74</f>
        <v>0</v>
      </c>
      <c r="K99" s="452">
        <f>ResCalc!K$138*ResCalc!K74</f>
        <v>0</v>
      </c>
      <c r="L99" s="452">
        <f>ResCalc!L$138*ResCalc!L74</f>
        <v>0</v>
      </c>
      <c r="M99" s="452">
        <f>ResCalc!M$138*ResCalc!M74</f>
        <v>0</v>
      </c>
      <c r="N99" s="452">
        <f>ResCalc!N$138*ResCalc!N74</f>
        <v>0</v>
      </c>
      <c r="P99" s="452">
        <v>0</v>
      </c>
      <c r="Q99" s="452">
        <v>0</v>
      </c>
      <c r="R99" s="452">
        <v>0</v>
      </c>
      <c r="S99" s="452">
        <v>0</v>
      </c>
      <c r="T99" s="452">
        <v>0</v>
      </c>
      <c r="U99" s="452">
        <v>0</v>
      </c>
      <c r="V99" s="452">
        <v>0</v>
      </c>
      <c r="W99" s="452">
        <v>0</v>
      </c>
      <c r="X99" s="452">
        <v>0</v>
      </c>
      <c r="Y99" s="452">
        <v>0</v>
      </c>
      <c r="Z99" s="452">
        <v>0</v>
      </c>
    </row>
    <row r="100" spans="1:26" s="449" customFormat="1" hidden="1">
      <c r="C100" s="453" t="s">
        <v>674</v>
      </c>
      <c r="D100" s="452">
        <f t="shared" ref="D100:N100" si="9">SUM(D91:D99)</f>
        <v>42.2</v>
      </c>
      <c r="E100" s="452">
        <f t="shared" si="9"/>
        <v>41.870840000000001</v>
      </c>
      <c r="F100" s="452">
        <f t="shared" si="9"/>
        <v>45.158219999999993</v>
      </c>
      <c r="G100" s="452">
        <f t="shared" si="9"/>
        <v>49.168275000000001</v>
      </c>
      <c r="H100" s="452">
        <f t="shared" si="9"/>
        <v>53.083380000000005</v>
      </c>
      <c r="I100" s="452">
        <f t="shared" si="9"/>
        <v>57.116645000000005</v>
      </c>
      <c r="J100" s="452">
        <f t="shared" si="9"/>
        <v>61.042300000000012</v>
      </c>
      <c r="K100" s="452">
        <f t="shared" si="9"/>
        <v>65.237767191857984</v>
      </c>
      <c r="L100" s="452">
        <f t="shared" si="9"/>
        <v>69.721590899737791</v>
      </c>
      <c r="M100" s="452">
        <f t="shared" si="9"/>
        <v>74.513590008290294</v>
      </c>
      <c r="N100" s="452">
        <f t="shared" si="9"/>
        <v>79.63494556382048</v>
      </c>
      <c r="P100" s="452">
        <v>42.2</v>
      </c>
      <c r="Q100" s="452">
        <v>41.870840000000001</v>
      </c>
      <c r="R100" s="452">
        <v>45.158219999999993</v>
      </c>
      <c r="S100" s="452">
        <v>49.168275000000001</v>
      </c>
      <c r="T100" s="452">
        <v>53.083380000000005</v>
      </c>
      <c r="U100" s="452">
        <v>57.116645000000005</v>
      </c>
      <c r="V100" s="452">
        <v>61.042300000000012</v>
      </c>
      <c r="W100" s="452">
        <v>65.237767191857984</v>
      </c>
      <c r="X100" s="452">
        <v>69.721590899737791</v>
      </c>
      <c r="Y100" s="452">
        <v>74.513590008290294</v>
      </c>
      <c r="Z100" s="452">
        <v>79.63494556382048</v>
      </c>
    </row>
    <row r="102" spans="1:26">
      <c r="A102" s="267" t="s">
        <v>690</v>
      </c>
      <c r="B102" s="267"/>
      <c r="C102" s="268"/>
      <c r="D102" s="268"/>
      <c r="E102" s="268"/>
      <c r="F102" s="268"/>
      <c r="G102" s="268"/>
      <c r="H102" s="268"/>
      <c r="I102" s="269" t="s">
        <v>691</v>
      </c>
      <c r="J102" s="268"/>
      <c r="K102" s="268"/>
      <c r="L102" s="268"/>
      <c r="M102" s="268"/>
      <c r="N102" s="268"/>
      <c r="P102" s="268"/>
      <c r="Q102" s="268"/>
      <c r="R102" s="268"/>
      <c r="S102" s="268"/>
      <c r="T102" s="268"/>
      <c r="U102" s="269" t="s">
        <v>691</v>
      </c>
      <c r="V102" s="268"/>
      <c r="W102" s="268"/>
      <c r="X102" s="268"/>
      <c r="Y102" s="268"/>
      <c r="Z102" s="268"/>
    </row>
    <row r="103" spans="1:26">
      <c r="D103" s="452">
        <f>ResCalc!D$139*ResCalc!D66</f>
        <v>0</v>
      </c>
      <c r="E103" s="452">
        <f>ResCalc!E$139*ResCalc!E66</f>
        <v>0</v>
      </c>
      <c r="F103" s="452">
        <f>ResCalc!F$139*ResCalc!F66</f>
        <v>0</v>
      </c>
      <c r="G103" s="452">
        <f>ResCalc!G$139*ResCalc!G66</f>
        <v>0</v>
      </c>
      <c r="H103" s="452">
        <f>ResCalc!H$139*ResCalc!H66</f>
        <v>0</v>
      </c>
      <c r="I103" s="452">
        <f>ResCalc!I$139*ResCalc!I66</f>
        <v>0</v>
      </c>
      <c r="J103" s="452">
        <f>ResCalc!J$139*ResCalc!J66</f>
        <v>0</v>
      </c>
      <c r="K103" s="452">
        <f>ResCalc!K$139*ResCalc!K66</f>
        <v>0</v>
      </c>
      <c r="L103" s="452">
        <f>ResCalc!L$139*ResCalc!L66</f>
        <v>0</v>
      </c>
      <c r="M103" s="452">
        <f>ResCalc!M$139*ResCalc!M66</f>
        <v>0</v>
      </c>
      <c r="N103" s="452">
        <f>ResCalc!N$139*ResCalc!N66</f>
        <v>0</v>
      </c>
      <c r="O103" s="449"/>
      <c r="P103" s="452">
        <v>0</v>
      </c>
      <c r="Q103" s="452">
        <v>0</v>
      </c>
      <c r="R103" s="452">
        <v>0</v>
      </c>
      <c r="S103" s="452">
        <v>0</v>
      </c>
      <c r="T103" s="452">
        <v>0</v>
      </c>
      <c r="U103" s="452">
        <v>0</v>
      </c>
      <c r="V103" s="452">
        <v>0</v>
      </c>
      <c r="W103" s="452">
        <v>0</v>
      </c>
      <c r="X103" s="452">
        <v>0</v>
      </c>
      <c r="Y103" s="452">
        <v>0</v>
      </c>
      <c r="Z103" s="452">
        <v>0</v>
      </c>
    </row>
    <row r="104" spans="1:26" ht="12.75">
      <c r="C104" s="182" t="s">
        <v>2345</v>
      </c>
      <c r="D104" s="580">
        <f>ResCalc!D$139*ResCalc!D67</f>
        <v>11.304050180531755</v>
      </c>
      <c r="E104" s="580">
        <f>'2010 Fuel Share'!$Q$67*ResCalc!E$139*ResCalc!E67</f>
        <v>12.609343816791917</v>
      </c>
      <c r="F104" s="580">
        <f>'2010 Fuel Share'!$Q$67*ResCalc!F$139*ResCalc!F67</f>
        <v>12.554577424583586</v>
      </c>
      <c r="G104" s="580">
        <f>'2010 Fuel Share'!$Q$67*ResCalc!G$139*ResCalc!G67</f>
        <v>13.045106149163354</v>
      </c>
      <c r="H104" s="580">
        <f>'2010 Fuel Share'!$Q$67*ResCalc!H$139*ResCalc!H67</f>
        <v>13.544408357757177</v>
      </c>
      <c r="I104" s="580">
        <f>'2010 Fuel Share'!$Q$67*ResCalc!I$139*ResCalc!I67</f>
        <v>13.809233544931677</v>
      </c>
      <c r="J104" s="580">
        <f>'2010 Fuel Share'!$Q$67*ResCalc!J$139*ResCalc!J67</f>
        <v>13.699125192962295</v>
      </c>
      <c r="K104" s="580">
        <f>'2010 Fuel Share'!$Q$67*ResCalc!K$139*ResCalc!K67</f>
        <v>13.532850173261743</v>
      </c>
      <c r="L104" s="580">
        <f>'2010 Fuel Share'!$Q$67*ResCalc!L$139*ResCalc!L67</f>
        <v>13.17834946438543</v>
      </c>
      <c r="M104" s="580">
        <f>'2010 Fuel Share'!$Q$67*ResCalc!M$139*ResCalc!M67</f>
        <v>12.920070331922398</v>
      </c>
      <c r="N104" s="580">
        <f>'2010 Fuel Share'!$Q$67*ResCalc!N$139*ResCalc!N67</f>
        <v>12.666400711945592</v>
      </c>
      <c r="P104" s="580">
        <v>11.803917118263843</v>
      </c>
      <c r="Q104" s="580">
        <v>13.214639529454681</v>
      </c>
      <c r="R104" s="580">
        <v>13.387632404690551</v>
      </c>
      <c r="S104" s="580">
        <v>13.910710006311495</v>
      </c>
      <c r="T104" s="580">
        <v>14.44314325367951</v>
      </c>
      <c r="U104" s="580">
        <v>14.725540831669928</v>
      </c>
      <c r="V104" s="580">
        <v>14.608126275130106</v>
      </c>
      <c r="W104" s="580">
        <v>14.430818129538935</v>
      </c>
      <c r="X104" s="580">
        <v>14.052794639210614</v>
      </c>
      <c r="Y104" s="580">
        <v>13.777377477303855</v>
      </c>
      <c r="Z104" s="580">
        <v>13.506875690613917</v>
      </c>
    </row>
    <row r="105" spans="1:26" ht="12.75">
      <c r="C105" s="182" t="s">
        <v>2346</v>
      </c>
      <c r="D105" s="580">
        <f>ResCalc!D$139*ResCalc!D68</f>
        <v>6.1350757532708506</v>
      </c>
      <c r="E105" s="580">
        <f>'2010 Fuel Share'!$R$67*ResCalc!E$139*ResCalc!E68</f>
        <v>7.6119136017768341</v>
      </c>
      <c r="F105" s="580">
        <f>'2010 Fuel Share'!$R$67*ResCalc!F$139*ResCalc!F68</f>
        <v>7.7105350531240999</v>
      </c>
      <c r="G105" s="580">
        <f>'2010 Fuel Share'!$R$67*ResCalc!G$139*ResCalc!G68</f>
        <v>7.9289158652001692</v>
      </c>
      <c r="H105" s="580">
        <f>'2010 Fuel Share'!$R$67*ResCalc!H$139*ResCalc!H68</f>
        <v>8.2729730563491692</v>
      </c>
      <c r="I105" s="580">
        <f>'2010 Fuel Share'!$R$67*ResCalc!I$139*ResCalc!I68</f>
        <v>8.4745143987106459</v>
      </c>
      <c r="J105" s="580">
        <f>'2010 Fuel Share'!$R$67*ResCalc!J$139*ResCalc!J68</f>
        <v>8.4410756926488713</v>
      </c>
      <c r="K105" s="580">
        <f>'2010 Fuel Share'!$R$67*ResCalc!K$139*ResCalc!K68</f>
        <v>8.3713127766129496</v>
      </c>
      <c r="L105" s="580">
        <f>'2010 Fuel Share'!$R$67*ResCalc!L$139*ResCalc!L68</f>
        <v>8.1976999763312239</v>
      </c>
      <c r="M105" s="580">
        <f>'2010 Fuel Share'!$R$67*ResCalc!M$139*ResCalc!M68</f>
        <v>8.0661641625695726</v>
      </c>
      <c r="N105" s="580">
        <f>'2010 Fuel Share'!$R$67*ResCalc!N$139*ResCalc!N68</f>
        <v>7.9353802685411265</v>
      </c>
      <c r="P105" s="580">
        <v>6.4063698010293706</v>
      </c>
      <c r="Q105" s="580">
        <v>7.9304092671870166</v>
      </c>
      <c r="R105" s="580">
        <v>8.1738207942956667</v>
      </c>
      <c r="S105" s="580">
        <v>8.4053229676888499</v>
      </c>
      <c r="T105" s="580">
        <v>8.7700527567456028</v>
      </c>
      <c r="U105" s="580">
        <v>8.9837036647246862</v>
      </c>
      <c r="V105" s="580">
        <v>8.9482558016310172</v>
      </c>
      <c r="W105" s="580">
        <v>8.8743011966864387</v>
      </c>
      <c r="X105" s="580">
        <v>8.6902569108720993</v>
      </c>
      <c r="Y105" s="580">
        <v>8.5508177977221003</v>
      </c>
      <c r="Z105" s="580">
        <v>8.4121757832310919</v>
      </c>
    </row>
    <row r="106" spans="1:26" ht="12.75">
      <c r="C106" s="182" t="s">
        <v>2347</v>
      </c>
      <c r="D106" s="580">
        <f>ResCalc!D$139*ResCalc!D69</f>
        <v>7.1860747153299434</v>
      </c>
      <c r="E106" s="580">
        <f>'2010 Fuel Share'!$S$67*ResCalc!E$139*ResCalc!E69</f>
        <v>13.049702051152163</v>
      </c>
      <c r="F106" s="580">
        <f>'2010 Fuel Share'!$S$67*ResCalc!F$139*ResCalc!F69</f>
        <v>13.045166468189429</v>
      </c>
      <c r="G106" s="580">
        <f>'2010 Fuel Share'!$S$67*ResCalc!G$139*ResCalc!G69</f>
        <v>13.443714607233334</v>
      </c>
      <c r="H106" s="580">
        <f>'2010 Fuel Share'!$S$67*ResCalc!H$139*ResCalc!H69</f>
        <v>13.846099276562835</v>
      </c>
      <c r="I106" s="580">
        <f>'2010 Fuel Share'!$S$67*ResCalc!I$139*ResCalc!I69</f>
        <v>14.006839196019145</v>
      </c>
      <c r="J106" s="580">
        <f>'2010 Fuel Share'!$S$67*ResCalc!J$139*ResCalc!J69</f>
        <v>13.74104720973642</v>
      </c>
      <c r="K106" s="580">
        <f>'2010 Fuel Share'!$S$67*ResCalc!K$139*ResCalc!K69</f>
        <v>13.426662655647579</v>
      </c>
      <c r="L106" s="580">
        <f>'2010 Fuel Share'!$S$67*ResCalc!L$139*ResCalc!L69</f>
        <v>13.084155133977852</v>
      </c>
      <c r="M106" s="580">
        <f>'2010 Fuel Share'!$S$67*ResCalc!M$139*ResCalc!M69</f>
        <v>12.752235998501014</v>
      </c>
      <c r="N106" s="580">
        <f>'2010 Fuel Share'!$S$67*ResCalc!N$139*ResCalc!N69</f>
        <v>12.430375563902709</v>
      </c>
      <c r="P106" s="580">
        <v>7.5038441081491989</v>
      </c>
      <c r="Q106" s="580">
        <v>13.519191123846007</v>
      </c>
      <c r="R106" s="580">
        <v>13.751136173298237</v>
      </c>
      <c r="S106" s="580">
        <v>14.171252677366734</v>
      </c>
      <c r="T106" s="580">
        <v>14.595413334533534</v>
      </c>
      <c r="U106" s="580">
        <v>14.764852070813264</v>
      </c>
      <c r="V106" s="580">
        <v>14.48467612932124</v>
      </c>
      <c r="W106" s="580">
        <v>14.153277919524589</v>
      </c>
      <c r="X106" s="580">
        <v>13.792234801957306</v>
      </c>
      <c r="Y106" s="580">
        <v>13.442353085875308</v>
      </c>
      <c r="Z106" s="580">
        <v>13.103074420804161</v>
      </c>
    </row>
    <row r="107" spans="1:26" ht="12.75">
      <c r="C107" s="182" t="s">
        <v>2348</v>
      </c>
      <c r="D107" s="580">
        <f>ResCalc!D$139*ResCalc!D70</f>
        <v>2.1028961217065172</v>
      </c>
      <c r="E107" s="580">
        <f>'2010 Fuel Share'!$U$67*ResCalc!E$139*ResCalc!E70</f>
        <v>2.125436784096856</v>
      </c>
      <c r="F107" s="580">
        <f>'2010 Fuel Share'!$U$67*ResCalc!F$139*ResCalc!F70</f>
        <v>2.0744049699669356</v>
      </c>
      <c r="G107" s="580">
        <f>'2010 Fuel Share'!$U$67*ResCalc!G$139*ResCalc!G70</f>
        <v>2.2028823605905137</v>
      </c>
      <c r="H107" s="580">
        <f>'2010 Fuel Share'!$U$67*ResCalc!H$139*ResCalc!H70</f>
        <v>2.266892522094246</v>
      </c>
      <c r="I107" s="580">
        <f>'2010 Fuel Share'!$U$67*ResCalc!I$139*ResCalc!I70</f>
        <v>2.2913068080084056</v>
      </c>
      <c r="J107" s="580">
        <f>'2010 Fuel Share'!$U$67*ResCalc!J$139*ResCalc!J70</f>
        <v>2.2454391955995625</v>
      </c>
      <c r="K107" s="580">
        <f>'2010 Fuel Share'!$U$67*ResCalc!K$139*ResCalc!K70</f>
        <v>2.1917523982118836</v>
      </c>
      <c r="L107" s="580">
        <f>'2010 Fuel Share'!$U$67*ResCalc!L$139*ResCalc!L70</f>
        <v>2.2004003140629047</v>
      </c>
      <c r="M107" s="580">
        <f>'2010 Fuel Share'!$U$67*ResCalc!M$139*ResCalc!M70</f>
        <v>2.1612514481238723</v>
      </c>
      <c r="N107" s="580">
        <f>'2010 Fuel Share'!$U$67*ResCalc!N$139*ResCalc!N70</f>
        <v>2.1225834655001963</v>
      </c>
      <c r="P107" s="580">
        <v>2.1958865302714479</v>
      </c>
      <c r="Q107" s="580">
        <v>2.2680152949744721</v>
      </c>
      <c r="R107" s="580">
        <v>2.252320430918636</v>
      </c>
      <c r="S107" s="580">
        <v>2.3918169400391336</v>
      </c>
      <c r="T107" s="580">
        <v>2.4613170601355274</v>
      </c>
      <c r="U107" s="580">
        <v>2.4878252857553433</v>
      </c>
      <c r="V107" s="580">
        <v>2.4380237464987435</v>
      </c>
      <c r="W107" s="580">
        <v>2.3797323943387139</v>
      </c>
      <c r="X107" s="580">
        <v>2.3891220158630162</v>
      </c>
      <c r="Y107" s="580">
        <v>2.3466154697071882</v>
      </c>
      <c r="Z107" s="580">
        <v>2.304631050779046</v>
      </c>
    </row>
    <row r="108" spans="1:26" ht="12.75">
      <c r="C108" s="182" t="s">
        <v>2349</v>
      </c>
      <c r="D108" s="580">
        <f>ResCalc!D$139*ResCalc!D71</f>
        <v>10.125556561796868</v>
      </c>
      <c r="E108" s="580">
        <f>'2010 Fuel Share'!$T$67*ResCalc!E$139*ResCalc!E71</f>
        <v>6.3018289476492484</v>
      </c>
      <c r="F108" s="580">
        <f>'2010 Fuel Share'!$T$67*ResCalc!F$139*ResCalc!F71</f>
        <v>6.315686759535148</v>
      </c>
      <c r="G108" s="580">
        <f>'2010 Fuel Share'!$T$67*ResCalc!G$139*ResCalc!G71</f>
        <v>6.5086858303754624</v>
      </c>
      <c r="H108" s="580">
        <f>'2010 Fuel Share'!$T$67*ResCalc!H$139*ResCalc!H71</f>
        <v>6.687262759845038</v>
      </c>
      <c r="I108" s="580">
        <f>'2010 Fuel Share'!$T$67*ResCalc!I$139*ResCalc!I71</f>
        <v>6.7488485406376002</v>
      </c>
      <c r="J108" s="580">
        <f>'2010 Fuel Share'!$T$67*ResCalc!J$139*ResCalc!J71</f>
        <v>6.6457906142834062</v>
      </c>
      <c r="K108" s="580">
        <f>'2010 Fuel Share'!$T$67*ResCalc!K$139*ResCalc!K71</f>
        <v>6.5179600791193169</v>
      </c>
      <c r="L108" s="580">
        <f>'2010 Fuel Share'!$T$67*ResCalc!L$139*ResCalc!L71</f>
        <v>6.4149800585410013</v>
      </c>
      <c r="M108" s="580">
        <f>'2010 Fuel Share'!$T$67*ResCalc!M$139*ResCalc!M71</f>
        <v>6.2723177065431637</v>
      </c>
      <c r="N108" s="580">
        <f>'2010 Fuel Share'!$T$67*ResCalc!N$139*ResCalc!N71</f>
        <v>6.1331292055705706</v>
      </c>
      <c r="P108" s="580">
        <v>10.573310320011375</v>
      </c>
      <c r="Q108" s="580">
        <v>6.6098722871656994</v>
      </c>
      <c r="R108" s="580">
        <v>6.7404033401855337</v>
      </c>
      <c r="S108" s="580">
        <v>6.9463811904613948</v>
      </c>
      <c r="T108" s="580">
        <v>7.1369670408536008</v>
      </c>
      <c r="U108" s="580">
        <v>7.2026943351870951</v>
      </c>
      <c r="V108" s="580">
        <v>7.0927059811919175</v>
      </c>
      <c r="W108" s="580">
        <v>6.9562791128237427</v>
      </c>
      <c r="X108" s="580">
        <v>6.8463739036031486</v>
      </c>
      <c r="Y108" s="580">
        <v>6.694117810079641</v>
      </c>
      <c r="Z108" s="580">
        <v>6.5455691767176969</v>
      </c>
    </row>
    <row r="109" spans="1:26">
      <c r="D109" s="452">
        <f>ResCalc!D$139*ResCalc!D72</f>
        <v>0</v>
      </c>
      <c r="E109" s="452">
        <f>ResCalc!E$139*ResCalc!E72</f>
        <v>0</v>
      </c>
      <c r="F109" s="452">
        <f>ResCalc!F$139*ResCalc!F72</f>
        <v>0</v>
      </c>
      <c r="G109" s="452">
        <f>ResCalc!G$139*ResCalc!G72</f>
        <v>0</v>
      </c>
      <c r="H109" s="452">
        <f>ResCalc!H$139*ResCalc!H72</f>
        <v>0</v>
      </c>
      <c r="I109" s="452">
        <f>ResCalc!I$139*ResCalc!I72</f>
        <v>0</v>
      </c>
      <c r="J109" s="452">
        <f>ResCalc!J$139*ResCalc!J72</f>
        <v>0</v>
      </c>
      <c r="K109" s="452">
        <f>ResCalc!K$139*ResCalc!K72</f>
        <v>0</v>
      </c>
      <c r="L109" s="452">
        <f>ResCalc!L$139*ResCalc!L72</f>
        <v>0</v>
      </c>
      <c r="M109" s="452">
        <f>ResCalc!M$139*ResCalc!M72</f>
        <v>0</v>
      </c>
      <c r="N109" s="452">
        <f>ResCalc!N$139*ResCalc!N72</f>
        <v>0</v>
      </c>
      <c r="O109" s="449"/>
      <c r="P109" s="452">
        <v>0</v>
      </c>
      <c r="Q109" s="452">
        <v>0</v>
      </c>
      <c r="R109" s="452">
        <v>0</v>
      </c>
      <c r="S109" s="452">
        <v>0</v>
      </c>
      <c r="T109" s="452">
        <v>0</v>
      </c>
      <c r="U109" s="452">
        <v>0</v>
      </c>
      <c r="V109" s="452">
        <v>0</v>
      </c>
      <c r="W109" s="452">
        <v>0</v>
      </c>
      <c r="X109" s="452">
        <v>0</v>
      </c>
      <c r="Y109" s="452">
        <v>0</v>
      </c>
      <c r="Z109" s="452">
        <v>0</v>
      </c>
    </row>
    <row r="110" spans="1:26">
      <c r="D110" s="452">
        <f>ResCalc!D$139*ResCalc!D73</f>
        <v>0</v>
      </c>
      <c r="E110" s="452">
        <f>ResCalc!E$139*ResCalc!E73</f>
        <v>0</v>
      </c>
      <c r="F110" s="452">
        <f>ResCalc!F$139*ResCalc!F73</f>
        <v>0</v>
      </c>
      <c r="G110" s="452">
        <f>ResCalc!G$139*ResCalc!G73</f>
        <v>0</v>
      </c>
      <c r="H110" s="452">
        <f>ResCalc!H$139*ResCalc!H73</f>
        <v>0</v>
      </c>
      <c r="I110" s="452">
        <f>ResCalc!I$139*ResCalc!I73</f>
        <v>0</v>
      </c>
      <c r="J110" s="452">
        <f>ResCalc!J$139*ResCalc!J73</f>
        <v>0</v>
      </c>
      <c r="K110" s="452">
        <f>ResCalc!K$139*ResCalc!K73</f>
        <v>0</v>
      </c>
      <c r="L110" s="452">
        <f>ResCalc!L$139*ResCalc!L73</f>
        <v>0</v>
      </c>
      <c r="M110" s="452">
        <f>ResCalc!M$139*ResCalc!M73</f>
        <v>0</v>
      </c>
      <c r="N110" s="452">
        <f>ResCalc!N$139*ResCalc!N73</f>
        <v>0</v>
      </c>
      <c r="O110" s="449"/>
      <c r="P110" s="452">
        <v>0</v>
      </c>
      <c r="Q110" s="452">
        <v>0</v>
      </c>
      <c r="R110" s="452">
        <v>0</v>
      </c>
      <c r="S110" s="452">
        <v>0</v>
      </c>
      <c r="T110" s="452">
        <v>0</v>
      </c>
      <c r="U110" s="452">
        <v>0</v>
      </c>
      <c r="V110" s="452">
        <v>0</v>
      </c>
      <c r="W110" s="452">
        <v>0</v>
      </c>
      <c r="X110" s="452">
        <v>0</v>
      </c>
      <c r="Y110" s="452">
        <v>0</v>
      </c>
      <c r="Z110" s="452">
        <v>0</v>
      </c>
    </row>
    <row r="111" spans="1:26">
      <c r="D111" s="452">
        <f>ResCalc!D$139*ResCalc!D74</f>
        <v>0</v>
      </c>
      <c r="E111" s="452">
        <f>ResCalc!E$139*ResCalc!E74</f>
        <v>0</v>
      </c>
      <c r="F111" s="452">
        <f>ResCalc!F$139*ResCalc!F74</f>
        <v>0</v>
      </c>
      <c r="G111" s="452">
        <f>ResCalc!G$139*ResCalc!G74</f>
        <v>0</v>
      </c>
      <c r="H111" s="452">
        <f>ResCalc!H$139*ResCalc!H74</f>
        <v>0</v>
      </c>
      <c r="I111" s="452">
        <f>ResCalc!I$139*ResCalc!I74</f>
        <v>0</v>
      </c>
      <c r="J111" s="452">
        <f>ResCalc!J$139*ResCalc!J74</f>
        <v>0</v>
      </c>
      <c r="K111" s="452">
        <f>ResCalc!K$139*ResCalc!K74</f>
        <v>0</v>
      </c>
      <c r="L111" s="452">
        <f>ResCalc!L$139*ResCalc!L74</f>
        <v>0</v>
      </c>
      <c r="M111" s="452">
        <f>ResCalc!M$139*ResCalc!M74</f>
        <v>0</v>
      </c>
      <c r="N111" s="452">
        <f>ResCalc!N$139*ResCalc!N74</f>
        <v>0</v>
      </c>
      <c r="O111" s="449"/>
      <c r="P111" s="452">
        <v>0</v>
      </c>
      <c r="Q111" s="452">
        <v>0</v>
      </c>
      <c r="R111" s="452">
        <v>0</v>
      </c>
      <c r="S111" s="452">
        <v>0</v>
      </c>
      <c r="T111" s="452">
        <v>0</v>
      </c>
      <c r="U111" s="452">
        <v>0</v>
      </c>
      <c r="V111" s="452">
        <v>0</v>
      </c>
      <c r="W111" s="452">
        <v>0</v>
      </c>
      <c r="X111" s="452">
        <v>0</v>
      </c>
      <c r="Y111" s="452">
        <v>0</v>
      </c>
      <c r="Z111" s="452">
        <v>0</v>
      </c>
    </row>
    <row r="112" spans="1:26">
      <c r="C112" s="166" t="s">
        <v>2351</v>
      </c>
      <c r="D112" s="162">
        <f>SUM(D104:D108)</f>
        <v>36.853653332635936</v>
      </c>
      <c r="E112" s="162">
        <f t="shared" ref="E112:N112" si="10">SUM(E104:E108)</f>
        <v>41.698225201467018</v>
      </c>
      <c r="F112" s="162">
        <f t="shared" si="10"/>
        <v>41.700370675399192</v>
      </c>
      <c r="G112" s="162">
        <f t="shared" si="10"/>
        <v>43.129304812562836</v>
      </c>
      <c r="H112" s="162">
        <f t="shared" si="10"/>
        <v>44.617635972608468</v>
      </c>
      <c r="I112" s="162">
        <f t="shared" si="10"/>
        <v>45.330742488307479</v>
      </c>
      <c r="J112" s="162">
        <f t="shared" si="10"/>
        <v>44.772477905230552</v>
      </c>
      <c r="K112" s="162">
        <f t="shared" si="10"/>
        <v>44.040538082853473</v>
      </c>
      <c r="L112" s="162">
        <f t="shared" si="10"/>
        <v>43.07558494729841</v>
      </c>
      <c r="M112" s="162">
        <f t="shared" si="10"/>
        <v>42.172039647660021</v>
      </c>
      <c r="N112" s="162">
        <f t="shared" si="10"/>
        <v>41.287869215460198</v>
      </c>
      <c r="P112" s="162">
        <v>38.483327877725237</v>
      </c>
      <c r="Q112" s="162">
        <v>43.542127502627878</v>
      </c>
      <c r="R112" s="162">
        <v>44.305313143388631</v>
      </c>
      <c r="S112" s="162">
        <v>45.825483781867604</v>
      </c>
      <c r="T112" s="162">
        <v>47.406893445947773</v>
      </c>
      <c r="U112" s="162">
        <v>48.164616188150319</v>
      </c>
      <c r="V112" s="162">
        <v>47.571787933773031</v>
      </c>
      <c r="W112" s="162">
        <v>46.794408752912425</v>
      </c>
      <c r="X112" s="162">
        <v>45.770782271506185</v>
      </c>
      <c r="Y112" s="162">
        <v>44.811281640688087</v>
      </c>
      <c r="Z112" s="162">
        <v>43.872326122145914</v>
      </c>
    </row>
  </sheetData>
  <phoneticPr fontId="14" type="noConversion"/>
  <pageMargins left="0.25" right="0.25" top="0.5" bottom="0.5" header="0.5" footer="0.5"/>
  <pageSetup scale="47" fitToHeight="0" orientation="landscape" r:id="rId1"/>
  <headerFooter alignWithMargins="0"/>
  <rowBreaks count="2" manualBreakCount="2">
    <brk id="37" max="16383" man="1"/>
    <brk id="73" max="16383" man="1"/>
  </rowBreaks>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171"/>
  <sheetViews>
    <sheetView zoomScale="90" zoomScaleNormal="90" workbookViewId="0">
      <selection activeCell="C33" sqref="C33"/>
    </sheetView>
  </sheetViews>
  <sheetFormatPr defaultColWidth="9.28515625" defaultRowHeight="12.75"/>
  <cols>
    <col min="1" max="1" width="9.7109375" style="17" customWidth="1"/>
    <col min="2" max="2" width="38.5703125" style="17" customWidth="1"/>
    <col min="3" max="3" width="10" style="17" customWidth="1"/>
    <col min="4" max="4" width="10.42578125" style="17" customWidth="1"/>
    <col min="5" max="13" width="10.28515625" style="17" bestFit="1" customWidth="1"/>
    <col min="14" max="14" width="10" style="17" customWidth="1"/>
    <col min="15" max="15" width="10.42578125" style="17" bestFit="1" customWidth="1"/>
    <col min="16" max="16" width="11" style="17" customWidth="1"/>
    <col min="17" max="17" width="4" style="17" customWidth="1"/>
    <col min="18" max="18" width="3.5703125" style="17" customWidth="1"/>
    <col min="19" max="19" width="21.7109375" style="17" customWidth="1"/>
    <col min="20" max="20" width="11.7109375" style="17" bestFit="1" customWidth="1"/>
    <col min="21" max="29" width="11.42578125" style="17" bestFit="1" customWidth="1"/>
    <col min="30" max="16384" width="9.28515625" style="17"/>
  </cols>
  <sheetData>
    <row r="1" spans="1:22">
      <c r="A1" s="16" t="s">
        <v>692</v>
      </c>
    </row>
    <row r="2" spans="1:22">
      <c r="A2" s="16" t="s">
        <v>693</v>
      </c>
    </row>
    <row r="4" spans="1:22">
      <c r="E4" s="17" t="s">
        <v>694</v>
      </c>
      <c r="H4" s="17" t="s">
        <v>695</v>
      </c>
      <c r="K4" s="17" t="s">
        <v>696</v>
      </c>
      <c r="N4" s="17" t="s">
        <v>695</v>
      </c>
    </row>
    <row r="5" spans="1:22">
      <c r="A5" s="17" t="s">
        <v>664</v>
      </c>
      <c r="B5" s="17" t="s">
        <v>697</v>
      </c>
      <c r="C5" s="17" t="s">
        <v>698</v>
      </c>
      <c r="D5" s="17" t="s">
        <v>699</v>
      </c>
      <c r="E5" s="17" t="s">
        <v>700</v>
      </c>
      <c r="F5" s="17" t="s">
        <v>701</v>
      </c>
      <c r="G5" s="17" t="s">
        <v>702</v>
      </c>
      <c r="H5" s="17" t="s">
        <v>703</v>
      </c>
      <c r="I5" s="17" t="s">
        <v>704</v>
      </c>
      <c r="J5" s="17" t="s">
        <v>705</v>
      </c>
      <c r="K5" s="17" t="s">
        <v>706</v>
      </c>
      <c r="L5" s="17" t="s">
        <v>707</v>
      </c>
      <c r="M5" s="17" t="s">
        <v>708</v>
      </c>
      <c r="N5" s="17" t="s">
        <v>709</v>
      </c>
      <c r="O5" s="17" t="s">
        <v>710</v>
      </c>
    </row>
    <row r="6" spans="1:22">
      <c r="A6" s="17" t="s">
        <v>665</v>
      </c>
      <c r="B6" s="17">
        <v>1</v>
      </c>
      <c r="C6" s="132" t="s">
        <v>711</v>
      </c>
      <c r="D6" s="175">
        <v>43.5</v>
      </c>
      <c r="E6" s="175">
        <v>8.4</v>
      </c>
      <c r="F6" s="175">
        <v>15.6</v>
      </c>
      <c r="G6" s="175">
        <v>93.9</v>
      </c>
      <c r="H6" s="175">
        <v>431.3</v>
      </c>
      <c r="I6" s="175">
        <v>685.5</v>
      </c>
      <c r="J6" s="175">
        <v>1046.4000000000001</v>
      </c>
      <c r="K6" s="175">
        <v>1215.4000000000001</v>
      </c>
      <c r="L6" s="175">
        <v>1042</v>
      </c>
      <c r="M6" s="175">
        <v>916.1</v>
      </c>
      <c r="N6" s="175">
        <v>553.5</v>
      </c>
      <c r="O6" s="175">
        <v>270.8</v>
      </c>
      <c r="P6" s="175">
        <f t="shared" ref="P6:P23" si="0">SUM(D6:O6)</f>
        <v>6322.4000000000005</v>
      </c>
      <c r="Q6" s="176"/>
      <c r="R6" s="176"/>
      <c r="S6" s="35"/>
      <c r="T6" s="176"/>
      <c r="U6" s="176"/>
      <c r="V6" s="176"/>
    </row>
    <row r="7" spans="1:22">
      <c r="C7" s="17" t="s">
        <v>712</v>
      </c>
      <c r="D7" s="35">
        <v>85.1</v>
      </c>
      <c r="E7" s="35">
        <v>198.7</v>
      </c>
      <c r="F7" s="35">
        <v>177.3</v>
      </c>
      <c r="G7" s="35">
        <v>43.9</v>
      </c>
      <c r="H7" s="35">
        <v>0.8</v>
      </c>
      <c r="I7" s="35">
        <v>0</v>
      </c>
      <c r="J7" s="35">
        <v>0</v>
      </c>
      <c r="K7" s="35">
        <v>0</v>
      </c>
      <c r="L7" s="35">
        <v>0</v>
      </c>
      <c r="M7" s="35">
        <v>0</v>
      </c>
      <c r="N7" s="35">
        <v>0</v>
      </c>
      <c r="O7" s="35">
        <v>5.4</v>
      </c>
      <c r="P7" s="19">
        <f t="shared" si="0"/>
        <v>511.19999999999993</v>
      </c>
      <c r="Q7" s="176"/>
      <c r="R7" s="176"/>
      <c r="S7" s="176"/>
      <c r="T7" s="176"/>
      <c r="U7" s="35"/>
      <c r="V7" s="35"/>
    </row>
    <row r="8" spans="1:22">
      <c r="A8" s="17" t="s">
        <v>666</v>
      </c>
      <c r="B8" s="17">
        <v>2</v>
      </c>
      <c r="C8" s="132" t="s">
        <v>711</v>
      </c>
      <c r="D8" s="175">
        <v>21.1</v>
      </c>
      <c r="E8" s="175">
        <v>5.0999999999999996</v>
      </c>
      <c r="F8" s="175">
        <v>8</v>
      </c>
      <c r="G8" s="175">
        <v>64.8</v>
      </c>
      <c r="H8" s="175">
        <v>363</v>
      </c>
      <c r="I8" s="175">
        <v>610.9</v>
      </c>
      <c r="J8" s="175">
        <v>970.8</v>
      </c>
      <c r="K8" s="175">
        <v>1100.0999999999999</v>
      </c>
      <c r="L8" s="175">
        <v>957.3</v>
      </c>
      <c r="M8" s="175">
        <v>818.9</v>
      </c>
      <c r="N8" s="175">
        <v>453</v>
      </c>
      <c r="O8" s="175">
        <v>204.9</v>
      </c>
      <c r="P8" s="132">
        <f t="shared" si="0"/>
        <v>5577.9</v>
      </c>
      <c r="Q8" s="176"/>
      <c r="R8" s="176"/>
      <c r="S8" s="35"/>
      <c r="T8" s="176"/>
      <c r="U8" s="176"/>
      <c r="V8" s="176"/>
    </row>
    <row r="9" spans="1:22">
      <c r="C9" s="17" t="s">
        <v>712</v>
      </c>
      <c r="D9" s="35">
        <v>147.30000000000001</v>
      </c>
      <c r="E9" s="35">
        <v>260.8</v>
      </c>
      <c r="F9" s="35">
        <v>243</v>
      </c>
      <c r="G9" s="35">
        <v>84.2</v>
      </c>
      <c r="H9" s="35">
        <v>5.0999999999999996</v>
      </c>
      <c r="I9" s="35">
        <v>0</v>
      </c>
      <c r="J9" s="35">
        <v>0</v>
      </c>
      <c r="K9" s="35">
        <v>0</v>
      </c>
      <c r="L9" s="35">
        <v>0</v>
      </c>
      <c r="M9" s="35">
        <v>0</v>
      </c>
      <c r="N9" s="35">
        <v>0</v>
      </c>
      <c r="O9" s="35">
        <v>26.1</v>
      </c>
      <c r="P9" s="19">
        <f t="shared" si="0"/>
        <v>766.50000000000011</v>
      </c>
      <c r="Q9" s="176"/>
      <c r="R9" s="176"/>
      <c r="S9" s="176"/>
      <c r="T9" s="176"/>
      <c r="U9" s="35"/>
      <c r="V9" s="35"/>
    </row>
    <row r="10" spans="1:22">
      <c r="A10" s="17" t="s">
        <v>669</v>
      </c>
      <c r="B10" s="17">
        <v>3</v>
      </c>
      <c r="C10" s="132" t="s">
        <v>711</v>
      </c>
      <c r="D10" s="175">
        <v>37</v>
      </c>
      <c r="E10" s="175">
        <v>6.2</v>
      </c>
      <c r="F10" s="175">
        <v>17.5</v>
      </c>
      <c r="G10" s="175">
        <v>88.7</v>
      </c>
      <c r="H10" s="175">
        <v>396.6</v>
      </c>
      <c r="I10" s="175">
        <v>693</v>
      </c>
      <c r="J10" s="175">
        <v>1129.4000000000001</v>
      </c>
      <c r="K10" s="175">
        <v>1212.0999999999999</v>
      </c>
      <c r="L10" s="175">
        <v>1046.7</v>
      </c>
      <c r="M10" s="175">
        <v>865.5</v>
      </c>
      <c r="N10" s="175">
        <v>447.8</v>
      </c>
      <c r="O10" s="175">
        <v>224.3</v>
      </c>
      <c r="P10" s="132">
        <f t="shared" si="0"/>
        <v>6164.8</v>
      </c>
      <c r="Q10" s="176"/>
      <c r="R10" s="176"/>
      <c r="S10" s="35"/>
      <c r="T10" s="176"/>
      <c r="U10" s="176"/>
      <c r="V10" s="176"/>
    </row>
    <row r="11" spans="1:22">
      <c r="C11" s="17" t="s">
        <v>712</v>
      </c>
      <c r="D11" s="35">
        <v>159.69999999999999</v>
      </c>
      <c r="E11" s="35">
        <v>264.39999999999998</v>
      </c>
      <c r="F11" s="35">
        <v>221.3</v>
      </c>
      <c r="G11" s="35">
        <v>78.900000000000006</v>
      </c>
      <c r="H11" s="35">
        <v>8</v>
      </c>
      <c r="I11" s="35">
        <v>0</v>
      </c>
      <c r="J11" s="35">
        <v>0</v>
      </c>
      <c r="K11" s="35">
        <v>0.1</v>
      </c>
      <c r="L11" s="35">
        <v>0</v>
      </c>
      <c r="M11" s="35">
        <v>0.7</v>
      </c>
      <c r="N11" s="35">
        <v>1.5</v>
      </c>
      <c r="O11" s="35">
        <v>50.3</v>
      </c>
      <c r="P11" s="19">
        <f t="shared" si="0"/>
        <v>784.9</v>
      </c>
      <c r="Q11" s="176"/>
      <c r="R11" s="176"/>
      <c r="S11" s="176"/>
      <c r="T11" s="176"/>
      <c r="U11" s="35"/>
      <c r="V11" s="35"/>
    </row>
    <row r="12" spans="1:22">
      <c r="A12" s="17" t="s">
        <v>671</v>
      </c>
      <c r="B12" s="17">
        <v>4</v>
      </c>
      <c r="C12" s="132" t="s">
        <v>711</v>
      </c>
      <c r="D12" s="175">
        <v>42.1</v>
      </c>
      <c r="E12" s="175">
        <v>7.2</v>
      </c>
      <c r="F12" s="175">
        <v>19.7</v>
      </c>
      <c r="G12" s="175">
        <v>107.9</v>
      </c>
      <c r="H12" s="175">
        <v>404.6</v>
      </c>
      <c r="I12" s="175">
        <v>744.2</v>
      </c>
      <c r="J12" s="175">
        <v>1195.9000000000001</v>
      </c>
      <c r="K12" s="175">
        <v>1273.5</v>
      </c>
      <c r="L12" s="175">
        <v>1071.3</v>
      </c>
      <c r="M12" s="175">
        <v>846.9</v>
      </c>
      <c r="N12" s="175">
        <v>427.7</v>
      </c>
      <c r="O12" s="175">
        <v>195</v>
      </c>
      <c r="P12" s="132">
        <f t="shared" si="0"/>
        <v>6336</v>
      </c>
      <c r="Q12" s="176"/>
      <c r="R12" s="176"/>
      <c r="S12" s="35"/>
      <c r="T12" s="176"/>
      <c r="U12" s="176"/>
      <c r="V12" s="176"/>
    </row>
    <row r="13" spans="1:22">
      <c r="C13" s="17" t="s">
        <v>712</v>
      </c>
      <c r="D13" s="35">
        <v>188.7</v>
      </c>
      <c r="E13" s="35">
        <v>333.2</v>
      </c>
      <c r="F13" s="35">
        <v>284.8</v>
      </c>
      <c r="G13" s="35">
        <v>99.5</v>
      </c>
      <c r="H13" s="35">
        <v>11.1</v>
      </c>
      <c r="I13" s="35">
        <v>0.2</v>
      </c>
      <c r="J13" s="35">
        <v>0</v>
      </c>
      <c r="K13" s="35">
        <v>0.2</v>
      </c>
      <c r="L13" s="35">
        <v>0.1</v>
      </c>
      <c r="M13" s="35">
        <v>2.9</v>
      </c>
      <c r="N13" s="35">
        <v>7.4</v>
      </c>
      <c r="O13" s="35">
        <v>68</v>
      </c>
      <c r="P13" s="19">
        <f t="shared" si="0"/>
        <v>996.10000000000014</v>
      </c>
      <c r="Q13" s="176"/>
      <c r="R13" s="176"/>
      <c r="S13" s="176"/>
      <c r="T13" s="176"/>
      <c r="U13" s="35"/>
      <c r="V13" s="35"/>
    </row>
    <row r="14" spans="1:22">
      <c r="A14" s="17" t="s">
        <v>667</v>
      </c>
      <c r="B14" s="17">
        <v>5</v>
      </c>
      <c r="C14" s="132" t="s">
        <v>711</v>
      </c>
      <c r="D14" s="175">
        <v>2.5</v>
      </c>
      <c r="E14" s="175">
        <v>0.2</v>
      </c>
      <c r="F14" s="175">
        <v>0.3</v>
      </c>
      <c r="G14" s="175">
        <v>16.2</v>
      </c>
      <c r="H14" s="175">
        <v>144.30000000000001</v>
      </c>
      <c r="I14" s="175">
        <v>319.10000000000002</v>
      </c>
      <c r="J14" s="175">
        <v>554.9</v>
      </c>
      <c r="K14" s="175">
        <v>612.1</v>
      </c>
      <c r="L14" s="175">
        <v>500</v>
      </c>
      <c r="M14" s="175">
        <v>369.3</v>
      </c>
      <c r="N14" s="175">
        <v>157.4</v>
      </c>
      <c r="O14" s="175">
        <v>54.4</v>
      </c>
      <c r="P14" s="132">
        <f t="shared" si="0"/>
        <v>2730.7000000000003</v>
      </c>
      <c r="Q14" s="176"/>
      <c r="R14" s="176"/>
      <c r="S14" s="35"/>
      <c r="T14" s="35"/>
      <c r="U14" s="176"/>
      <c r="V14" s="176"/>
    </row>
    <row r="15" spans="1:22">
      <c r="C15" s="17" t="s">
        <v>712</v>
      </c>
      <c r="D15" s="35">
        <v>333.8</v>
      </c>
      <c r="E15" s="35">
        <v>425.7</v>
      </c>
      <c r="F15" s="35">
        <v>427.1</v>
      </c>
      <c r="G15" s="35">
        <v>268</v>
      </c>
      <c r="H15" s="35">
        <v>128.5</v>
      </c>
      <c r="I15" s="35">
        <v>49.4</v>
      </c>
      <c r="J15" s="35">
        <v>33.4</v>
      </c>
      <c r="K15" s="35">
        <v>30.5</v>
      </c>
      <c r="L15" s="35">
        <v>31.2</v>
      </c>
      <c r="M15" s="35">
        <v>52.9</v>
      </c>
      <c r="N15" s="35">
        <v>75.7</v>
      </c>
      <c r="O15" s="35">
        <v>185.2</v>
      </c>
      <c r="P15" s="19">
        <f t="shared" si="0"/>
        <v>2041.4000000000003</v>
      </c>
      <c r="Q15" s="176"/>
      <c r="R15" s="176"/>
      <c r="S15" s="176"/>
      <c r="T15" s="176"/>
      <c r="U15" s="176"/>
      <c r="V15" s="176"/>
    </row>
    <row r="16" spans="1:22">
      <c r="A16" s="17" t="s">
        <v>668</v>
      </c>
      <c r="B16" s="17">
        <v>6</v>
      </c>
      <c r="C16" s="132" t="s">
        <v>711</v>
      </c>
      <c r="D16" s="175">
        <v>2</v>
      </c>
      <c r="E16" s="175">
        <v>0</v>
      </c>
      <c r="F16" s="175">
        <v>0.3</v>
      </c>
      <c r="G16" s="175">
        <v>19.5</v>
      </c>
      <c r="H16" s="175">
        <v>174.9</v>
      </c>
      <c r="I16" s="175">
        <v>413</v>
      </c>
      <c r="J16" s="175">
        <v>720</v>
      </c>
      <c r="K16" s="175">
        <v>754.7</v>
      </c>
      <c r="L16" s="175">
        <v>611.9</v>
      </c>
      <c r="M16" s="175">
        <v>443.5</v>
      </c>
      <c r="N16" s="175">
        <v>174.4</v>
      </c>
      <c r="O16" s="175">
        <v>56.7</v>
      </c>
      <c r="P16" s="132">
        <f t="shared" si="0"/>
        <v>3370.9</v>
      </c>
      <c r="Q16" s="176"/>
      <c r="R16" s="176"/>
      <c r="S16" s="35"/>
      <c r="T16" s="35"/>
      <c r="U16" s="176"/>
      <c r="V16" s="176"/>
    </row>
    <row r="17" spans="1:32">
      <c r="C17" s="17" t="s">
        <v>712</v>
      </c>
      <c r="D17" s="35">
        <v>308.5</v>
      </c>
      <c r="E17" s="35">
        <v>417</v>
      </c>
      <c r="F17" s="35">
        <v>423.6</v>
      </c>
      <c r="G17" s="35">
        <v>229.2</v>
      </c>
      <c r="H17" s="35">
        <v>61.8</v>
      </c>
      <c r="I17" s="35">
        <v>6.1</v>
      </c>
      <c r="J17" s="35">
        <v>1.9</v>
      </c>
      <c r="K17" s="35">
        <v>7.6</v>
      </c>
      <c r="L17" s="35">
        <v>3.6</v>
      </c>
      <c r="M17" s="35">
        <v>18.8</v>
      </c>
      <c r="N17" s="35">
        <v>39.200000000000003</v>
      </c>
      <c r="O17" s="35">
        <v>153.6</v>
      </c>
      <c r="P17" s="19">
        <f t="shared" si="0"/>
        <v>1670.8999999999996</v>
      </c>
      <c r="Q17" s="176"/>
      <c r="R17" s="176"/>
      <c r="S17" s="176"/>
      <c r="T17" s="176"/>
      <c r="U17" s="176"/>
      <c r="V17" s="35"/>
    </row>
    <row r="18" spans="1:32">
      <c r="A18" s="17" t="s">
        <v>670</v>
      </c>
      <c r="B18" s="17">
        <v>7</v>
      </c>
      <c r="C18" s="132" t="s">
        <v>711</v>
      </c>
      <c r="D18" s="175">
        <v>0.9</v>
      </c>
      <c r="E18" s="175">
        <v>0</v>
      </c>
      <c r="F18" s="175">
        <v>0.1</v>
      </c>
      <c r="G18" s="175">
        <v>5.2</v>
      </c>
      <c r="H18" s="175">
        <v>66.2</v>
      </c>
      <c r="I18" s="175">
        <v>248.6</v>
      </c>
      <c r="J18" s="175">
        <v>516.29999999999995</v>
      </c>
      <c r="K18" s="175">
        <v>532.9</v>
      </c>
      <c r="L18" s="175">
        <v>403.1</v>
      </c>
      <c r="M18" s="175">
        <v>254.9</v>
      </c>
      <c r="N18" s="175">
        <v>73.2</v>
      </c>
      <c r="O18" s="175">
        <v>8.3000000000000007</v>
      </c>
      <c r="P18" s="132">
        <f t="shared" si="0"/>
        <v>2109.6999999999998</v>
      </c>
      <c r="Q18" s="176"/>
      <c r="R18" s="176"/>
      <c r="S18" s="35"/>
      <c r="T18" s="35"/>
      <c r="U18" s="176"/>
      <c r="V18" s="176"/>
    </row>
    <row r="19" spans="1:32">
      <c r="C19" s="17" t="s">
        <v>712</v>
      </c>
      <c r="D19" s="35">
        <v>440.3</v>
      </c>
      <c r="E19" s="35">
        <v>543.20000000000005</v>
      </c>
      <c r="F19" s="35">
        <v>566.5</v>
      </c>
      <c r="G19" s="35">
        <v>358.7</v>
      </c>
      <c r="H19" s="35">
        <v>147.30000000000001</v>
      </c>
      <c r="I19" s="35">
        <v>37.9</v>
      </c>
      <c r="J19" s="35">
        <v>7.6</v>
      </c>
      <c r="K19" s="35">
        <v>17.2</v>
      </c>
      <c r="L19" s="35">
        <v>17.100000000000001</v>
      </c>
      <c r="M19" s="35">
        <v>55.1</v>
      </c>
      <c r="N19" s="35">
        <v>118.9</v>
      </c>
      <c r="O19" s="35">
        <v>284.39999999999998</v>
      </c>
      <c r="P19" s="19">
        <f t="shared" si="0"/>
        <v>2594.1999999999998</v>
      </c>
      <c r="Q19" s="176"/>
      <c r="R19" s="176"/>
      <c r="S19" s="176"/>
      <c r="T19" s="176"/>
      <c r="U19" s="176"/>
      <c r="V19" s="35"/>
    </row>
    <row r="20" spans="1:32">
      <c r="A20" s="17" t="s">
        <v>672</v>
      </c>
      <c r="B20" s="17">
        <v>8</v>
      </c>
      <c r="C20" s="132" t="s">
        <v>711</v>
      </c>
      <c r="D20" s="175">
        <v>66.8</v>
      </c>
      <c r="E20" s="175">
        <v>6.6</v>
      </c>
      <c r="F20" s="175">
        <v>17.8</v>
      </c>
      <c r="G20" s="175">
        <v>116</v>
      </c>
      <c r="H20" s="175">
        <v>327.10000000000002</v>
      </c>
      <c r="I20" s="175">
        <v>609.70000000000005</v>
      </c>
      <c r="J20" s="175">
        <v>902.8</v>
      </c>
      <c r="K20" s="175">
        <v>889.9</v>
      </c>
      <c r="L20" s="175">
        <v>732.1</v>
      </c>
      <c r="M20" s="175">
        <v>595.9</v>
      </c>
      <c r="N20" s="175">
        <v>389</v>
      </c>
      <c r="O20" s="175">
        <v>195.4</v>
      </c>
      <c r="P20" s="132">
        <f t="shared" si="0"/>
        <v>4849.0999999999995</v>
      </c>
      <c r="Q20" s="176"/>
      <c r="R20" s="176"/>
      <c r="S20" s="176"/>
      <c r="T20" s="176"/>
      <c r="U20" s="176"/>
      <c r="V20" s="176"/>
    </row>
    <row r="21" spans="1:32">
      <c r="C21" s="17" t="s">
        <v>712</v>
      </c>
      <c r="D21" s="35">
        <v>267.89999999999998</v>
      </c>
      <c r="E21" s="35">
        <v>416.4</v>
      </c>
      <c r="F21" s="35">
        <v>344.7</v>
      </c>
      <c r="G21" s="35">
        <v>196.2</v>
      </c>
      <c r="H21" s="35">
        <v>69.900000000000006</v>
      </c>
      <c r="I21" s="35">
        <v>11.4</v>
      </c>
      <c r="J21" s="35">
        <v>0</v>
      </c>
      <c r="K21" s="35">
        <v>1.1000000000000001</v>
      </c>
      <c r="L21" s="35">
        <v>2.9</v>
      </c>
      <c r="M21" s="35">
        <v>15.3</v>
      </c>
      <c r="N21" s="35">
        <v>43</v>
      </c>
      <c r="O21" s="35">
        <v>131</v>
      </c>
      <c r="P21" s="19">
        <f t="shared" si="0"/>
        <v>1499.8000000000002</v>
      </c>
      <c r="Q21" s="176"/>
      <c r="R21" s="176"/>
      <c r="S21" s="176"/>
      <c r="T21" s="176"/>
      <c r="U21" s="35"/>
      <c r="V21" s="35"/>
    </row>
    <row r="22" spans="1:32">
      <c r="A22" s="17" t="s">
        <v>673</v>
      </c>
      <c r="B22" s="17">
        <v>9</v>
      </c>
      <c r="C22" s="132" t="s">
        <v>711</v>
      </c>
      <c r="D22" s="175">
        <v>62.6</v>
      </c>
      <c r="E22" s="175">
        <v>15.2</v>
      </c>
      <c r="F22" s="175">
        <v>15.5</v>
      </c>
      <c r="G22" s="175">
        <v>53.4</v>
      </c>
      <c r="H22" s="175">
        <v>173.6</v>
      </c>
      <c r="I22" s="175">
        <v>364</v>
      </c>
      <c r="J22" s="175">
        <v>542.20000000000005</v>
      </c>
      <c r="K22" s="175">
        <v>543.6</v>
      </c>
      <c r="L22" s="175">
        <v>445.8</v>
      </c>
      <c r="M22" s="175">
        <v>393.1</v>
      </c>
      <c r="N22" s="175">
        <v>301.5</v>
      </c>
      <c r="O22" s="175">
        <v>155</v>
      </c>
      <c r="P22" s="132">
        <f t="shared" si="0"/>
        <v>3065.5</v>
      </c>
      <c r="Q22" s="176"/>
      <c r="R22" s="176"/>
      <c r="S22" s="176"/>
      <c r="T22" s="176"/>
      <c r="U22" s="176"/>
      <c r="V22" s="176"/>
    </row>
    <row r="23" spans="1:32">
      <c r="C23" s="17" t="s">
        <v>712</v>
      </c>
      <c r="D23" s="35">
        <v>117.2</v>
      </c>
      <c r="E23" s="35">
        <v>221.7</v>
      </c>
      <c r="F23" s="35">
        <v>208.7</v>
      </c>
      <c r="G23" s="35">
        <v>132.19999999999999</v>
      </c>
      <c r="H23" s="35">
        <v>41.2</v>
      </c>
      <c r="I23" s="35">
        <v>6.4</v>
      </c>
      <c r="J23" s="35">
        <v>0</v>
      </c>
      <c r="K23" s="35">
        <v>2.2000000000000002</v>
      </c>
      <c r="L23" s="35">
        <v>0.3</v>
      </c>
      <c r="M23" s="35">
        <v>6.8</v>
      </c>
      <c r="N23" s="35">
        <v>12.7</v>
      </c>
      <c r="O23" s="35">
        <v>51.7</v>
      </c>
      <c r="P23" s="19">
        <f t="shared" si="0"/>
        <v>801.1</v>
      </c>
      <c r="Q23" s="176"/>
      <c r="R23" s="176"/>
      <c r="S23" s="176"/>
      <c r="T23" s="176"/>
      <c r="U23" s="176"/>
      <c r="V23" s="35"/>
    </row>
    <row r="25" spans="1:32">
      <c r="M25" s="17" t="s">
        <v>713</v>
      </c>
      <c r="N25" s="17" t="s">
        <v>714</v>
      </c>
    </row>
    <row r="26" spans="1:32">
      <c r="B26" s="17" t="s">
        <v>491</v>
      </c>
      <c r="E26" s="17" t="s">
        <v>715</v>
      </c>
      <c r="M26" s="19">
        <v>0.7</v>
      </c>
      <c r="N26" s="19">
        <v>0.3</v>
      </c>
      <c r="P26" s="19"/>
      <c r="Q26" s="177"/>
      <c r="R26" s="177"/>
      <c r="S26" s="177"/>
      <c r="T26" s="177"/>
      <c r="U26" s="177"/>
      <c r="V26" s="177"/>
    </row>
    <row r="27" spans="1:32">
      <c r="F27" s="17" t="s">
        <v>716</v>
      </c>
      <c r="M27" s="19">
        <v>0.8</v>
      </c>
      <c r="N27" s="19">
        <v>0.2</v>
      </c>
    </row>
    <row r="28" spans="1:32">
      <c r="E28" s="17" t="s">
        <v>717</v>
      </c>
      <c r="M28" s="132">
        <v>0.45</v>
      </c>
      <c r="N28" s="132">
        <v>0.55000000000000004</v>
      </c>
      <c r="P28" s="132"/>
      <c r="Q28" s="178"/>
      <c r="R28" s="178"/>
      <c r="S28" s="178"/>
      <c r="T28" s="178"/>
      <c r="U28" s="178"/>
      <c r="V28" s="178"/>
    </row>
    <row r="29" spans="1:32">
      <c r="F29" s="17" t="s">
        <v>718</v>
      </c>
      <c r="M29" s="132">
        <v>0.2</v>
      </c>
      <c r="N29" s="132">
        <v>0.8</v>
      </c>
      <c r="U29" s="17" t="s">
        <v>1503</v>
      </c>
    </row>
    <row r="30" spans="1:32">
      <c r="M30" s="132"/>
      <c r="N30" s="132"/>
      <c r="S30" s="37"/>
      <c r="T30" s="36">
        <v>2005</v>
      </c>
      <c r="U30" s="48">
        <v>2010</v>
      </c>
      <c r="V30" s="48">
        <v>2015</v>
      </c>
      <c r="W30" s="48">
        <v>2020</v>
      </c>
      <c r="X30" s="48">
        <v>2025</v>
      </c>
      <c r="Y30" s="48">
        <v>2030</v>
      </c>
      <c r="Z30" s="48">
        <v>2035</v>
      </c>
      <c r="AA30" s="48">
        <v>2040</v>
      </c>
      <c r="AB30" s="48">
        <v>2045</v>
      </c>
      <c r="AC30" s="48">
        <v>2050</v>
      </c>
      <c r="AD30" s="48">
        <v>2055</v>
      </c>
    </row>
    <row r="31" spans="1:32">
      <c r="M31" s="132"/>
      <c r="N31" s="132"/>
      <c r="S31" s="44" t="s">
        <v>1491</v>
      </c>
      <c r="T31" s="44"/>
      <c r="U31" s="37"/>
      <c r="V31" s="37"/>
      <c r="W31" s="37"/>
      <c r="X31" s="37"/>
      <c r="Y31" s="37"/>
      <c r="Z31" s="37"/>
      <c r="AA31" s="37"/>
      <c r="AB31" s="37"/>
      <c r="AC31" s="37"/>
      <c r="AD31" s="37"/>
    </row>
    <row r="32" spans="1:32">
      <c r="B32" s="17" t="s">
        <v>719</v>
      </c>
      <c r="I32" s="805" t="s">
        <v>720</v>
      </c>
      <c r="J32" s="805"/>
      <c r="S32" s="133" t="s">
        <v>1492</v>
      </c>
      <c r="T32" s="133">
        <f>J34</f>
        <v>4376</v>
      </c>
      <c r="U32" s="133">
        <v>6082</v>
      </c>
      <c r="V32" s="133">
        <v>6115</v>
      </c>
      <c r="W32" s="133">
        <v>6045</v>
      </c>
      <c r="X32" s="133">
        <v>5975</v>
      </c>
      <c r="Y32" s="133">
        <v>5905</v>
      </c>
      <c r="Z32" s="133">
        <v>5835</v>
      </c>
      <c r="AA32" s="133">
        <v>5763</v>
      </c>
      <c r="AB32" s="179">
        <f>AA32*(AA32/Z32)</f>
        <v>5691.8884318766068</v>
      </c>
      <c r="AC32" s="179">
        <f t="shared" ref="AC32:AD32" si="1">AB32*(AB32/AA32)</f>
        <v>5621.6543329742735</v>
      </c>
      <c r="AD32" s="179">
        <f t="shared" si="1"/>
        <v>5552.2868759092953</v>
      </c>
      <c r="AF32" s="133"/>
    </row>
    <row r="33" spans="1:32">
      <c r="B33" s="21" t="s">
        <v>664</v>
      </c>
      <c r="C33" s="21" t="s">
        <v>721</v>
      </c>
      <c r="D33" s="21" t="s">
        <v>722</v>
      </c>
      <c r="E33" s="17" t="s">
        <v>723</v>
      </c>
      <c r="I33" s="17" t="s">
        <v>712</v>
      </c>
      <c r="J33" s="17" t="s">
        <v>711</v>
      </c>
      <c r="S33" s="133" t="s">
        <v>1493</v>
      </c>
      <c r="T33" s="133">
        <f>J35</f>
        <v>4376</v>
      </c>
      <c r="U33" s="133">
        <v>5405</v>
      </c>
      <c r="V33" s="133">
        <v>5384</v>
      </c>
      <c r="W33" s="133">
        <v>5307</v>
      </c>
      <c r="X33" s="133">
        <v>5229</v>
      </c>
      <c r="Y33" s="133">
        <v>5152</v>
      </c>
      <c r="Z33" s="133">
        <v>5076</v>
      </c>
      <c r="AA33" s="133">
        <v>5000</v>
      </c>
      <c r="AB33" s="179">
        <f t="shared" ref="AB33:AB41" si="2">AA33*(AA33/Z33)</f>
        <v>4925.1379038613077</v>
      </c>
      <c r="AC33" s="179">
        <f t="shared" ref="AC33:AC41" si="3">AB33*(AB33/AA33)</f>
        <v>4851.3966744102709</v>
      </c>
      <c r="AD33" s="179">
        <f t="shared" ref="AD33:AD41" si="4">AC33*(AC33/AB33)</f>
        <v>4778.7595295609435</v>
      </c>
      <c r="AF33" s="133"/>
    </row>
    <row r="34" spans="1:32">
      <c r="B34" s="33" t="s">
        <v>2345</v>
      </c>
      <c r="C34" s="182">
        <v>1112</v>
      </c>
      <c r="D34" s="182">
        <v>4376</v>
      </c>
      <c r="E34" s="17">
        <f t="shared" ref="E34:E42" si="5">C34/D34</f>
        <v>0.25411334552102377</v>
      </c>
      <c r="I34" s="17">
        <f t="shared" ref="I34:I42" si="6">C34</f>
        <v>1112</v>
      </c>
      <c r="J34" s="17">
        <f t="shared" ref="J34:J42" si="7">D34</f>
        <v>4376</v>
      </c>
      <c r="K34" s="17">
        <f t="shared" ref="K34:K39" si="8">I34/I$43</f>
        <v>0.1111111111111111</v>
      </c>
      <c r="L34" s="17">
        <f t="shared" ref="L34:L39" si="9">J34/J$43</f>
        <v>0.1111111111111111</v>
      </c>
      <c r="S34" s="133" t="s">
        <v>1494</v>
      </c>
      <c r="T34" s="133">
        <f>J38</f>
        <v>4376</v>
      </c>
      <c r="U34" s="133">
        <v>6163</v>
      </c>
      <c r="V34" s="133">
        <v>5999</v>
      </c>
      <c r="W34" s="133">
        <v>5933</v>
      </c>
      <c r="X34" s="133">
        <v>5867</v>
      </c>
      <c r="Y34" s="133">
        <v>5801</v>
      </c>
      <c r="Z34" s="133">
        <v>5735</v>
      </c>
      <c r="AA34" s="133">
        <v>5669</v>
      </c>
      <c r="AB34" s="179">
        <f t="shared" si="2"/>
        <v>5603.7595466434177</v>
      </c>
      <c r="AC34" s="179">
        <f t="shared" si="3"/>
        <v>5539.2698988529264</v>
      </c>
      <c r="AD34" s="179">
        <f t="shared" si="4"/>
        <v>5475.5224161459873</v>
      </c>
      <c r="AF34" s="133"/>
    </row>
    <row r="35" spans="1:32">
      <c r="B35" s="33" t="s">
        <v>2346</v>
      </c>
      <c r="C35" s="17">
        <f>C34</f>
        <v>1112</v>
      </c>
      <c r="D35" s="17">
        <f>D34</f>
        <v>4376</v>
      </c>
      <c r="E35" s="17">
        <f t="shared" si="5"/>
        <v>0.25411334552102377</v>
      </c>
      <c r="I35" s="17">
        <f t="shared" si="6"/>
        <v>1112</v>
      </c>
      <c r="J35" s="17">
        <f t="shared" si="7"/>
        <v>4376</v>
      </c>
      <c r="K35" s="17">
        <f t="shared" si="8"/>
        <v>0.1111111111111111</v>
      </c>
      <c r="L35" s="17">
        <f t="shared" si="9"/>
        <v>0.1111111111111111</v>
      </c>
      <c r="S35" s="133" t="s">
        <v>1495</v>
      </c>
      <c r="T35" s="180">
        <f>U35*U35/V35</f>
        <v>7012.3008920038228</v>
      </c>
      <c r="U35" s="133">
        <v>6635</v>
      </c>
      <c r="V35" s="133">
        <v>6278</v>
      </c>
      <c r="W35" s="133">
        <v>6226</v>
      </c>
      <c r="X35" s="133">
        <v>6170</v>
      </c>
      <c r="Y35" s="133">
        <v>6112</v>
      </c>
      <c r="Z35" s="133">
        <v>6053</v>
      </c>
      <c r="AA35" s="133">
        <v>5992</v>
      </c>
      <c r="AB35" s="179">
        <f t="shared" si="2"/>
        <v>5931.6147364942999</v>
      </c>
      <c r="AC35" s="179">
        <f t="shared" si="3"/>
        <v>5871.8380143852373</v>
      </c>
      <c r="AD35" s="179">
        <f t="shared" si="4"/>
        <v>5812.6637010071599</v>
      </c>
      <c r="AF35" s="133"/>
    </row>
    <row r="36" spans="1:32">
      <c r="B36" s="33" t="s">
        <v>2347</v>
      </c>
      <c r="C36" s="17">
        <f t="shared" ref="C36:C42" si="10">C35</f>
        <v>1112</v>
      </c>
      <c r="D36" s="17">
        <f t="shared" ref="D36:D42" si="11">D35</f>
        <v>4376</v>
      </c>
      <c r="E36" s="17">
        <f t="shared" si="5"/>
        <v>0.25411334552102377</v>
      </c>
      <c r="I36" s="182">
        <f t="shared" si="6"/>
        <v>1112</v>
      </c>
      <c r="J36" s="182">
        <f t="shared" si="7"/>
        <v>4376</v>
      </c>
      <c r="K36" s="17">
        <f t="shared" si="8"/>
        <v>0.1111111111111111</v>
      </c>
      <c r="L36" s="17">
        <f t="shared" si="9"/>
        <v>0.1111111111111111</v>
      </c>
      <c r="S36" s="133" t="s">
        <v>1496</v>
      </c>
      <c r="T36" s="180">
        <f>U36*U36/V36</f>
        <v>2513.1951219512193</v>
      </c>
      <c r="U36" s="133">
        <v>2568</v>
      </c>
      <c r="V36" s="133">
        <v>2624</v>
      </c>
      <c r="W36" s="133">
        <v>2588</v>
      </c>
      <c r="X36" s="133">
        <v>2551</v>
      </c>
      <c r="Y36" s="133">
        <v>2516</v>
      </c>
      <c r="Z36" s="133">
        <v>2481</v>
      </c>
      <c r="AA36" s="133">
        <v>2448</v>
      </c>
      <c r="AB36" s="179">
        <f t="shared" si="2"/>
        <v>2415.4389359129382</v>
      </c>
      <c r="AC36" s="179">
        <f t="shared" si="3"/>
        <v>2383.3109694134914</v>
      </c>
      <c r="AD36" s="179">
        <f t="shared" si="4"/>
        <v>2351.6103398324171</v>
      </c>
      <c r="AF36" s="133"/>
    </row>
    <row r="37" spans="1:32">
      <c r="B37" s="33" t="s">
        <v>2348</v>
      </c>
      <c r="C37" s="17">
        <f t="shared" si="10"/>
        <v>1112</v>
      </c>
      <c r="D37" s="17">
        <f t="shared" si="11"/>
        <v>4376</v>
      </c>
      <c r="E37" s="17">
        <f t="shared" si="5"/>
        <v>0.25411334552102377</v>
      </c>
      <c r="I37" s="182">
        <f t="shared" si="6"/>
        <v>1112</v>
      </c>
      <c r="J37" s="182">
        <f t="shared" si="7"/>
        <v>4376</v>
      </c>
      <c r="K37" s="17">
        <f t="shared" si="8"/>
        <v>0.1111111111111111</v>
      </c>
      <c r="L37" s="17">
        <f t="shared" si="9"/>
        <v>0.1111111111111111</v>
      </c>
      <c r="S37" s="133" t="s">
        <v>1497</v>
      </c>
      <c r="T37" s="133">
        <f>J37</f>
        <v>4376</v>
      </c>
      <c r="U37" s="133">
        <v>3358</v>
      </c>
      <c r="V37" s="133">
        <v>3298</v>
      </c>
      <c r="W37" s="133">
        <v>3258</v>
      </c>
      <c r="X37" s="133">
        <v>3218</v>
      </c>
      <c r="Y37" s="133">
        <v>3177</v>
      </c>
      <c r="Z37" s="133">
        <v>3135</v>
      </c>
      <c r="AA37" s="133">
        <v>3093</v>
      </c>
      <c r="AB37" s="179">
        <f t="shared" si="2"/>
        <v>3051.5626794258374</v>
      </c>
      <c r="AC37" s="179">
        <f t="shared" si="3"/>
        <v>3010.6804999885535</v>
      </c>
      <c r="AD37" s="179">
        <f t="shared" si="4"/>
        <v>2970.3460243906206</v>
      </c>
      <c r="AF37" s="133"/>
    </row>
    <row r="38" spans="1:32">
      <c r="B38" s="33" t="s">
        <v>2349</v>
      </c>
      <c r="C38" s="17">
        <f t="shared" si="10"/>
        <v>1112</v>
      </c>
      <c r="D38" s="17">
        <f t="shared" si="11"/>
        <v>4376</v>
      </c>
      <c r="E38" s="17">
        <f t="shared" si="5"/>
        <v>0.25411334552102377</v>
      </c>
      <c r="I38" s="182">
        <f t="shared" si="6"/>
        <v>1112</v>
      </c>
      <c r="J38" s="182">
        <f t="shared" si="7"/>
        <v>4376</v>
      </c>
      <c r="K38" s="17">
        <f t="shared" si="8"/>
        <v>0.1111111111111111</v>
      </c>
      <c r="L38" s="17">
        <f t="shared" si="9"/>
        <v>0.1111111111111111</v>
      </c>
      <c r="S38" s="133" t="s">
        <v>1498</v>
      </c>
      <c r="T38" s="133">
        <f>J39</f>
        <v>4376</v>
      </c>
      <c r="U38" s="133">
        <v>2145</v>
      </c>
      <c r="V38" s="133">
        <v>1979</v>
      </c>
      <c r="W38" s="133">
        <v>1924</v>
      </c>
      <c r="X38" s="133">
        <v>1870</v>
      </c>
      <c r="Y38" s="133">
        <v>1815</v>
      </c>
      <c r="Z38" s="133">
        <v>1761</v>
      </c>
      <c r="AA38" s="133">
        <v>1707</v>
      </c>
      <c r="AB38" s="179">
        <f t="shared" si="2"/>
        <v>1654.655877342419</v>
      </c>
      <c r="AC38" s="179">
        <f t="shared" si="3"/>
        <v>1603.9168555499768</v>
      </c>
      <c r="AD38" s="179">
        <f t="shared" si="4"/>
        <v>1554.7337151753609</v>
      </c>
      <c r="AF38" s="133"/>
    </row>
    <row r="39" spans="1:32">
      <c r="B39" s="33" t="s">
        <v>2350</v>
      </c>
      <c r="C39" s="17">
        <f t="shared" si="10"/>
        <v>1112</v>
      </c>
      <c r="D39" s="17">
        <f t="shared" si="11"/>
        <v>4376</v>
      </c>
      <c r="E39" s="17">
        <f t="shared" si="5"/>
        <v>0.25411334552102377</v>
      </c>
      <c r="I39" s="182">
        <f t="shared" si="6"/>
        <v>1112</v>
      </c>
      <c r="J39" s="182">
        <f t="shared" si="7"/>
        <v>4376</v>
      </c>
      <c r="K39" s="17">
        <f t="shared" si="8"/>
        <v>0.1111111111111111</v>
      </c>
      <c r="L39" s="17">
        <f t="shared" si="9"/>
        <v>0.1111111111111111</v>
      </c>
      <c r="S39" s="133" t="s">
        <v>1499</v>
      </c>
      <c r="T39" s="180">
        <f t="shared" ref="T39:T40" si="12">U39*U39/V39</f>
        <v>5777.155654383736</v>
      </c>
      <c r="U39" s="133">
        <v>5223</v>
      </c>
      <c r="V39" s="133">
        <v>4722</v>
      </c>
      <c r="W39" s="133">
        <v>4660</v>
      </c>
      <c r="X39" s="133">
        <v>4586</v>
      </c>
      <c r="Y39" s="133">
        <v>4508</v>
      </c>
      <c r="Z39" s="133">
        <v>4428</v>
      </c>
      <c r="AA39" s="133">
        <v>4347</v>
      </c>
      <c r="AB39" s="179">
        <f t="shared" si="2"/>
        <v>4267.4817073170734</v>
      </c>
      <c r="AC39" s="179">
        <f t="shared" si="3"/>
        <v>4189.4180175490783</v>
      </c>
      <c r="AD39" s="179">
        <f t="shared" si="4"/>
        <v>4112.7823221061071</v>
      </c>
      <c r="AF39" s="133"/>
    </row>
    <row r="40" spans="1:32">
      <c r="B40" s="270" t="s">
        <v>569</v>
      </c>
      <c r="C40" s="270">
        <f t="shared" si="10"/>
        <v>1112</v>
      </c>
      <c r="D40" s="270">
        <f t="shared" si="11"/>
        <v>4376</v>
      </c>
      <c r="E40" s="270">
        <f t="shared" si="5"/>
        <v>0.25411334552102377</v>
      </c>
      <c r="H40" s="270"/>
      <c r="I40" s="182">
        <f t="shared" si="6"/>
        <v>1112</v>
      </c>
      <c r="J40" s="182">
        <f t="shared" si="7"/>
        <v>4376</v>
      </c>
      <c r="K40" s="17">
        <f t="shared" ref="K40:K42" si="13">I40/I$43</f>
        <v>0.1111111111111111</v>
      </c>
      <c r="L40" s="17">
        <f t="shared" ref="L40:L42" si="14">J40/J$43</f>
        <v>0.1111111111111111</v>
      </c>
      <c r="M40" s="270"/>
      <c r="S40" s="133" t="s">
        <v>1500</v>
      </c>
      <c r="T40" s="180">
        <f t="shared" si="12"/>
        <v>3876.6389061528898</v>
      </c>
      <c r="U40" s="133">
        <v>3532</v>
      </c>
      <c r="V40" s="133">
        <v>3218</v>
      </c>
      <c r="W40" s="133">
        <v>3244</v>
      </c>
      <c r="X40" s="133">
        <v>3267</v>
      </c>
      <c r="Y40" s="133">
        <v>3290</v>
      </c>
      <c r="Z40" s="133">
        <v>3314</v>
      </c>
      <c r="AA40" s="133">
        <v>3339</v>
      </c>
      <c r="AB40" s="179">
        <f t="shared" si="2"/>
        <v>3364.1885938442974</v>
      </c>
      <c r="AC40" s="179">
        <f t="shared" si="3"/>
        <v>3389.5672042384158</v>
      </c>
      <c r="AD40" s="179">
        <f t="shared" si="4"/>
        <v>3415.13726462042</v>
      </c>
      <c r="AF40" s="133"/>
    </row>
    <row r="41" spans="1:32">
      <c r="B41" s="270" t="s">
        <v>572</v>
      </c>
      <c r="C41" s="270">
        <f t="shared" si="10"/>
        <v>1112</v>
      </c>
      <c r="D41" s="270">
        <f t="shared" si="11"/>
        <v>4376</v>
      </c>
      <c r="E41" s="270">
        <f t="shared" si="5"/>
        <v>0.25411334552102377</v>
      </c>
      <c r="H41" s="270"/>
      <c r="I41" s="182">
        <f t="shared" si="6"/>
        <v>1112</v>
      </c>
      <c r="J41" s="182">
        <f t="shared" si="7"/>
        <v>4376</v>
      </c>
      <c r="K41" s="17">
        <f t="shared" si="13"/>
        <v>0.1111111111111111</v>
      </c>
      <c r="L41" s="17">
        <f t="shared" si="14"/>
        <v>0.1111111111111111</v>
      </c>
      <c r="M41" s="270"/>
      <c r="S41" s="44" t="s">
        <v>1501</v>
      </c>
      <c r="T41" s="44"/>
      <c r="U41" s="181">
        <v>4257.6396480000003</v>
      </c>
      <c r="V41" s="181">
        <v>4085.9526369999999</v>
      </c>
      <c r="W41" s="181">
        <v>4015.4521479999999</v>
      </c>
      <c r="X41" s="181">
        <v>3945.3781739999999</v>
      </c>
      <c r="Y41" s="181">
        <v>3877.0732419999999</v>
      </c>
      <c r="Z41" s="181">
        <v>3810.336182</v>
      </c>
      <c r="AA41" s="181">
        <v>3744.6064449999999</v>
      </c>
      <c r="AB41" s="170">
        <f t="shared" si="2"/>
        <v>3680.0105707668858</v>
      </c>
      <c r="AC41" s="170">
        <f t="shared" si="3"/>
        <v>3616.5289997400573</v>
      </c>
      <c r="AD41" s="170">
        <f t="shared" si="4"/>
        <v>3554.1425097687143</v>
      </c>
      <c r="AF41" s="44"/>
    </row>
    <row r="42" spans="1:32">
      <c r="B42" s="270" t="s">
        <v>534</v>
      </c>
      <c r="C42" s="270">
        <f t="shared" si="10"/>
        <v>1112</v>
      </c>
      <c r="D42" s="270">
        <f t="shared" si="11"/>
        <v>4376</v>
      </c>
      <c r="E42" s="270">
        <f t="shared" si="5"/>
        <v>0.25411334552102377</v>
      </c>
      <c r="H42" s="270"/>
      <c r="I42" s="182">
        <f t="shared" si="6"/>
        <v>1112</v>
      </c>
      <c r="J42" s="182">
        <f t="shared" si="7"/>
        <v>4376</v>
      </c>
      <c r="K42" s="17">
        <f t="shared" si="13"/>
        <v>0.1111111111111111</v>
      </c>
      <c r="L42" s="17">
        <f t="shared" si="14"/>
        <v>0.1111111111111111</v>
      </c>
      <c r="M42" s="270"/>
      <c r="S42" s="133"/>
      <c r="T42" s="133"/>
      <c r="AB42" s="37"/>
      <c r="AC42" s="37"/>
      <c r="AD42" s="37"/>
    </row>
    <row r="43" spans="1:32">
      <c r="A43" s="17" t="s">
        <v>724</v>
      </c>
      <c r="C43" s="21"/>
      <c r="D43" s="21"/>
      <c r="E43" s="21"/>
      <c r="F43" s="21"/>
      <c r="G43" s="21"/>
      <c r="H43" s="271" t="s">
        <v>497</v>
      </c>
      <c r="I43" s="272">
        <f>SUM(I34:I42)</f>
        <v>10008</v>
      </c>
      <c r="J43" s="272">
        <f>SUM(J34:J42)</f>
        <v>39384</v>
      </c>
      <c r="K43" s="273">
        <f>SUM(K34:K42)</f>
        <v>1.0000000000000002</v>
      </c>
      <c r="L43" s="273">
        <f>SUM(L34:L42)</f>
        <v>1.0000000000000002</v>
      </c>
      <c r="M43" s="270"/>
      <c r="S43" s="44" t="s">
        <v>1502</v>
      </c>
      <c r="T43" s="44"/>
      <c r="AB43" s="37"/>
      <c r="AC43" s="37"/>
      <c r="AD43" s="37"/>
    </row>
    <row r="44" spans="1:32">
      <c r="A44" s="17" t="s">
        <v>725</v>
      </c>
      <c r="I44" s="270"/>
      <c r="J44" s="270"/>
      <c r="K44" s="270"/>
      <c r="L44" s="270"/>
      <c r="M44" s="270"/>
      <c r="S44" s="133" t="s">
        <v>1492</v>
      </c>
      <c r="T44" s="133">
        <f>I34</f>
        <v>1112</v>
      </c>
      <c r="U44" s="133">
        <v>568</v>
      </c>
      <c r="V44" s="133">
        <v>546</v>
      </c>
      <c r="W44" s="133">
        <v>565</v>
      </c>
      <c r="X44" s="133">
        <v>583</v>
      </c>
      <c r="Y44" s="133">
        <v>601</v>
      </c>
      <c r="Z44" s="133">
        <v>620</v>
      </c>
      <c r="AA44" s="133">
        <v>638</v>
      </c>
      <c r="AB44" s="179">
        <f>AA44*(AA44/Z44)</f>
        <v>656.52258064516127</v>
      </c>
      <c r="AC44" s="179">
        <f t="shared" ref="AC44:AC53" si="15">AB44*(AB44/AA44)</f>
        <v>675.58291363163369</v>
      </c>
      <c r="AD44" s="179">
        <f t="shared" ref="AD44:AD53" si="16">AC44*(AC44/AB44)</f>
        <v>695.19661112416497</v>
      </c>
      <c r="AF44" s="133"/>
    </row>
    <row r="45" spans="1:32">
      <c r="S45" s="133" t="s">
        <v>1493</v>
      </c>
      <c r="T45" s="133">
        <f>I35</f>
        <v>1112</v>
      </c>
      <c r="U45" s="133">
        <v>885</v>
      </c>
      <c r="V45" s="133">
        <v>821</v>
      </c>
      <c r="W45" s="133">
        <v>848</v>
      </c>
      <c r="X45" s="133">
        <v>875</v>
      </c>
      <c r="Y45" s="133">
        <v>903</v>
      </c>
      <c r="Z45" s="133">
        <v>929</v>
      </c>
      <c r="AA45" s="133">
        <v>956</v>
      </c>
      <c r="AB45" s="179">
        <f t="shared" ref="AB45:AB53" si="17">AA45*(AA45/Z45)</f>
        <v>983.78471474703974</v>
      </c>
      <c r="AC45" s="179">
        <f t="shared" si="15"/>
        <v>1012.3769508053498</v>
      </c>
      <c r="AD45" s="179">
        <f t="shared" si="16"/>
        <v>1041.8001775779487</v>
      </c>
      <c r="AF45" s="133"/>
    </row>
    <row r="46" spans="1:32">
      <c r="S46" s="133" t="s">
        <v>1494</v>
      </c>
      <c r="T46" s="133">
        <f>I38</f>
        <v>1112</v>
      </c>
      <c r="U46" s="133">
        <v>855</v>
      </c>
      <c r="V46" s="133">
        <v>814</v>
      </c>
      <c r="W46" s="133">
        <v>825</v>
      </c>
      <c r="X46" s="133">
        <v>835</v>
      </c>
      <c r="Y46" s="133">
        <v>846</v>
      </c>
      <c r="Z46" s="133">
        <v>856</v>
      </c>
      <c r="AA46" s="133">
        <v>867</v>
      </c>
      <c r="AB46" s="179">
        <f t="shared" si="17"/>
        <v>878.14135514018687</v>
      </c>
      <c r="AC46" s="179">
        <f t="shared" si="15"/>
        <v>889.4258819001659</v>
      </c>
      <c r="AD46" s="179">
        <f t="shared" si="16"/>
        <v>900.85542010215397</v>
      </c>
      <c r="AF46" s="133"/>
    </row>
    <row r="47" spans="1:32">
      <c r="A47" s="16" t="s">
        <v>1136</v>
      </c>
      <c r="B47" s="16" t="s">
        <v>727</v>
      </c>
      <c r="S47" s="133" t="s">
        <v>1495</v>
      </c>
      <c r="T47" s="180">
        <f>U47*U47/V47</f>
        <v>1114.267716535433</v>
      </c>
      <c r="U47" s="133">
        <v>1064</v>
      </c>
      <c r="V47" s="133">
        <v>1016</v>
      </c>
      <c r="W47" s="133">
        <v>1024</v>
      </c>
      <c r="X47" s="133">
        <v>1032</v>
      </c>
      <c r="Y47" s="133">
        <v>1041</v>
      </c>
      <c r="Z47" s="133">
        <v>1051</v>
      </c>
      <c r="AA47" s="133">
        <v>1061</v>
      </c>
      <c r="AB47" s="179">
        <f t="shared" si="17"/>
        <v>1071.0951474785918</v>
      </c>
      <c r="AC47" s="179">
        <f t="shared" si="15"/>
        <v>1081.2863477400438</v>
      </c>
      <c r="AD47" s="179">
        <f t="shared" si="16"/>
        <v>1091.5745147023658</v>
      </c>
      <c r="AF47" s="133"/>
    </row>
    <row r="48" spans="1:32">
      <c r="B48" s="16" t="s">
        <v>728</v>
      </c>
      <c r="S48" s="133" t="s">
        <v>1496</v>
      </c>
      <c r="T48" s="180">
        <f>U48*U48/V48</f>
        <v>2366.1551565377531</v>
      </c>
      <c r="U48" s="133">
        <v>2267</v>
      </c>
      <c r="V48" s="133">
        <v>2172</v>
      </c>
      <c r="W48" s="133">
        <v>2208</v>
      </c>
      <c r="X48" s="133">
        <v>2244</v>
      </c>
      <c r="Y48" s="133">
        <v>2280</v>
      </c>
      <c r="Z48" s="133">
        <v>2316</v>
      </c>
      <c r="AA48" s="133">
        <v>2350</v>
      </c>
      <c r="AB48" s="179">
        <f t="shared" si="17"/>
        <v>2384.4991364421412</v>
      </c>
      <c r="AC48" s="179">
        <f t="shared" si="15"/>
        <v>2419.5047368907735</v>
      </c>
      <c r="AD48" s="179">
        <f t="shared" si="16"/>
        <v>2455.0242364824339</v>
      </c>
      <c r="AF48" s="133"/>
    </row>
    <row r="49" spans="1:32">
      <c r="B49" s="16" t="s">
        <v>729</v>
      </c>
      <c r="C49" s="16"/>
      <c r="D49" s="33" t="s">
        <v>729</v>
      </c>
      <c r="E49" s="33" t="s">
        <v>729</v>
      </c>
      <c r="F49" s="33" t="s">
        <v>729</v>
      </c>
      <c r="G49" s="33" t="s">
        <v>729</v>
      </c>
      <c r="H49" s="33" t="s">
        <v>729</v>
      </c>
      <c r="I49" s="33" t="s">
        <v>729</v>
      </c>
      <c r="J49" s="33" t="s">
        <v>729</v>
      </c>
      <c r="K49" s="33"/>
      <c r="S49" s="133" t="s">
        <v>1497</v>
      </c>
      <c r="T49" s="133">
        <f>I37</f>
        <v>1112</v>
      </c>
      <c r="U49" s="133">
        <v>1740</v>
      </c>
      <c r="V49" s="133">
        <v>1761</v>
      </c>
      <c r="W49" s="133">
        <v>1795</v>
      </c>
      <c r="X49" s="133">
        <v>1829</v>
      </c>
      <c r="Y49" s="133">
        <v>1863</v>
      </c>
      <c r="Z49" s="133">
        <v>1897</v>
      </c>
      <c r="AA49" s="133">
        <v>1931</v>
      </c>
      <c r="AB49" s="179">
        <f t="shared" si="17"/>
        <v>1965.6093832366894</v>
      </c>
      <c r="AC49" s="179">
        <f t="shared" si="15"/>
        <v>2000.8390717079847</v>
      </c>
      <c r="AD49" s="179">
        <f t="shared" si="16"/>
        <v>2036.7001831671682</v>
      </c>
      <c r="AF49" s="133"/>
    </row>
    <row r="50" spans="1:32">
      <c r="B50" s="171" t="s">
        <v>730</v>
      </c>
      <c r="C50" s="171"/>
      <c r="D50" s="16">
        <v>2007</v>
      </c>
      <c r="E50" s="16">
        <v>2010</v>
      </c>
      <c r="F50" s="16">
        <v>2015</v>
      </c>
      <c r="G50" s="16">
        <v>2020</v>
      </c>
      <c r="H50" s="16">
        <v>2025</v>
      </c>
      <c r="I50" s="16">
        <v>2030</v>
      </c>
      <c r="J50" s="16">
        <v>2035</v>
      </c>
      <c r="K50" s="16">
        <v>2040</v>
      </c>
      <c r="S50" s="133" t="s">
        <v>1498</v>
      </c>
      <c r="T50" s="180">
        <f t="shared" ref="T50:T52" si="18">U50*U50/V50</f>
        <v>3346.3141230878691</v>
      </c>
      <c r="U50" s="133">
        <v>3067</v>
      </c>
      <c r="V50" s="133">
        <v>2811</v>
      </c>
      <c r="W50" s="133">
        <v>2880</v>
      </c>
      <c r="X50" s="133">
        <v>2948</v>
      </c>
      <c r="Y50" s="133">
        <v>3017</v>
      </c>
      <c r="Z50" s="133">
        <v>3086</v>
      </c>
      <c r="AA50" s="133">
        <v>3155</v>
      </c>
      <c r="AB50" s="179">
        <f t="shared" si="17"/>
        <v>3225.5427738172393</v>
      </c>
      <c r="AC50" s="179">
        <f t="shared" si="15"/>
        <v>3297.6628163944883</v>
      </c>
      <c r="AD50" s="179">
        <f t="shared" si="16"/>
        <v>3371.3953939483508</v>
      </c>
      <c r="AF50" s="133"/>
    </row>
    <row r="51" spans="1:32">
      <c r="S51" s="133" t="s">
        <v>1499</v>
      </c>
      <c r="T51" s="180">
        <f t="shared" si="18"/>
        <v>1406.9702233250621</v>
      </c>
      <c r="U51" s="133">
        <v>1506</v>
      </c>
      <c r="V51" s="133">
        <v>1612</v>
      </c>
      <c r="W51" s="133">
        <v>1661</v>
      </c>
      <c r="X51" s="133">
        <v>1719</v>
      </c>
      <c r="Y51" s="133">
        <v>1779</v>
      </c>
      <c r="Z51" s="133">
        <v>1841</v>
      </c>
      <c r="AA51" s="133">
        <v>1905</v>
      </c>
      <c r="AB51" s="179">
        <f t="shared" si="17"/>
        <v>1971.2248777838131</v>
      </c>
      <c r="AC51" s="179">
        <f t="shared" si="15"/>
        <v>2039.7519783694534</v>
      </c>
      <c r="AD51" s="179">
        <f t="shared" si="16"/>
        <v>2110.6613355751269</v>
      </c>
      <c r="AF51" s="133"/>
    </row>
    <row r="52" spans="1:32">
      <c r="B52" s="16" t="s">
        <v>731</v>
      </c>
      <c r="C52" s="16"/>
      <c r="S52" s="133" t="s">
        <v>1500</v>
      </c>
      <c r="T52" s="180">
        <f t="shared" si="18"/>
        <v>684.05697674418604</v>
      </c>
      <c r="U52" s="133">
        <v>767</v>
      </c>
      <c r="V52" s="133">
        <v>860</v>
      </c>
      <c r="W52" s="133">
        <v>860</v>
      </c>
      <c r="X52" s="133">
        <v>861</v>
      </c>
      <c r="Y52" s="133">
        <v>861</v>
      </c>
      <c r="Z52" s="133">
        <v>861</v>
      </c>
      <c r="AA52" s="133">
        <v>861</v>
      </c>
      <c r="AB52" s="179">
        <f t="shared" si="17"/>
        <v>861</v>
      </c>
      <c r="AC52" s="179">
        <f t="shared" si="15"/>
        <v>861</v>
      </c>
      <c r="AD52" s="179">
        <f t="shared" si="16"/>
        <v>861</v>
      </c>
      <c r="AF52" s="133"/>
    </row>
    <row r="53" spans="1:32">
      <c r="B53" s="16" t="s">
        <v>732</v>
      </c>
      <c r="C53" s="16"/>
      <c r="S53" s="44" t="s">
        <v>1501</v>
      </c>
      <c r="T53" s="44"/>
      <c r="U53" s="181">
        <v>1480.630249</v>
      </c>
      <c r="V53" s="181">
        <v>1447.2969969999999</v>
      </c>
      <c r="W53" s="181">
        <v>1488.2861330000001</v>
      </c>
      <c r="X53" s="181">
        <v>1529.6455080000001</v>
      </c>
      <c r="Y53" s="181">
        <v>1571.5615230000001</v>
      </c>
      <c r="Z53" s="181">
        <v>1613.6485600000001</v>
      </c>
      <c r="AA53" s="181">
        <v>1656.1577150000001</v>
      </c>
      <c r="AB53" s="170">
        <f t="shared" si="17"/>
        <v>1699.7867100343221</v>
      </c>
      <c r="AC53" s="170">
        <f t="shared" si="15"/>
        <v>1744.5650456117971</v>
      </c>
      <c r="AD53" s="170">
        <f t="shared" si="16"/>
        <v>1790.5229993879861</v>
      </c>
      <c r="AF53" s="44"/>
    </row>
    <row r="54" spans="1:32">
      <c r="B54" s="17" t="s">
        <v>733</v>
      </c>
      <c r="D54" s="24">
        <v>80.794464000000005</v>
      </c>
      <c r="E54" s="24">
        <v>82.108704000000003</v>
      </c>
      <c r="F54" s="183">
        <v>81.206581</v>
      </c>
      <c r="G54" s="183">
        <v>85.713097000000005</v>
      </c>
      <c r="H54" s="183">
        <v>89.733536000000001</v>
      </c>
      <c r="I54" s="183">
        <v>93.555961999999994</v>
      </c>
      <c r="J54" s="183">
        <v>96.987388999999993</v>
      </c>
      <c r="K54" s="183">
        <v>100.37367999999999</v>
      </c>
      <c r="T54" s="182"/>
      <c r="U54" s="182"/>
      <c r="X54" s="182"/>
    </row>
    <row r="55" spans="1:32">
      <c r="B55" s="17" t="s">
        <v>734</v>
      </c>
      <c r="D55" s="24">
        <v>24.912299999999998</v>
      </c>
      <c r="E55" s="24">
        <v>25.522863000000001</v>
      </c>
      <c r="F55" s="183">
        <v>28.962713000000001</v>
      </c>
      <c r="G55" s="183">
        <v>30.546143000000001</v>
      </c>
      <c r="H55" s="183">
        <v>32.178677</v>
      </c>
      <c r="I55" s="183">
        <v>33.98386</v>
      </c>
      <c r="J55" s="183">
        <v>35.822186000000002</v>
      </c>
      <c r="K55" s="183">
        <v>37.608955000000002</v>
      </c>
    </row>
    <row r="56" spans="1:32">
      <c r="B56" s="17" t="s">
        <v>735</v>
      </c>
      <c r="D56" s="24">
        <v>6.7729150000000002</v>
      </c>
      <c r="E56" s="24">
        <v>6.5580730000000003</v>
      </c>
      <c r="F56" s="183">
        <v>6.0181339999999999</v>
      </c>
      <c r="G56" s="183">
        <v>5.7028100000000004</v>
      </c>
      <c r="H56" s="183">
        <v>5.4645440000000001</v>
      </c>
      <c r="I56" s="183">
        <v>5.2926279999999997</v>
      </c>
      <c r="J56" s="183">
        <v>5.1442629999999996</v>
      </c>
      <c r="K56" s="183">
        <v>5.0316460000000003</v>
      </c>
    </row>
    <row r="57" spans="1:32">
      <c r="B57" s="16" t="s">
        <v>636</v>
      </c>
      <c r="C57" s="16"/>
      <c r="D57" s="172">
        <v>112.479675</v>
      </c>
      <c r="E57" s="172">
        <v>114.189644</v>
      </c>
      <c r="F57" s="45">
        <v>116.187431</v>
      </c>
      <c r="G57" s="45">
        <v>121.962051</v>
      </c>
      <c r="H57" s="45">
        <v>127.376762</v>
      </c>
      <c r="I57" s="45">
        <v>132.832458</v>
      </c>
      <c r="J57" s="45">
        <v>137.95382699999999</v>
      </c>
      <c r="K57" s="45">
        <v>143.01428200000001</v>
      </c>
      <c r="S57" s="34"/>
      <c r="W57" s="34"/>
    </row>
    <row r="58" spans="1:32">
      <c r="S58" s="34"/>
      <c r="W58" s="34"/>
    </row>
    <row r="59" spans="1:32">
      <c r="B59" s="16" t="s">
        <v>736</v>
      </c>
      <c r="C59" s="16"/>
      <c r="D59" s="173">
        <v>1645.5268550000001</v>
      </c>
      <c r="E59" s="173">
        <v>1652.901611</v>
      </c>
      <c r="F59" s="181">
        <v>1695.30249</v>
      </c>
      <c r="G59" s="181">
        <v>1735.5345460000001</v>
      </c>
      <c r="H59" s="181">
        <v>1770.923462</v>
      </c>
      <c r="I59" s="181">
        <v>1802.268188</v>
      </c>
      <c r="J59" s="181">
        <v>1830.575439</v>
      </c>
      <c r="K59" s="181">
        <v>1857.958374</v>
      </c>
      <c r="S59" s="34"/>
      <c r="T59" s="184"/>
      <c r="U59" s="184"/>
      <c r="W59" s="34"/>
      <c r="X59" s="184"/>
    </row>
    <row r="60" spans="1:32">
      <c r="B60" s="16"/>
      <c r="C60" s="274">
        <v>2000</v>
      </c>
      <c r="D60" s="274">
        <v>2005</v>
      </c>
      <c r="E60" s="274">
        <v>2010</v>
      </c>
      <c r="F60" s="274">
        <v>2015</v>
      </c>
      <c r="G60" s="274">
        <v>2020</v>
      </c>
      <c r="H60" s="274">
        <v>2025</v>
      </c>
      <c r="I60" s="274">
        <v>2030</v>
      </c>
      <c r="J60" s="274">
        <v>2035</v>
      </c>
      <c r="K60" s="274">
        <v>2040</v>
      </c>
      <c r="L60" s="274">
        <v>2045</v>
      </c>
      <c r="M60" s="274">
        <v>2050</v>
      </c>
      <c r="N60" s="274">
        <v>2055</v>
      </c>
      <c r="S60" s="34"/>
      <c r="T60" s="184"/>
      <c r="U60" s="184"/>
      <c r="W60" s="34"/>
      <c r="X60" s="184"/>
    </row>
    <row r="61" spans="1:32">
      <c r="A61" s="171"/>
      <c r="B61" s="16" t="s">
        <v>737</v>
      </c>
      <c r="C61" s="275">
        <v>2.581929344679804</v>
      </c>
      <c r="D61" s="24">
        <v>2.6245352283423657</v>
      </c>
      <c r="E61" s="24">
        <v>2.7044649846705924</v>
      </c>
      <c r="F61" s="24">
        <v>2.7144033864231703</v>
      </c>
      <c r="G61" s="24">
        <v>2.6670519411573586</v>
      </c>
      <c r="H61" s="24">
        <v>2.6352892469264995</v>
      </c>
      <c r="I61" s="24">
        <v>2.6079757158216266</v>
      </c>
      <c r="J61" s="24">
        <v>2.5885362492483068</v>
      </c>
      <c r="K61" s="276">
        <f>J61</f>
        <v>2.5885362492483068</v>
      </c>
      <c r="L61" s="276">
        <f>K61</f>
        <v>2.5885362492483068</v>
      </c>
      <c r="M61" s="276">
        <f>L61</f>
        <v>2.5885362492483068</v>
      </c>
      <c r="N61" s="276">
        <f>M61</f>
        <v>2.5885362492483068</v>
      </c>
      <c r="S61" s="34"/>
      <c r="T61" s="184"/>
      <c r="U61" s="184"/>
      <c r="W61" s="34"/>
      <c r="X61" s="184"/>
    </row>
    <row r="62" spans="1:32">
      <c r="A62" s="171"/>
      <c r="B62" s="16" t="s">
        <v>738</v>
      </c>
      <c r="C62" s="35">
        <v>1678.07678222656</v>
      </c>
      <c r="D62" s="35">
        <v>1645.5268550000001</v>
      </c>
      <c r="E62" s="35">
        <v>1652.901611</v>
      </c>
      <c r="F62" s="35">
        <v>1683.307861</v>
      </c>
      <c r="G62" s="35">
        <v>1703.668091</v>
      </c>
      <c r="H62" s="35">
        <v>1723.825928</v>
      </c>
      <c r="I62" s="35">
        <v>1742.627197</v>
      </c>
      <c r="J62" s="35">
        <v>1759.5878909999999</v>
      </c>
      <c r="K62" s="277">
        <f>J62*(1+0.00337)^5</f>
        <v>1789.437456178787</v>
      </c>
      <c r="L62" s="277">
        <f>K62*(1+0.00337)^5</f>
        <v>1819.7933879596176</v>
      </c>
      <c r="M62" s="277">
        <f>L62*(1+0.00337)^5</f>
        <v>1850.664276321412</v>
      </c>
      <c r="N62" s="277">
        <f>M62*(1+0.00337)^5</f>
        <v>1882.0588569630838</v>
      </c>
      <c r="R62" s="34"/>
      <c r="S62" s="184"/>
      <c r="T62" s="184"/>
      <c r="V62" s="34"/>
      <c r="W62" s="184"/>
    </row>
    <row r="63" spans="1:32">
      <c r="A63" s="171"/>
      <c r="C63" s="35"/>
      <c r="D63" s="35"/>
      <c r="E63" s="35"/>
      <c r="F63" s="35"/>
      <c r="G63" s="35"/>
      <c r="H63" s="35"/>
      <c r="I63" s="35"/>
      <c r="J63" s="35"/>
      <c r="K63" s="185"/>
      <c r="L63" s="185"/>
      <c r="M63" s="185"/>
      <c r="N63" s="185"/>
      <c r="R63" s="24"/>
      <c r="S63" s="186"/>
      <c r="T63" s="24"/>
      <c r="U63" s="24"/>
      <c r="V63" s="24"/>
      <c r="W63" s="24"/>
      <c r="X63" s="24"/>
      <c r="Y63" s="24"/>
      <c r="Z63" s="24"/>
      <c r="AA63" s="24"/>
      <c r="AB63" s="24"/>
      <c r="AC63" s="24"/>
    </row>
    <row r="64" spans="1:32">
      <c r="B64" s="16" t="s">
        <v>752</v>
      </c>
      <c r="R64" s="24"/>
      <c r="S64" s="186"/>
      <c r="T64" s="24"/>
      <c r="U64" s="24"/>
      <c r="V64" s="24"/>
      <c r="W64" s="24"/>
      <c r="X64" s="24"/>
      <c r="Y64" s="24"/>
      <c r="Z64" s="24"/>
      <c r="AA64" s="24"/>
      <c r="AB64" s="24"/>
      <c r="AC64" s="24"/>
    </row>
    <row r="65" spans="1:29">
      <c r="B65" s="126" t="s">
        <v>664</v>
      </c>
      <c r="C65" s="274">
        <v>2000</v>
      </c>
      <c r="D65" s="274">
        <v>2005</v>
      </c>
      <c r="E65" s="274">
        <v>2010</v>
      </c>
      <c r="F65" s="274">
        <v>2015</v>
      </c>
      <c r="G65" s="274">
        <v>2020</v>
      </c>
      <c r="H65" s="274">
        <v>2025</v>
      </c>
      <c r="I65" s="274">
        <v>2030</v>
      </c>
      <c r="J65" s="274">
        <v>2035</v>
      </c>
      <c r="K65" s="274">
        <v>2040</v>
      </c>
      <c r="L65" s="274">
        <v>2045</v>
      </c>
      <c r="M65" s="274">
        <v>2050</v>
      </c>
      <c r="N65" s="274">
        <v>2055</v>
      </c>
      <c r="R65" s="24"/>
      <c r="S65" s="186"/>
      <c r="T65" s="24"/>
      <c r="U65" s="24"/>
      <c r="V65" s="24"/>
      <c r="W65" s="24"/>
      <c r="X65" s="24"/>
      <c r="Y65" s="24"/>
      <c r="Z65" s="24"/>
      <c r="AA65" s="24"/>
      <c r="AB65" s="24"/>
      <c r="AC65" s="24"/>
    </row>
    <row r="66" spans="1:29">
      <c r="A66" s="270" t="s">
        <v>665</v>
      </c>
      <c r="B66" s="270" t="s">
        <v>500</v>
      </c>
      <c r="C66" s="270">
        <f>Pop!C4/C$61</f>
        <v>0</v>
      </c>
      <c r="D66" s="270">
        <f>Pop!D4/D$61</f>
        <v>0</v>
      </c>
      <c r="E66" s="270">
        <f>Pop!E4/E$61</f>
        <v>0</v>
      </c>
      <c r="F66" s="270">
        <f>Pop!F4/F$61</f>
        <v>0</v>
      </c>
      <c r="G66" s="270">
        <f>Pop!G4/G$61</f>
        <v>0</v>
      </c>
      <c r="H66" s="270">
        <f>Pop!H4/H$61</f>
        <v>0</v>
      </c>
      <c r="I66" s="270">
        <f>Pop!I4/I$61</f>
        <v>0</v>
      </c>
      <c r="J66" s="270">
        <f>Pop!J4/J$61</f>
        <v>0</v>
      </c>
      <c r="K66" s="270">
        <f>Pop!K4/K$61</f>
        <v>0</v>
      </c>
      <c r="L66" s="270">
        <f>Pop!L4/L$61</f>
        <v>0</v>
      </c>
      <c r="M66" s="270">
        <f>Pop!M4/M$61</f>
        <v>0</v>
      </c>
      <c r="N66" s="270">
        <f>Pop!N4/N$61</f>
        <v>0</v>
      </c>
      <c r="O66" s="270"/>
    </row>
    <row r="67" spans="1:29">
      <c r="A67" s="270" t="s">
        <v>666</v>
      </c>
      <c r="B67" s="33" t="s">
        <v>2345</v>
      </c>
      <c r="C67" s="35">
        <f>Pop!C5/C$61</f>
        <v>954838.67716207227</v>
      </c>
      <c r="D67" s="35">
        <f>Pop!D5/D$61</f>
        <v>959046.75723851833</v>
      </c>
      <c r="E67" s="35">
        <f>Pop!E5/E$61</f>
        <v>943961.56521543872</v>
      </c>
      <c r="F67" s="35">
        <f>Pop!F5/F$61</f>
        <v>971386.57179266354</v>
      </c>
      <c r="G67" s="35">
        <f>Pop!G5/G$61</f>
        <v>993026.02965081844</v>
      </c>
      <c r="H67" s="35">
        <f>Pop!H5/H$61</f>
        <v>1025022.3967446483</v>
      </c>
      <c r="I67" s="35">
        <f>Pop!I5/I$61</f>
        <v>1055994.8788220854</v>
      </c>
      <c r="J67" s="35">
        <f>Pop!J5/J$61</f>
        <v>1080636.5956097031</v>
      </c>
      <c r="K67" s="35">
        <f>Pop!K5/K$61</f>
        <v>1097347.9706242743</v>
      </c>
      <c r="L67" s="35">
        <f>Pop!L5/L$61</f>
        <v>1123509.2838357154</v>
      </c>
      <c r="M67" s="35">
        <f>Pop!M5/M$61</f>
        <v>1143296.2082067938</v>
      </c>
      <c r="N67" s="35">
        <f>Pop!N5/N$61</f>
        <v>1163083.1325778724</v>
      </c>
      <c r="O67" s="35"/>
    </row>
    <row r="68" spans="1:29">
      <c r="B68" s="33" t="s">
        <v>2346</v>
      </c>
      <c r="C68" s="285">
        <v>516145.03036111069</v>
      </c>
      <c r="D68" s="285">
        <v>520505.87290566048</v>
      </c>
      <c r="E68" s="285">
        <v>512156.01157753874</v>
      </c>
      <c r="F68" s="285">
        <v>536192.96501021204</v>
      </c>
      <c r="G68" s="285">
        <v>542467.12547044398</v>
      </c>
      <c r="H68" s="285">
        <v>562705.97306518711</v>
      </c>
      <c r="I68" s="285">
        <v>582443.30680872512</v>
      </c>
      <c r="J68" s="285">
        <v>598454.62873075635</v>
      </c>
      <c r="K68" s="285">
        <v>610091.90057068039</v>
      </c>
      <c r="L68" s="285">
        <v>628136.83901274041</v>
      </c>
      <c r="M68" s="285">
        <v>641516.07211414538</v>
      </c>
      <c r="N68" s="285">
        <v>654895.30521555047</v>
      </c>
      <c r="O68" s="35"/>
    </row>
    <row r="69" spans="1:29">
      <c r="B69" s="33" t="s">
        <v>2347</v>
      </c>
      <c r="C69" s="285">
        <v>595366.79544212471</v>
      </c>
      <c r="D69" s="285">
        <v>609673.66058584629</v>
      </c>
      <c r="E69" s="285">
        <v>586390.65729784686</v>
      </c>
      <c r="F69" s="285">
        <v>605848.78733408079</v>
      </c>
      <c r="G69" s="285">
        <v>614266.62702679622</v>
      </c>
      <c r="H69" s="285">
        <v>628963.40579430491</v>
      </c>
      <c r="I69" s="285">
        <v>642920.0969272675</v>
      </c>
      <c r="J69" s="285">
        <v>650625.81236367498</v>
      </c>
      <c r="K69" s="285">
        <v>653503.3073194297</v>
      </c>
      <c r="L69" s="285">
        <v>669554.52803489484</v>
      </c>
      <c r="M69" s="285">
        <v>677337.07493480982</v>
      </c>
      <c r="N69" s="285">
        <v>685119.62183472468</v>
      </c>
      <c r="O69" s="35"/>
    </row>
    <row r="70" spans="1:29">
      <c r="B70" s="33" t="s">
        <v>2348</v>
      </c>
      <c r="C70" s="285">
        <v>171859.07930219857</v>
      </c>
      <c r="D70" s="285">
        <v>178411.77932892198</v>
      </c>
      <c r="E70" s="285">
        <v>173317.08957477665</v>
      </c>
      <c r="F70" s="285">
        <v>174829.57852676997</v>
      </c>
      <c r="G70" s="285">
        <v>182656.73513227518</v>
      </c>
      <c r="H70" s="285">
        <v>186868.29181060099</v>
      </c>
      <c r="I70" s="285">
        <v>190856.45505835826</v>
      </c>
      <c r="J70" s="285">
        <v>192938.76998826297</v>
      </c>
      <c r="K70" s="285">
        <v>193587.78543105919</v>
      </c>
      <c r="L70" s="285">
        <v>204337.80024672326</v>
      </c>
      <c r="M70" s="285">
        <v>208319.80131607191</v>
      </c>
      <c r="N70" s="285">
        <v>212301.80238542057</v>
      </c>
    </row>
    <row r="71" spans="1:29">
      <c r="B71" s="33" t="s">
        <v>2349</v>
      </c>
      <c r="C71" s="285">
        <v>863454.68925931235</v>
      </c>
      <c r="D71" s="285">
        <v>859062.19724244694</v>
      </c>
      <c r="E71" s="285">
        <v>831958.26633120689</v>
      </c>
      <c r="F71" s="285">
        <v>861754.74570209335</v>
      </c>
      <c r="G71" s="285">
        <v>873734.38966050884</v>
      </c>
      <c r="H71" s="285">
        <v>892472.43077510921</v>
      </c>
      <c r="I71" s="285">
        <v>910112.38547987305</v>
      </c>
      <c r="J71" s="285">
        <v>924499.31914028234</v>
      </c>
      <c r="K71" s="285">
        <v>932051.46371839172</v>
      </c>
      <c r="L71" s="285">
        <v>964459.64714642637</v>
      </c>
      <c r="M71" s="285">
        <v>978802.43020136573</v>
      </c>
      <c r="N71" s="285">
        <v>993145.21325630439</v>
      </c>
    </row>
    <row r="72" spans="1:29">
      <c r="B72" s="33"/>
      <c r="C72" s="278">
        <v>0</v>
      </c>
      <c r="D72" s="278">
        <v>0</v>
      </c>
      <c r="E72" s="278">
        <v>0</v>
      </c>
      <c r="F72" s="278">
        <v>0</v>
      </c>
      <c r="G72" s="278">
        <v>0</v>
      </c>
      <c r="H72" s="278">
        <v>0</v>
      </c>
      <c r="I72" s="278">
        <v>0</v>
      </c>
      <c r="J72" s="278">
        <v>0</v>
      </c>
      <c r="K72" s="278">
        <v>0</v>
      </c>
      <c r="L72" s="278">
        <v>0</v>
      </c>
      <c r="M72" s="278">
        <v>0</v>
      </c>
      <c r="N72" s="278">
        <v>0</v>
      </c>
      <c r="O72" s="270"/>
      <c r="P72" s="270"/>
      <c r="Q72" s="270"/>
      <c r="R72" s="270"/>
      <c r="S72" s="270"/>
      <c r="T72" s="270"/>
    </row>
    <row r="73" spans="1:29">
      <c r="A73" s="270"/>
      <c r="B73" s="270" t="s">
        <v>572</v>
      </c>
      <c r="C73" s="270">
        <v>0</v>
      </c>
      <c r="D73" s="270">
        <f>Pop!D11/D$61</f>
        <v>0</v>
      </c>
      <c r="E73" s="270">
        <f>Pop!E11/E$61</f>
        <v>0</v>
      </c>
      <c r="F73" s="270">
        <f>Pop!F11/F$61</f>
        <v>0</v>
      </c>
      <c r="G73" s="270">
        <f>Pop!G11/G$61</f>
        <v>0</v>
      </c>
      <c r="H73" s="270">
        <f>Pop!H11/H$61</f>
        <v>0</v>
      </c>
      <c r="I73" s="270">
        <f>Pop!I11/I$61</f>
        <v>0</v>
      </c>
      <c r="J73" s="270">
        <f>Pop!J11/J$61</f>
        <v>0</v>
      </c>
      <c r="K73" s="270">
        <f>Pop!K11/K$61</f>
        <v>0</v>
      </c>
      <c r="L73" s="270">
        <f>Pop!L11/L$61</f>
        <v>0</v>
      </c>
      <c r="M73" s="270">
        <f>Pop!M11/M$61</f>
        <v>0</v>
      </c>
      <c r="N73" s="270">
        <f>Pop!N11/N$61</f>
        <v>0</v>
      </c>
    </row>
    <row r="74" spans="1:29">
      <c r="A74" s="270"/>
      <c r="B74" s="270" t="s">
        <v>534</v>
      </c>
      <c r="C74" s="270">
        <v>0</v>
      </c>
      <c r="D74" s="270">
        <f>Pop!D12/D$61</f>
        <v>0</v>
      </c>
      <c r="E74" s="270">
        <f>Pop!E12/E$61</f>
        <v>0</v>
      </c>
      <c r="F74" s="270">
        <f>Pop!F12/F$61</f>
        <v>0</v>
      </c>
      <c r="G74" s="270">
        <f>Pop!G12/G$61</f>
        <v>0</v>
      </c>
      <c r="H74" s="270">
        <f>Pop!H12/H$61</f>
        <v>0</v>
      </c>
      <c r="I74" s="270">
        <f>Pop!I12/I$61</f>
        <v>0</v>
      </c>
      <c r="J74" s="270">
        <f>Pop!J12/J$61</f>
        <v>0</v>
      </c>
      <c r="K74" s="270">
        <f>Pop!K12/K$61</f>
        <v>0</v>
      </c>
      <c r="L74" s="270">
        <f>Pop!L12/L$61</f>
        <v>0</v>
      </c>
      <c r="M74" s="270">
        <f>Pop!M12/M$61</f>
        <v>0</v>
      </c>
      <c r="N74" s="270">
        <f>Pop!N12/N$61</f>
        <v>0</v>
      </c>
    </row>
    <row r="75" spans="1:29">
      <c r="B75" s="33" t="s">
        <v>2351</v>
      </c>
      <c r="C75" s="35">
        <f>SUM(C67:C72)</f>
        <v>3101664.2715268191</v>
      </c>
      <c r="D75" s="35">
        <f>SUM(D67:D72)</f>
        <v>3126700.2673013937</v>
      </c>
      <c r="E75" s="35">
        <f t="shared" ref="E75:N75" si="19">SUM(E67:E72)</f>
        <v>3047783.5899968082</v>
      </c>
      <c r="F75" s="35">
        <f t="shared" si="19"/>
        <v>3150012.6483658198</v>
      </c>
      <c r="G75" s="35">
        <f t="shared" si="19"/>
        <v>3206150.9069408425</v>
      </c>
      <c r="H75" s="35">
        <f t="shared" si="19"/>
        <v>3296032.4981898507</v>
      </c>
      <c r="I75" s="35">
        <f t="shared" si="19"/>
        <v>3382327.1230963091</v>
      </c>
      <c r="J75" s="35">
        <f t="shared" si="19"/>
        <v>3447155.1258326797</v>
      </c>
      <c r="K75" s="35">
        <f t="shared" si="19"/>
        <v>3486582.4276638357</v>
      </c>
      <c r="L75" s="35">
        <f t="shared" si="19"/>
        <v>3589998.0982765006</v>
      </c>
      <c r="M75" s="35">
        <f t="shared" si="19"/>
        <v>3649271.5867731865</v>
      </c>
      <c r="N75" s="35">
        <f t="shared" si="19"/>
        <v>3708545.0752698723</v>
      </c>
    </row>
    <row r="78" spans="1:29">
      <c r="A78" s="16" t="s">
        <v>726</v>
      </c>
      <c r="R78" s="34"/>
      <c r="S78" s="184"/>
      <c r="T78" s="184"/>
      <c r="V78" s="34"/>
      <c r="W78" s="184"/>
    </row>
    <row r="79" spans="1:29">
      <c r="C79" s="288"/>
      <c r="D79" s="274">
        <v>2005</v>
      </c>
      <c r="E79" s="274">
        <v>2010</v>
      </c>
      <c r="F79" s="274">
        <v>2015</v>
      </c>
      <c r="G79" s="274">
        <v>2020</v>
      </c>
      <c r="H79" s="274">
        <v>2025</v>
      </c>
      <c r="I79" s="274">
        <v>2030</v>
      </c>
      <c r="J79" s="274">
        <v>2035</v>
      </c>
      <c r="K79" s="274">
        <v>2040</v>
      </c>
      <c r="L79" s="274">
        <v>2045</v>
      </c>
      <c r="M79" s="274">
        <v>2050</v>
      </c>
      <c r="N79" s="274">
        <v>2055</v>
      </c>
      <c r="R79" s="34"/>
      <c r="S79" s="184"/>
      <c r="T79" s="184"/>
      <c r="V79" s="34"/>
      <c r="W79" s="184"/>
    </row>
    <row r="80" spans="1:29">
      <c r="B80" s="33" t="s">
        <v>2355</v>
      </c>
      <c r="C80" s="24"/>
      <c r="D80" s="35">
        <f>(Pop!C4*$I34+Pop!C5*$I35+Pop!C6*$I36+Pop!C7*$I37+Pop!C8*$I38+Pop!C9*$I39+Pop!C10*$I40+Pop!C11*$I41+Pop!C12*$I42)/Pop!C13</f>
        <v>1112</v>
      </c>
      <c r="E80" s="35">
        <f>(Pop!D4*$I34+Pop!D5*$I35+Pop!D6*$I36+Pop!D7*$I37+Pop!D8*$I38+Pop!D9*$I39+Pop!D10*$I40+Pop!D11*$I41+Pop!D12*$I42)/Pop!D13</f>
        <v>1112</v>
      </c>
      <c r="F80" s="35">
        <f>(Pop!E4*$I34+Pop!E5*$I35+Pop!E6*$I36+Pop!E7*$I37+Pop!E8*$I38+Pop!E9*$I39+Pop!E10*$I40+Pop!E11*$I41+Pop!E12*$I42)/Pop!E13</f>
        <v>1112</v>
      </c>
      <c r="G80" s="35">
        <f>(Pop!F4*$I34+Pop!F5*$I35+Pop!F6*$I36+Pop!F7*$I37+Pop!F8*$I38+Pop!F9*$I39+Pop!F10*$I40+Pop!F11*$I41+Pop!F12*$I42)/Pop!F13</f>
        <v>1112</v>
      </c>
      <c r="H80" s="35">
        <f>(Pop!G4*$I34+Pop!G5*$I35+Pop!G6*$I36+Pop!G7*$I37+Pop!G8*$I38+Pop!G9*$I39+Pop!G10*$I40+Pop!G11*$I41+Pop!G12*$I42)/Pop!G13</f>
        <v>1112</v>
      </c>
      <c r="I80" s="35">
        <f>(Pop!H4*$I34+Pop!H5*$I35+Pop!H6*$I36+Pop!H7*$I37+Pop!H8*$I38+Pop!H9*$I39+Pop!H10*$I40+Pop!H11*$I41+Pop!H12*$I42)/Pop!H13</f>
        <v>1112</v>
      </c>
      <c r="J80" s="35">
        <f>(Pop!I4*$I34+Pop!I5*$I35+Pop!I6*$I36+Pop!I7*$I37+Pop!I8*$I38+Pop!I9*$I39+Pop!I10*$I40+Pop!I11*$I41+Pop!I12*$I42)/Pop!I13</f>
        <v>1112</v>
      </c>
      <c r="K80" s="35">
        <f>(Pop!J4*$I34+Pop!J5*$I35+Pop!J6*$I36+Pop!J7*$I37+Pop!J8*$I38+Pop!J9*$I39+Pop!J10*$I40+Pop!J11*$I41+Pop!J12*$I42)/Pop!J13</f>
        <v>1112</v>
      </c>
      <c r="L80" s="35">
        <f>(Pop!K4*$I34+Pop!K5*$I35+Pop!K6*$I36+Pop!K7*$I37+Pop!K8*$I38+Pop!K9*$I39+Pop!K10*$I40+Pop!K11*$I41+Pop!K12*$I42)/Pop!K13</f>
        <v>1112</v>
      </c>
      <c r="M80" s="35">
        <f>(Pop!L4*$I34+Pop!L5*$I35+Pop!L6*$I36+Pop!L7*$I37+Pop!L8*$I38+Pop!L9*$I39+Pop!L10*$I40+Pop!L11*$I41+Pop!L12*$I42)/Pop!L13</f>
        <v>1112</v>
      </c>
      <c r="N80" s="35">
        <f>(Pop!M4*$I34+Pop!M5*$I35+Pop!M6*$I36+Pop!M7*$I37+Pop!M8*$I38+Pop!M9*$I39+Pop!M10*$I40+Pop!M11*$I41+Pop!M12*$I42)/Pop!M13</f>
        <v>1112</v>
      </c>
    </row>
    <row r="81" spans="1:23">
      <c r="B81" s="33" t="s">
        <v>2356</v>
      </c>
      <c r="C81" s="24"/>
      <c r="D81" s="35">
        <f>(Pop!C4*$J34+Pop!C5*$J35+Pop!C6*$J36+Pop!C7*$J37+Pop!C8*$J38+Pop!C9*$J39+Pop!C10*$J40+Pop!C11*$J41+Pop!C12*$J42)/Pop!C13</f>
        <v>4376</v>
      </c>
      <c r="E81" s="35">
        <f>(Pop!D4*$J34+Pop!D5*$J35+Pop!D6*$J36+Pop!D7*$J37+Pop!D8*$J38+Pop!D9*$J39+Pop!D10*$J40+Pop!D11*$J41+Pop!D12*$J42)/Pop!D13</f>
        <v>4376</v>
      </c>
      <c r="F81" s="35">
        <f>(Pop!E4*$J34+Pop!E5*$J35+Pop!E6*$J36+Pop!E7*$J37+Pop!E8*$J38+Pop!E9*$J39+Pop!E10*$J40+Pop!E11*$J41+Pop!E12*$J42)/Pop!E13</f>
        <v>4376</v>
      </c>
      <c r="G81" s="35">
        <f>(Pop!F4*$J34+Pop!F5*$J35+Pop!F6*$J36+Pop!F7*$J37+Pop!F8*$J38+Pop!F9*$J39+Pop!F10*$J40+Pop!F11*$J41+Pop!F12*$J42)/Pop!F13</f>
        <v>4376</v>
      </c>
      <c r="H81" s="35">
        <f>(Pop!G4*$J34+Pop!G5*$J35+Pop!G6*$J36+Pop!G7*$J37+Pop!G8*$J38+Pop!G9*$J39+Pop!G10*$J40+Pop!G11*$J41+Pop!G12*$J42)/Pop!G13</f>
        <v>4376</v>
      </c>
      <c r="I81" s="35">
        <f>(Pop!H4*$J34+Pop!H5*$J35+Pop!H6*$J36+Pop!H7*$J37+Pop!H8*$J38+Pop!H9*$J39+Pop!H10*$J40+Pop!H11*$J41+Pop!H12*$J42)/Pop!H13</f>
        <v>4376</v>
      </c>
      <c r="J81" s="35">
        <f>(Pop!I4*$J34+Pop!I5*$J35+Pop!I6*$J36+Pop!I7*$J37+Pop!I8*$J38+Pop!I9*$J39+Pop!I10*$J40+Pop!I11*$J41+Pop!I12*$J42)/Pop!I13</f>
        <v>4376</v>
      </c>
      <c r="K81" s="35">
        <f>(Pop!J4*$J34+Pop!J5*$J35+Pop!J6*$J36+Pop!J7*$J37+Pop!J8*$J38+Pop!J9*$J39+Pop!J10*$J40+Pop!J11*$J41+Pop!J12*$J42)/Pop!J13</f>
        <v>4376</v>
      </c>
      <c r="L81" s="35">
        <f>(Pop!K4*$J34+Pop!K5*$J35+Pop!K6*$J36+Pop!K7*$J37+Pop!K8*$J38+Pop!K9*$J39+Pop!K10*$J40+Pop!K11*$J41+Pop!K12*$J42)/Pop!K13</f>
        <v>4376</v>
      </c>
      <c r="M81" s="35">
        <f>(Pop!L4*$J34+Pop!L5*$J35+Pop!L6*$J36+Pop!L7*$J37+Pop!L8*$J38+Pop!L9*$J39+Pop!L10*$J40+Pop!L11*$J41+Pop!L12*$J42)/Pop!L13</f>
        <v>4376</v>
      </c>
      <c r="N81" s="35">
        <f>(Pop!M4*$J34+Pop!M5*$J35+Pop!M6*$J36+Pop!M7*$J37+Pop!M8*$J38+Pop!M9*$J39+Pop!M10*$J40+Pop!M11*$J41+Pop!M12*$J42)/Pop!M13</f>
        <v>4376</v>
      </c>
    </row>
    <row r="82" spans="1:23">
      <c r="A82" s="16" t="s">
        <v>867</v>
      </c>
    </row>
    <row r="83" spans="1:23">
      <c r="C83" s="168"/>
      <c r="D83" s="274">
        <v>2005</v>
      </c>
      <c r="E83" s="274">
        <v>2010</v>
      </c>
      <c r="F83" s="274">
        <v>2015</v>
      </c>
      <c r="G83" s="274">
        <v>2020</v>
      </c>
      <c r="H83" s="274">
        <v>2025</v>
      </c>
      <c r="I83" s="274">
        <v>2030</v>
      </c>
      <c r="J83" s="274">
        <v>2035</v>
      </c>
      <c r="K83" s="274">
        <v>2040</v>
      </c>
      <c r="L83" s="274">
        <v>2045</v>
      </c>
      <c r="M83" s="274">
        <v>2050</v>
      </c>
      <c r="N83" s="274">
        <v>2055</v>
      </c>
    </row>
    <row r="84" spans="1:23">
      <c r="F84" s="187"/>
      <c r="R84" s="34"/>
      <c r="S84" s="184"/>
      <c r="T84" s="184"/>
      <c r="V84" s="34"/>
      <c r="W84" s="184"/>
    </row>
    <row r="85" spans="1:23">
      <c r="B85" s="17" t="s">
        <v>739</v>
      </c>
      <c r="F85" s="187"/>
      <c r="S85" s="34"/>
    </row>
    <row r="86" spans="1:23">
      <c r="B86" s="17" t="s">
        <v>740</v>
      </c>
      <c r="D86" s="25">
        <f>1</f>
        <v>1</v>
      </c>
      <c r="E86" s="25">
        <f>E80/$D80</f>
        <v>1</v>
      </c>
      <c r="F86" s="25">
        <f t="shared" ref="F86:N86" si="20">F80/$D80</f>
        <v>1</v>
      </c>
      <c r="G86" s="25">
        <f t="shared" si="20"/>
        <v>1</v>
      </c>
      <c r="H86" s="25">
        <f t="shared" si="20"/>
        <v>1</v>
      </c>
      <c r="I86" s="25">
        <f t="shared" si="20"/>
        <v>1</v>
      </c>
      <c r="J86" s="25">
        <f t="shared" si="20"/>
        <v>1</v>
      </c>
      <c r="K86" s="25">
        <f t="shared" si="20"/>
        <v>1</v>
      </c>
      <c r="L86" s="25">
        <f t="shared" si="20"/>
        <v>1</v>
      </c>
      <c r="M86" s="25">
        <f t="shared" si="20"/>
        <v>1</v>
      </c>
      <c r="N86" s="25">
        <f t="shared" si="20"/>
        <v>1</v>
      </c>
      <c r="S86" s="34"/>
      <c r="T86" s="184"/>
    </row>
    <row r="87" spans="1:23">
      <c r="B87" s="17" t="s">
        <v>741</v>
      </c>
      <c r="D87" s="25">
        <f>1</f>
        <v>1</v>
      </c>
      <c r="E87" s="25">
        <f>E81/$D81</f>
        <v>1</v>
      </c>
      <c r="F87" s="25">
        <f t="shared" ref="F87:N87" si="21">F81/$D81</f>
        <v>1</v>
      </c>
      <c r="G87" s="25">
        <f t="shared" si="21"/>
        <v>1</v>
      </c>
      <c r="H87" s="25">
        <f t="shared" si="21"/>
        <v>1</v>
      </c>
      <c r="I87" s="25">
        <f t="shared" si="21"/>
        <v>1</v>
      </c>
      <c r="J87" s="25">
        <f t="shared" si="21"/>
        <v>1</v>
      </c>
      <c r="K87" s="25">
        <f t="shared" si="21"/>
        <v>1</v>
      </c>
      <c r="L87" s="25">
        <f t="shared" si="21"/>
        <v>1</v>
      </c>
      <c r="M87" s="25">
        <f t="shared" si="21"/>
        <v>1</v>
      </c>
      <c r="N87" s="25">
        <f t="shared" si="21"/>
        <v>1</v>
      </c>
      <c r="S87" s="34"/>
      <c r="T87" s="184"/>
    </row>
    <row r="88" spans="1:23">
      <c r="F88" s="187"/>
    </row>
    <row r="89" spans="1:23">
      <c r="A89" s="16" t="s">
        <v>742</v>
      </c>
      <c r="B89" s="16"/>
      <c r="C89" s="174"/>
      <c r="D89" s="357">
        <f>DmdCalc!C4*'Conv Factors'!$B$17/(D$62*D86*((1-D$110)*D66*$C34+(1-D$111)*D67*$C35+(1-D$112)*D68*$C36+(1-D$113)*D69*$C37+(1-D$114)*D70*$C38+(1-D$115)*D71*$C39+(1-D$116)*D72*$C40+(1-D$117)*D73*$C41+(1-D$118)*D74*$C42))</f>
        <v>4.9409854617689568</v>
      </c>
      <c r="E89" s="357">
        <f>DmdCalc!D4*'Conv Factors'!$B$17/(E$62*E86*((1-E$110)*E66*$C34+(1-E$111)*E67*$C35+(1-E$112)*E68*$C36+(1-E$113)*E69*$C37+(1-E$114)*E70*$C38+(1-E$115)*E71*$C39+(1-E$116)*E72*$C40+(1-E$117)*E73*$C41+(1-E$118)*E74*$C42))</f>
        <v>5.0272974644474857</v>
      </c>
      <c r="F89" s="357">
        <f>DmdCalc!E4*'Conv Factors'!$B$17/(F$62*F86*((1-F$110)*F66*$C34+(1-F$111)*F67*$C35+(1-F$112)*F68*$C36+(1-F$113)*F69*$C37+(1-F$114)*F70*$C38+(1-F$115)*F71*$C39+(1-F$116)*F72*$C40+(1-F$117)*F73*$C41+(1-F$118)*F74*$C42))</f>
        <v>4.6087896229714236</v>
      </c>
      <c r="G89" s="357">
        <f>DmdCalc!F4*'Conv Factors'!$B$17/(G$62*G86*((1-G$110)*G66*$C34+(1-G$111)*G67*$C35+(1-G$112)*G68*$C36+(1-G$113)*G69*$C37+(1-G$114)*G70*$C38+(1-G$115)*G71*$C39+(1-G$116)*G72*$C40+(1-G$117)*G73*$C41+(1-G$118)*G74*$C42))</f>
        <v>4.6827020755741078</v>
      </c>
      <c r="H89" s="357">
        <f>DmdCalc!G4*'Conv Factors'!$B$17/(H$62*H86*((1-H$110)*H66*$C34+(1-H$111)*H67*$C35+(1-H$112)*H68*$C36+(1-H$113)*H69*$C37+(1-H$114)*H70*$C38+(1-H$115)*H71*$C39+(1-H$116)*H72*$C40+(1-H$117)*H73*$C41+(1-H$118)*H74*$C42))</f>
        <v>4.825934522490825</v>
      </c>
      <c r="I89" s="357">
        <f>DmdCalc!H4*'Conv Factors'!$B$17/(I$62*I86*((1-I$110)*I66*$C34+(1-I$111)*I67*$C35+(1-I$112)*I68*$C36+(1-I$113)*I69*$C37+(1-I$114)*I70*$C38+(1-I$115)*I71*$C39+(1-I$116)*I72*$C40+(1-I$117)*I73*$C41+(1-I$118)*I74*$C42))</f>
        <v>4.9733461311672507</v>
      </c>
      <c r="J89" s="357">
        <f>DmdCalc!I4*'Conv Factors'!$B$17/(J$62*J86*((1-J$110)*J66*$C34+(1-J$111)*J67*$C35+(1-J$112)*J68*$C36+(1-J$113)*J69*$C37+(1-J$114)*J70*$C38+(1-J$115)*J71*$C39+(1-J$116)*J72*$C40+(1-J$117)*J73*$C41+(1-J$118)*J74*$C42))</f>
        <v>5.2412975300980671</v>
      </c>
      <c r="K89" s="357">
        <f>DmdCalc!J4*'Conv Factors'!$B$17/(K$62*K86*((1-K$110)*K66*$C34+(1-K$111)*K67*$C35+(1-K$112)*K68*$C36+(1-K$113)*K69*$C37+(1-K$114)*K70*$C38+(1-K$115)*K71*$C39+(1-K$116)*K72*$C40+(1-K$117)*K73*$C41+(1-K$118)*K74*$C42))</f>
        <v>5.5263074512864021</v>
      </c>
      <c r="L89" s="357">
        <f>DmdCalc!K4*'Conv Factors'!$B$17/(L$62*L86*((1-L$110)*L66*$C34+(1-L$111)*L67*$C35+(1-L$112)*L68*$C36+(1-L$113)*L69*$C37+(1-L$114)*L70*$C38+(1-L$115)*L71*$C39+(1-L$116)*L72*$C40+(1-L$117)*L73*$C41+(1-L$118)*L74*$C42))</f>
        <v>5.7227102276359405</v>
      </c>
      <c r="M89" s="357">
        <f>DmdCalc!L4*'Conv Factors'!$B$17/(M$62*M86*((1-M$110)*M66*$C34+(1-M$111)*M67*$C35+(1-M$112)*M68*$C36+(1-M$113)*M69*$C37+(1-M$114)*M70*$C38+(1-M$115)*M71*$C39+(1-M$116)*M72*$C40+(1-M$117)*M73*$C41+(1-M$118)*M74*$C42))</f>
        <v>6.0035018122498673</v>
      </c>
      <c r="N89" s="357">
        <f>DmdCalc!M4*'Conv Factors'!$B$17/(N$62*N86*((1-N$110)*N66*$C34+(1-N$111)*N67*$C35+(1-N$112)*N68*$C36+(1-N$113)*N69*$C37+(1-N$114)*N70*$C38+(1-N$115)*N71*$C39+(1-N$116)*N72*$C40+(1-N$117)*N73*$C41+(1-N$118)*N74*$C42))</f>
        <v>6.2997236356591912</v>
      </c>
      <c r="S89" s="34"/>
      <c r="T89" s="188"/>
    </row>
    <row r="90" spans="1:23">
      <c r="A90" s="16" t="s">
        <v>743</v>
      </c>
      <c r="B90" s="16"/>
      <c r="C90" s="174"/>
      <c r="D90" s="357">
        <f>DmdCalc!C6*'Conv Factors'!$B$17/(D62*D87*(D66*$D34+D67*$D35+D68*$D36+D69*$D37+D70*$D38+D71*$D39+D72*$D40+D73*$D41+D74*$D42))</f>
        <v>6.4917861160404176</v>
      </c>
      <c r="E90" s="357">
        <f>DmdCalc!D6*'Conv Factors'!$B$17/(E62*E87*(E66*$D34+E67*$D35+E68*$D36+E69*$D37+E70*$D38+E71*$D39+E72*$D40+E73*$D41+E74*$D42))</f>
        <v>6.2824763769084848</v>
      </c>
      <c r="F90" s="357">
        <f>DmdCalc!E6*'Conv Factors'!$B$17/(F62*F87*(F66*$D34+F67*$D35+F68*$D36+F69*$D37+F70*$D38+F71*$D39+F72*$D40+F73*$D41+F74*$D42))</f>
        <v>5.9687878698596064</v>
      </c>
      <c r="G90" s="357">
        <f>DmdCalc!F6*'Conv Factors'!$B$17/(G62*G87*(G66*$D34+G67*$D35+G68*$D36+G69*$D37+G70*$D38+G71*$D39+G72*$D40+G73*$D41+G74*$D42))</f>
        <v>5.2102926739303621</v>
      </c>
      <c r="H90" s="357">
        <f>DmdCalc!G6*'Conv Factors'!$B$17/(H62*H87*(H66*$D34+H67*$D35+H68*$D36+H69*$D37+H70*$D38+H71*$D39+H72*$D40+H73*$D41+H74*$D42))</f>
        <v>4.8571741756155093</v>
      </c>
      <c r="I90" s="357">
        <f>DmdCalc!H6*'Conv Factors'!$B$17/(I62*I87*(I66*$D34+I67*$D35+I68*$D36+I69*$D37+I70*$D38+I71*$D39+I72*$D40+I73*$D41+I74*$D42))</f>
        <v>4.5294571124446925</v>
      </c>
      <c r="J90" s="357">
        <f>DmdCalc!I6*'Conv Factors'!$B$17/(J62*J87*(J66*$D34+J67*$D35+J68*$D36+J69*$D37+J70*$D38+J71*$D39+J72*$D40+J73*$D41+J74*$D42))</f>
        <v>4.2492020603130367</v>
      </c>
      <c r="K90" s="357">
        <f>DmdCalc!J6*'Conv Factors'!$B$17/(K62*K87*(K66*$D34+K67*$D35+K68*$D36+K69*$D37+K70*$D38+K71*$D39+K72*$D40+K73*$D41+K74*$D42))</f>
        <v>3.9848355275951444</v>
      </c>
      <c r="L90" s="357">
        <f>DmdCalc!K6*'Conv Factors'!$B$17/(L62*L87*(L66*$D34+L67*$D35+L68*$D36+L69*$D37+L70*$D38+L71*$D39+L72*$D40+L73*$D41+L74*$D42))</f>
        <v>3.6707790637980553</v>
      </c>
      <c r="M90" s="357">
        <f>DmdCalc!L6*'Conv Factors'!$B$17/(M62*M87*(M66*$D34+M67*$D35+M68*$D36+M69*$D37+M70*$D38+M71*$D39+M72*$D40+M73*$D41+M74*$D42))</f>
        <v>3.4252194829403808</v>
      </c>
      <c r="N90" s="357">
        <f>DmdCalc!M6*'Conv Factors'!$B$17/(N62*N87*(N66*$D34+N67*$D35+N68*$D36+N69*$D37+N70*$D38+N71*$D39+N72*$D40+N73*$D41+N74*$D42))</f>
        <v>3.1969302144365828</v>
      </c>
    </row>
    <row r="91" spans="1:23">
      <c r="C91" s="270"/>
      <c r="D91" s="270"/>
      <c r="E91" s="270"/>
      <c r="F91" s="270"/>
      <c r="G91" s="270"/>
      <c r="H91" s="270"/>
      <c r="I91" s="270"/>
      <c r="J91" s="270"/>
      <c r="K91" s="270"/>
      <c r="L91" s="270"/>
      <c r="M91" s="270"/>
      <c r="N91" s="270"/>
    </row>
    <row r="92" spans="1:23">
      <c r="C92" s="270"/>
      <c r="D92" s="358">
        <v>10.714579922038814</v>
      </c>
      <c r="E92" s="358">
        <v>11.713195000062818</v>
      </c>
      <c r="F92" s="358">
        <v>11.226149317228909</v>
      </c>
      <c r="G92" s="358">
        <v>11.628265108308451</v>
      </c>
      <c r="H92" s="358">
        <v>12.117100043691091</v>
      </c>
      <c r="I92" s="358">
        <v>12.392472503072154</v>
      </c>
      <c r="J92" s="358">
        <v>12.602886081400609</v>
      </c>
      <c r="K92" s="358">
        <v>12.737315718153061</v>
      </c>
      <c r="L92" s="358">
        <v>12.852163937448205</v>
      </c>
      <c r="M92" s="358">
        <v>12.992282702941836</v>
      </c>
      <c r="N92" s="358">
        <v>13.157970187315607</v>
      </c>
    </row>
    <row r="93" spans="1:23">
      <c r="C93" s="270"/>
      <c r="D93" s="358">
        <v>5.8843538662654113</v>
      </c>
      <c r="E93" s="358">
        <v>5.6675973015404857</v>
      </c>
      <c r="F93" s="358">
        <v>5.3277315327098096</v>
      </c>
      <c r="G93" s="358">
        <v>5.0826142251521444</v>
      </c>
      <c r="H93" s="358">
        <v>4.84339662907544</v>
      </c>
      <c r="I93" s="358">
        <v>4.5808362381540366</v>
      </c>
      <c r="J93" s="358">
        <v>4.3164025497622349</v>
      </c>
      <c r="K93" s="358">
        <v>4.0521981509494109</v>
      </c>
      <c r="L93" s="358">
        <v>3.7517606083143886</v>
      </c>
      <c r="M93" s="358">
        <v>3.47541774184455</v>
      </c>
      <c r="N93" s="358">
        <v>3.2210554673937235</v>
      </c>
    </row>
    <row r="94" spans="1:23">
      <c r="A94" s="16" t="s">
        <v>868</v>
      </c>
    </row>
    <row r="95" spans="1:23">
      <c r="B95" s="17" t="s">
        <v>744</v>
      </c>
      <c r="C95" s="17">
        <v>1980</v>
      </c>
      <c r="D95" s="17">
        <v>1981</v>
      </c>
      <c r="E95" s="17">
        <v>1982</v>
      </c>
      <c r="F95" s="17">
        <v>1984</v>
      </c>
      <c r="G95" s="17">
        <v>1987</v>
      </c>
      <c r="H95" s="17">
        <v>1990</v>
      </c>
      <c r="I95" s="17">
        <v>1993</v>
      </c>
      <c r="J95" s="17">
        <v>1997</v>
      </c>
      <c r="K95" s="17">
        <v>2001</v>
      </c>
      <c r="L95" s="17">
        <v>2005</v>
      </c>
      <c r="M95" s="17" t="s">
        <v>745</v>
      </c>
      <c r="N95" s="17" t="s">
        <v>746</v>
      </c>
      <c r="O95" s="17" t="s">
        <v>747</v>
      </c>
      <c r="P95" s="132" t="s">
        <v>748</v>
      </c>
    </row>
    <row r="96" spans="1:23">
      <c r="A96" s="17" t="s">
        <v>665</v>
      </c>
      <c r="B96" s="17" t="s">
        <v>500</v>
      </c>
      <c r="C96" s="17">
        <v>48</v>
      </c>
      <c r="D96" s="17">
        <v>48</v>
      </c>
      <c r="E96" s="17">
        <v>46</v>
      </c>
      <c r="F96" s="17">
        <v>46</v>
      </c>
      <c r="G96" s="17">
        <v>42</v>
      </c>
      <c r="H96" s="17">
        <v>42</v>
      </c>
      <c r="I96" s="17">
        <v>37</v>
      </c>
      <c r="J96" s="17">
        <v>31</v>
      </c>
      <c r="K96" s="17">
        <v>24</v>
      </c>
      <c r="L96" s="35">
        <v>15.9</v>
      </c>
      <c r="M96" s="35">
        <f t="shared" ref="M96" si="22">L96-C96</f>
        <v>-32.1</v>
      </c>
      <c r="N96" s="24">
        <f t="shared" ref="N96:N105" si="23">M96/25</f>
        <v>-1.284</v>
      </c>
      <c r="O96" s="176">
        <f t="shared" ref="O96:O105" si="24">N96*0.5/100</f>
        <v>-6.4200000000000004E-3</v>
      </c>
      <c r="P96" s="132">
        <v>4.4999999999999998E-2</v>
      </c>
    </row>
    <row r="97" spans="1:16">
      <c r="A97" s="17" t="s">
        <v>666</v>
      </c>
      <c r="B97" s="17" t="s">
        <v>567</v>
      </c>
      <c r="C97" s="17">
        <v>48</v>
      </c>
      <c r="D97" s="17">
        <v>48</v>
      </c>
      <c r="E97" s="17">
        <v>46</v>
      </c>
      <c r="F97" s="17">
        <v>46</v>
      </c>
      <c r="G97" s="17">
        <v>42</v>
      </c>
      <c r="H97" s="17">
        <v>42</v>
      </c>
      <c r="I97" s="17">
        <v>37</v>
      </c>
      <c r="J97" s="17">
        <v>31</v>
      </c>
      <c r="K97" s="17">
        <v>24</v>
      </c>
      <c r="L97" s="35">
        <v>15.9</v>
      </c>
      <c r="M97" s="35">
        <f t="shared" ref="M97:M105" si="25">L97-C97</f>
        <v>-32.1</v>
      </c>
      <c r="N97" s="24">
        <f t="shared" si="23"/>
        <v>-1.284</v>
      </c>
      <c r="O97" s="176">
        <f t="shared" si="24"/>
        <v>-6.4200000000000004E-3</v>
      </c>
      <c r="P97" s="132">
        <v>9.6000000000000002E-2</v>
      </c>
    </row>
    <row r="98" spans="1:16">
      <c r="A98" s="17" t="s">
        <v>667</v>
      </c>
      <c r="B98" s="17" t="s">
        <v>530</v>
      </c>
      <c r="C98" s="17">
        <v>48</v>
      </c>
      <c r="D98" s="17">
        <v>48</v>
      </c>
      <c r="E98" s="17">
        <v>46</v>
      </c>
      <c r="F98" s="17">
        <v>46</v>
      </c>
      <c r="G98" s="17">
        <v>42</v>
      </c>
      <c r="H98" s="17">
        <v>42</v>
      </c>
      <c r="I98" s="17">
        <v>37</v>
      </c>
      <c r="J98" s="17">
        <v>31</v>
      </c>
      <c r="K98" s="17">
        <v>24</v>
      </c>
      <c r="L98" s="35">
        <v>15.9</v>
      </c>
      <c r="M98" s="35">
        <f t="shared" si="25"/>
        <v>-32.1</v>
      </c>
      <c r="N98" s="24">
        <f t="shared" si="23"/>
        <v>-1.284</v>
      </c>
      <c r="O98" s="176">
        <f t="shared" si="24"/>
        <v>-6.4200000000000004E-3</v>
      </c>
      <c r="P98" s="132">
        <v>0</v>
      </c>
    </row>
    <row r="99" spans="1:16">
      <c r="A99" s="17" t="s">
        <v>668</v>
      </c>
      <c r="B99" s="17" t="s">
        <v>570</v>
      </c>
      <c r="C99" s="17">
        <v>48</v>
      </c>
      <c r="D99" s="17">
        <v>48</v>
      </c>
      <c r="E99" s="17">
        <v>46</v>
      </c>
      <c r="F99" s="17">
        <v>46</v>
      </c>
      <c r="G99" s="17">
        <v>42</v>
      </c>
      <c r="H99" s="17">
        <v>42</v>
      </c>
      <c r="I99" s="17">
        <v>37</v>
      </c>
      <c r="J99" s="17">
        <v>31</v>
      </c>
      <c r="K99" s="17">
        <v>24</v>
      </c>
      <c r="L99" s="35">
        <v>15.9</v>
      </c>
      <c r="M99" s="35">
        <f t="shared" si="25"/>
        <v>-32.1</v>
      </c>
      <c r="N99" s="24">
        <f t="shared" si="23"/>
        <v>-1.284</v>
      </c>
      <c r="O99" s="176">
        <f t="shared" si="24"/>
        <v>-6.4200000000000004E-3</v>
      </c>
      <c r="P99" s="132">
        <v>0</v>
      </c>
    </row>
    <row r="100" spans="1:16">
      <c r="A100" s="17" t="s">
        <v>669</v>
      </c>
      <c r="B100" s="17" t="s">
        <v>568</v>
      </c>
      <c r="C100" s="17">
        <v>48</v>
      </c>
      <c r="D100" s="17">
        <v>48</v>
      </c>
      <c r="E100" s="17">
        <v>46</v>
      </c>
      <c r="F100" s="17">
        <v>46</v>
      </c>
      <c r="G100" s="17">
        <v>42</v>
      </c>
      <c r="H100" s="17">
        <v>42</v>
      </c>
      <c r="I100" s="17">
        <v>37</v>
      </c>
      <c r="J100" s="17">
        <v>31</v>
      </c>
      <c r="K100" s="17">
        <v>24</v>
      </c>
      <c r="L100" s="35">
        <v>15.9</v>
      </c>
      <c r="M100" s="35">
        <f t="shared" si="25"/>
        <v>-32.1</v>
      </c>
      <c r="N100" s="24">
        <f t="shared" si="23"/>
        <v>-1.284</v>
      </c>
      <c r="O100" s="176">
        <f t="shared" si="24"/>
        <v>-6.4200000000000004E-3</v>
      </c>
      <c r="P100" s="132">
        <v>6.8000000000000005E-2</v>
      </c>
    </row>
    <row r="101" spans="1:16">
      <c r="A101" s="17" t="s">
        <v>670</v>
      </c>
      <c r="B101" s="17" t="s">
        <v>571</v>
      </c>
      <c r="C101" s="17">
        <v>48</v>
      </c>
      <c r="D101" s="17">
        <v>48</v>
      </c>
      <c r="E101" s="17">
        <v>46</v>
      </c>
      <c r="F101" s="17">
        <v>46</v>
      </c>
      <c r="G101" s="17">
        <v>42</v>
      </c>
      <c r="H101" s="17">
        <v>42</v>
      </c>
      <c r="I101" s="17">
        <v>37</v>
      </c>
      <c r="J101" s="17">
        <v>31</v>
      </c>
      <c r="K101" s="17">
        <v>24</v>
      </c>
      <c r="L101" s="35">
        <v>15.9</v>
      </c>
      <c r="M101" s="35">
        <f t="shared" si="25"/>
        <v>-32.1</v>
      </c>
      <c r="N101" s="24">
        <f t="shared" si="23"/>
        <v>-1.284</v>
      </c>
      <c r="O101" s="176">
        <f t="shared" si="24"/>
        <v>-6.4200000000000004E-3</v>
      </c>
      <c r="P101" s="132">
        <v>0</v>
      </c>
    </row>
    <row r="102" spans="1:16">
      <c r="A102" s="17" t="s">
        <v>671</v>
      </c>
      <c r="B102" s="17" t="s">
        <v>569</v>
      </c>
      <c r="C102" s="17">
        <v>48</v>
      </c>
      <c r="D102" s="17">
        <v>48</v>
      </c>
      <c r="E102" s="17">
        <v>46</v>
      </c>
      <c r="F102" s="17">
        <v>46</v>
      </c>
      <c r="G102" s="17">
        <v>42</v>
      </c>
      <c r="H102" s="17">
        <v>42</v>
      </c>
      <c r="I102" s="17">
        <v>37</v>
      </c>
      <c r="J102" s="17">
        <v>31</v>
      </c>
      <c r="K102" s="17">
        <v>24</v>
      </c>
      <c r="L102" s="35">
        <v>15.9</v>
      </c>
      <c r="M102" s="35">
        <f t="shared" si="25"/>
        <v>-32.1</v>
      </c>
      <c r="N102" s="24">
        <f t="shared" si="23"/>
        <v>-1.284</v>
      </c>
      <c r="O102" s="176">
        <f t="shared" si="24"/>
        <v>-6.4200000000000004E-3</v>
      </c>
      <c r="P102" s="132">
        <v>5.8000000000000003E-2</v>
      </c>
    </row>
    <row r="103" spans="1:16">
      <c r="A103" s="17" t="s">
        <v>672</v>
      </c>
      <c r="B103" s="17" t="s">
        <v>572</v>
      </c>
      <c r="C103" s="17">
        <v>48</v>
      </c>
      <c r="D103" s="17">
        <v>48</v>
      </c>
      <c r="E103" s="17">
        <v>46</v>
      </c>
      <c r="F103" s="17">
        <v>46</v>
      </c>
      <c r="G103" s="17">
        <v>42</v>
      </c>
      <c r="H103" s="17">
        <v>42</v>
      </c>
      <c r="I103" s="17">
        <v>37</v>
      </c>
      <c r="J103" s="17">
        <v>31</v>
      </c>
      <c r="K103" s="17">
        <v>24</v>
      </c>
      <c r="L103" s="35">
        <v>15.9</v>
      </c>
      <c r="M103" s="35">
        <f t="shared" si="25"/>
        <v>-32.1</v>
      </c>
      <c r="N103" s="24">
        <f t="shared" si="23"/>
        <v>-1.284</v>
      </c>
      <c r="O103" s="176">
        <f t="shared" si="24"/>
        <v>-6.4200000000000004E-3</v>
      </c>
      <c r="P103" s="132">
        <v>7.6999999999999999E-2</v>
      </c>
    </row>
    <row r="104" spans="1:16">
      <c r="A104" s="17" t="s">
        <v>673</v>
      </c>
      <c r="B104" s="17" t="s">
        <v>534</v>
      </c>
      <c r="C104" s="17">
        <v>48</v>
      </c>
      <c r="D104" s="17">
        <v>48</v>
      </c>
      <c r="E104" s="17">
        <v>46</v>
      </c>
      <c r="F104" s="17">
        <v>46</v>
      </c>
      <c r="G104" s="17">
        <v>42</v>
      </c>
      <c r="H104" s="17">
        <v>42</v>
      </c>
      <c r="I104" s="17">
        <v>37</v>
      </c>
      <c r="J104" s="17">
        <v>31</v>
      </c>
      <c r="K104" s="17">
        <v>24</v>
      </c>
      <c r="L104" s="35">
        <v>15.9</v>
      </c>
      <c r="M104" s="35">
        <f t="shared" si="25"/>
        <v>-32.1</v>
      </c>
      <c r="N104" s="24">
        <f t="shared" si="23"/>
        <v>-1.284</v>
      </c>
      <c r="O104" s="176">
        <f t="shared" si="24"/>
        <v>-6.4200000000000004E-3</v>
      </c>
      <c r="P104" s="132">
        <v>4.1000000000000002E-2</v>
      </c>
    </row>
    <row r="105" spans="1:16">
      <c r="A105" s="17" t="s">
        <v>749</v>
      </c>
      <c r="B105" s="182" t="s">
        <v>674</v>
      </c>
      <c r="C105" s="17">
        <v>48</v>
      </c>
      <c r="D105" s="17">
        <v>48</v>
      </c>
      <c r="E105" s="17">
        <v>46</v>
      </c>
      <c r="F105" s="17">
        <v>46</v>
      </c>
      <c r="G105" s="17">
        <v>42</v>
      </c>
      <c r="H105" s="17">
        <v>42</v>
      </c>
      <c r="I105" s="17">
        <v>37</v>
      </c>
      <c r="J105" s="17">
        <v>31</v>
      </c>
      <c r="K105" s="17">
        <v>24</v>
      </c>
      <c r="L105" s="35">
        <v>15.9</v>
      </c>
      <c r="M105" s="35">
        <f t="shared" si="25"/>
        <v>-32.1</v>
      </c>
      <c r="N105" s="24">
        <f t="shared" si="23"/>
        <v>-1.284</v>
      </c>
      <c r="O105" s="176">
        <f t="shared" si="24"/>
        <v>-6.4200000000000004E-3</v>
      </c>
      <c r="P105" s="132"/>
    </row>
    <row r="106" spans="1:16">
      <c r="B106" s="16" t="s">
        <v>750</v>
      </c>
      <c r="L106" s="35"/>
      <c r="M106" s="35"/>
      <c r="N106" s="24"/>
      <c r="O106" s="176"/>
    </row>
    <row r="108" spans="1:16">
      <c r="A108" s="16" t="s">
        <v>751</v>
      </c>
    </row>
    <row r="109" spans="1:16">
      <c r="B109" s="21" t="s">
        <v>664</v>
      </c>
      <c r="C109" s="168">
        <v>2000</v>
      </c>
      <c r="D109" s="168">
        <v>2005</v>
      </c>
      <c r="E109" s="168">
        <v>2010</v>
      </c>
      <c r="F109" s="168">
        <v>2015</v>
      </c>
      <c r="G109" s="168">
        <v>2020</v>
      </c>
      <c r="H109" s="168">
        <v>2025</v>
      </c>
      <c r="I109" s="168">
        <v>2030</v>
      </c>
      <c r="J109" s="168">
        <v>2035</v>
      </c>
      <c r="K109" s="168">
        <v>2040</v>
      </c>
      <c r="L109" s="168">
        <v>2045</v>
      </c>
      <c r="M109" s="168">
        <v>2050</v>
      </c>
      <c r="N109" s="168">
        <v>2055</v>
      </c>
    </row>
    <row r="110" spans="1:16">
      <c r="A110" s="17" t="s">
        <v>665</v>
      </c>
      <c r="B110" s="17" t="s">
        <v>500</v>
      </c>
      <c r="C110" s="25">
        <f t="shared" ref="C110:C119" si="26">(L96-5*N96)/100</f>
        <v>0.22320000000000001</v>
      </c>
      <c r="D110" s="25">
        <f t="shared" ref="D110:D119" si="27">L96/100</f>
        <v>0.159</v>
      </c>
      <c r="E110" s="25">
        <f t="shared" ref="E110:N110" si="28">IF((D110+5*$O96)&lt;$P96,$P96,(D110+5*$O96))</f>
        <v>0.12690000000000001</v>
      </c>
      <c r="F110" s="25">
        <f t="shared" si="28"/>
        <v>9.4800000000000009E-2</v>
      </c>
      <c r="G110" s="25">
        <f t="shared" si="28"/>
        <v>6.2700000000000006E-2</v>
      </c>
      <c r="H110" s="25">
        <f t="shared" si="28"/>
        <v>4.4999999999999998E-2</v>
      </c>
      <c r="I110" s="25">
        <f t="shared" si="28"/>
        <v>4.4999999999999998E-2</v>
      </c>
      <c r="J110" s="25">
        <f t="shared" si="28"/>
        <v>4.4999999999999998E-2</v>
      </c>
      <c r="K110" s="25">
        <f t="shared" si="28"/>
        <v>4.4999999999999998E-2</v>
      </c>
      <c r="L110" s="25">
        <f t="shared" si="28"/>
        <v>4.4999999999999998E-2</v>
      </c>
      <c r="M110" s="25">
        <f t="shared" si="28"/>
        <v>4.4999999999999998E-2</v>
      </c>
      <c r="N110" s="25">
        <f t="shared" si="28"/>
        <v>4.4999999999999998E-2</v>
      </c>
    </row>
    <row r="111" spans="1:16">
      <c r="A111" s="17" t="s">
        <v>666</v>
      </c>
      <c r="B111" s="17" t="s">
        <v>567</v>
      </c>
      <c r="C111" s="25">
        <f t="shared" si="26"/>
        <v>0.22320000000000001</v>
      </c>
      <c r="D111" s="25">
        <f t="shared" si="27"/>
        <v>0.159</v>
      </c>
      <c r="E111" s="25">
        <f t="shared" ref="E111:N111" si="29">IF((D111+5*$O97)&lt;$P97,$P97,(D111+5*$O97))</f>
        <v>0.12690000000000001</v>
      </c>
      <c r="F111" s="25">
        <f t="shared" si="29"/>
        <v>9.6000000000000002E-2</v>
      </c>
      <c r="G111" s="25">
        <f t="shared" si="29"/>
        <v>9.6000000000000002E-2</v>
      </c>
      <c r="H111" s="25">
        <f t="shared" si="29"/>
        <v>9.6000000000000002E-2</v>
      </c>
      <c r="I111" s="25">
        <f t="shared" si="29"/>
        <v>9.6000000000000002E-2</v>
      </c>
      <c r="J111" s="25">
        <f t="shared" si="29"/>
        <v>9.6000000000000002E-2</v>
      </c>
      <c r="K111" s="25">
        <f t="shared" si="29"/>
        <v>9.6000000000000002E-2</v>
      </c>
      <c r="L111" s="25">
        <f t="shared" si="29"/>
        <v>9.6000000000000002E-2</v>
      </c>
      <c r="M111" s="25">
        <f t="shared" si="29"/>
        <v>9.6000000000000002E-2</v>
      </c>
      <c r="N111" s="25">
        <f t="shared" si="29"/>
        <v>9.6000000000000002E-2</v>
      </c>
    </row>
    <row r="112" spans="1:16">
      <c r="A112" s="17" t="s">
        <v>667</v>
      </c>
      <c r="B112" s="17" t="s">
        <v>530</v>
      </c>
      <c r="C112" s="25">
        <f t="shared" si="26"/>
        <v>0.22320000000000001</v>
      </c>
      <c r="D112" s="25">
        <f t="shared" si="27"/>
        <v>0.159</v>
      </c>
      <c r="E112" s="25">
        <f t="shared" ref="E112:N112" si="30">IF((D112+5*$O98)&lt;$P98,$P98,(D112+5*$O98))</f>
        <v>0.12690000000000001</v>
      </c>
      <c r="F112" s="25">
        <f t="shared" si="30"/>
        <v>9.4800000000000009E-2</v>
      </c>
      <c r="G112" s="25">
        <f t="shared" si="30"/>
        <v>6.2700000000000006E-2</v>
      </c>
      <c r="H112" s="25">
        <f t="shared" si="30"/>
        <v>3.0600000000000002E-2</v>
      </c>
      <c r="I112" s="25">
        <f t="shared" si="30"/>
        <v>0</v>
      </c>
      <c r="J112" s="25">
        <f t="shared" si="30"/>
        <v>0</v>
      </c>
      <c r="K112" s="25">
        <f t="shared" si="30"/>
        <v>0</v>
      </c>
      <c r="L112" s="25">
        <f t="shared" si="30"/>
        <v>0</v>
      </c>
      <c r="M112" s="25">
        <f t="shared" si="30"/>
        <v>0</v>
      </c>
      <c r="N112" s="25">
        <f t="shared" si="30"/>
        <v>0</v>
      </c>
    </row>
    <row r="113" spans="1:14">
      <c r="A113" s="17" t="s">
        <v>668</v>
      </c>
      <c r="B113" s="17" t="s">
        <v>570</v>
      </c>
      <c r="C113" s="25">
        <f t="shared" si="26"/>
        <v>0.22320000000000001</v>
      </c>
      <c r="D113" s="25">
        <f t="shared" si="27"/>
        <v>0.159</v>
      </c>
      <c r="E113" s="25">
        <f t="shared" ref="E113:N113" si="31">IF((D113+5*$O99)&lt;$P99,$P99,(D113+5*$O99))</f>
        <v>0.12690000000000001</v>
      </c>
      <c r="F113" s="25">
        <f t="shared" si="31"/>
        <v>9.4800000000000009E-2</v>
      </c>
      <c r="G113" s="25">
        <f t="shared" si="31"/>
        <v>6.2700000000000006E-2</v>
      </c>
      <c r="H113" s="25">
        <f t="shared" si="31"/>
        <v>3.0600000000000002E-2</v>
      </c>
      <c r="I113" s="25">
        <f t="shared" si="31"/>
        <v>0</v>
      </c>
      <c r="J113" s="25">
        <f t="shared" si="31"/>
        <v>0</v>
      </c>
      <c r="K113" s="25">
        <f t="shared" si="31"/>
        <v>0</v>
      </c>
      <c r="L113" s="25">
        <f t="shared" si="31"/>
        <v>0</v>
      </c>
      <c r="M113" s="25">
        <f t="shared" si="31"/>
        <v>0</v>
      </c>
      <c r="N113" s="25">
        <f t="shared" si="31"/>
        <v>0</v>
      </c>
    </row>
    <row r="114" spans="1:14">
      <c r="A114" s="17" t="s">
        <v>669</v>
      </c>
      <c r="B114" s="17" t="s">
        <v>568</v>
      </c>
      <c r="C114" s="25">
        <f t="shared" si="26"/>
        <v>0.22320000000000001</v>
      </c>
      <c r="D114" s="25">
        <f t="shared" si="27"/>
        <v>0.159</v>
      </c>
      <c r="E114" s="25">
        <f t="shared" ref="E114:N114" si="32">IF((D114+5*$O100)&lt;$P100,$P100,(D114+5*$O100))</f>
        <v>0.12690000000000001</v>
      </c>
      <c r="F114" s="25">
        <f t="shared" si="32"/>
        <v>9.4800000000000009E-2</v>
      </c>
      <c r="G114" s="25">
        <f t="shared" si="32"/>
        <v>6.8000000000000005E-2</v>
      </c>
      <c r="H114" s="25">
        <f t="shared" si="32"/>
        <v>6.8000000000000005E-2</v>
      </c>
      <c r="I114" s="25">
        <f t="shared" si="32"/>
        <v>6.8000000000000005E-2</v>
      </c>
      <c r="J114" s="25">
        <f t="shared" si="32"/>
        <v>6.8000000000000005E-2</v>
      </c>
      <c r="K114" s="25">
        <f t="shared" si="32"/>
        <v>6.8000000000000005E-2</v>
      </c>
      <c r="L114" s="25">
        <f t="shared" si="32"/>
        <v>6.8000000000000005E-2</v>
      </c>
      <c r="M114" s="25">
        <f t="shared" si="32"/>
        <v>6.8000000000000005E-2</v>
      </c>
      <c r="N114" s="25">
        <f t="shared" si="32"/>
        <v>6.8000000000000005E-2</v>
      </c>
    </row>
    <row r="115" spans="1:14">
      <c r="A115" s="17" t="s">
        <v>670</v>
      </c>
      <c r="B115" s="17" t="s">
        <v>571</v>
      </c>
      <c r="C115" s="25">
        <f t="shared" si="26"/>
        <v>0.22320000000000001</v>
      </c>
      <c r="D115" s="25">
        <f t="shared" si="27"/>
        <v>0.159</v>
      </c>
      <c r="E115" s="25">
        <f t="shared" ref="E115:N115" si="33">IF((D115+5*$O101)&lt;$P101,$P101,(D115+5*$O101))</f>
        <v>0.12690000000000001</v>
      </c>
      <c r="F115" s="25">
        <f t="shared" si="33"/>
        <v>9.4800000000000009E-2</v>
      </c>
      <c r="G115" s="25">
        <f t="shared" si="33"/>
        <v>6.2700000000000006E-2</v>
      </c>
      <c r="H115" s="25">
        <f t="shared" si="33"/>
        <v>3.0600000000000002E-2</v>
      </c>
      <c r="I115" s="25">
        <f t="shared" si="33"/>
        <v>0</v>
      </c>
      <c r="J115" s="25">
        <f t="shared" si="33"/>
        <v>0</v>
      </c>
      <c r="K115" s="25">
        <f t="shared" si="33"/>
        <v>0</v>
      </c>
      <c r="L115" s="25">
        <f t="shared" si="33"/>
        <v>0</v>
      </c>
      <c r="M115" s="25">
        <f t="shared" si="33"/>
        <v>0</v>
      </c>
      <c r="N115" s="25">
        <f t="shared" si="33"/>
        <v>0</v>
      </c>
    </row>
    <row r="116" spans="1:14">
      <c r="A116" s="17" t="s">
        <v>671</v>
      </c>
      <c r="B116" s="17" t="s">
        <v>569</v>
      </c>
      <c r="C116" s="25">
        <f t="shared" si="26"/>
        <v>0.22320000000000001</v>
      </c>
      <c r="D116" s="25">
        <f t="shared" si="27"/>
        <v>0.159</v>
      </c>
      <c r="E116" s="25">
        <f t="shared" ref="E116:N116" si="34">IF((D116+5*$O102)&lt;$P102,$P102,(D116+5*$O102))</f>
        <v>0.12690000000000001</v>
      </c>
      <c r="F116" s="25">
        <f t="shared" si="34"/>
        <v>9.4800000000000009E-2</v>
      </c>
      <c r="G116" s="25">
        <f t="shared" si="34"/>
        <v>6.2700000000000006E-2</v>
      </c>
      <c r="H116" s="25">
        <f t="shared" si="34"/>
        <v>5.8000000000000003E-2</v>
      </c>
      <c r="I116" s="25">
        <f t="shared" si="34"/>
        <v>5.8000000000000003E-2</v>
      </c>
      <c r="J116" s="25">
        <f t="shared" si="34"/>
        <v>5.8000000000000003E-2</v>
      </c>
      <c r="K116" s="25">
        <f t="shared" si="34"/>
        <v>5.8000000000000003E-2</v>
      </c>
      <c r="L116" s="25">
        <f t="shared" si="34"/>
        <v>5.8000000000000003E-2</v>
      </c>
      <c r="M116" s="25">
        <f t="shared" si="34"/>
        <v>5.8000000000000003E-2</v>
      </c>
      <c r="N116" s="25">
        <f t="shared" si="34"/>
        <v>5.8000000000000003E-2</v>
      </c>
    </row>
    <row r="117" spans="1:14">
      <c r="A117" s="17" t="s">
        <v>672</v>
      </c>
      <c r="B117" s="17" t="s">
        <v>572</v>
      </c>
      <c r="C117" s="25">
        <f t="shared" si="26"/>
        <v>0.22320000000000001</v>
      </c>
      <c r="D117" s="25">
        <f t="shared" si="27"/>
        <v>0.159</v>
      </c>
      <c r="E117" s="25">
        <f t="shared" ref="E117:N117" si="35">IF((D117+5*$O103)&lt;$P103,$P103,(D117+5*$O103))</f>
        <v>0.12690000000000001</v>
      </c>
      <c r="F117" s="25">
        <f t="shared" si="35"/>
        <v>9.4800000000000009E-2</v>
      </c>
      <c r="G117" s="25">
        <f t="shared" si="35"/>
        <v>7.6999999999999999E-2</v>
      </c>
      <c r="H117" s="25">
        <f t="shared" si="35"/>
        <v>7.6999999999999999E-2</v>
      </c>
      <c r="I117" s="25">
        <f t="shared" si="35"/>
        <v>7.6999999999999999E-2</v>
      </c>
      <c r="J117" s="25">
        <f t="shared" si="35"/>
        <v>7.6999999999999999E-2</v>
      </c>
      <c r="K117" s="25">
        <f t="shared" si="35"/>
        <v>7.6999999999999999E-2</v>
      </c>
      <c r="L117" s="25">
        <f t="shared" si="35"/>
        <v>7.6999999999999999E-2</v>
      </c>
      <c r="M117" s="25">
        <f t="shared" si="35"/>
        <v>7.6999999999999999E-2</v>
      </c>
      <c r="N117" s="25">
        <f t="shared" si="35"/>
        <v>7.6999999999999999E-2</v>
      </c>
    </row>
    <row r="118" spans="1:14">
      <c r="A118" s="17" t="s">
        <v>673</v>
      </c>
      <c r="B118" s="17" t="s">
        <v>534</v>
      </c>
      <c r="C118" s="25">
        <f t="shared" si="26"/>
        <v>0.22320000000000001</v>
      </c>
      <c r="D118" s="25">
        <f t="shared" si="27"/>
        <v>0.159</v>
      </c>
      <c r="E118" s="25">
        <f t="shared" ref="E118:N118" si="36">IF((D118+5*$O104)&lt;$P104,$P104,(D118+5*$O104))</f>
        <v>0.12690000000000001</v>
      </c>
      <c r="F118" s="25">
        <f t="shared" si="36"/>
        <v>9.4800000000000009E-2</v>
      </c>
      <c r="G118" s="25">
        <f t="shared" si="36"/>
        <v>6.2700000000000006E-2</v>
      </c>
      <c r="H118" s="25">
        <f t="shared" si="36"/>
        <v>4.1000000000000002E-2</v>
      </c>
      <c r="I118" s="25">
        <f t="shared" si="36"/>
        <v>4.1000000000000002E-2</v>
      </c>
      <c r="J118" s="25">
        <f t="shared" si="36"/>
        <v>4.1000000000000002E-2</v>
      </c>
      <c r="K118" s="25">
        <f t="shared" si="36"/>
        <v>4.1000000000000002E-2</v>
      </c>
      <c r="L118" s="25">
        <f t="shared" si="36"/>
        <v>4.1000000000000002E-2</v>
      </c>
      <c r="M118" s="25">
        <f t="shared" si="36"/>
        <v>4.1000000000000002E-2</v>
      </c>
      <c r="N118" s="25">
        <f t="shared" si="36"/>
        <v>4.1000000000000002E-2</v>
      </c>
    </row>
    <row r="119" spans="1:14">
      <c r="A119" s="17" t="s">
        <v>749</v>
      </c>
      <c r="B119" s="182" t="s">
        <v>674</v>
      </c>
      <c r="C119" s="25">
        <f t="shared" si="26"/>
        <v>0.22320000000000001</v>
      </c>
      <c r="D119" s="25">
        <f t="shared" si="27"/>
        <v>0.159</v>
      </c>
      <c r="E119" s="25">
        <f t="shared" ref="E119:N119" si="37">D119+5*$O105</f>
        <v>0.12690000000000001</v>
      </c>
      <c r="F119" s="25">
        <f t="shared" si="37"/>
        <v>9.4800000000000009E-2</v>
      </c>
      <c r="G119" s="25">
        <f t="shared" si="37"/>
        <v>6.2700000000000006E-2</v>
      </c>
      <c r="H119" s="25">
        <f t="shared" si="37"/>
        <v>3.0600000000000002E-2</v>
      </c>
      <c r="I119" s="25">
        <f t="shared" si="37"/>
        <v>-1.5000000000000013E-3</v>
      </c>
      <c r="J119" s="25">
        <f t="shared" si="37"/>
        <v>-3.3600000000000005E-2</v>
      </c>
      <c r="K119" s="25">
        <f t="shared" si="37"/>
        <v>-6.5700000000000008E-2</v>
      </c>
      <c r="L119" s="25">
        <f t="shared" si="37"/>
        <v>-9.7800000000000012E-2</v>
      </c>
      <c r="M119" s="25">
        <f t="shared" si="37"/>
        <v>-0.12990000000000002</v>
      </c>
      <c r="N119" s="25">
        <f t="shared" si="37"/>
        <v>-0.16200000000000003</v>
      </c>
    </row>
    <row r="122" spans="1:14">
      <c r="A122" s="16" t="s">
        <v>869</v>
      </c>
      <c r="C122" s="25"/>
      <c r="D122" s="25"/>
      <c r="E122" s="25"/>
      <c r="F122" s="25"/>
      <c r="G122" s="25"/>
      <c r="H122" s="25"/>
      <c r="I122" s="25"/>
      <c r="J122" s="25"/>
      <c r="K122" s="25"/>
      <c r="L122" s="25"/>
      <c r="M122" s="25"/>
      <c r="N122" s="25"/>
    </row>
    <row r="123" spans="1:14">
      <c r="C123" s="25"/>
      <c r="D123" s="25"/>
      <c r="E123" s="25"/>
      <c r="F123" s="25"/>
      <c r="G123" s="25"/>
      <c r="H123" s="25"/>
      <c r="I123" s="25"/>
      <c r="J123" s="25"/>
      <c r="K123" s="25"/>
      <c r="L123" s="25"/>
      <c r="M123" s="25"/>
      <c r="N123" s="25"/>
    </row>
    <row r="124" spans="1:14">
      <c r="A124" s="16" t="s">
        <v>753</v>
      </c>
      <c r="C124" s="25"/>
      <c r="D124" s="25"/>
      <c r="E124" s="25"/>
      <c r="F124" s="25"/>
      <c r="G124" s="25"/>
      <c r="H124" s="25"/>
      <c r="I124" s="25"/>
      <c r="J124" s="25"/>
      <c r="K124" s="25"/>
      <c r="L124" s="25"/>
      <c r="M124" s="25"/>
      <c r="N124" s="25"/>
    </row>
    <row r="125" spans="1:14">
      <c r="B125" s="17" t="s">
        <v>754</v>
      </c>
    </row>
    <row r="126" spans="1:14">
      <c r="B126" s="17" t="s">
        <v>755</v>
      </c>
      <c r="C126" s="356">
        <v>2000</v>
      </c>
      <c r="D126" s="356">
        <v>2005</v>
      </c>
      <c r="E126" s="356">
        <v>2010</v>
      </c>
      <c r="F126" s="356">
        <v>2015</v>
      </c>
      <c r="G126" s="356">
        <v>2020</v>
      </c>
      <c r="H126" s="356">
        <v>2025</v>
      </c>
      <c r="I126" s="356">
        <v>2030</v>
      </c>
      <c r="J126" s="356">
        <v>2035</v>
      </c>
      <c r="K126" s="356">
        <v>2040</v>
      </c>
      <c r="L126" s="356">
        <v>2045</v>
      </c>
      <c r="M126" s="356">
        <v>2050</v>
      </c>
      <c r="N126" s="356">
        <v>2055</v>
      </c>
    </row>
    <row r="127" spans="1:14">
      <c r="B127" s="17" t="s">
        <v>756</v>
      </c>
      <c r="C127" s="25">
        <f t="shared" ref="C127:N127" si="38">1-C128</f>
        <v>0.82000000000000006</v>
      </c>
      <c r="D127" s="25">
        <f t="shared" si="38"/>
        <v>0.76600000000000001</v>
      </c>
      <c r="E127" s="25">
        <f t="shared" si="38"/>
        <v>0.71920000000000006</v>
      </c>
      <c r="F127" s="25">
        <f t="shared" si="38"/>
        <v>0.69112000000000007</v>
      </c>
      <c r="G127" s="25">
        <f t="shared" si="38"/>
        <v>0.66023200000000004</v>
      </c>
      <c r="H127" s="25">
        <f t="shared" si="38"/>
        <v>0.62625520000000001</v>
      </c>
      <c r="I127" s="25">
        <f t="shared" si="38"/>
        <v>0.58888071999999991</v>
      </c>
      <c r="J127" s="25">
        <f t="shared" si="38"/>
        <v>0.54776879199999995</v>
      </c>
      <c r="K127" s="25">
        <f t="shared" si="38"/>
        <v>0.50254567119999982</v>
      </c>
      <c r="L127" s="25">
        <f t="shared" si="38"/>
        <v>0.45280023831999983</v>
      </c>
      <c r="M127" s="25">
        <f t="shared" si="38"/>
        <v>0.39808026215199976</v>
      </c>
      <c r="N127" s="25">
        <f t="shared" si="38"/>
        <v>0.33788828836719964</v>
      </c>
    </row>
    <row r="128" spans="1:14">
      <c r="B128" s="17" t="s">
        <v>757</v>
      </c>
      <c r="C128" s="25">
        <f>N151/100</f>
        <v>0.17999999999999997</v>
      </c>
      <c r="D128" s="25">
        <f>C128*1.3</f>
        <v>0.23399999999999996</v>
      </c>
      <c r="E128" s="25">
        <f>D128*1.2</f>
        <v>0.28079999999999994</v>
      </c>
      <c r="F128" s="25">
        <f>E128*1.1</f>
        <v>0.30887999999999993</v>
      </c>
      <c r="G128" s="25">
        <f t="shared" ref="G128:N128" si="39">F128*1.1</f>
        <v>0.33976799999999996</v>
      </c>
      <c r="H128" s="25">
        <f t="shared" si="39"/>
        <v>0.37374479999999999</v>
      </c>
      <c r="I128" s="25">
        <f t="shared" si="39"/>
        <v>0.41111928000000003</v>
      </c>
      <c r="J128" s="25">
        <f t="shared" si="39"/>
        <v>0.45223120800000005</v>
      </c>
      <c r="K128" s="25">
        <f t="shared" si="39"/>
        <v>0.49745432880000012</v>
      </c>
      <c r="L128" s="25">
        <f t="shared" si="39"/>
        <v>0.54719976168000017</v>
      </c>
      <c r="M128" s="25">
        <f t="shared" si="39"/>
        <v>0.60191973784800024</v>
      </c>
      <c r="N128" s="25">
        <f t="shared" si="39"/>
        <v>0.66211171163280036</v>
      </c>
    </row>
    <row r="129" spans="1:27">
      <c r="B129" s="17" t="s">
        <v>758</v>
      </c>
      <c r="C129" s="25">
        <f>O163/100</f>
        <v>0.3265398079337406</v>
      </c>
      <c r="D129" s="25">
        <f>C129*1.3</f>
        <v>0.42450175031386278</v>
      </c>
      <c r="E129" s="25">
        <f>D129*1.1</f>
        <v>0.4669519253452491</v>
      </c>
      <c r="F129" s="25">
        <f>E129*1.1</f>
        <v>0.51364711787977402</v>
      </c>
      <c r="G129" s="25">
        <f>F129*1.05</f>
        <v>0.53932947377376272</v>
      </c>
      <c r="H129" s="25">
        <f>G129</f>
        <v>0.53932947377376272</v>
      </c>
      <c r="I129" s="25">
        <f t="shared" ref="I129:N129" si="40">H129</f>
        <v>0.53932947377376272</v>
      </c>
      <c r="J129" s="25">
        <f t="shared" si="40"/>
        <v>0.53932947377376272</v>
      </c>
      <c r="K129" s="25">
        <f t="shared" si="40"/>
        <v>0.53932947377376272</v>
      </c>
      <c r="L129" s="25">
        <f t="shared" si="40"/>
        <v>0.53932947377376272</v>
      </c>
      <c r="M129" s="25">
        <f t="shared" si="40"/>
        <v>0.53932947377376272</v>
      </c>
      <c r="N129" s="25">
        <f t="shared" si="40"/>
        <v>0.53932947377376272</v>
      </c>
      <c r="S129" s="189"/>
      <c r="T129" s="189"/>
      <c r="U129" s="189"/>
      <c r="V129" s="189"/>
      <c r="W129" s="189"/>
      <c r="X129" s="189"/>
      <c r="Y129" s="189"/>
      <c r="Z129" s="189"/>
      <c r="AA129" s="189"/>
    </row>
    <row r="130" spans="1:27">
      <c r="C130" s="25"/>
      <c r="D130" s="25"/>
      <c r="E130" s="25"/>
      <c r="F130" s="25"/>
      <c r="G130" s="25"/>
      <c r="H130" s="25"/>
      <c r="I130" s="25"/>
      <c r="J130" s="25"/>
      <c r="K130" s="25"/>
      <c r="L130" s="25"/>
      <c r="M130" s="25"/>
      <c r="N130" s="25"/>
    </row>
    <row r="131" spans="1:27">
      <c r="C131" s="17" t="s">
        <v>759</v>
      </c>
      <c r="E131" s="17" t="s">
        <v>760</v>
      </c>
      <c r="F131" s="17" t="s">
        <v>761</v>
      </c>
      <c r="G131" s="25"/>
      <c r="H131" s="25"/>
      <c r="I131" s="25"/>
      <c r="J131" s="25"/>
      <c r="K131" s="25"/>
      <c r="L131" s="25"/>
      <c r="M131" s="25"/>
      <c r="N131" s="25"/>
    </row>
    <row r="132" spans="1:27">
      <c r="B132" s="17" t="s">
        <v>756</v>
      </c>
      <c r="C132" s="17">
        <v>-0.03</v>
      </c>
      <c r="E132" s="17">
        <v>-0.03</v>
      </c>
      <c r="F132" s="17">
        <f>C132/21</f>
        <v>-1.4285714285714286E-3</v>
      </c>
      <c r="G132" s="25"/>
      <c r="H132" s="25"/>
      <c r="I132" s="25"/>
      <c r="J132" s="25"/>
      <c r="K132" s="25"/>
      <c r="L132" s="25"/>
      <c r="M132" s="25"/>
      <c r="N132" s="25"/>
    </row>
    <row r="133" spans="1:27">
      <c r="B133" s="17" t="s">
        <v>757</v>
      </c>
      <c r="C133" s="17">
        <v>0.03</v>
      </c>
      <c r="F133" s="17">
        <f>C133/21</f>
        <v>1.4285714285714286E-3</v>
      </c>
      <c r="G133" s="25"/>
      <c r="H133" s="25"/>
      <c r="I133" s="25"/>
      <c r="J133" s="25"/>
      <c r="K133" s="25"/>
      <c r="L133" s="25"/>
      <c r="M133" s="25"/>
      <c r="N133" s="25"/>
    </row>
    <row r="136" spans="1:27">
      <c r="A136" s="17" t="s">
        <v>762</v>
      </c>
      <c r="D136" s="182">
        <f>DmdCalc!C8/D75</f>
        <v>8.4990216998046621E-6</v>
      </c>
      <c r="E136" s="182">
        <f>DmdCalc!D8/E75</f>
        <v>9.3769728282621333E-6</v>
      </c>
      <c r="F136" s="182">
        <f>DmdCalc!E8/F75</f>
        <v>9.0726568747746604E-6</v>
      </c>
      <c r="G136" s="182">
        <f>DmdCalc!F8/G75</f>
        <v>8.6681245726908137E-6</v>
      </c>
      <c r="H136" s="182">
        <f>DmdCalc!G8/H75</f>
        <v>8.2670034875154461E-6</v>
      </c>
      <c r="I136" s="182">
        <f>DmdCalc!H8/I75</f>
        <v>7.7391261569090855E-6</v>
      </c>
      <c r="J136" s="182">
        <f>DmdCalc!I8/J75</f>
        <v>7.4546004755337763E-6</v>
      </c>
      <c r="K136" s="182">
        <f>DmdCalc!J8/K75</f>
        <v>7.2354063894304168E-6</v>
      </c>
      <c r="L136" s="182">
        <f>DmdCalc!K8/L75</f>
        <v>6.8983672821700643E-6</v>
      </c>
      <c r="M136" s="182">
        <f>DmdCalc!L8/M75</f>
        <v>6.6621132632067697E-6</v>
      </c>
      <c r="N136" s="182">
        <f>DmdCalc!M8/N75</f>
        <v>6.4356482848102523E-6</v>
      </c>
    </row>
    <row r="137" spans="1:27">
      <c r="A137" s="17" t="s">
        <v>763</v>
      </c>
      <c r="D137" s="182">
        <f>DmdCalc!C9/D75</f>
        <v>7.9512626526337495E-7</v>
      </c>
      <c r="E137" s="182">
        <f>DmdCalc!D9/E75</f>
        <v>8.1571457838971989E-7</v>
      </c>
      <c r="F137" s="182" t="e">
        <f>DmdCalc!E9/F75</f>
        <v>#REF!</v>
      </c>
      <c r="G137" s="182" t="e">
        <f>DmdCalc!F9/G75</f>
        <v>#REF!</v>
      </c>
      <c r="H137" s="182" t="e">
        <f>DmdCalc!G9/H75</f>
        <v>#REF!</v>
      </c>
      <c r="I137" s="182" t="e">
        <f>DmdCalc!H9/I75</f>
        <v>#REF!</v>
      </c>
      <c r="J137" s="182" t="e">
        <f>DmdCalc!I9/J75</f>
        <v>#REF!</v>
      </c>
      <c r="K137" s="182" t="e">
        <f>DmdCalc!J9/K75</f>
        <v>#REF!</v>
      </c>
      <c r="L137" s="182" t="e">
        <f>DmdCalc!K9/L75</f>
        <v>#REF!</v>
      </c>
      <c r="M137" s="182" t="e">
        <f>DmdCalc!L9/M75</f>
        <v>#REF!</v>
      </c>
      <c r="N137" s="182" t="e">
        <f>DmdCalc!M9/N75</f>
        <v>#REF!</v>
      </c>
    </row>
    <row r="138" spans="1:27">
      <c r="A138" s="17" t="s">
        <v>1084</v>
      </c>
      <c r="D138" s="182">
        <f>DmdCalc!C10/D75</f>
        <v>1.3496656664318568E-5</v>
      </c>
      <c r="E138" s="182">
        <f>DmdCalc!D10/E75</f>
        <v>1.3738127647062977E-5</v>
      </c>
      <c r="F138" s="182">
        <f>DmdCalc!E10/F75</f>
        <v>1.4335885293485224E-5</v>
      </c>
      <c r="G138" s="182">
        <f>DmdCalc!F10/G75</f>
        <v>1.5335608468571445E-5</v>
      </c>
      <c r="H138" s="182">
        <f>DmdCalc!G10/H75</f>
        <v>1.6105235621661158E-5</v>
      </c>
      <c r="I138" s="182">
        <f>DmdCalc!H10/I75</f>
        <v>1.6886789160627753E-5</v>
      </c>
      <c r="J138" s="182">
        <f>DmdCalc!I10/J75</f>
        <v>1.7708022346471831E-5</v>
      </c>
      <c r="K138" s="182">
        <f>DmdCalc!J10/K75</f>
        <v>1.8711092752099422E-5</v>
      </c>
      <c r="L138" s="182">
        <f>DmdCalc!K10/L75</f>
        <v>1.9421066248812218E-5</v>
      </c>
      <c r="M138" s="182">
        <f>DmdCalc!L10/M75</f>
        <v>2.0418757068771036E-5</v>
      </c>
      <c r="N138" s="182">
        <f>DmdCalc!M10/N75</f>
        <v>2.1473365955522436E-5</v>
      </c>
    </row>
    <row r="139" spans="1:27">
      <c r="A139" s="17" t="s">
        <v>764</v>
      </c>
      <c r="C139" s="609"/>
      <c r="D139" s="610">
        <f>DmdCalc!C12/D75</f>
        <v>1.1786756062948031E-5</v>
      </c>
      <c r="E139" s="610">
        <f>DmdCalc!D12/E75</f>
        <v>1.3681491474107808E-5</v>
      </c>
      <c r="F139" s="610">
        <f>DmdCalc!E12/F75</f>
        <v>1.323747865682363E-5</v>
      </c>
      <c r="G139" s="610">
        <f>DmdCalc!F12/G75</f>
        <v>1.3454955133503539E-5</v>
      </c>
      <c r="H139" s="610">
        <f>DmdCalc!G12/H75</f>
        <v>1.3533868530741382E-5</v>
      </c>
      <c r="I139" s="610">
        <f>DmdCalc!H12/I75</f>
        <v>1.3393776007094988E-5</v>
      </c>
      <c r="J139" s="610">
        <f>DmdCalc!I12/J75</f>
        <v>1.2983997792180245E-5</v>
      </c>
      <c r="K139" s="610">
        <f>DmdCalc!J12/K75</f>
        <v>1.2631071046694813E-5</v>
      </c>
      <c r="L139" s="610">
        <f>DmdCalc!K12/L75</f>
        <v>1.2013778587946766E-5</v>
      </c>
      <c r="M139" s="610">
        <f>DmdCalc!L12/M75</f>
        <v>1.1574477200953398E-5</v>
      </c>
      <c r="N139" s="610">
        <f>DmdCalc!M12/N75</f>
        <v>1.1154182214128587E-5</v>
      </c>
    </row>
    <row r="141" spans="1:27">
      <c r="A141" s="17" t="s">
        <v>765</v>
      </c>
      <c r="C141" s="14">
        <v>1980</v>
      </c>
      <c r="D141" s="14">
        <v>1981</v>
      </c>
      <c r="E141" s="14">
        <v>1982</v>
      </c>
      <c r="F141" s="14">
        <v>1984</v>
      </c>
      <c r="G141" s="14">
        <v>1987</v>
      </c>
      <c r="H141" s="14">
        <v>1990</v>
      </c>
      <c r="I141" s="14">
        <v>1993</v>
      </c>
      <c r="J141" s="14">
        <v>1997</v>
      </c>
      <c r="K141" s="14">
        <v>2001</v>
      </c>
      <c r="L141" s="17" t="s">
        <v>745</v>
      </c>
      <c r="M141" s="17" t="s">
        <v>766</v>
      </c>
      <c r="N141" s="21" t="s">
        <v>767</v>
      </c>
    </row>
    <row r="142" spans="1:27">
      <c r="A142" s="17" t="s">
        <v>665</v>
      </c>
      <c r="B142" s="17" t="s">
        <v>500</v>
      </c>
      <c r="C142" s="182">
        <v>14</v>
      </c>
      <c r="D142" s="182">
        <v>15</v>
      </c>
      <c r="E142" s="182">
        <v>15</v>
      </c>
      <c r="F142" s="182">
        <v>14</v>
      </c>
      <c r="G142" s="182">
        <v>13</v>
      </c>
      <c r="H142" s="182">
        <v>18</v>
      </c>
      <c r="I142" s="182">
        <v>14</v>
      </c>
      <c r="J142" s="182">
        <v>15</v>
      </c>
      <c r="K142" s="182">
        <v>18</v>
      </c>
      <c r="L142" s="182">
        <f t="shared" ref="L142:L151" si="41">K142-C142</f>
        <v>4</v>
      </c>
      <c r="M142" s="17">
        <v>5</v>
      </c>
      <c r="N142" s="17">
        <f t="shared" ref="N142:N150" si="42">K142*C66</f>
        <v>0</v>
      </c>
    </row>
    <row r="143" spans="1:27">
      <c r="A143" s="17" t="s">
        <v>666</v>
      </c>
      <c r="B143" s="17" t="s">
        <v>567</v>
      </c>
      <c r="C143" s="182">
        <v>14</v>
      </c>
      <c r="D143" s="182">
        <v>15</v>
      </c>
      <c r="E143" s="182">
        <v>15</v>
      </c>
      <c r="F143" s="182">
        <v>14</v>
      </c>
      <c r="G143" s="182">
        <v>13</v>
      </c>
      <c r="H143" s="182">
        <v>18</v>
      </c>
      <c r="I143" s="182">
        <v>14</v>
      </c>
      <c r="J143" s="182">
        <v>15</v>
      </c>
      <c r="K143" s="182">
        <v>18</v>
      </c>
      <c r="L143" s="182">
        <f t="shared" si="41"/>
        <v>4</v>
      </c>
      <c r="M143" s="17">
        <v>15</v>
      </c>
      <c r="N143" s="17">
        <f t="shared" si="42"/>
        <v>17187096.188917302</v>
      </c>
    </row>
    <row r="144" spans="1:27">
      <c r="A144" s="17" t="s">
        <v>667</v>
      </c>
      <c r="B144" s="17" t="s">
        <v>530</v>
      </c>
      <c r="C144" s="182">
        <v>14</v>
      </c>
      <c r="D144" s="182">
        <v>15</v>
      </c>
      <c r="E144" s="182">
        <v>15</v>
      </c>
      <c r="F144" s="182">
        <v>14</v>
      </c>
      <c r="G144" s="182">
        <v>13</v>
      </c>
      <c r="H144" s="182">
        <v>18</v>
      </c>
      <c r="I144" s="182">
        <v>14</v>
      </c>
      <c r="J144" s="182">
        <v>15</v>
      </c>
      <c r="K144" s="182">
        <v>18</v>
      </c>
      <c r="L144" s="182">
        <f t="shared" si="41"/>
        <v>4</v>
      </c>
      <c r="M144" s="17">
        <v>20</v>
      </c>
      <c r="N144" s="17">
        <f t="shared" si="42"/>
        <v>9290610.5464999918</v>
      </c>
    </row>
    <row r="145" spans="1:15">
      <c r="A145" s="17" t="s">
        <v>668</v>
      </c>
      <c r="B145" s="17" t="s">
        <v>570</v>
      </c>
      <c r="C145" s="182">
        <v>14</v>
      </c>
      <c r="D145" s="182">
        <v>15</v>
      </c>
      <c r="E145" s="182">
        <v>15</v>
      </c>
      <c r="F145" s="182">
        <v>14</v>
      </c>
      <c r="G145" s="182">
        <v>13</v>
      </c>
      <c r="H145" s="182">
        <v>18</v>
      </c>
      <c r="I145" s="182">
        <v>14</v>
      </c>
      <c r="J145" s="182">
        <v>15</v>
      </c>
      <c r="K145" s="182">
        <v>18</v>
      </c>
      <c r="L145" s="182">
        <f t="shared" si="41"/>
        <v>4</v>
      </c>
      <c r="M145" s="17">
        <v>7</v>
      </c>
      <c r="N145" s="17">
        <f t="shared" si="42"/>
        <v>10716602.317958245</v>
      </c>
    </row>
    <row r="146" spans="1:15">
      <c r="A146" s="17" t="s">
        <v>669</v>
      </c>
      <c r="B146" s="17" t="s">
        <v>568</v>
      </c>
      <c r="C146" s="182">
        <v>14</v>
      </c>
      <c r="D146" s="182">
        <v>15</v>
      </c>
      <c r="E146" s="182">
        <v>15</v>
      </c>
      <c r="F146" s="182">
        <v>14</v>
      </c>
      <c r="G146" s="182">
        <v>13</v>
      </c>
      <c r="H146" s="182">
        <v>18</v>
      </c>
      <c r="I146" s="182">
        <v>14</v>
      </c>
      <c r="J146" s="182">
        <v>15</v>
      </c>
      <c r="K146" s="182">
        <v>18</v>
      </c>
      <c r="L146" s="182">
        <f t="shared" si="41"/>
        <v>4</v>
      </c>
      <c r="M146" s="17">
        <v>17</v>
      </c>
      <c r="N146" s="17">
        <f t="shared" si="42"/>
        <v>3093463.4274395742</v>
      </c>
    </row>
    <row r="147" spans="1:15">
      <c r="A147" s="17" t="s">
        <v>670</v>
      </c>
      <c r="B147" s="17" t="s">
        <v>571</v>
      </c>
      <c r="C147" s="182">
        <v>14</v>
      </c>
      <c r="D147" s="182">
        <v>15</v>
      </c>
      <c r="E147" s="182">
        <v>15</v>
      </c>
      <c r="F147" s="182">
        <v>14</v>
      </c>
      <c r="G147" s="182">
        <v>13</v>
      </c>
      <c r="H147" s="182">
        <v>18</v>
      </c>
      <c r="I147" s="182">
        <v>14</v>
      </c>
      <c r="J147" s="182">
        <v>15</v>
      </c>
      <c r="K147" s="182">
        <v>18</v>
      </c>
      <c r="L147" s="182">
        <f t="shared" si="41"/>
        <v>4</v>
      </c>
      <c r="M147" s="17">
        <v>12</v>
      </c>
      <c r="N147" s="17">
        <f t="shared" si="42"/>
        <v>15542184.406667622</v>
      </c>
    </row>
    <row r="148" spans="1:15">
      <c r="A148" s="17" t="s">
        <v>671</v>
      </c>
      <c r="B148" s="17" t="s">
        <v>569</v>
      </c>
      <c r="C148" s="182">
        <v>14</v>
      </c>
      <c r="D148" s="182">
        <v>15</v>
      </c>
      <c r="E148" s="182">
        <v>15</v>
      </c>
      <c r="F148" s="182">
        <v>14</v>
      </c>
      <c r="G148" s="182">
        <v>13</v>
      </c>
      <c r="H148" s="182">
        <v>18</v>
      </c>
      <c r="I148" s="182">
        <v>14</v>
      </c>
      <c r="J148" s="182">
        <v>15</v>
      </c>
      <c r="K148" s="182">
        <v>18</v>
      </c>
      <c r="L148" s="182">
        <f t="shared" si="41"/>
        <v>4</v>
      </c>
      <c r="M148" s="17">
        <v>7</v>
      </c>
      <c r="N148" s="17">
        <f t="shared" si="42"/>
        <v>0</v>
      </c>
    </row>
    <row r="149" spans="1:15">
      <c r="A149" s="17" t="s">
        <v>672</v>
      </c>
      <c r="B149" s="17" t="s">
        <v>572</v>
      </c>
      <c r="C149" s="182">
        <v>14</v>
      </c>
      <c r="D149" s="182">
        <v>15</v>
      </c>
      <c r="E149" s="182">
        <v>15</v>
      </c>
      <c r="F149" s="182">
        <v>14</v>
      </c>
      <c r="G149" s="182">
        <v>13</v>
      </c>
      <c r="H149" s="182">
        <v>18</v>
      </c>
      <c r="I149" s="182">
        <v>14</v>
      </c>
      <c r="J149" s="182">
        <v>15</v>
      </c>
      <c r="K149" s="182">
        <v>18</v>
      </c>
      <c r="L149" s="182">
        <f t="shared" si="41"/>
        <v>4</v>
      </c>
      <c r="M149" s="17">
        <v>7</v>
      </c>
      <c r="N149" s="17">
        <f t="shared" si="42"/>
        <v>0</v>
      </c>
    </row>
    <row r="150" spans="1:15">
      <c r="A150" s="17" t="s">
        <v>673</v>
      </c>
      <c r="B150" s="17" t="s">
        <v>534</v>
      </c>
      <c r="C150" s="182">
        <v>14</v>
      </c>
      <c r="D150" s="182">
        <v>15</v>
      </c>
      <c r="E150" s="182">
        <v>15</v>
      </c>
      <c r="F150" s="182">
        <v>14</v>
      </c>
      <c r="G150" s="182">
        <v>13</v>
      </c>
      <c r="H150" s="182">
        <v>18</v>
      </c>
      <c r="I150" s="182">
        <v>14</v>
      </c>
      <c r="J150" s="182">
        <v>15</v>
      </c>
      <c r="K150" s="182">
        <v>18</v>
      </c>
      <c r="L150" s="182">
        <f t="shared" si="41"/>
        <v>4</v>
      </c>
      <c r="M150" s="17">
        <v>17</v>
      </c>
      <c r="N150" s="17">
        <f t="shared" si="42"/>
        <v>0</v>
      </c>
    </row>
    <row r="151" spans="1:15">
      <c r="A151" s="17" t="s">
        <v>749</v>
      </c>
      <c r="B151" s="182" t="s">
        <v>674</v>
      </c>
      <c r="C151" s="182">
        <v>14</v>
      </c>
      <c r="D151" s="182">
        <v>15</v>
      </c>
      <c r="E151" s="182">
        <v>15</v>
      </c>
      <c r="F151" s="182">
        <v>14</v>
      </c>
      <c r="G151" s="182">
        <v>13</v>
      </c>
      <c r="H151" s="182">
        <v>18</v>
      </c>
      <c r="I151" s="182">
        <v>14</v>
      </c>
      <c r="J151" s="182">
        <v>15</v>
      </c>
      <c r="K151" s="182">
        <v>18</v>
      </c>
      <c r="L151" s="182">
        <f t="shared" si="41"/>
        <v>4</v>
      </c>
      <c r="M151" s="17">
        <v>107</v>
      </c>
      <c r="N151" s="190">
        <f>SUM(N142:N150)/C75</f>
        <v>17.999999999999996</v>
      </c>
    </row>
    <row r="153" spans="1:15">
      <c r="A153" s="17" t="s">
        <v>768</v>
      </c>
      <c r="C153" s="17">
        <v>1980</v>
      </c>
      <c r="D153" s="17">
        <v>1981</v>
      </c>
      <c r="E153" s="17">
        <v>1982</v>
      </c>
      <c r="F153" s="17">
        <v>1984</v>
      </c>
      <c r="G153" s="17">
        <v>1987</v>
      </c>
      <c r="H153" s="17">
        <v>1990</v>
      </c>
      <c r="I153" s="17">
        <v>1993</v>
      </c>
      <c r="J153" s="17">
        <v>1997</v>
      </c>
      <c r="K153" s="17">
        <v>2001</v>
      </c>
      <c r="L153" s="17" t="s">
        <v>745</v>
      </c>
      <c r="M153" s="17" t="s">
        <v>769</v>
      </c>
      <c r="O153" s="21" t="s">
        <v>767</v>
      </c>
    </row>
    <row r="154" spans="1:15">
      <c r="A154" s="17" t="s">
        <v>665</v>
      </c>
      <c r="B154" s="17" t="s">
        <v>500</v>
      </c>
      <c r="C154" s="17">
        <v>30</v>
      </c>
      <c r="D154" s="17">
        <v>29</v>
      </c>
      <c r="E154" s="17">
        <v>30</v>
      </c>
      <c r="F154" s="17">
        <v>27</v>
      </c>
      <c r="G154" s="17">
        <v>26</v>
      </c>
      <c r="H154" s="17">
        <v>25</v>
      </c>
      <c r="I154" s="17">
        <v>22</v>
      </c>
      <c r="J154" s="17">
        <v>22</v>
      </c>
      <c r="K154" s="17">
        <v>23</v>
      </c>
      <c r="L154" s="17">
        <f t="shared" ref="L154:L163" si="43">K154-C154</f>
        <v>-7</v>
      </c>
      <c r="M154" s="17">
        <f t="shared" ref="M154:M163" si="44">K154*M142/100</f>
        <v>1.1499999999999999</v>
      </c>
      <c r="N154" s="24"/>
      <c r="O154" s="17">
        <f t="shared" ref="O154:O162" si="45">K154*C66</f>
        <v>0</v>
      </c>
    </row>
    <row r="155" spans="1:15">
      <c r="A155" s="17" t="s">
        <v>666</v>
      </c>
      <c r="B155" s="17" t="s">
        <v>567</v>
      </c>
      <c r="C155" s="17">
        <v>28</v>
      </c>
      <c r="D155" s="17">
        <v>27</v>
      </c>
      <c r="E155" s="17">
        <v>27</v>
      </c>
      <c r="F155" s="17">
        <v>30</v>
      </c>
      <c r="G155" s="17">
        <v>25</v>
      </c>
      <c r="H155" s="17">
        <v>27</v>
      </c>
      <c r="I155" s="17">
        <v>27</v>
      </c>
      <c r="J155" s="17">
        <v>27</v>
      </c>
      <c r="K155" s="17">
        <v>25</v>
      </c>
      <c r="L155" s="17">
        <f t="shared" si="43"/>
        <v>-3</v>
      </c>
      <c r="M155" s="17">
        <f t="shared" si="44"/>
        <v>3.75</v>
      </c>
      <c r="N155" s="24"/>
      <c r="O155" s="17">
        <f t="shared" si="45"/>
        <v>23870966.929051805</v>
      </c>
    </row>
    <row r="156" spans="1:15">
      <c r="A156" s="17" t="s">
        <v>667</v>
      </c>
      <c r="B156" s="17" t="s">
        <v>530</v>
      </c>
      <c r="C156" s="17">
        <v>42</v>
      </c>
      <c r="D156" s="17">
        <v>39</v>
      </c>
      <c r="E156" s="17">
        <v>41</v>
      </c>
      <c r="F156" s="17">
        <v>36</v>
      </c>
      <c r="G156" s="17">
        <v>31</v>
      </c>
      <c r="H156" s="17">
        <v>32</v>
      </c>
      <c r="I156" s="17">
        <v>34</v>
      </c>
      <c r="J156" s="17">
        <v>35</v>
      </c>
      <c r="K156" s="17">
        <v>33</v>
      </c>
      <c r="L156" s="17">
        <f t="shared" si="43"/>
        <v>-9</v>
      </c>
      <c r="M156" s="17">
        <f t="shared" si="44"/>
        <v>6.6</v>
      </c>
      <c r="N156" s="24"/>
      <c r="O156" s="17">
        <f t="shared" si="45"/>
        <v>17032786.001916654</v>
      </c>
    </row>
    <row r="157" spans="1:15">
      <c r="A157" s="17" t="s">
        <v>668</v>
      </c>
      <c r="B157" s="17" t="s">
        <v>570</v>
      </c>
      <c r="C157" s="17">
        <v>54</v>
      </c>
      <c r="D157" s="17">
        <v>57</v>
      </c>
      <c r="E157" s="17">
        <v>49</v>
      </c>
      <c r="F157" s="17">
        <v>45</v>
      </c>
      <c r="G157" s="17">
        <v>45</v>
      </c>
      <c r="H157" s="17">
        <v>44</v>
      </c>
      <c r="I157" s="17">
        <v>45</v>
      </c>
      <c r="J157" s="17">
        <v>41</v>
      </c>
      <c r="K157" s="17">
        <v>42</v>
      </c>
      <c r="L157" s="17">
        <f t="shared" si="43"/>
        <v>-12</v>
      </c>
      <c r="M157" s="17">
        <f t="shared" si="44"/>
        <v>2.94</v>
      </c>
      <c r="N157" s="24"/>
      <c r="O157" s="17">
        <f t="shared" si="45"/>
        <v>25005405.408569239</v>
      </c>
    </row>
    <row r="158" spans="1:15">
      <c r="A158" s="17" t="s">
        <v>669</v>
      </c>
      <c r="B158" s="17" t="s">
        <v>568</v>
      </c>
      <c r="C158" s="17">
        <v>42</v>
      </c>
      <c r="D158" s="17">
        <v>45</v>
      </c>
      <c r="E158" s="17">
        <v>41</v>
      </c>
      <c r="F158" s="17">
        <v>40</v>
      </c>
      <c r="G158" s="17">
        <v>40</v>
      </c>
      <c r="H158" s="17">
        <v>37</v>
      </c>
      <c r="I158" s="17">
        <v>41</v>
      </c>
      <c r="J158" s="17">
        <v>37</v>
      </c>
      <c r="K158" s="17">
        <v>35</v>
      </c>
      <c r="L158" s="17">
        <f t="shared" si="43"/>
        <v>-7</v>
      </c>
      <c r="M158" s="17">
        <f t="shared" si="44"/>
        <v>5.95</v>
      </c>
      <c r="N158" s="24"/>
      <c r="O158" s="17">
        <f t="shared" si="45"/>
        <v>6015067.7755769501</v>
      </c>
    </row>
    <row r="159" spans="1:15">
      <c r="A159" s="17" t="s">
        <v>670</v>
      </c>
      <c r="B159" s="17" t="s">
        <v>571</v>
      </c>
      <c r="C159" s="17">
        <v>40</v>
      </c>
      <c r="D159" s="17">
        <v>39</v>
      </c>
      <c r="E159" s="17">
        <v>42</v>
      </c>
      <c r="F159" s="17">
        <v>44</v>
      </c>
      <c r="G159" s="17">
        <v>40</v>
      </c>
      <c r="H159" s="17">
        <v>45</v>
      </c>
      <c r="I159" s="17">
        <v>38</v>
      </c>
      <c r="J159" s="17">
        <v>37</v>
      </c>
      <c r="K159" s="17">
        <v>34</v>
      </c>
      <c r="L159" s="17">
        <f t="shared" si="43"/>
        <v>-6</v>
      </c>
      <c r="M159" s="17">
        <f t="shared" si="44"/>
        <v>4.08</v>
      </c>
      <c r="N159" s="24"/>
      <c r="O159" s="17">
        <f t="shared" si="45"/>
        <v>29357459.434816621</v>
      </c>
    </row>
    <row r="160" spans="1:15">
      <c r="A160" s="17" t="s">
        <v>671</v>
      </c>
      <c r="B160" s="17" t="s">
        <v>569</v>
      </c>
      <c r="C160" s="17">
        <v>53</v>
      </c>
      <c r="D160" s="17">
        <v>49</v>
      </c>
      <c r="E160" s="17">
        <v>47</v>
      </c>
      <c r="F160" s="17">
        <v>48</v>
      </c>
      <c r="G160" s="17">
        <v>46</v>
      </c>
      <c r="H160" s="17">
        <v>45</v>
      </c>
      <c r="I160" s="17">
        <v>50</v>
      </c>
      <c r="J160" s="17">
        <v>54</v>
      </c>
      <c r="K160" s="17">
        <v>48</v>
      </c>
      <c r="L160" s="17">
        <f t="shared" si="43"/>
        <v>-5</v>
      </c>
      <c r="M160" s="17">
        <f t="shared" si="44"/>
        <v>3.36</v>
      </c>
      <c r="N160" s="24"/>
      <c r="O160" s="17">
        <f t="shared" si="45"/>
        <v>0</v>
      </c>
    </row>
    <row r="161" spans="1:15">
      <c r="A161" s="17" t="s">
        <v>672</v>
      </c>
      <c r="B161" s="17" t="s">
        <v>572</v>
      </c>
      <c r="C161" s="17">
        <v>36</v>
      </c>
      <c r="D161" s="17">
        <v>37</v>
      </c>
      <c r="E161" s="17">
        <v>43</v>
      </c>
      <c r="F161" s="17">
        <v>40</v>
      </c>
      <c r="G161" s="17">
        <v>37</v>
      </c>
      <c r="H161" s="17">
        <v>37</v>
      </c>
      <c r="I161" s="17">
        <v>43</v>
      </c>
      <c r="J161" s="17">
        <v>34</v>
      </c>
      <c r="K161" s="17">
        <v>35</v>
      </c>
      <c r="L161" s="17">
        <f t="shared" si="43"/>
        <v>-1</v>
      </c>
      <c r="M161" s="17">
        <f t="shared" si="44"/>
        <v>2.4500000000000002</v>
      </c>
      <c r="N161" s="24"/>
      <c r="O161" s="17">
        <f t="shared" si="45"/>
        <v>0</v>
      </c>
    </row>
    <row r="162" spans="1:15">
      <c r="A162" s="17" t="s">
        <v>673</v>
      </c>
      <c r="B162" s="17" t="s">
        <v>534</v>
      </c>
      <c r="C162" s="17">
        <v>28</v>
      </c>
      <c r="D162" s="17">
        <v>30</v>
      </c>
      <c r="E162" s="17">
        <v>25</v>
      </c>
      <c r="F162" s="17">
        <v>30</v>
      </c>
      <c r="G162" s="17">
        <v>27</v>
      </c>
      <c r="H162" s="17">
        <v>28</v>
      </c>
      <c r="I162" s="17">
        <v>23</v>
      </c>
      <c r="J162" s="17">
        <v>20</v>
      </c>
      <c r="K162" s="17">
        <v>23</v>
      </c>
      <c r="L162" s="17">
        <f t="shared" si="43"/>
        <v>-5</v>
      </c>
      <c r="M162" s="17">
        <f t="shared" si="44"/>
        <v>3.91</v>
      </c>
      <c r="N162" s="24"/>
      <c r="O162" s="17">
        <f t="shared" si="45"/>
        <v>0</v>
      </c>
    </row>
    <row r="163" spans="1:15">
      <c r="A163" s="17" t="s">
        <v>749</v>
      </c>
      <c r="B163" s="182" t="s">
        <v>674</v>
      </c>
      <c r="C163" s="17">
        <v>38</v>
      </c>
      <c r="D163" s="17">
        <v>38</v>
      </c>
      <c r="E163" s="17">
        <v>37</v>
      </c>
      <c r="F163" s="17">
        <v>37</v>
      </c>
      <c r="G163" s="17">
        <v>34</v>
      </c>
      <c r="H163" s="17">
        <v>34</v>
      </c>
      <c r="I163" s="17">
        <v>35</v>
      </c>
      <c r="J163" s="17">
        <v>33</v>
      </c>
      <c r="K163" s="17">
        <v>32</v>
      </c>
      <c r="L163" s="17">
        <f t="shared" si="43"/>
        <v>-6</v>
      </c>
      <c r="M163" s="17">
        <f t="shared" si="44"/>
        <v>34.24</v>
      </c>
      <c r="N163" s="24"/>
      <c r="O163" s="190">
        <f>SUM(O154:O162)/C75</f>
        <v>32.65398079337406</v>
      </c>
    </row>
    <row r="164" spans="1:15">
      <c r="B164" s="182"/>
      <c r="N164" s="24"/>
    </row>
    <row r="165" spans="1:15">
      <c r="N165" s="17" t="s">
        <v>770</v>
      </c>
    </row>
    <row r="170" spans="1:15">
      <c r="B170" s="191"/>
      <c r="C170" s="191"/>
      <c r="D170" s="191"/>
      <c r="E170" s="191"/>
      <c r="F170" s="191"/>
      <c r="G170" s="191"/>
    </row>
    <row r="171" spans="1:15">
      <c r="E171" s="24"/>
      <c r="F171" s="24"/>
      <c r="G171" s="24"/>
    </row>
  </sheetData>
  <mergeCells count="1">
    <mergeCell ref="I32:J32"/>
  </mergeCells>
  <phoneticPr fontId="14" type="noConversion"/>
  <pageMargins left="0.25" right="0.25" top="0.5" bottom="0.5" header="0.5" footer="0.5"/>
  <pageSetup scale="30" fitToHeight="0" orientation="landscape" r:id="rId1"/>
  <headerFooter alignWithMargins="0"/>
  <rowBreaks count="2" manualBreakCount="2">
    <brk id="47" max="16383" man="1"/>
    <brk id="125" max="16383" man="1"/>
  </rowBreaks>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R444"/>
  <sheetViews>
    <sheetView zoomScale="80" zoomScaleNormal="80" workbookViewId="0">
      <selection activeCell="C33" sqref="C33"/>
    </sheetView>
  </sheetViews>
  <sheetFormatPr defaultColWidth="11.5703125" defaultRowHeight="12.75"/>
  <cols>
    <col min="1" max="1" width="8" style="291" customWidth="1"/>
    <col min="2" max="2" width="40" style="291" customWidth="1"/>
    <col min="3" max="3" width="11.7109375" style="291" customWidth="1"/>
    <col min="4" max="4" width="13.28515625" style="291" customWidth="1"/>
    <col min="5" max="9" width="11.7109375" style="291" customWidth="1"/>
    <col min="10" max="10" width="8.5703125" style="291" customWidth="1"/>
    <col min="11" max="11" width="11.7109375" style="291" customWidth="1"/>
    <col min="12" max="12" width="14.28515625" style="291" customWidth="1"/>
    <col min="13" max="13" width="11.28515625" style="291" customWidth="1"/>
    <col min="14" max="14" width="13.5703125" style="291" customWidth="1"/>
    <col min="15" max="15" width="12.5703125" style="291" customWidth="1"/>
    <col min="16" max="16" width="13.7109375" style="291" customWidth="1"/>
    <col min="17" max="28" width="11.5703125" style="291"/>
    <col min="29" max="29" width="11.7109375" style="291" customWidth="1"/>
    <col min="30" max="30" width="14.28515625" style="291" customWidth="1"/>
    <col min="31" max="16384" width="11.5703125" style="291"/>
  </cols>
  <sheetData>
    <row r="1" spans="1:31" ht="17.25" customHeight="1">
      <c r="A1" s="807" t="s">
        <v>1098</v>
      </c>
      <c r="B1" s="807"/>
      <c r="C1" s="807"/>
      <c r="D1" s="807"/>
      <c r="E1" s="807"/>
      <c r="F1" s="807"/>
      <c r="G1" s="807"/>
      <c r="H1" s="807"/>
      <c r="I1" s="807"/>
      <c r="J1" s="807"/>
      <c r="K1" s="807"/>
      <c r="L1" s="807"/>
      <c r="M1" s="807"/>
      <c r="N1" s="289"/>
      <c r="O1" s="290"/>
    </row>
    <row r="2" spans="1:31" s="290" customFormat="1" ht="23.25" customHeight="1">
      <c r="A2" s="807" t="s">
        <v>176</v>
      </c>
      <c r="B2" s="807"/>
    </row>
    <row r="3" spans="1:31" s="290" customFormat="1" ht="15.75" customHeight="1">
      <c r="A3" s="292" t="s">
        <v>645</v>
      </c>
      <c r="B3" s="292" t="s">
        <v>646</v>
      </c>
      <c r="C3" s="292">
        <v>2005</v>
      </c>
      <c r="D3" s="292">
        <v>2010</v>
      </c>
      <c r="E3" s="292">
        <v>2015</v>
      </c>
      <c r="F3" s="292">
        <v>2020</v>
      </c>
      <c r="G3" s="292">
        <v>2025</v>
      </c>
      <c r="H3" s="292">
        <v>2030</v>
      </c>
      <c r="I3" s="292">
        <v>2035</v>
      </c>
      <c r="J3" s="292">
        <v>2040</v>
      </c>
      <c r="K3" s="292">
        <v>2045</v>
      </c>
      <c r="L3" s="292">
        <v>2050</v>
      </c>
      <c r="M3" s="292">
        <v>2055</v>
      </c>
    </row>
    <row r="4" spans="1:31" s="290" customFormat="1" ht="15.75" customHeight="1">
      <c r="A4" s="293" t="s">
        <v>647</v>
      </c>
      <c r="B4" s="293" t="s">
        <v>648</v>
      </c>
      <c r="C4" s="294">
        <f>C18</f>
        <v>25.081762076736513</v>
      </c>
      <c r="D4" s="294">
        <f t="shared" ref="D4:M4" si="0">D18</f>
        <v>25.941013969118739</v>
      </c>
      <c r="E4" s="294">
        <f t="shared" si="0"/>
        <v>25.941013969118739</v>
      </c>
      <c r="F4" s="294">
        <f t="shared" si="0"/>
        <v>27.807022199484521</v>
      </c>
      <c r="G4" s="294">
        <f t="shared" si="0"/>
        <v>30.461165906194861</v>
      </c>
      <c r="H4" s="294">
        <f t="shared" si="0"/>
        <v>33.226831592044661</v>
      </c>
      <c r="I4" s="294">
        <f t="shared" si="0"/>
        <v>36.032104070595416</v>
      </c>
      <c r="J4" s="294">
        <f t="shared" si="0"/>
        <v>39.074219886348338</v>
      </c>
      <c r="K4" s="294">
        <f t="shared" si="0"/>
        <v>42.373175231048066</v>
      </c>
      <c r="L4" s="294">
        <f t="shared" si="0"/>
        <v>45.950654533435952</v>
      </c>
      <c r="M4" s="294">
        <f t="shared" si="0"/>
        <v>49.830172993598261</v>
      </c>
      <c r="O4" s="291" t="s">
        <v>177</v>
      </c>
      <c r="P4" s="295">
        <v>1055</v>
      </c>
      <c r="Q4" s="291" t="s">
        <v>348</v>
      </c>
    </row>
    <row r="5" spans="1:31" s="290" customFormat="1" ht="15.75" hidden="1" customHeight="1">
      <c r="A5" s="296" t="s">
        <v>649</v>
      </c>
      <c r="B5" s="296" t="s">
        <v>849</v>
      </c>
      <c r="C5" s="297">
        <f>C54</f>
        <v>38.425449371337898</v>
      </c>
      <c r="D5" s="297">
        <f t="shared" ref="D5:M5" si="1">D54</f>
        <v>38.009281000000001</v>
      </c>
      <c r="E5" s="297">
        <f t="shared" si="1"/>
        <v>38.799267</v>
      </c>
      <c r="F5" s="297">
        <f t="shared" si="1"/>
        <v>40.689968</v>
      </c>
      <c r="G5" s="297">
        <f t="shared" si="1"/>
        <v>47.29</v>
      </c>
      <c r="H5" s="297">
        <f t="shared" si="1"/>
        <v>49.95</v>
      </c>
      <c r="I5" s="297">
        <f t="shared" si="1"/>
        <v>52.43</v>
      </c>
      <c r="J5" s="297">
        <f t="shared" si="1"/>
        <v>52.43</v>
      </c>
      <c r="K5" s="297">
        <f t="shared" si="1"/>
        <v>52.43</v>
      </c>
      <c r="L5" s="297">
        <f t="shared" si="1"/>
        <v>52.43</v>
      </c>
      <c r="M5" s="297">
        <f t="shared" si="1"/>
        <v>52.43</v>
      </c>
      <c r="O5" s="295"/>
      <c r="P5" s="298"/>
      <c r="Q5" s="291"/>
    </row>
    <row r="6" spans="1:31" s="290" customFormat="1" ht="15.75" customHeight="1">
      <c r="A6" s="293" t="s">
        <v>650</v>
      </c>
      <c r="B6" s="293" t="s">
        <v>651</v>
      </c>
      <c r="C6" s="294">
        <f>D6*C26/D26</f>
        <v>154.200293682557</v>
      </c>
      <c r="D6" s="294">
        <f>D19</f>
        <v>146.11397861313054</v>
      </c>
      <c r="E6" s="294">
        <f>E19</f>
        <v>146.11397861313054</v>
      </c>
      <c r="F6" s="294">
        <f t="shared" ref="F6:M6" si="2">F19</f>
        <v>131.38955490394028</v>
      </c>
      <c r="G6" s="294">
        <f t="shared" si="2"/>
        <v>127.40848277351851</v>
      </c>
      <c r="H6" s="294">
        <f t="shared" si="2"/>
        <v>123.25258052325147</v>
      </c>
      <c r="I6" s="294">
        <f t="shared" si="2"/>
        <v>118.98958464601004</v>
      </c>
      <c r="J6" s="294">
        <f t="shared" si="2"/>
        <v>114.7774665352304</v>
      </c>
      <c r="K6" s="294">
        <f t="shared" si="2"/>
        <v>110.71445339890663</v>
      </c>
      <c r="L6" s="294">
        <f t="shared" si="2"/>
        <v>106.79526706277515</v>
      </c>
      <c r="M6" s="294">
        <f t="shared" si="2"/>
        <v>103.01481619492058</v>
      </c>
    </row>
    <row r="7" spans="1:31" s="290" customFormat="1" ht="15.75" customHeight="1">
      <c r="A7" s="293" t="s">
        <v>652</v>
      </c>
      <c r="B7" s="293" t="s">
        <v>653</v>
      </c>
      <c r="C7" s="186">
        <f>C21</f>
        <v>9.0906279967028976</v>
      </c>
      <c r="D7" s="186">
        <f t="shared" ref="D7:M8" si="3">D21</f>
        <v>9.0906279967028976</v>
      </c>
      <c r="E7" s="186">
        <f t="shared" si="3"/>
        <v>9.0906279967028976</v>
      </c>
      <c r="F7" s="186">
        <f t="shared" si="3"/>
        <v>9.5401723215725607</v>
      </c>
      <c r="G7" s="186">
        <f>G21</f>
        <v>9.9236665722832686</v>
      </c>
      <c r="H7" s="186">
        <f t="shared" si="3"/>
        <v>10.294549972703519</v>
      </c>
      <c r="I7" s="186">
        <f t="shared" si="3"/>
        <v>10.593977893405096</v>
      </c>
      <c r="J7" s="186">
        <f t="shared" si="3"/>
        <v>10.896919204272345</v>
      </c>
      <c r="K7" s="186">
        <f t="shared" si="3"/>
        <v>11.410470996250718</v>
      </c>
      <c r="L7" s="186">
        <f t="shared" si="3"/>
        <v>11.795628813272973</v>
      </c>
      <c r="M7" s="186">
        <f t="shared" si="3"/>
        <v>12.190570571971922</v>
      </c>
      <c r="Q7" s="299"/>
      <c r="R7" s="300"/>
      <c r="S7" s="300"/>
      <c r="T7" s="300"/>
      <c r="U7" s="300"/>
      <c r="V7" s="300"/>
      <c r="W7" s="300"/>
      <c r="X7" s="300"/>
      <c r="Y7" s="300"/>
      <c r="Z7" s="300"/>
      <c r="AA7" s="300"/>
      <c r="AB7" s="300"/>
      <c r="AC7" s="300"/>
      <c r="AD7" s="300"/>
    </row>
    <row r="8" spans="1:31" s="290" customFormat="1" ht="15.75" customHeight="1">
      <c r="A8" s="293" t="s">
        <v>654</v>
      </c>
      <c r="B8" s="293" t="s">
        <v>655</v>
      </c>
      <c r="C8" s="294">
        <f>C22</f>
        <v>26.57389342057958</v>
      </c>
      <c r="D8" s="294">
        <f t="shared" si="3"/>
        <v>28.57898390982329</v>
      </c>
      <c r="E8" s="294">
        <f t="shared" si="3"/>
        <v>28.57898390982329</v>
      </c>
      <c r="F8" s="294">
        <f t="shared" si="3"/>
        <v>27.791315460208853</v>
      </c>
      <c r="G8" s="294">
        <f t="shared" si="3"/>
        <v>27.248312157499743</v>
      </c>
      <c r="H8" s="294">
        <f t="shared" si="3"/>
        <v>26.176256309577703</v>
      </c>
      <c r="I8" s="294">
        <f t="shared" si="3"/>
        <v>25.69716424027099</v>
      </c>
      <c r="J8" s="294">
        <f t="shared" si="3"/>
        <v>25.226840774394731</v>
      </c>
      <c r="K8" s="294">
        <f t="shared" si="3"/>
        <v>24.765125424203362</v>
      </c>
      <c r="L8" s="294">
        <f t="shared" si="3"/>
        <v>24.311860639285261</v>
      </c>
      <c r="M8" s="294">
        <f t="shared" si="3"/>
        <v>23.866891752802061</v>
      </c>
      <c r="Q8" s="300"/>
      <c r="R8" s="300"/>
      <c r="S8" s="300"/>
      <c r="T8" s="300"/>
      <c r="U8" s="300"/>
      <c r="V8" s="300"/>
      <c r="W8" s="300"/>
      <c r="X8" s="300"/>
      <c r="Y8" s="300"/>
      <c r="Z8" s="300"/>
      <c r="AA8" s="300"/>
      <c r="AB8" s="300"/>
      <c r="AC8" s="300"/>
      <c r="AD8" s="300"/>
    </row>
    <row r="9" spans="1:31" s="290" customFormat="1" ht="15.75" customHeight="1">
      <c r="A9" s="293" t="s">
        <v>656</v>
      </c>
      <c r="B9" s="293" t="s">
        <v>657</v>
      </c>
      <c r="C9" s="294">
        <f>D9</f>
        <v>2.4861215061373532</v>
      </c>
      <c r="D9" s="294">
        <f>D23</f>
        <v>2.4861215061373532</v>
      </c>
      <c r="E9" s="294" t="e">
        <f>D9*E32/D32</f>
        <v>#REF!</v>
      </c>
      <c r="F9" s="294" t="e">
        <f t="shared" ref="F9:M9" si="4">E9*F32/E32</f>
        <v>#REF!</v>
      </c>
      <c r="G9" s="294" t="e">
        <f t="shared" si="4"/>
        <v>#REF!</v>
      </c>
      <c r="H9" s="294" t="e">
        <f t="shared" si="4"/>
        <v>#REF!</v>
      </c>
      <c r="I9" s="294" t="e">
        <f t="shared" si="4"/>
        <v>#REF!</v>
      </c>
      <c r="J9" s="294" t="e">
        <f t="shared" si="4"/>
        <v>#REF!</v>
      </c>
      <c r="K9" s="294" t="e">
        <f t="shared" si="4"/>
        <v>#REF!</v>
      </c>
      <c r="L9" s="294" t="e">
        <f t="shared" si="4"/>
        <v>#REF!</v>
      </c>
      <c r="M9" s="294" t="e">
        <f t="shared" si="4"/>
        <v>#REF!</v>
      </c>
      <c r="Q9" s="301"/>
      <c r="R9" s="300"/>
      <c r="S9" s="300"/>
      <c r="T9" s="300"/>
      <c r="U9" s="300"/>
      <c r="V9" s="300"/>
      <c r="W9" s="300"/>
      <c r="X9" s="300"/>
      <c r="Y9" s="300"/>
      <c r="Z9" s="300"/>
      <c r="AA9" s="300"/>
      <c r="AB9" s="300"/>
      <c r="AC9" s="300"/>
      <c r="AD9" s="300"/>
    </row>
    <row r="10" spans="1:31" s="290" customFormat="1" ht="15.75" hidden="1" customHeight="1">
      <c r="A10" s="293" t="s">
        <v>1081</v>
      </c>
      <c r="B10" s="293" t="s">
        <v>1082</v>
      </c>
      <c r="C10" s="302">
        <f t="shared" ref="C10:M10" si="5">C60*$P4</f>
        <v>42.2</v>
      </c>
      <c r="D10" s="302">
        <f t="shared" si="5"/>
        <v>41.870840000000001</v>
      </c>
      <c r="E10" s="302">
        <f t="shared" si="5"/>
        <v>45.15822</v>
      </c>
      <c r="F10" s="302">
        <f t="shared" si="5"/>
        <v>49.168275000000001</v>
      </c>
      <c r="G10" s="302">
        <f t="shared" si="5"/>
        <v>53.083379999999998</v>
      </c>
      <c r="H10" s="302">
        <f t="shared" si="5"/>
        <v>57.116644999999998</v>
      </c>
      <c r="I10" s="302">
        <f t="shared" si="5"/>
        <v>61.042300000000004</v>
      </c>
      <c r="J10" s="302">
        <f t="shared" si="5"/>
        <v>65.237767191857998</v>
      </c>
      <c r="K10" s="302">
        <f t="shared" si="5"/>
        <v>69.721590899737791</v>
      </c>
      <c r="L10" s="302">
        <f t="shared" si="5"/>
        <v>74.513590008290294</v>
      </c>
      <c r="M10" s="302">
        <f t="shared" si="5"/>
        <v>79.634945563820466</v>
      </c>
      <c r="Q10" s="301"/>
      <c r="R10" s="300"/>
      <c r="S10" s="300"/>
      <c r="T10" s="300"/>
      <c r="U10" s="300"/>
      <c r="V10" s="300"/>
      <c r="W10" s="300"/>
      <c r="X10" s="300"/>
      <c r="Y10" s="300"/>
      <c r="Z10" s="300"/>
      <c r="AA10" s="300"/>
      <c r="AB10" s="300"/>
      <c r="AC10" s="300"/>
      <c r="AD10" s="300"/>
    </row>
    <row r="11" spans="1:31" s="290" customFormat="1" ht="15.75" hidden="1" customHeight="1">
      <c r="A11" s="293" t="s">
        <v>658</v>
      </c>
      <c r="B11" s="293" t="s">
        <v>850</v>
      </c>
      <c r="C11" s="303">
        <v>3.8583481298499205</v>
      </c>
      <c r="D11" s="303">
        <v>3.9036012220679113</v>
      </c>
      <c r="E11" s="303">
        <v>4.1229885551930536</v>
      </c>
      <c r="F11" s="303">
        <v>4.2954983882903184</v>
      </c>
      <c r="G11" s="303">
        <v>4.527907505019316</v>
      </c>
      <c r="H11" s="303">
        <v>4.7728670146681358</v>
      </c>
      <c r="I11" s="303">
        <v>5.0060662525513848</v>
      </c>
      <c r="J11" s="303">
        <v>5.2209979490232232</v>
      </c>
      <c r="K11" s="303">
        <v>5.5544442020850546</v>
      </c>
      <c r="L11" s="303">
        <v>5.8458401836198579</v>
      </c>
      <c r="M11" s="303">
        <v>6.1640162027242003</v>
      </c>
      <c r="Q11" s="34"/>
      <c r="R11" s="299"/>
      <c r="S11" s="299"/>
      <c r="T11" s="299"/>
      <c r="U11" s="299"/>
      <c r="V11" s="299"/>
      <c r="W11" s="299"/>
      <c r="X11" s="300"/>
      <c r="Y11" s="300"/>
      <c r="Z11" s="300"/>
      <c r="AA11" s="300"/>
      <c r="AB11" s="300"/>
      <c r="AC11" s="300"/>
      <c r="AD11" s="300"/>
    </row>
    <row r="12" spans="1:31" s="290" customFormat="1" ht="15.75" customHeight="1">
      <c r="A12" s="293" t="s">
        <v>659</v>
      </c>
      <c r="B12" s="293" t="s">
        <v>660</v>
      </c>
      <c r="C12" s="294">
        <f>C20</f>
        <v>36.853653332635929</v>
      </c>
      <c r="D12" s="294">
        <f t="shared" ref="D12:M12" si="6">D20</f>
        <v>41.698225201467018</v>
      </c>
      <c r="E12" s="294">
        <f t="shared" si="6"/>
        <v>41.698225201467018</v>
      </c>
      <c r="F12" s="294">
        <f t="shared" si="6"/>
        <v>43.138616604130718</v>
      </c>
      <c r="G12" s="294">
        <f t="shared" si="6"/>
        <v>44.608070503552518</v>
      </c>
      <c r="H12" s="294">
        <f t="shared" si="6"/>
        <v>45.302131869473961</v>
      </c>
      <c r="I12" s="294">
        <f t="shared" si="6"/>
        <v>44.757854543114327</v>
      </c>
      <c r="J12" s="294">
        <f t="shared" si="6"/>
        <v>44.039270353979589</v>
      </c>
      <c r="K12" s="294">
        <f t="shared" si="6"/>
        <v>43.129442283843836</v>
      </c>
      <c r="L12" s="294">
        <f t="shared" si="6"/>
        <v>42.238410781193274</v>
      </c>
      <c r="M12" s="294">
        <f t="shared" si="6"/>
        <v>41.365787518869375</v>
      </c>
      <c r="Q12" s="299"/>
      <c r="R12" s="300"/>
      <c r="S12" s="300"/>
      <c r="T12" s="300"/>
      <c r="U12" s="300"/>
      <c r="V12" s="300"/>
      <c r="W12" s="300"/>
      <c r="X12" s="300"/>
      <c r="Y12" s="300"/>
      <c r="Z12" s="300"/>
      <c r="AA12" s="300"/>
      <c r="AB12" s="300"/>
      <c r="AC12" s="300"/>
      <c r="AD12" s="300"/>
    </row>
    <row r="13" spans="1:31" s="290" customFormat="1" ht="15.75" customHeight="1">
      <c r="A13" s="293"/>
      <c r="B13" s="293" t="s">
        <v>497</v>
      </c>
      <c r="C13" s="294">
        <f>C4+C6+C7+C8+C9+C12</f>
        <v>254.28635201534928</v>
      </c>
      <c r="D13" s="294">
        <f t="shared" ref="D13:M13" si="7">D4+D6+D7+D8+D9+D12</f>
        <v>253.9089511963798</v>
      </c>
      <c r="E13" s="294" t="e">
        <f t="shared" si="7"/>
        <v>#REF!</v>
      </c>
      <c r="F13" s="294" t="e">
        <f t="shared" si="7"/>
        <v>#REF!</v>
      </c>
      <c r="G13" s="294" t="e">
        <f t="shared" si="7"/>
        <v>#REF!</v>
      </c>
      <c r="H13" s="294" t="e">
        <f t="shared" si="7"/>
        <v>#REF!</v>
      </c>
      <c r="I13" s="294" t="e">
        <f t="shared" si="7"/>
        <v>#REF!</v>
      </c>
      <c r="J13" s="294" t="e">
        <f t="shared" si="7"/>
        <v>#REF!</v>
      </c>
      <c r="K13" s="294" t="e">
        <f t="shared" si="7"/>
        <v>#REF!</v>
      </c>
      <c r="L13" s="294" t="e">
        <f t="shared" si="7"/>
        <v>#REF!</v>
      </c>
      <c r="M13" s="294" t="e">
        <f t="shared" si="7"/>
        <v>#REF!</v>
      </c>
      <c r="Q13" s="304"/>
      <c r="R13" s="305"/>
      <c r="S13" s="305"/>
      <c r="T13" s="305"/>
      <c r="U13" s="305"/>
      <c r="V13" s="305"/>
      <c r="W13" s="305"/>
      <c r="X13" s="300"/>
      <c r="Y13" s="300"/>
      <c r="Z13" s="300"/>
      <c r="AA13" s="300"/>
      <c r="AB13" s="300"/>
      <c r="AC13" s="300"/>
      <c r="AD13" s="300"/>
    </row>
    <row r="14" spans="1:31" s="290" customFormat="1" ht="15.75" customHeight="1">
      <c r="B14" s="306"/>
      <c r="C14" s="307"/>
      <c r="D14" s="307"/>
      <c r="E14" s="307"/>
      <c r="F14" s="307"/>
      <c r="G14" s="307"/>
      <c r="H14" s="307"/>
      <c r="I14" s="307"/>
      <c r="J14" s="307"/>
      <c r="K14" s="307"/>
      <c r="L14" s="307"/>
      <c r="M14" s="307"/>
    </row>
    <row r="15" spans="1:31" s="290" customFormat="1" ht="15.75" customHeight="1">
      <c r="A15" s="291"/>
      <c r="B15" s="291"/>
      <c r="C15" s="34">
        <v>185.76625223812778</v>
      </c>
      <c r="D15" s="291">
        <v>176.02460772507345</v>
      </c>
      <c r="E15" s="291">
        <v>163.72538622817473</v>
      </c>
      <c r="F15" s="291">
        <v>158.28598386451509</v>
      </c>
      <c r="G15" s="291">
        <v>153.4899563609581</v>
      </c>
      <c r="H15" s="291">
        <v>148.48330969860194</v>
      </c>
      <c r="I15" s="291">
        <v>143.34764653928261</v>
      </c>
      <c r="J15" s="291">
        <v>138.273276207442</v>
      </c>
      <c r="K15" s="291">
        <v>133.37853375848823</v>
      </c>
      <c r="L15" s="291">
        <v>128.65706053623339</v>
      </c>
      <c r="M15" s="291">
        <v>124.10272297487008</v>
      </c>
      <c r="N15" s="291"/>
      <c r="O15" s="291"/>
      <c r="R15" s="308"/>
      <c r="S15" s="309"/>
      <c r="T15" s="309"/>
      <c r="U15" s="309"/>
      <c r="V15" s="309"/>
      <c r="W15" s="309"/>
      <c r="X15" s="309"/>
      <c r="Y15" s="300"/>
      <c r="Z15" s="300"/>
      <c r="AA15" s="300"/>
      <c r="AB15" s="300"/>
      <c r="AC15" s="300"/>
      <c r="AD15" s="300"/>
      <c r="AE15" s="300"/>
    </row>
    <row r="16" spans="1:31" s="290" customFormat="1" ht="15.75" customHeight="1">
      <c r="A16" s="807" t="s">
        <v>2357</v>
      </c>
      <c r="B16" s="807"/>
      <c r="C16" s="807"/>
      <c r="D16" s="807"/>
      <c r="E16" s="807"/>
      <c r="F16" s="807"/>
      <c r="G16" s="807"/>
      <c r="H16" s="807"/>
      <c r="I16" s="807"/>
      <c r="J16" s="807"/>
      <c r="K16" s="807"/>
      <c r="L16" s="807"/>
      <c r="N16" s="291"/>
      <c r="O16" s="291"/>
      <c r="R16" s="300"/>
      <c r="S16" s="300"/>
      <c r="T16" s="300"/>
      <c r="U16" s="300"/>
      <c r="V16" s="300"/>
      <c r="W16" s="300"/>
      <c r="X16" s="300"/>
      <c r="Y16" s="300"/>
      <c r="Z16" s="300"/>
      <c r="AA16" s="300"/>
      <c r="AB16" s="300"/>
      <c r="AC16" s="300"/>
      <c r="AD16" s="300"/>
      <c r="AE16" s="300"/>
    </row>
    <row r="17" spans="1:42" s="290" customFormat="1" ht="15.75" customHeight="1">
      <c r="A17" s="310"/>
      <c r="B17" s="310"/>
      <c r="C17" s="292">
        <v>2005</v>
      </c>
      <c r="D17" s="292">
        <v>2010</v>
      </c>
      <c r="E17" s="292">
        <v>2015</v>
      </c>
      <c r="F17" s="292">
        <v>2020</v>
      </c>
      <c r="G17" s="292">
        <v>2025</v>
      </c>
      <c r="H17" s="292">
        <v>2030</v>
      </c>
      <c r="I17" s="292">
        <v>2035</v>
      </c>
      <c r="J17" s="292">
        <v>2040</v>
      </c>
      <c r="K17" s="292">
        <v>2045</v>
      </c>
      <c r="L17" s="292">
        <v>2050</v>
      </c>
      <c r="M17" s="292">
        <v>2055</v>
      </c>
      <c r="N17" s="311"/>
      <c r="O17" s="311"/>
      <c r="R17" s="300"/>
      <c r="S17" s="300"/>
      <c r="T17" s="300"/>
      <c r="U17" s="300"/>
      <c r="V17" s="300"/>
      <c r="W17" s="300"/>
      <c r="X17" s="300"/>
      <c r="Y17" s="300"/>
      <c r="Z17" s="300"/>
      <c r="AA17" s="300"/>
      <c r="AB17" s="300"/>
      <c r="AC17" s="300"/>
      <c r="AD17" s="300"/>
      <c r="AE17" s="300"/>
    </row>
    <row r="18" spans="1:42" s="290" customFormat="1" ht="15.75" customHeight="1">
      <c r="A18" s="293" t="s">
        <v>647</v>
      </c>
      <c r="B18" s="293" t="s">
        <v>648</v>
      </c>
      <c r="C18" s="642">
        <f>D18*C34/D34</f>
        <v>25.081762076736513</v>
      </c>
      <c r="D18" s="642">
        <f>Resid!U53</f>
        <v>25.941013969118739</v>
      </c>
      <c r="E18" s="642">
        <f>D18</f>
        <v>25.941013969118739</v>
      </c>
      <c r="F18" s="312">
        <f t="shared" ref="F18:M18" si="8">E18*F34/E34</f>
        <v>27.807022199484521</v>
      </c>
      <c r="G18" s="312">
        <f t="shared" si="8"/>
        <v>30.461165906194861</v>
      </c>
      <c r="H18" s="312">
        <f t="shared" si="8"/>
        <v>33.226831592044661</v>
      </c>
      <c r="I18" s="312">
        <f t="shared" si="8"/>
        <v>36.032104070595416</v>
      </c>
      <c r="J18" s="312">
        <f t="shared" si="8"/>
        <v>39.074219886348338</v>
      </c>
      <c r="K18" s="312">
        <f t="shared" si="8"/>
        <v>42.373175231048066</v>
      </c>
      <c r="L18" s="312">
        <f t="shared" si="8"/>
        <v>45.950654533435952</v>
      </c>
      <c r="M18" s="312">
        <f t="shared" si="8"/>
        <v>49.830172993598261</v>
      </c>
      <c r="N18" s="311"/>
      <c r="O18" s="311"/>
      <c r="R18" s="300"/>
      <c r="S18" s="300"/>
      <c r="T18" s="300"/>
      <c r="U18" s="300"/>
      <c r="V18" s="300"/>
      <c r="W18" s="300"/>
      <c r="X18" s="300"/>
      <c r="Y18" s="300"/>
      <c r="Z18" s="300"/>
      <c r="AA18" s="300"/>
      <c r="AB18" s="300"/>
      <c r="AC18" s="300"/>
      <c r="AD18" s="300"/>
      <c r="AE18" s="300"/>
    </row>
    <row r="19" spans="1:42" s="290" customFormat="1" ht="15.75" customHeight="1">
      <c r="A19" s="293" t="s">
        <v>650</v>
      </c>
      <c r="B19" s="293" t="s">
        <v>651</v>
      </c>
      <c r="C19" s="642">
        <f>D19*C26/D26</f>
        <v>154.200293682557</v>
      </c>
      <c r="D19" s="642">
        <f>Resid!U3</f>
        <v>146.11397861313054</v>
      </c>
      <c r="E19" s="642">
        <f t="shared" ref="E19:E22" si="9">D19</f>
        <v>146.11397861313054</v>
      </c>
      <c r="F19" s="312">
        <f>E19*F26/E26</f>
        <v>131.38955490394028</v>
      </c>
      <c r="G19" s="312">
        <f t="shared" ref="G19:M19" si="10">F19*G26/F26</f>
        <v>127.40848277351851</v>
      </c>
      <c r="H19" s="312">
        <f t="shared" si="10"/>
        <v>123.25258052325147</v>
      </c>
      <c r="I19" s="312">
        <f t="shared" si="10"/>
        <v>118.98958464601004</v>
      </c>
      <c r="J19" s="312">
        <f t="shared" si="10"/>
        <v>114.7774665352304</v>
      </c>
      <c r="K19" s="312">
        <f t="shared" si="10"/>
        <v>110.71445339890663</v>
      </c>
      <c r="L19" s="312">
        <f t="shared" si="10"/>
        <v>106.79526706277515</v>
      </c>
      <c r="M19" s="312">
        <f t="shared" si="10"/>
        <v>103.01481619492058</v>
      </c>
      <c r="N19" s="311"/>
      <c r="O19" s="311"/>
      <c r="P19" s="34"/>
      <c r="Q19" s="313"/>
      <c r="R19" s="313"/>
      <c r="S19" s="313"/>
      <c r="T19" s="313"/>
      <c r="U19" s="313"/>
      <c r="V19" s="313"/>
      <c r="W19" s="313"/>
      <c r="X19" s="313"/>
      <c r="Y19" s="313"/>
      <c r="Z19" s="313"/>
      <c r="AA19" s="313"/>
      <c r="AB19" s="314"/>
      <c r="AD19" s="34"/>
      <c r="AE19" s="313"/>
      <c r="AF19" s="313"/>
      <c r="AG19" s="313"/>
      <c r="AH19" s="313"/>
      <c r="AI19" s="313"/>
      <c r="AJ19" s="313"/>
      <c r="AK19" s="313"/>
      <c r="AL19" s="313"/>
      <c r="AM19" s="313"/>
      <c r="AN19" s="313"/>
      <c r="AO19" s="313"/>
      <c r="AP19" s="314"/>
    </row>
    <row r="20" spans="1:42" s="290" customFormat="1" ht="15.75" customHeight="1">
      <c r="A20" s="293" t="s">
        <v>2358</v>
      </c>
      <c r="B20" s="293" t="s">
        <v>660</v>
      </c>
      <c r="C20" s="642">
        <f>D20*C41/D41</f>
        <v>36.853653332635929</v>
      </c>
      <c r="D20" s="642">
        <f>Resid!U92</f>
        <v>41.698225201467018</v>
      </c>
      <c r="E20" s="642">
        <f t="shared" si="9"/>
        <v>41.698225201467018</v>
      </c>
      <c r="F20" s="312">
        <f t="shared" ref="F20:M20" si="11">E20*F42/E42</f>
        <v>43.138616604130718</v>
      </c>
      <c r="G20" s="312">
        <f t="shared" si="11"/>
        <v>44.608070503552518</v>
      </c>
      <c r="H20" s="312">
        <f t="shared" si="11"/>
        <v>45.302131869473961</v>
      </c>
      <c r="I20" s="312">
        <f t="shared" si="11"/>
        <v>44.757854543114327</v>
      </c>
      <c r="J20" s="312">
        <f t="shared" si="11"/>
        <v>44.039270353979589</v>
      </c>
      <c r="K20" s="312">
        <f t="shared" si="11"/>
        <v>43.129442283843836</v>
      </c>
      <c r="L20" s="312">
        <f t="shared" si="11"/>
        <v>42.238410781193274</v>
      </c>
      <c r="M20" s="312">
        <f t="shared" si="11"/>
        <v>41.365787518869375</v>
      </c>
      <c r="N20" s="311"/>
      <c r="O20" s="311"/>
      <c r="P20" s="34"/>
      <c r="Q20" s="313"/>
      <c r="R20" s="313"/>
      <c r="S20" s="313"/>
      <c r="T20" s="313"/>
      <c r="U20" s="313"/>
      <c r="V20" s="313"/>
      <c r="W20" s="313"/>
      <c r="X20" s="313"/>
      <c r="Y20" s="313"/>
      <c r="Z20" s="313"/>
      <c r="AA20" s="313"/>
      <c r="AB20" s="314"/>
      <c r="AD20" s="34"/>
      <c r="AE20" s="313"/>
      <c r="AF20" s="313"/>
      <c r="AG20" s="313"/>
      <c r="AH20" s="313"/>
      <c r="AI20" s="313"/>
      <c r="AJ20" s="313"/>
      <c r="AK20" s="313"/>
      <c r="AL20" s="313"/>
      <c r="AM20" s="313"/>
      <c r="AN20" s="313"/>
      <c r="AO20" s="313"/>
      <c r="AP20" s="314"/>
    </row>
    <row r="21" spans="1:42" s="290" customFormat="1" ht="15.75" customHeight="1">
      <c r="A21" s="293" t="s">
        <v>652</v>
      </c>
      <c r="B21" s="293" t="s">
        <v>653</v>
      </c>
      <c r="C21" s="642">
        <f>D21</f>
        <v>9.0906279967028976</v>
      </c>
      <c r="D21" s="642">
        <f>I73</f>
        <v>9.0906279967028976</v>
      </c>
      <c r="E21" s="642">
        <f t="shared" si="9"/>
        <v>9.0906279967028976</v>
      </c>
      <c r="F21" s="312">
        <f>$L$73*ResCalc!G62*ResCalc!G75/10^12</f>
        <v>9.5401723215725607</v>
      </c>
      <c r="G21" s="312">
        <f>$L$73*ResCalc!H62*ResCalc!H75/10^12</f>
        <v>9.9236665722832686</v>
      </c>
      <c r="H21" s="312">
        <f>$L$73*ResCalc!I62*ResCalc!I75/10^12</f>
        <v>10.294549972703519</v>
      </c>
      <c r="I21" s="312">
        <f>$L$73*ResCalc!J62*ResCalc!J75/10^12</f>
        <v>10.593977893405096</v>
      </c>
      <c r="J21" s="312">
        <f>$L$73*ResCalc!K62*ResCalc!K75/10^12</f>
        <v>10.896919204272345</v>
      </c>
      <c r="K21" s="312">
        <f>$L$73*ResCalc!L62*ResCalc!L75/10^12</f>
        <v>11.410470996250718</v>
      </c>
      <c r="L21" s="312">
        <f>$L$73*ResCalc!M62*ResCalc!M75/10^12</f>
        <v>11.795628813272973</v>
      </c>
      <c r="M21" s="312">
        <f>$L$73*ResCalc!N62*ResCalc!N75/10^12</f>
        <v>12.190570571971922</v>
      </c>
      <c r="N21" s="311"/>
      <c r="O21" s="311"/>
      <c r="P21" s="34"/>
      <c r="Q21" s="313"/>
      <c r="R21" s="313"/>
      <c r="S21" s="313"/>
      <c r="T21" s="313"/>
      <c r="U21" s="313"/>
      <c r="V21" s="313"/>
      <c r="W21" s="313"/>
      <c r="X21" s="313"/>
      <c r="Y21" s="313"/>
      <c r="Z21" s="313"/>
      <c r="AA21" s="313"/>
      <c r="AB21" s="314"/>
      <c r="AD21" s="34"/>
      <c r="AE21" s="313"/>
      <c r="AF21" s="313"/>
      <c r="AG21" s="313"/>
      <c r="AH21" s="313"/>
      <c r="AI21" s="313"/>
      <c r="AJ21" s="313"/>
      <c r="AK21" s="313"/>
      <c r="AL21" s="313"/>
      <c r="AM21" s="313"/>
      <c r="AN21" s="313"/>
      <c r="AO21" s="313"/>
      <c r="AP21" s="314"/>
    </row>
    <row r="22" spans="1:42" s="290" customFormat="1" ht="15.75" customHeight="1">
      <c r="A22" s="293" t="s">
        <v>654</v>
      </c>
      <c r="B22" s="293" t="s">
        <v>655</v>
      </c>
      <c r="C22" s="642">
        <f>D22*C30/D30</f>
        <v>26.57389342057958</v>
      </c>
      <c r="D22" s="642">
        <f>'2010 Fuel Share'!G72</f>
        <v>28.57898390982329</v>
      </c>
      <c r="E22" s="642">
        <f t="shared" si="9"/>
        <v>28.57898390982329</v>
      </c>
      <c r="F22" s="312">
        <f t="shared" ref="F22:M22" si="12">E22*F30/E30</f>
        <v>27.791315460208853</v>
      </c>
      <c r="G22" s="312">
        <f t="shared" si="12"/>
        <v>27.248312157499743</v>
      </c>
      <c r="H22" s="312">
        <f t="shared" si="12"/>
        <v>26.176256309577703</v>
      </c>
      <c r="I22" s="312">
        <f t="shared" si="12"/>
        <v>25.69716424027099</v>
      </c>
      <c r="J22" s="312">
        <f t="shared" si="12"/>
        <v>25.226840774394731</v>
      </c>
      <c r="K22" s="312">
        <f t="shared" si="12"/>
        <v>24.765125424203362</v>
      </c>
      <c r="L22" s="312">
        <f t="shared" si="12"/>
        <v>24.311860639285261</v>
      </c>
      <c r="M22" s="312">
        <f t="shared" si="12"/>
        <v>23.866891752802061</v>
      </c>
      <c r="N22" s="311">
        <f>D22*E30/D30</f>
        <v>29.173794005165185</v>
      </c>
      <c r="O22" s="311"/>
      <c r="P22" s="34"/>
      <c r="Q22" s="313"/>
      <c r="R22" s="313"/>
      <c r="S22" s="313"/>
      <c r="T22" s="313"/>
      <c r="U22" s="313"/>
      <c r="V22" s="313"/>
      <c r="W22" s="313"/>
      <c r="X22" s="313"/>
      <c r="Y22" s="313"/>
      <c r="Z22" s="313"/>
      <c r="AA22" s="313"/>
      <c r="AB22" s="314"/>
      <c r="AD22" s="34"/>
      <c r="AE22" s="313"/>
      <c r="AF22" s="313"/>
      <c r="AG22" s="313"/>
      <c r="AH22" s="313"/>
      <c r="AI22" s="313"/>
      <c r="AJ22" s="313"/>
      <c r="AK22" s="313"/>
      <c r="AL22" s="313"/>
      <c r="AM22" s="313"/>
      <c r="AN22" s="313"/>
      <c r="AO22" s="313"/>
      <c r="AP22" s="314"/>
    </row>
    <row r="23" spans="1:42" s="290" customFormat="1" ht="15.75" customHeight="1">
      <c r="A23" s="293" t="s">
        <v>656</v>
      </c>
      <c r="B23" s="293" t="s">
        <v>657</v>
      </c>
      <c r="C23" s="642">
        <v>0</v>
      </c>
      <c r="D23" s="642">
        <f>'2010 Fuel Share'!I73</f>
        <v>2.4861215061373532</v>
      </c>
      <c r="E23" s="642">
        <v>0</v>
      </c>
      <c r="F23" s="312">
        <v>0</v>
      </c>
      <c r="G23" s="312">
        <v>0</v>
      </c>
      <c r="H23" s="312">
        <v>0</v>
      </c>
      <c r="I23" s="312">
        <v>0</v>
      </c>
      <c r="J23" s="312">
        <v>0</v>
      </c>
      <c r="K23" s="312">
        <v>0</v>
      </c>
      <c r="L23" s="312">
        <v>0</v>
      </c>
      <c r="M23" s="312">
        <v>0</v>
      </c>
      <c r="N23" s="311"/>
      <c r="O23" s="311"/>
      <c r="P23" s="34"/>
      <c r="Q23" s="313"/>
      <c r="R23" s="313"/>
      <c r="S23" s="313"/>
      <c r="T23" s="313"/>
      <c r="U23" s="313"/>
      <c r="V23" s="313"/>
      <c r="W23" s="313"/>
      <c r="X23" s="313"/>
      <c r="Y23" s="313"/>
      <c r="Z23" s="313"/>
      <c r="AA23" s="313"/>
      <c r="AB23" s="314"/>
      <c r="AD23" s="34"/>
      <c r="AE23" s="313"/>
      <c r="AF23" s="313"/>
      <c r="AG23" s="313"/>
      <c r="AH23" s="313"/>
      <c r="AI23" s="313"/>
      <c r="AJ23" s="313"/>
      <c r="AK23" s="313"/>
      <c r="AL23" s="313"/>
      <c r="AM23" s="313"/>
      <c r="AN23" s="313"/>
      <c r="AO23" s="313"/>
      <c r="AP23" s="314"/>
    </row>
    <row r="24" spans="1:42" s="290" customFormat="1" ht="22.5" customHeight="1">
      <c r="A24" s="807" t="s">
        <v>188</v>
      </c>
      <c r="B24" s="807"/>
      <c r="C24" s="807"/>
      <c r="D24" s="807"/>
      <c r="E24" s="807"/>
      <c r="F24" s="807"/>
      <c r="G24" s="807"/>
      <c r="H24" s="807"/>
      <c r="I24" s="807"/>
      <c r="J24" s="807"/>
      <c r="K24" s="807"/>
      <c r="L24" s="807"/>
    </row>
    <row r="25" spans="1:42" s="290" customFormat="1" ht="15.75" customHeight="1">
      <c r="A25" s="310" t="s">
        <v>645</v>
      </c>
      <c r="B25" s="310" t="s">
        <v>646</v>
      </c>
      <c r="C25" s="292">
        <v>2005</v>
      </c>
      <c r="D25" s="292">
        <v>2010</v>
      </c>
      <c r="E25" s="292">
        <v>2015</v>
      </c>
      <c r="F25" s="292">
        <v>2020</v>
      </c>
      <c r="G25" s="292">
        <v>2025</v>
      </c>
      <c r="H25" s="292">
        <v>2030</v>
      </c>
      <c r="I25" s="292">
        <v>2035</v>
      </c>
      <c r="J25" s="292">
        <v>2040</v>
      </c>
      <c r="K25" s="292">
        <v>2045</v>
      </c>
      <c r="L25" s="292">
        <v>2050</v>
      </c>
      <c r="M25" s="292">
        <v>2055</v>
      </c>
    </row>
    <row r="26" spans="1:42" s="290" customFormat="1">
      <c r="A26" s="293" t="s">
        <v>650</v>
      </c>
      <c r="B26" s="293" t="s">
        <v>651</v>
      </c>
      <c r="C26" s="603">
        <v>5.1129582435161192</v>
      </c>
      <c r="D26" s="603">
        <v>4.8448330000000004</v>
      </c>
      <c r="E26" s="603">
        <f>D26</f>
        <v>4.8448330000000004</v>
      </c>
      <c r="F26" s="603">
        <v>4.3566019999999996</v>
      </c>
      <c r="G26" s="603">
        <v>4.2245980000000003</v>
      </c>
      <c r="H26" s="603">
        <v>4.0867969999999998</v>
      </c>
      <c r="I26" s="603">
        <v>3.9454449999999999</v>
      </c>
      <c r="J26" s="603">
        <v>3.8057799999999999</v>
      </c>
      <c r="K26" s="603">
        <v>3.67105900814737</v>
      </c>
      <c r="L26" s="603">
        <v>3.5411070112565497</v>
      </c>
      <c r="M26" s="603">
        <v>3.4157551914422712</v>
      </c>
    </row>
    <row r="27" spans="1:42" s="290" customFormat="1" ht="15.75" customHeight="1">
      <c r="A27" s="293" t="s">
        <v>659</v>
      </c>
      <c r="B27" s="293" t="s">
        <v>660</v>
      </c>
      <c r="C27" s="603">
        <v>1.6372220516204801</v>
      </c>
      <c r="D27" s="603">
        <v>1.7677210000000001</v>
      </c>
      <c r="E27" s="603">
        <v>1.771803</v>
      </c>
      <c r="F27" s="603">
        <v>1.7663850000000001</v>
      </c>
      <c r="G27" s="603">
        <v>1.7802089999999999</v>
      </c>
      <c r="H27" s="603">
        <v>1.777379</v>
      </c>
      <c r="I27" s="603">
        <v>1.74109</v>
      </c>
      <c r="J27" s="603">
        <v>1.70512</v>
      </c>
      <c r="K27" s="603">
        <v>1.6698931212056813</v>
      </c>
      <c r="L27" s="603">
        <v>1.6353940111253473</v>
      </c>
      <c r="M27" s="603">
        <v>1.6016076344416728</v>
      </c>
    </row>
    <row r="28" spans="1:42" s="290" customFormat="1" ht="15.75" customHeight="1">
      <c r="A28" s="293" t="s">
        <v>658</v>
      </c>
      <c r="B28" s="293" t="s">
        <v>850</v>
      </c>
      <c r="C28" s="603">
        <v>0.39436101913452098</v>
      </c>
      <c r="D28" s="603">
        <v>0.37790699999999999</v>
      </c>
      <c r="E28" s="603">
        <v>0.37693700000000002</v>
      </c>
      <c r="F28" s="603">
        <v>0.37551299999999999</v>
      </c>
      <c r="G28" s="603">
        <v>0.37684800000000002</v>
      </c>
      <c r="H28" s="603">
        <v>0.38406200000000001</v>
      </c>
      <c r="I28" s="603">
        <v>0.39679799999999998</v>
      </c>
      <c r="J28" s="603">
        <v>0.41375600000000001</v>
      </c>
      <c r="K28" s="603">
        <v>0.43143873592104798</v>
      </c>
      <c r="L28" s="603">
        <v>0.44987718088233591</v>
      </c>
      <c r="M28" s="603">
        <v>0.46910363170467539</v>
      </c>
    </row>
    <row r="29" spans="1:42" s="290" customFormat="1" ht="15.75" customHeight="1">
      <c r="A29" s="293" t="s">
        <v>652</v>
      </c>
      <c r="B29" s="293" t="s">
        <v>653</v>
      </c>
      <c r="C29" s="603">
        <f t="shared" ref="C29:I29" si="13">C176</f>
        <v>0.72674226760864302</v>
      </c>
      <c r="D29" s="603">
        <f t="shared" si="13"/>
        <v>0.63835299999999995</v>
      </c>
      <c r="E29" s="603">
        <f t="shared" si="13"/>
        <v>0.498996</v>
      </c>
      <c r="F29" s="603">
        <f t="shared" si="13"/>
        <v>0.43620599999999998</v>
      </c>
      <c r="G29" s="603">
        <f t="shared" si="13"/>
        <v>0.39062000000000002</v>
      </c>
      <c r="H29" s="603">
        <f t="shared" si="13"/>
        <v>0.34983500000000001</v>
      </c>
      <c r="I29" s="603">
        <f t="shared" si="13"/>
        <v>0.29919800000000002</v>
      </c>
      <c r="J29" s="603">
        <f t="shared" ref="J29:M35" si="14">I29*(1+(I29-H29)/H29)</f>
        <v>0.25589047180527968</v>
      </c>
      <c r="K29" s="603">
        <f t="shared" si="14"/>
        <v>0.21885150823444219</v>
      </c>
      <c r="L29" s="603">
        <f t="shared" si="14"/>
        <v>0.18717376351916945</v>
      </c>
      <c r="M29" s="603">
        <f t="shared" si="14"/>
        <v>0.1600812259991381</v>
      </c>
      <c r="O29" s="317"/>
      <c r="P29" s="317"/>
      <c r="Q29" s="317"/>
      <c r="R29" s="317"/>
      <c r="S29" s="317"/>
    </row>
    <row r="30" spans="1:42" s="290" customFormat="1" ht="15.75" customHeight="1">
      <c r="A30" s="293" t="s">
        <v>654</v>
      </c>
      <c r="B30" s="293" t="s">
        <v>655</v>
      </c>
      <c r="C30" s="603">
        <f>C132+C131+C140+C135+C136+C137+C138+C139+C130+C133</f>
        <v>2.3968616500496851</v>
      </c>
      <c r="D30" s="603">
        <f t="shared" ref="D30:I30" si="15">D132+D131+D140+D135+D136+D137+D138+D139+D130+D133</f>
        <v>2.5777130000000001</v>
      </c>
      <c r="E30" s="603">
        <f>E132+E131+E140+E135+E136+E137+E138+E139+E130+E133</f>
        <v>2.6313625531167935</v>
      </c>
      <c r="F30" s="603">
        <f t="shared" si="15"/>
        <v>2.5588392867499103</v>
      </c>
      <c r="G30" s="603">
        <f t="shared" si="15"/>
        <v>2.5088431580745181</v>
      </c>
      <c r="H30" s="603">
        <f t="shared" si="15"/>
        <v>2.4101353935867018</v>
      </c>
      <c r="I30" s="603">
        <f t="shared" si="15"/>
        <v>2.3660237857476423</v>
      </c>
      <c r="J30" s="603">
        <f t="shared" si="14"/>
        <v>2.3227195325291259</v>
      </c>
      <c r="K30" s="603">
        <f t="shared" si="14"/>
        <v>2.2802078572881048</v>
      </c>
      <c r="L30" s="603">
        <f t="shared" si="14"/>
        <v>2.2384742538316829</v>
      </c>
      <c r="M30" s="603">
        <f t="shared" si="14"/>
        <v>2.19750448146719</v>
      </c>
      <c r="O30" s="317"/>
      <c r="P30" s="317"/>
      <c r="Q30" s="318"/>
      <c r="R30" s="318"/>
      <c r="S30" s="317"/>
    </row>
    <row r="31" spans="1:42" s="290" customFormat="1" ht="15.75" customHeight="1">
      <c r="A31" s="293" t="s">
        <v>649</v>
      </c>
      <c r="B31" s="293" t="s">
        <v>849</v>
      </c>
      <c r="C31" s="603">
        <f t="shared" ref="C31:I31" si="16">C175</f>
        <v>8.3529256284236894E-2</v>
      </c>
      <c r="D31" s="603">
        <f t="shared" si="16"/>
        <v>7.9626000000000002E-2</v>
      </c>
      <c r="E31" s="603">
        <f t="shared" si="16"/>
        <v>8.0264000000000002E-2</v>
      </c>
      <c r="F31" s="603">
        <f t="shared" si="16"/>
        <v>7.9727999999999993E-2</v>
      </c>
      <c r="G31" s="603">
        <f t="shared" si="16"/>
        <v>7.8634999999999997E-2</v>
      </c>
      <c r="H31" s="603">
        <f t="shared" si="16"/>
        <v>7.7917E-2</v>
      </c>
      <c r="I31" s="603">
        <f t="shared" si="16"/>
        <v>7.7727000000000004E-2</v>
      </c>
      <c r="J31" s="603">
        <f t="shared" si="14"/>
        <v>7.7537463313525942E-2</v>
      </c>
      <c r="K31" s="603">
        <f t="shared" si="14"/>
        <v>7.7348388810791369E-2</v>
      </c>
      <c r="L31" s="603">
        <f t="shared" si="14"/>
        <v>7.7159775364764829E-2</v>
      </c>
      <c r="M31" s="603">
        <f t="shared" si="14"/>
        <v>7.6971621851163116E-2</v>
      </c>
    </row>
    <row r="32" spans="1:42" s="290" customFormat="1" ht="15.75" customHeight="1">
      <c r="A32" s="293" t="s">
        <v>1080</v>
      </c>
      <c r="B32" s="293" t="s">
        <v>1079</v>
      </c>
      <c r="C32" s="603">
        <f t="shared" ref="C32:D32" si="17">C147+C148</f>
        <v>0.28846947103738763</v>
      </c>
      <c r="D32" s="603">
        <f t="shared" si="17"/>
        <v>0.25928899999999999</v>
      </c>
      <c r="E32" s="603" t="e">
        <f>C32*#REF!/('2010 Fuel Share'!K25*('2010 Fuel Share'!B25+'2010 Fuel Share'!C25))</f>
        <v>#REF!</v>
      </c>
      <c r="F32" s="603" t="e">
        <f>E32*F150/E150</f>
        <v>#REF!</v>
      </c>
      <c r="G32" s="603" t="e">
        <f t="shared" ref="G32:J32" si="18">F32*G150/F150</f>
        <v>#REF!</v>
      </c>
      <c r="H32" s="603" t="e">
        <f t="shared" si="18"/>
        <v>#REF!</v>
      </c>
      <c r="I32" s="603" t="e">
        <f t="shared" si="18"/>
        <v>#REF!</v>
      </c>
      <c r="J32" s="603" t="e">
        <f t="shared" si="18"/>
        <v>#REF!</v>
      </c>
      <c r="K32" s="603" t="e">
        <f>J32</f>
        <v>#REF!</v>
      </c>
      <c r="L32" s="603" t="e">
        <f t="shared" ref="L32:M32" si="19">K32</f>
        <v>#REF!</v>
      </c>
      <c r="M32" s="603" t="e">
        <f t="shared" si="19"/>
        <v>#REF!</v>
      </c>
    </row>
    <row r="33" spans="1:26" s="290" customFormat="1" ht="15.75" customHeight="1">
      <c r="A33" s="293" t="s">
        <v>1081</v>
      </c>
      <c r="B33" s="293" t="s">
        <v>1082</v>
      </c>
      <c r="C33" s="603">
        <f t="shared" ref="C33:I33" si="20">C162</f>
        <v>0.04</v>
      </c>
      <c r="D33" s="603">
        <f t="shared" si="20"/>
        <v>3.9688000000000001E-2</v>
      </c>
      <c r="E33" s="603">
        <f t="shared" si="20"/>
        <v>4.2804000000000002E-2</v>
      </c>
      <c r="F33" s="603">
        <f t="shared" si="20"/>
        <v>4.6605000000000001E-2</v>
      </c>
      <c r="G33" s="603">
        <f t="shared" si="20"/>
        <v>5.0316E-2</v>
      </c>
      <c r="H33" s="603">
        <f t="shared" si="20"/>
        <v>5.4139E-2</v>
      </c>
      <c r="I33" s="603">
        <f t="shared" si="20"/>
        <v>5.7860000000000002E-2</v>
      </c>
      <c r="J33" s="603">
        <f t="shared" si="14"/>
        <v>6.1836746153419907E-2</v>
      </c>
      <c r="K33" s="603">
        <f t="shared" si="14"/>
        <v>6.6086816018708805E-2</v>
      </c>
      <c r="L33" s="603">
        <f t="shared" si="14"/>
        <v>7.0628995268521608E-2</v>
      </c>
      <c r="M33" s="603">
        <f t="shared" si="14"/>
        <v>7.5483360724000442E-2</v>
      </c>
    </row>
    <row r="34" spans="1:26" s="290" customFormat="1" ht="15.75" customHeight="1">
      <c r="A34" s="293" t="s">
        <v>647</v>
      </c>
      <c r="B34" s="293" t="s">
        <v>648</v>
      </c>
      <c r="C34" s="603">
        <f t="shared" ref="C34:I34" si="21">C170</f>
        <v>0.821350157260895</v>
      </c>
      <c r="D34" s="603">
        <f t="shared" si="21"/>
        <v>0.84948800000000002</v>
      </c>
      <c r="E34" s="603">
        <f>D34</f>
        <v>0.84948800000000002</v>
      </c>
      <c r="F34" s="603">
        <f t="shared" si="21"/>
        <v>0.91059400000000001</v>
      </c>
      <c r="G34" s="603">
        <f t="shared" si="21"/>
        <v>0.99750899999999998</v>
      </c>
      <c r="H34" s="603">
        <f t="shared" si="21"/>
        <v>1.088076</v>
      </c>
      <c r="I34" s="603">
        <f t="shared" si="21"/>
        <v>1.17994</v>
      </c>
      <c r="J34" s="603">
        <f t="shared" si="14"/>
        <v>1.2795598869931879</v>
      </c>
      <c r="K34" s="603">
        <f t="shared" si="14"/>
        <v>1.3875904744326151</v>
      </c>
      <c r="L34" s="603">
        <f t="shared" si="14"/>
        <v>1.5047418603130847</v>
      </c>
      <c r="M34" s="603">
        <f t="shared" si="14"/>
        <v>1.6317840947303508</v>
      </c>
    </row>
    <row r="35" spans="1:26" s="290" customFormat="1" ht="15.75" customHeight="1">
      <c r="B35" s="293" t="s">
        <v>178</v>
      </c>
      <c r="C35" s="603">
        <f t="shared" ref="C35:I35" si="22">C26+C27+C28+C29+C30+C31+C32+C34</f>
        <v>11.461494116511966</v>
      </c>
      <c r="D35" s="603">
        <f t="shared" si="22"/>
        <v>11.394930000000002</v>
      </c>
      <c r="E35" s="603" t="e">
        <f t="shared" si="22"/>
        <v>#REF!</v>
      </c>
      <c r="F35" s="603" t="e">
        <f t="shared" si="22"/>
        <v>#REF!</v>
      </c>
      <c r="G35" s="603" t="e">
        <f t="shared" si="22"/>
        <v>#REF!</v>
      </c>
      <c r="H35" s="603" t="e">
        <f t="shared" si="22"/>
        <v>#REF!</v>
      </c>
      <c r="I35" s="603" t="e">
        <f t="shared" si="22"/>
        <v>#REF!</v>
      </c>
      <c r="J35" s="603" t="e">
        <f t="shared" si="14"/>
        <v>#REF!</v>
      </c>
      <c r="K35" s="603" t="e">
        <f t="shared" si="14"/>
        <v>#REF!</v>
      </c>
      <c r="L35" s="603" t="e">
        <f t="shared" si="14"/>
        <v>#REF!</v>
      </c>
      <c r="M35" s="603" t="e">
        <f t="shared" si="14"/>
        <v>#REF!</v>
      </c>
      <c r="O35" s="291"/>
    </row>
    <row r="36" spans="1:26" s="290" customFormat="1" ht="25.5" customHeight="1">
      <c r="A36" s="291"/>
      <c r="B36" s="291"/>
      <c r="C36" s="193"/>
      <c r="D36" s="291"/>
      <c r="E36" s="291"/>
      <c r="F36" s="291"/>
      <c r="G36" s="291"/>
      <c r="H36" s="291"/>
      <c r="I36" s="291"/>
      <c r="J36" s="291"/>
      <c r="K36" s="291"/>
      <c r="L36" s="291"/>
      <c r="M36" s="291"/>
      <c r="N36" s="291"/>
      <c r="O36" s="291"/>
    </row>
    <row r="37" spans="1:26" s="290" customFormat="1" ht="15.75" customHeight="1">
      <c r="A37" s="807" t="s">
        <v>179</v>
      </c>
      <c r="B37" s="807"/>
      <c r="C37" s="807"/>
      <c r="D37" s="807"/>
      <c r="E37" s="807"/>
      <c r="F37" s="807"/>
      <c r="G37" s="807"/>
      <c r="H37" s="807"/>
      <c r="I37" s="807"/>
      <c r="J37" s="807"/>
      <c r="K37" s="807"/>
      <c r="L37" s="807"/>
      <c r="N37" s="291"/>
      <c r="O37" s="291"/>
    </row>
    <row r="38" spans="1:26" s="290" customFormat="1" ht="15.75" customHeight="1">
      <c r="A38" s="310" t="s">
        <v>645</v>
      </c>
      <c r="B38" s="310" t="s">
        <v>646</v>
      </c>
      <c r="C38" s="292">
        <v>2005</v>
      </c>
      <c r="D38" s="292">
        <v>2010</v>
      </c>
      <c r="E38" s="292">
        <v>2015</v>
      </c>
      <c r="F38" s="292">
        <v>2020</v>
      </c>
      <c r="G38" s="292">
        <v>2025</v>
      </c>
      <c r="H38" s="292">
        <v>2030</v>
      </c>
      <c r="I38" s="292">
        <v>2035</v>
      </c>
      <c r="J38" s="292">
        <v>2040</v>
      </c>
      <c r="K38" s="292">
        <v>2045</v>
      </c>
      <c r="L38" s="292">
        <v>2050</v>
      </c>
      <c r="M38" s="292">
        <v>2055</v>
      </c>
      <c r="N38" s="291"/>
      <c r="O38" s="291"/>
    </row>
    <row r="39" spans="1:26" s="290" customFormat="1" ht="15.75" customHeight="1">
      <c r="A39" s="293" t="s">
        <v>650</v>
      </c>
      <c r="B39" s="293" t="s">
        <v>651</v>
      </c>
      <c r="C39" s="316">
        <f>C26*C40</f>
        <v>4.4482736718590239</v>
      </c>
      <c r="D39" s="316">
        <f t="shared" ref="D39:M39" si="23">D26*D40</f>
        <v>4.2966677986698301</v>
      </c>
      <c r="E39" s="316">
        <f t="shared" si="23"/>
        <v>4.4624113084782353</v>
      </c>
      <c r="F39" s="316">
        <f t="shared" si="23"/>
        <v>4.1947864644066062</v>
      </c>
      <c r="G39" s="316">
        <f t="shared" si="23"/>
        <v>4.2038691537401744</v>
      </c>
      <c r="H39" s="316">
        <f t="shared" si="23"/>
        <v>4.1679185278395474</v>
      </c>
      <c r="I39" s="316">
        <f t="shared" si="23"/>
        <v>4.0953706851388407</v>
      </c>
      <c r="J39" s="316">
        <f t="shared" si="23"/>
        <v>3.9503984584977609</v>
      </c>
      <c r="K39" s="316">
        <f t="shared" si="23"/>
        <v>3.8105581107787865</v>
      </c>
      <c r="L39" s="316">
        <f t="shared" si="23"/>
        <v>3.6756679783496384</v>
      </c>
      <c r="M39" s="316">
        <f t="shared" si="23"/>
        <v>3.545552828297819</v>
      </c>
      <c r="N39" s="291"/>
      <c r="O39" s="291"/>
    </row>
    <row r="40" spans="1:26" s="290" customFormat="1" ht="15.75" customHeight="1">
      <c r="A40" s="293"/>
      <c r="B40" s="306" t="s">
        <v>180</v>
      </c>
      <c r="C40" s="319">
        <f>K274</f>
        <v>0.87</v>
      </c>
      <c r="D40" s="319">
        <f t="shared" ref="D40:I40" si="24">L274</f>
        <v>0.88685570765180755</v>
      </c>
      <c r="E40" s="319">
        <f t="shared" si="24"/>
        <v>0.92106607358359616</v>
      </c>
      <c r="F40" s="319">
        <f t="shared" si="24"/>
        <v>0.96285739767061718</v>
      </c>
      <c r="G40" s="319">
        <f t="shared" si="24"/>
        <v>0.99509329733626106</v>
      </c>
      <c r="H40" s="319">
        <f t="shared" si="24"/>
        <v>1.0198496592415889</v>
      </c>
      <c r="I40" s="319">
        <f t="shared" si="24"/>
        <v>1.0379996895505681</v>
      </c>
      <c r="J40" s="319">
        <f>I40</f>
        <v>1.0379996895505681</v>
      </c>
      <c r="K40" s="319">
        <f t="shared" ref="K40:M40" si="25">J40</f>
        <v>1.0379996895505681</v>
      </c>
      <c r="L40" s="319">
        <f t="shared" si="25"/>
        <v>1.0379996895505681</v>
      </c>
      <c r="M40" s="319">
        <f t="shared" si="25"/>
        <v>1.0379996895505681</v>
      </c>
      <c r="N40" s="186"/>
      <c r="O40" s="291"/>
    </row>
    <row r="41" spans="1:26" s="290" customFormat="1" ht="15.75" customHeight="1">
      <c r="A41" s="293"/>
      <c r="B41" s="306" t="s">
        <v>2359</v>
      </c>
      <c r="C41" s="315">
        <v>1</v>
      </c>
      <c r="D41" s="315">
        <f t="shared" ref="D41:M41" si="26">D42/C42</f>
        <v>1.1314543181134489</v>
      </c>
      <c r="E41" s="315">
        <f t="shared" si="26"/>
        <v>1.0175103735075768</v>
      </c>
      <c r="F41" s="315">
        <f t="shared" si="26"/>
        <v>1.0345432304541593</v>
      </c>
      <c r="G41" s="315">
        <f t="shared" si="26"/>
        <v>1.0340635378483856</v>
      </c>
      <c r="H41" s="315">
        <f t="shared" si="26"/>
        <v>1.0155590985686362</v>
      </c>
      <c r="I41" s="315">
        <f t="shared" si="26"/>
        <v>0.98798561339391655</v>
      </c>
      <c r="J41" s="315">
        <f t="shared" si="26"/>
        <v>0.98394507072624438</v>
      </c>
      <c r="K41" s="315">
        <f t="shared" si="26"/>
        <v>0.97934052806000826</v>
      </c>
      <c r="L41" s="315">
        <f t="shared" si="26"/>
        <v>0.97934052806000826</v>
      </c>
      <c r="M41" s="315">
        <f t="shared" si="26"/>
        <v>0.97934052806000849</v>
      </c>
      <c r="N41" s="291"/>
      <c r="O41" s="291"/>
      <c r="P41" s="316"/>
      <c r="Q41" s="316"/>
      <c r="R41" s="316"/>
      <c r="S41" s="316"/>
      <c r="T41" s="316"/>
      <c r="U41" s="316"/>
      <c r="V41" s="316"/>
      <c r="W41" s="316"/>
      <c r="X41" s="316"/>
      <c r="Y41" s="316"/>
    </row>
    <row r="42" spans="1:26" s="290" customFormat="1" ht="15.75" customHeight="1">
      <c r="A42" s="293" t="s">
        <v>659</v>
      </c>
      <c r="B42" s="293" t="s">
        <v>660</v>
      </c>
      <c r="C42" s="316">
        <f t="shared" ref="C42:M42" si="27">C27*C43</f>
        <v>1.0641943335533122</v>
      </c>
      <c r="D42" s="316">
        <f t="shared" si="27"/>
        <v>1.2040872740107591</v>
      </c>
      <c r="E42" s="316">
        <f t="shared" si="27"/>
        <v>1.2251712919144073</v>
      </c>
      <c r="F42" s="316">
        <f t="shared" si="27"/>
        <v>1.2674926661968267</v>
      </c>
      <c r="G42" s="316">
        <f t="shared" si="27"/>
        <v>1.3106679506043735</v>
      </c>
      <c r="H42" s="316">
        <f t="shared" si="27"/>
        <v>1.3310607624385793</v>
      </c>
      <c r="I42" s="316">
        <f t="shared" si="27"/>
        <v>1.315068883842454</v>
      </c>
      <c r="J42" s="316">
        <f t="shared" si="27"/>
        <v>1.2939555459222467</v>
      </c>
      <c r="K42" s="316">
        <f t="shared" si="27"/>
        <v>1.2672231076296694</v>
      </c>
      <c r="L42" s="316">
        <f t="shared" si="27"/>
        <v>1.2410429473958851</v>
      </c>
      <c r="M42" s="316">
        <f t="shared" si="27"/>
        <v>1.2154036554478354</v>
      </c>
      <c r="N42" s="291"/>
      <c r="O42" s="291"/>
      <c r="P42" s="316"/>
      <c r="Q42" s="316"/>
      <c r="R42" s="316"/>
      <c r="S42" s="316"/>
      <c r="T42" s="316"/>
      <c r="U42" s="316"/>
      <c r="V42" s="316"/>
      <c r="W42" s="316"/>
      <c r="X42" s="316"/>
      <c r="Y42" s="316"/>
      <c r="Z42" s="316"/>
    </row>
    <row r="43" spans="1:26" s="290" customFormat="1" ht="15.75" customHeight="1">
      <c r="A43" s="293"/>
      <c r="B43" s="306" t="s">
        <v>181</v>
      </c>
      <c r="C43" s="315">
        <v>0.65</v>
      </c>
      <c r="D43" s="315">
        <v>0.68115232777726742</v>
      </c>
      <c r="E43" s="315">
        <v>0.6914827957252625</v>
      </c>
      <c r="F43" s="315">
        <v>0.71756308290481785</v>
      </c>
      <c r="G43" s="315">
        <v>0.73624386271745257</v>
      </c>
      <c r="H43" s="315">
        <v>0.7488896641844982</v>
      </c>
      <c r="I43" s="315">
        <v>0.75531355865719407</v>
      </c>
      <c r="J43" s="315">
        <v>0.75886479891283121</v>
      </c>
      <c r="K43" s="315">
        <v>0.75886479891283121</v>
      </c>
      <c r="L43" s="315">
        <v>0.75886479891283121</v>
      </c>
      <c r="M43" s="315">
        <v>0.75886479891283121</v>
      </c>
      <c r="N43" s="291"/>
      <c r="O43" s="291"/>
    </row>
    <row r="44" spans="1:26" s="290" customFormat="1" ht="15.75" customHeight="1">
      <c r="A44" s="293"/>
      <c r="N44" s="291"/>
      <c r="O44" s="291"/>
    </row>
    <row r="45" spans="1:26" s="290" customFormat="1" ht="15.75" customHeight="1">
      <c r="A45" s="293" t="s">
        <v>658</v>
      </c>
      <c r="B45" s="293" t="s">
        <v>850</v>
      </c>
      <c r="C45" s="320">
        <f t="shared" ref="C45:I45" si="28">C263</f>
        <v>137.59495544433599</v>
      </c>
      <c r="D45" s="320">
        <f t="shared" si="28"/>
        <v>142.74478099999999</v>
      </c>
      <c r="E45" s="320">
        <f t="shared" si="28"/>
        <v>146.25145000000001</v>
      </c>
      <c r="F45" s="320">
        <f t="shared" si="28"/>
        <v>154.08332799999999</v>
      </c>
      <c r="G45" s="320">
        <f t="shared" si="28"/>
        <v>161.34394800000001</v>
      </c>
      <c r="H45" s="320">
        <f t="shared" si="28"/>
        <v>168.56379699999999</v>
      </c>
      <c r="I45" s="320">
        <f t="shared" si="28"/>
        <v>175.27842699999999</v>
      </c>
      <c r="J45" s="320">
        <v>182</v>
      </c>
      <c r="K45" s="320">
        <v>182</v>
      </c>
      <c r="L45" s="320">
        <v>182</v>
      </c>
      <c r="M45" s="320">
        <v>182</v>
      </c>
      <c r="N45" s="291"/>
      <c r="O45" s="291"/>
    </row>
    <row r="46" spans="1:26" s="290" customFormat="1" ht="15.75" customHeight="1">
      <c r="A46" s="293"/>
      <c r="B46" s="306" t="s">
        <v>182</v>
      </c>
      <c r="C46" s="315"/>
      <c r="D46" s="315"/>
      <c r="E46" s="315"/>
      <c r="F46" s="315"/>
      <c r="G46" s="315"/>
      <c r="H46" s="315"/>
      <c r="I46" s="315"/>
      <c r="J46" s="315"/>
      <c r="K46" s="315"/>
      <c r="L46" s="315"/>
      <c r="M46" s="315"/>
      <c r="N46" s="291"/>
      <c r="O46" s="291"/>
    </row>
    <row r="47" spans="1:26" s="290" customFormat="1" ht="15.75" customHeight="1">
      <c r="A47" s="293"/>
      <c r="B47" s="306"/>
      <c r="C47" s="315"/>
      <c r="D47" s="315"/>
      <c r="E47" s="315"/>
      <c r="F47" s="315"/>
      <c r="G47" s="315"/>
      <c r="H47" s="315"/>
      <c r="I47" s="315"/>
      <c r="J47" s="315"/>
      <c r="K47" s="315"/>
      <c r="L47" s="315"/>
      <c r="M47" s="315"/>
      <c r="N47" s="291"/>
      <c r="O47" s="316"/>
      <c r="P47" s="316"/>
      <c r="Q47" s="316"/>
      <c r="R47" s="316"/>
      <c r="S47" s="316"/>
    </row>
    <row r="48" spans="1:26" s="290" customFormat="1" ht="15.75" customHeight="1">
      <c r="A48" s="293" t="s">
        <v>652</v>
      </c>
      <c r="B48" s="293" t="s">
        <v>653</v>
      </c>
      <c r="C48" s="316">
        <f t="shared" ref="C48:M48" si="29">C7/$P$4</f>
        <v>8.6167090016141205E-3</v>
      </c>
      <c r="D48" s="316">
        <f t="shared" si="29"/>
        <v>8.6167090016141205E-3</v>
      </c>
      <c r="E48" s="316">
        <f t="shared" si="29"/>
        <v>8.6167090016141205E-3</v>
      </c>
      <c r="F48" s="316">
        <f t="shared" si="29"/>
        <v>9.0428173664194884E-3</v>
      </c>
      <c r="G48" s="316">
        <f t="shared" si="29"/>
        <v>9.4063190258609174E-3</v>
      </c>
      <c r="H48" s="316">
        <f t="shared" si="29"/>
        <v>9.757867272704758E-3</v>
      </c>
      <c r="I48" s="316">
        <f t="shared" si="29"/>
        <v>1.0041685207019049E-2</v>
      </c>
      <c r="J48" s="316">
        <f t="shared" si="29"/>
        <v>1.0328833368978526E-2</v>
      </c>
      <c r="K48" s="316">
        <f t="shared" si="29"/>
        <v>1.0815612318721059E-2</v>
      </c>
      <c r="L48" s="316">
        <f t="shared" si="29"/>
        <v>1.1180690818268221E-2</v>
      </c>
      <c r="M48" s="316">
        <f t="shared" si="29"/>
        <v>1.1555043196181915E-2</v>
      </c>
      <c r="N48" s="291"/>
      <c r="O48" s="315"/>
      <c r="P48" s="315"/>
      <c r="Q48" s="315"/>
      <c r="R48" s="315"/>
      <c r="S48" s="315"/>
    </row>
    <row r="49" spans="1:19" s="290" customFormat="1" ht="15.75" customHeight="1">
      <c r="A49" s="293"/>
      <c r="B49" s="306"/>
      <c r="C49" s="315"/>
      <c r="D49" s="315"/>
      <c r="E49" s="315"/>
      <c r="F49" s="315"/>
      <c r="G49" s="315"/>
      <c r="H49" s="315"/>
      <c r="I49" s="315"/>
      <c r="J49" s="315"/>
      <c r="K49" s="315"/>
      <c r="L49" s="315"/>
      <c r="M49" s="315"/>
      <c r="N49" s="291"/>
      <c r="O49" s="291"/>
    </row>
    <row r="50" spans="1:19" s="290" customFormat="1" ht="15.75" customHeight="1">
      <c r="A50" s="293"/>
      <c r="B50" s="34"/>
      <c r="C50" s="313"/>
      <c r="D50" s="313"/>
      <c r="E50" s="313"/>
      <c r="F50" s="313"/>
      <c r="G50" s="313"/>
      <c r="H50" s="313"/>
      <c r="I50" s="313"/>
      <c r="J50" s="313"/>
      <c r="K50" s="313"/>
      <c r="L50" s="313"/>
      <c r="M50" s="313"/>
      <c r="N50" s="291"/>
      <c r="O50" s="291"/>
      <c r="P50" s="291"/>
      <c r="Q50" s="291"/>
      <c r="R50" s="291"/>
      <c r="S50" s="291"/>
    </row>
    <row r="51" spans="1:19" s="290" customFormat="1" ht="15.75" customHeight="1">
      <c r="A51" s="293" t="s">
        <v>654</v>
      </c>
      <c r="B51" s="293" t="s">
        <v>655</v>
      </c>
      <c r="C51" s="316">
        <f t="shared" ref="C51:M51" si="30">C30*C52</f>
        <v>2.3968616500496851</v>
      </c>
      <c r="D51" s="316">
        <f t="shared" si="30"/>
        <v>2.5777130000000001</v>
      </c>
      <c r="E51" s="316">
        <f t="shared" si="30"/>
        <v>2.6313625531167935</v>
      </c>
      <c r="F51" s="316">
        <f t="shared" si="30"/>
        <v>2.5588392867499103</v>
      </c>
      <c r="G51" s="316">
        <f t="shared" si="30"/>
        <v>2.5088431580745181</v>
      </c>
      <c r="H51" s="316">
        <f t="shared" si="30"/>
        <v>2.4101353935867018</v>
      </c>
      <c r="I51" s="316">
        <f t="shared" si="30"/>
        <v>2.3660237857476423</v>
      </c>
      <c r="J51" s="316">
        <f t="shared" si="30"/>
        <v>2.3227195325291259</v>
      </c>
      <c r="K51" s="316">
        <f t="shared" si="30"/>
        <v>2.2802078572881048</v>
      </c>
      <c r="L51" s="316">
        <f t="shared" si="30"/>
        <v>2.2384742538316829</v>
      </c>
      <c r="M51" s="316">
        <f t="shared" si="30"/>
        <v>2.19750448146719</v>
      </c>
      <c r="N51" s="291"/>
      <c r="O51" s="291"/>
    </row>
    <row r="52" spans="1:19" s="290" customFormat="1" ht="15.75" customHeight="1">
      <c r="A52" s="293"/>
      <c r="B52" s="306" t="s">
        <v>183</v>
      </c>
      <c r="C52" s="315">
        <v>1</v>
      </c>
      <c r="D52" s="315">
        <v>1</v>
      </c>
      <c r="E52" s="315">
        <v>1</v>
      </c>
      <c r="F52" s="315">
        <v>1</v>
      </c>
      <c r="G52" s="315">
        <v>1</v>
      </c>
      <c r="H52" s="315">
        <v>1</v>
      </c>
      <c r="I52" s="315">
        <v>1</v>
      </c>
      <c r="J52" s="315">
        <v>1</v>
      </c>
      <c r="K52" s="315">
        <v>1</v>
      </c>
      <c r="L52" s="315">
        <v>1</v>
      </c>
      <c r="M52" s="315">
        <v>1</v>
      </c>
      <c r="N52" s="291"/>
      <c r="O52" s="291"/>
    </row>
    <row r="53" spans="1:19" s="290" customFormat="1" ht="15.75" customHeight="1">
      <c r="A53" s="293"/>
      <c r="B53" s="34"/>
      <c r="C53" s="313"/>
      <c r="D53" s="313"/>
      <c r="E53" s="313"/>
      <c r="F53" s="313"/>
      <c r="G53" s="313"/>
      <c r="H53" s="313"/>
      <c r="I53" s="313"/>
      <c r="J53" s="313"/>
      <c r="K53" s="313"/>
      <c r="L53" s="313"/>
      <c r="M53" s="313"/>
      <c r="N53" s="291"/>
      <c r="O53" s="291"/>
    </row>
    <row r="54" spans="1:19" s="290" customFormat="1" ht="15.75" customHeight="1">
      <c r="A54" s="293" t="s">
        <v>649</v>
      </c>
      <c r="B54" s="293" t="s">
        <v>849</v>
      </c>
      <c r="C54" s="320">
        <f t="shared" ref="C54:F54" si="31">C264</f>
        <v>38.425449371337898</v>
      </c>
      <c r="D54" s="320">
        <f t="shared" si="31"/>
        <v>38.009281000000001</v>
      </c>
      <c r="E54" s="320">
        <f t="shared" si="31"/>
        <v>38.799267</v>
      </c>
      <c r="F54" s="320">
        <f t="shared" si="31"/>
        <v>40.689968</v>
      </c>
      <c r="G54" s="320">
        <v>47.29</v>
      </c>
      <c r="H54" s="320">
        <v>49.95</v>
      </c>
      <c r="I54" s="320">
        <v>52.43</v>
      </c>
      <c r="J54" s="320">
        <v>52.43</v>
      </c>
      <c r="K54" s="320">
        <v>52.43</v>
      </c>
      <c r="L54" s="320">
        <v>52.43</v>
      </c>
      <c r="M54" s="320">
        <v>52.43</v>
      </c>
      <c r="N54" s="291"/>
      <c r="O54" s="291"/>
    </row>
    <row r="55" spans="1:19" s="290" customFormat="1" ht="15.75" customHeight="1">
      <c r="A55" s="293"/>
      <c r="B55" s="306" t="s">
        <v>184</v>
      </c>
      <c r="C55" s="315"/>
      <c r="D55" s="315"/>
      <c r="E55" s="315"/>
      <c r="F55" s="315"/>
      <c r="G55" s="315"/>
      <c r="H55" s="315"/>
      <c r="I55" s="315"/>
      <c r="J55" s="315"/>
      <c r="K55" s="315"/>
      <c r="L55" s="315"/>
      <c r="M55" s="315"/>
      <c r="N55" s="291"/>
      <c r="O55" s="291"/>
    </row>
    <row r="56" spans="1:19" s="290" customFormat="1" ht="15.75" customHeight="1">
      <c r="A56" s="293"/>
      <c r="B56" s="34"/>
      <c r="C56" s="313"/>
      <c r="D56" s="313"/>
      <c r="E56" s="313"/>
      <c r="F56" s="313"/>
      <c r="G56" s="313"/>
      <c r="H56" s="313"/>
      <c r="I56" s="313"/>
      <c r="J56" s="313"/>
      <c r="K56" s="313"/>
      <c r="L56" s="313"/>
      <c r="M56" s="313"/>
      <c r="N56" s="291"/>
      <c r="O56" s="291"/>
    </row>
    <row r="57" spans="1:19" s="290" customFormat="1" ht="15.75" customHeight="1">
      <c r="A57" s="293" t="s">
        <v>656</v>
      </c>
      <c r="B57" s="293" t="s">
        <v>657</v>
      </c>
      <c r="C57" s="316">
        <f t="shared" ref="C57:M57" si="32">C32*C58</f>
        <v>0.28846947103738763</v>
      </c>
      <c r="D57" s="316">
        <f t="shared" si="32"/>
        <v>0.25928899999999999</v>
      </c>
      <c r="E57" s="316" t="e">
        <f t="shared" si="32"/>
        <v>#REF!</v>
      </c>
      <c r="F57" s="316" t="e">
        <f t="shared" si="32"/>
        <v>#REF!</v>
      </c>
      <c r="G57" s="316" t="e">
        <f t="shared" si="32"/>
        <v>#REF!</v>
      </c>
      <c r="H57" s="316" t="e">
        <f t="shared" si="32"/>
        <v>#REF!</v>
      </c>
      <c r="I57" s="316" t="e">
        <f t="shared" si="32"/>
        <v>#REF!</v>
      </c>
      <c r="J57" s="316" t="e">
        <f t="shared" si="32"/>
        <v>#REF!</v>
      </c>
      <c r="K57" s="316" t="e">
        <f t="shared" si="32"/>
        <v>#REF!</v>
      </c>
      <c r="L57" s="316" t="e">
        <f t="shared" si="32"/>
        <v>#REF!</v>
      </c>
      <c r="M57" s="316" t="e">
        <f t="shared" si="32"/>
        <v>#REF!</v>
      </c>
      <c r="N57" s="291"/>
      <c r="O57" s="291"/>
    </row>
    <row r="58" spans="1:19" s="290" customFormat="1" ht="15.75" customHeight="1">
      <c r="A58" s="293"/>
      <c r="B58" s="306" t="s">
        <v>185</v>
      </c>
      <c r="C58" s="315">
        <f t="shared" ref="C58:M58" si="33">C52</f>
        <v>1</v>
      </c>
      <c r="D58" s="315">
        <f t="shared" si="33"/>
        <v>1</v>
      </c>
      <c r="E58" s="315">
        <f t="shared" si="33"/>
        <v>1</v>
      </c>
      <c r="F58" s="315">
        <f t="shared" si="33"/>
        <v>1</v>
      </c>
      <c r="G58" s="315">
        <f t="shared" si="33"/>
        <v>1</v>
      </c>
      <c r="H58" s="315">
        <f t="shared" si="33"/>
        <v>1</v>
      </c>
      <c r="I58" s="315">
        <f t="shared" si="33"/>
        <v>1</v>
      </c>
      <c r="J58" s="315">
        <f t="shared" si="33"/>
        <v>1</v>
      </c>
      <c r="K58" s="315">
        <f t="shared" si="33"/>
        <v>1</v>
      </c>
      <c r="L58" s="315">
        <f t="shared" si="33"/>
        <v>1</v>
      </c>
      <c r="M58" s="315">
        <f t="shared" si="33"/>
        <v>1</v>
      </c>
      <c r="N58" s="291"/>
      <c r="O58" s="291"/>
    </row>
    <row r="59" spans="1:19" s="290" customFormat="1" ht="15.75" customHeight="1">
      <c r="A59" s="293"/>
      <c r="B59" s="34"/>
      <c r="C59" s="313"/>
      <c r="D59" s="313"/>
      <c r="E59" s="313"/>
      <c r="F59" s="313"/>
      <c r="G59" s="313"/>
      <c r="H59" s="313"/>
      <c r="I59" s="313"/>
      <c r="J59" s="313"/>
      <c r="K59" s="313"/>
      <c r="L59" s="313"/>
      <c r="M59" s="313"/>
      <c r="N59" s="291"/>
      <c r="O59" s="291"/>
    </row>
    <row r="60" spans="1:19" s="290" customFormat="1" ht="15.75" customHeight="1">
      <c r="A60" s="293" t="s">
        <v>1081</v>
      </c>
      <c r="B60" s="293" t="s">
        <v>1082</v>
      </c>
      <c r="C60" s="316">
        <f t="shared" ref="C60:M60" si="34">C33*C61</f>
        <v>0.04</v>
      </c>
      <c r="D60" s="316">
        <f t="shared" si="34"/>
        <v>3.9688000000000001E-2</v>
      </c>
      <c r="E60" s="316">
        <f t="shared" si="34"/>
        <v>4.2804000000000002E-2</v>
      </c>
      <c r="F60" s="316">
        <f t="shared" si="34"/>
        <v>4.6605000000000001E-2</v>
      </c>
      <c r="G60" s="316">
        <f t="shared" si="34"/>
        <v>5.0316E-2</v>
      </c>
      <c r="H60" s="316">
        <f t="shared" si="34"/>
        <v>5.4139E-2</v>
      </c>
      <c r="I60" s="316">
        <f t="shared" si="34"/>
        <v>5.7860000000000002E-2</v>
      </c>
      <c r="J60" s="316">
        <f t="shared" si="34"/>
        <v>6.1836746153419907E-2</v>
      </c>
      <c r="K60" s="316">
        <f t="shared" si="34"/>
        <v>6.6086816018708805E-2</v>
      </c>
      <c r="L60" s="316">
        <f t="shared" si="34"/>
        <v>7.0628995268521608E-2</v>
      </c>
      <c r="M60" s="316">
        <f t="shared" si="34"/>
        <v>7.5483360724000442E-2</v>
      </c>
      <c r="N60" s="291"/>
      <c r="O60" s="291"/>
    </row>
    <row r="61" spans="1:19" s="290" customFormat="1" ht="15.75" customHeight="1">
      <c r="A61" s="293"/>
      <c r="B61" s="306" t="s">
        <v>185</v>
      </c>
      <c r="C61" s="315">
        <v>1</v>
      </c>
      <c r="D61" s="315">
        <v>1</v>
      </c>
      <c r="E61" s="315">
        <v>1</v>
      </c>
      <c r="F61" s="315">
        <v>1</v>
      </c>
      <c r="G61" s="315">
        <v>1</v>
      </c>
      <c r="H61" s="315">
        <v>1</v>
      </c>
      <c r="I61" s="315">
        <v>1</v>
      </c>
      <c r="J61" s="315">
        <v>1</v>
      </c>
      <c r="K61" s="315">
        <v>1</v>
      </c>
      <c r="L61" s="315">
        <v>1</v>
      </c>
      <c r="M61" s="315">
        <v>1</v>
      </c>
      <c r="N61" s="291"/>
      <c r="O61" s="291"/>
    </row>
    <row r="62" spans="1:19" s="290" customFormat="1" ht="15.75" customHeight="1">
      <c r="A62" s="293"/>
      <c r="B62" s="34"/>
      <c r="C62" s="313"/>
      <c r="D62" s="313"/>
      <c r="E62" s="313"/>
      <c r="F62" s="313"/>
      <c r="G62" s="313"/>
      <c r="H62" s="313"/>
      <c r="I62" s="313"/>
      <c r="J62" s="313"/>
      <c r="K62" s="313"/>
      <c r="L62" s="313"/>
      <c r="M62" s="313"/>
      <c r="N62" s="291"/>
      <c r="O62" s="291"/>
    </row>
    <row r="63" spans="1:19" s="290" customFormat="1" ht="15.75" customHeight="1">
      <c r="A63" s="293" t="s">
        <v>647</v>
      </c>
      <c r="B63" s="293" t="s">
        <v>648</v>
      </c>
      <c r="C63" s="316">
        <f t="shared" ref="C63:M63" si="35">C34*C64</f>
        <v>2.3737019544839866</v>
      </c>
      <c r="D63" s="316">
        <f t="shared" si="35"/>
        <v>2.7640585888000802</v>
      </c>
      <c r="E63" s="316">
        <f t="shared" si="35"/>
        <v>2.8654237129447044</v>
      </c>
      <c r="F63" s="316">
        <f t="shared" si="35"/>
        <v>3.2378549588041032</v>
      </c>
      <c r="G63" s="316">
        <f t="shared" si="35"/>
        <v>3.6646964860872848</v>
      </c>
      <c r="H63" s="316">
        <f t="shared" si="35"/>
        <v>4.0494267255918608</v>
      </c>
      <c r="I63" s="316">
        <f t="shared" si="35"/>
        <v>4.4179558985426324</v>
      </c>
      <c r="J63" s="316">
        <f t="shared" si="35"/>
        <v>4.7909547521739233</v>
      </c>
      <c r="K63" s="316">
        <f t="shared" si="35"/>
        <v>5.1954451254141247</v>
      </c>
      <c r="L63" s="316">
        <f t="shared" si="35"/>
        <v>5.6340857819501045</v>
      </c>
      <c r="M63" s="316">
        <f t="shared" si="35"/>
        <v>6.1097599593725134</v>
      </c>
      <c r="N63" s="291"/>
      <c r="O63" s="291"/>
    </row>
    <row r="64" spans="1:19" s="290" customFormat="1" ht="15.75" customHeight="1">
      <c r="A64" s="293"/>
      <c r="B64" s="306" t="s">
        <v>186</v>
      </c>
      <c r="C64" s="315">
        <f>K286</f>
        <v>2.89</v>
      </c>
      <c r="D64" s="315">
        <f t="shared" ref="D64:I64" si="36">L286</f>
        <v>3.2537935660069124</v>
      </c>
      <c r="E64" s="315">
        <f t="shared" si="36"/>
        <v>3.3731185289782837</v>
      </c>
      <c r="F64" s="315">
        <f t="shared" si="36"/>
        <v>3.5557613588537844</v>
      </c>
      <c r="G64" s="315">
        <f t="shared" si="36"/>
        <v>3.673848041558808</v>
      </c>
      <c r="H64" s="315">
        <f t="shared" si="36"/>
        <v>3.7216395964912934</v>
      </c>
      <c r="I64" s="315">
        <f t="shared" si="36"/>
        <v>3.7442208066025668</v>
      </c>
      <c r="J64" s="315">
        <f>I64</f>
        <v>3.7442208066025668</v>
      </c>
      <c r="K64" s="315">
        <f>J64</f>
        <v>3.7442208066025668</v>
      </c>
      <c r="L64" s="315">
        <f>K64</f>
        <v>3.7442208066025668</v>
      </c>
      <c r="M64" s="315">
        <f>L64</f>
        <v>3.7442208066025668</v>
      </c>
      <c r="N64" s="291"/>
      <c r="O64" s="291"/>
    </row>
    <row r="65" spans="1:21" s="290" customFormat="1" ht="15.75" customHeight="1">
      <c r="A65" s="293"/>
      <c r="B65" s="34"/>
      <c r="C65" s="313"/>
      <c r="D65" s="313"/>
      <c r="E65" s="313"/>
      <c r="F65" s="313"/>
      <c r="G65" s="313"/>
      <c r="H65" s="313"/>
      <c r="I65" s="313"/>
      <c r="J65" s="313"/>
      <c r="K65" s="313"/>
      <c r="L65" s="313"/>
      <c r="M65" s="313"/>
      <c r="N65" s="291"/>
      <c r="O65" s="291"/>
    </row>
    <row r="66" spans="1:21" s="290" customFormat="1" ht="15.75" customHeight="1">
      <c r="B66" s="293" t="s">
        <v>175</v>
      </c>
      <c r="C66" s="316">
        <f t="shared" ref="C66:M66" si="37">C39+C42+C48+C51+C57+C63</f>
        <v>10.58011778998501</v>
      </c>
      <c r="D66" s="316">
        <f t="shared" si="37"/>
        <v>11.110432370482286</v>
      </c>
      <c r="E66" s="316" t="e">
        <f t="shared" si="37"/>
        <v>#REF!</v>
      </c>
      <c r="F66" s="316" t="e">
        <f t="shared" si="37"/>
        <v>#REF!</v>
      </c>
      <c r="G66" s="316" t="e">
        <f t="shared" si="37"/>
        <v>#REF!</v>
      </c>
      <c r="H66" s="316" t="e">
        <f t="shared" si="37"/>
        <v>#REF!</v>
      </c>
      <c r="I66" s="316" t="e">
        <f t="shared" si="37"/>
        <v>#REF!</v>
      </c>
      <c r="J66" s="316" t="e">
        <f t="shared" si="37"/>
        <v>#REF!</v>
      </c>
      <c r="K66" s="316" t="e">
        <f t="shared" si="37"/>
        <v>#REF!</v>
      </c>
      <c r="L66" s="316" t="e">
        <f t="shared" si="37"/>
        <v>#REF!</v>
      </c>
      <c r="M66" s="316" t="e">
        <f t="shared" si="37"/>
        <v>#REF!</v>
      </c>
      <c r="N66" s="291"/>
      <c r="O66" s="291"/>
    </row>
    <row r="67" spans="1:21" s="290" customFormat="1" ht="15.75" customHeight="1">
      <c r="A67" s="293"/>
      <c r="B67" s="34"/>
      <c r="C67" s="313"/>
      <c r="D67" s="313"/>
      <c r="E67" s="313"/>
      <c r="F67" s="313"/>
      <c r="G67" s="313"/>
      <c r="H67" s="313"/>
      <c r="I67" s="313"/>
      <c r="J67" s="313"/>
      <c r="K67" s="313"/>
      <c r="L67" s="313"/>
      <c r="M67" s="313"/>
      <c r="N67" s="291"/>
      <c r="O67" s="291"/>
    </row>
    <row r="68" spans="1:21" s="34" customFormat="1">
      <c r="A68" s="291"/>
      <c r="B68" s="291"/>
      <c r="C68" s="291"/>
      <c r="D68" s="193"/>
      <c r="E68" s="291"/>
      <c r="F68" s="291"/>
      <c r="G68" s="291"/>
      <c r="H68" s="291"/>
      <c r="I68" s="291"/>
      <c r="J68" s="291"/>
      <c r="K68" s="291"/>
      <c r="L68" s="291"/>
      <c r="M68" s="291"/>
      <c r="N68" s="291"/>
      <c r="O68" s="291"/>
      <c r="P68" s="313"/>
      <c r="U68" s="313"/>
    </row>
    <row r="69" spans="1:21" s="34" customFormat="1" ht="11.25" customHeight="1">
      <c r="A69" s="32" t="s">
        <v>855</v>
      </c>
      <c r="N69" s="291"/>
      <c r="O69" s="291"/>
      <c r="P69" s="291"/>
      <c r="Q69" s="291"/>
      <c r="R69" s="291"/>
      <c r="S69" s="291"/>
      <c r="T69" s="291"/>
      <c r="U69" s="291"/>
    </row>
    <row r="70" spans="1:21" s="34" customFormat="1">
      <c r="C70" s="290">
        <v>2005</v>
      </c>
      <c r="D70" s="290">
        <v>2010</v>
      </c>
      <c r="E70" s="290">
        <v>2015</v>
      </c>
      <c r="F70" s="290">
        <v>2020</v>
      </c>
      <c r="G70" s="290">
        <v>2025</v>
      </c>
      <c r="H70" s="290">
        <v>2030</v>
      </c>
      <c r="I70" s="290">
        <v>2035</v>
      </c>
      <c r="J70" s="290">
        <v>2040</v>
      </c>
      <c r="K70" s="290">
        <v>2045</v>
      </c>
      <c r="L70" s="290">
        <v>2050</v>
      </c>
      <c r="M70" s="290">
        <v>2050</v>
      </c>
      <c r="O70" s="291"/>
      <c r="P70" s="291"/>
      <c r="Q70" s="291"/>
      <c r="R70" s="291"/>
      <c r="S70" s="291"/>
      <c r="T70" s="291"/>
      <c r="U70" s="291"/>
    </row>
    <row r="71" spans="1:21" s="34" customFormat="1">
      <c r="O71" s="291"/>
    </row>
    <row r="72" spans="1:21" s="34" customFormat="1">
      <c r="D72" s="34" t="s">
        <v>479</v>
      </c>
      <c r="F72" s="34" t="s">
        <v>103</v>
      </c>
      <c r="I72" s="34" t="s">
        <v>2360</v>
      </c>
      <c r="L72" s="34" t="s">
        <v>106</v>
      </c>
    </row>
    <row r="73" spans="1:21" s="34" customFormat="1">
      <c r="B73" s="30" t="s">
        <v>494</v>
      </c>
      <c r="C73" s="524">
        <f>'AEO14 RLT Techs'!B157*1.058/100</f>
        <v>0.60306000000000004</v>
      </c>
      <c r="D73" s="525">
        <f>'RTEKTY Conv'!G177</f>
        <v>0.45981100563498845</v>
      </c>
      <c r="F73" s="321">
        <f>1/(C73/D73+C74/D74+C75/D75+C76/D76+C77/D77)</f>
        <v>0.64118024481071334</v>
      </c>
      <c r="I73" s="186">
        <f>USDemand!I72</f>
        <v>9.0906279967028976</v>
      </c>
      <c r="L73" s="322">
        <f>I73*10^12/ResCalc!C75/ResCalc!C62</f>
        <v>1746.575123279712</v>
      </c>
      <c r="O73" s="17"/>
    </row>
    <row r="74" spans="1:21" s="34" customFormat="1">
      <c r="B74" s="30" t="s">
        <v>498</v>
      </c>
      <c r="C74" s="524">
        <f>'AEO14 RLT Techs'!C157*0.9/100</f>
        <v>0.11700000000000001</v>
      </c>
      <c r="D74" s="525">
        <f>'RTEKTY Conv'!G181</f>
        <v>2.1309861778393948</v>
      </c>
      <c r="O74" s="17"/>
    </row>
    <row r="75" spans="1:21" s="34" customFormat="1">
      <c r="B75" s="30" t="s">
        <v>1297</v>
      </c>
      <c r="C75" s="524">
        <f>'AEO14 RLT Techs'!E157/100</f>
        <v>0.18</v>
      </c>
      <c r="D75" s="525">
        <f>'RTEKTY Conv'!G220</f>
        <v>2.0009706521081223</v>
      </c>
      <c r="O75" s="17"/>
    </row>
    <row r="76" spans="1:21" s="34" customFormat="1">
      <c r="B76" s="30" t="s">
        <v>1488</v>
      </c>
      <c r="C76" s="524">
        <f>0.05</f>
        <v>0.05</v>
      </c>
      <c r="D76" s="525">
        <f>'RTEKTY Conv'!G195</f>
        <v>0.76793723125015889</v>
      </c>
      <c r="O76" s="17"/>
    </row>
    <row r="77" spans="1:21" s="34" customFormat="1">
      <c r="B77" s="30" t="s">
        <v>1489</v>
      </c>
      <c r="C77" s="524">
        <f>0.04994</f>
        <v>4.9939999999999998E-2</v>
      </c>
      <c r="D77" s="525">
        <f>'RTEKTY Conv'!G229</f>
        <v>1.3102451539881022</v>
      </c>
      <c r="O77" s="17"/>
    </row>
    <row r="78" spans="1:21" s="34" customFormat="1">
      <c r="C78" s="321"/>
      <c r="D78" s="321"/>
    </row>
    <row r="79" spans="1:21" s="34" customFormat="1">
      <c r="B79" s="34" t="s">
        <v>2598</v>
      </c>
      <c r="C79" s="321"/>
      <c r="D79" s="321"/>
    </row>
    <row r="80" spans="1:21" s="34" customFormat="1">
      <c r="C80" s="321"/>
      <c r="D80" s="321"/>
    </row>
    <row r="81" spans="1:26" s="34" customFormat="1">
      <c r="C81" s="321"/>
      <c r="D81" s="321"/>
    </row>
    <row r="82" spans="1:26" s="34" customFormat="1">
      <c r="B82" s="32" t="s">
        <v>9</v>
      </c>
    </row>
    <row r="83" spans="1:26" s="34" customFormat="1">
      <c r="B83" s="34" t="s">
        <v>10</v>
      </c>
      <c r="W83" s="291"/>
    </row>
    <row r="84" spans="1:26">
      <c r="A84" s="34"/>
      <c r="B84" s="34"/>
      <c r="C84" s="34"/>
      <c r="D84" s="34"/>
      <c r="E84" s="34"/>
      <c r="F84" s="34"/>
      <c r="G84" s="34"/>
      <c r="H84" s="34"/>
      <c r="I84" s="34"/>
      <c r="J84" s="34"/>
      <c r="K84" s="34"/>
      <c r="L84" s="34"/>
      <c r="M84" s="34"/>
      <c r="N84" s="34"/>
      <c r="O84" s="34"/>
      <c r="P84" s="34"/>
      <c r="Q84" s="34"/>
      <c r="R84" s="34"/>
      <c r="S84" s="34"/>
      <c r="T84" s="34"/>
      <c r="U84" s="34"/>
      <c r="V84" s="34"/>
    </row>
    <row r="85" spans="1:26">
      <c r="O85" s="34"/>
      <c r="P85" s="34"/>
      <c r="Q85" s="34"/>
      <c r="R85" s="34"/>
      <c r="S85" s="34"/>
      <c r="T85" s="34"/>
      <c r="U85" s="34"/>
      <c r="V85" s="34"/>
      <c r="W85" s="32" t="s">
        <v>729</v>
      </c>
    </row>
    <row r="86" spans="1:26">
      <c r="O86" s="34"/>
      <c r="P86" s="34"/>
      <c r="Q86" s="34"/>
      <c r="R86" s="34"/>
      <c r="S86" s="34"/>
      <c r="T86" s="34"/>
      <c r="U86" s="34"/>
      <c r="V86" s="34"/>
      <c r="W86" s="34"/>
      <c r="X86" s="34"/>
      <c r="Y86" s="34"/>
      <c r="Z86" s="34"/>
    </row>
    <row r="87" spans="1:26">
      <c r="A87" s="808" t="s">
        <v>3</v>
      </c>
      <c r="B87" s="808"/>
      <c r="C87" s="290">
        <v>2005</v>
      </c>
      <c r="D87" s="290">
        <v>2010</v>
      </c>
      <c r="E87" s="290">
        <v>2015</v>
      </c>
      <c r="F87" s="290">
        <v>2020</v>
      </c>
      <c r="G87" s="290">
        <v>2025</v>
      </c>
      <c r="H87" s="290">
        <v>2030</v>
      </c>
      <c r="I87" s="290">
        <v>2035</v>
      </c>
      <c r="J87" s="34"/>
      <c r="K87" s="34"/>
      <c r="L87" s="34"/>
      <c r="M87" s="34"/>
      <c r="N87" s="34"/>
      <c r="O87" s="34"/>
      <c r="P87" s="34"/>
      <c r="Q87" s="34"/>
      <c r="R87" s="34"/>
      <c r="S87" s="34"/>
      <c r="T87" s="34"/>
      <c r="U87" s="34"/>
      <c r="V87" s="34"/>
      <c r="W87" s="34"/>
      <c r="X87" s="34"/>
      <c r="Y87" s="34"/>
    </row>
    <row r="88" spans="1:26">
      <c r="B88" s="291" t="s">
        <v>347</v>
      </c>
      <c r="C88" s="317">
        <f t="shared" ref="C88:I88" si="38">C127*(C224*C269+C225*1)/(C224+C225)</f>
        <v>0.4156645247155184</v>
      </c>
      <c r="D88" s="317">
        <f t="shared" si="38"/>
        <v>0.4819196625201026</v>
      </c>
      <c r="E88" s="317">
        <f t="shared" si="38"/>
        <v>0.49885914732263159</v>
      </c>
      <c r="F88" s="317">
        <f t="shared" si="38"/>
        <v>0.4941324350922125</v>
      </c>
      <c r="G88" s="317">
        <f t="shared" si="38"/>
        <v>0.51202570937051195</v>
      </c>
      <c r="H88" s="317">
        <f t="shared" si="38"/>
        <v>0.52011329272199047</v>
      </c>
      <c r="I88" s="317">
        <f t="shared" si="38"/>
        <v>0.51957421596742337</v>
      </c>
      <c r="J88" s="317"/>
      <c r="K88" s="317"/>
      <c r="L88" s="317"/>
      <c r="M88" s="317"/>
      <c r="N88" s="34"/>
      <c r="O88" s="34"/>
      <c r="P88" s="34"/>
      <c r="Q88" s="34"/>
      <c r="R88" s="34"/>
      <c r="S88" s="34"/>
      <c r="T88" s="34"/>
      <c r="U88" s="34"/>
      <c r="V88" s="34"/>
      <c r="W88" s="34"/>
      <c r="X88" s="34"/>
      <c r="Y88" s="34"/>
    </row>
    <row r="89" spans="1:26">
      <c r="B89" s="291" t="s">
        <v>580</v>
      </c>
      <c r="C89" s="317">
        <f t="shared" ref="C89:I89" si="39">C144*C272</f>
        <v>2.7154832834257245</v>
      </c>
      <c r="D89" s="317">
        <f t="shared" si="39"/>
        <v>2.5950422399999997</v>
      </c>
      <c r="E89" s="317">
        <f t="shared" si="39"/>
        <v>2.4400856499999999</v>
      </c>
      <c r="F89" s="317">
        <f t="shared" si="39"/>
        <v>2.4566442300000002</v>
      </c>
      <c r="G89" s="317">
        <f t="shared" si="39"/>
        <v>2.4569179800000001</v>
      </c>
      <c r="H89" s="317">
        <f t="shared" si="39"/>
        <v>2.3968767999999998</v>
      </c>
      <c r="I89" s="317">
        <f t="shared" si="39"/>
        <v>2.3294058999999998</v>
      </c>
      <c r="J89" s="317"/>
      <c r="K89" s="317"/>
      <c r="L89" s="317"/>
      <c r="M89" s="317"/>
      <c r="N89" s="34"/>
      <c r="O89" s="34"/>
      <c r="P89" s="34"/>
      <c r="Q89" s="34"/>
      <c r="R89" s="34"/>
      <c r="S89" s="34"/>
      <c r="T89" s="34"/>
      <c r="U89" s="34"/>
      <c r="V89" s="34"/>
      <c r="W89" s="34"/>
      <c r="X89" s="34"/>
      <c r="Y89" s="34"/>
    </row>
    <row r="90" spans="1:26">
      <c r="B90" s="291" t="s">
        <v>4</v>
      </c>
      <c r="C90" s="317">
        <f t="shared" ref="C90:I90" si="40">C153*C273</f>
        <v>0.53130998611450175</v>
      </c>
      <c r="D90" s="317">
        <f t="shared" si="40"/>
        <v>0.39045004999999999</v>
      </c>
      <c r="E90" s="317">
        <f t="shared" si="40"/>
        <v>0.39685799999999999</v>
      </c>
      <c r="F90" s="317">
        <f t="shared" si="40"/>
        <v>0.38042549999999997</v>
      </c>
      <c r="G90" s="317">
        <f t="shared" si="40"/>
        <v>0.34813075999999998</v>
      </c>
      <c r="H90" s="317">
        <f t="shared" si="40"/>
        <v>0.31602920000000001</v>
      </c>
      <c r="I90" s="317">
        <f t="shared" si="40"/>
        <v>0.28859847999999999</v>
      </c>
      <c r="J90" s="317"/>
      <c r="K90" s="317"/>
      <c r="L90" s="317"/>
      <c r="M90" s="317"/>
      <c r="N90" s="34"/>
      <c r="O90" s="34"/>
      <c r="P90" s="34"/>
      <c r="Q90" s="34"/>
      <c r="R90" s="34"/>
      <c r="S90" s="34"/>
      <c r="T90" s="34"/>
      <c r="U90" s="34"/>
      <c r="V90" s="34"/>
      <c r="W90" s="34"/>
      <c r="X90" s="34"/>
      <c r="Y90" s="34"/>
    </row>
    <row r="91" spans="1:26">
      <c r="B91" s="291" t="s">
        <v>541</v>
      </c>
      <c r="C91" s="317">
        <f t="shared" ref="C91:I91" si="41">C159*0.78</f>
        <v>0.28860000000000002</v>
      </c>
      <c r="D91" s="317">
        <f t="shared" si="41"/>
        <v>0.28519218000000002</v>
      </c>
      <c r="E91" s="317">
        <f t="shared" si="41"/>
        <v>0.25381044000000003</v>
      </c>
      <c r="F91" s="317">
        <f t="shared" si="41"/>
        <v>0.23597106000000001</v>
      </c>
      <c r="G91" s="317">
        <f t="shared" si="41"/>
        <v>0.21971898000000004</v>
      </c>
      <c r="H91" s="317">
        <f t="shared" si="41"/>
        <v>0.20632403999999999</v>
      </c>
      <c r="I91" s="317">
        <f t="shared" si="41"/>
        <v>0.19461468000000001</v>
      </c>
      <c r="J91" s="317"/>
      <c r="K91" s="317"/>
      <c r="L91" s="317"/>
      <c r="M91" s="317"/>
      <c r="N91" s="34"/>
      <c r="O91" s="34"/>
      <c r="P91" s="34"/>
      <c r="Q91" s="34"/>
      <c r="R91" s="34"/>
      <c r="S91" s="34"/>
      <c r="T91" s="34"/>
      <c r="U91" s="34"/>
      <c r="V91" s="34"/>
      <c r="W91" s="34"/>
      <c r="X91" s="34"/>
      <c r="Y91" s="34"/>
    </row>
    <row r="92" spans="1:26">
      <c r="B92" s="291" t="s">
        <v>543</v>
      </c>
      <c r="C92" s="317">
        <f t="shared" ref="C92:I92" si="42">C165*1</f>
        <v>0.44818162918090798</v>
      </c>
      <c r="D92" s="317">
        <f t="shared" si="42"/>
        <v>0.53766800000000003</v>
      </c>
      <c r="E92" s="317">
        <f t="shared" si="42"/>
        <v>0.49865300000000001</v>
      </c>
      <c r="F92" s="317">
        <f t="shared" si="42"/>
        <v>0.45812399999999998</v>
      </c>
      <c r="G92" s="317">
        <f t="shared" si="42"/>
        <v>0.45334400000000002</v>
      </c>
      <c r="H92" s="317">
        <f t="shared" si="42"/>
        <v>0.44167400000000001</v>
      </c>
      <c r="I92" s="317">
        <f t="shared" si="42"/>
        <v>0.429761</v>
      </c>
      <c r="J92" s="317"/>
      <c r="K92" s="317"/>
      <c r="L92" s="317"/>
      <c r="M92" s="317"/>
      <c r="N92" s="34"/>
      <c r="O92" s="34"/>
      <c r="P92" s="34"/>
      <c r="Q92" s="34"/>
      <c r="R92" s="34"/>
      <c r="S92" s="34"/>
      <c r="T92" s="34"/>
      <c r="U92" s="34"/>
      <c r="V92" s="34"/>
      <c r="W92" s="34"/>
      <c r="X92" s="34"/>
      <c r="Y92" s="34"/>
    </row>
    <row r="93" spans="1:26">
      <c r="B93" s="291" t="s">
        <v>592</v>
      </c>
      <c r="C93" s="317">
        <f t="shared" ref="C93:I93" si="43">C166*0.81</f>
        <v>8.1537638604640736E-2</v>
      </c>
      <c r="D93" s="317">
        <f t="shared" si="43"/>
        <v>1.5009300000000001E-2</v>
      </c>
      <c r="E93" s="317">
        <f t="shared" si="43"/>
        <v>3.8321100000000001E-3</v>
      </c>
      <c r="F93" s="317">
        <f t="shared" si="43"/>
        <v>3.3647400000000002E-3</v>
      </c>
      <c r="G93" s="317">
        <f t="shared" si="43"/>
        <v>3.0366900000000003E-3</v>
      </c>
      <c r="H93" s="317">
        <f t="shared" si="43"/>
        <v>2.7750600000000002E-3</v>
      </c>
      <c r="I93" s="317">
        <f t="shared" si="43"/>
        <v>2.5304400000000001E-3</v>
      </c>
      <c r="J93" s="317"/>
      <c r="K93" s="317"/>
      <c r="L93" s="317"/>
      <c r="M93" s="317"/>
      <c r="N93" s="34"/>
      <c r="O93" s="34"/>
      <c r="P93" s="34"/>
      <c r="Q93" s="34"/>
      <c r="R93" s="34"/>
      <c r="S93" s="34"/>
      <c r="T93" s="34"/>
      <c r="U93" s="34"/>
      <c r="V93" s="34"/>
      <c r="W93" s="34"/>
      <c r="X93" s="34"/>
      <c r="Y93" s="34"/>
    </row>
    <row r="94" spans="1:26">
      <c r="C94" s="317">
        <f t="shared" ref="C94:I94" si="44">SUM(C88:C93)</f>
        <v>4.4807770620412946</v>
      </c>
      <c r="D94" s="317">
        <f t="shared" si="44"/>
        <v>4.3052814325201032</v>
      </c>
      <c r="E94" s="317">
        <f t="shared" si="44"/>
        <v>4.092098347322632</v>
      </c>
      <c r="F94" s="317">
        <f t="shared" si="44"/>
        <v>4.0286619650922129</v>
      </c>
      <c r="G94" s="317">
        <f t="shared" si="44"/>
        <v>3.9931741193705124</v>
      </c>
      <c r="H94" s="317">
        <f t="shared" si="44"/>
        <v>3.8837923927219902</v>
      </c>
      <c r="I94" s="317">
        <f t="shared" si="44"/>
        <v>3.7644847159674235</v>
      </c>
      <c r="J94" s="34"/>
      <c r="K94" s="34"/>
      <c r="L94" s="34"/>
      <c r="M94" s="34"/>
      <c r="N94" s="34"/>
      <c r="O94" s="34"/>
      <c r="P94" s="34"/>
      <c r="Q94" s="34"/>
      <c r="R94" s="34"/>
      <c r="S94" s="34"/>
      <c r="T94" s="34"/>
      <c r="U94" s="34"/>
      <c r="V94" s="34"/>
      <c r="W94" s="34"/>
      <c r="X94" s="34"/>
      <c r="Y94" s="34"/>
    </row>
    <row r="95" spans="1:26">
      <c r="C95" s="323">
        <f t="shared" ref="C95:I95" si="45">(C39-C94)/C39</f>
        <v>-7.3069672821382044E-3</v>
      </c>
      <c r="D95" s="323">
        <f t="shared" si="45"/>
        <v>-2.0047241848531465E-3</v>
      </c>
      <c r="E95" s="323">
        <f t="shared" si="45"/>
        <v>8.2984945930922455E-2</v>
      </c>
      <c r="F95" s="323">
        <f t="shared" si="45"/>
        <v>3.9602611652341468E-2</v>
      </c>
      <c r="G95" s="323">
        <f t="shared" si="45"/>
        <v>5.0119313105215731E-2</v>
      </c>
      <c r="H95" s="323">
        <f t="shared" si="45"/>
        <v>6.8169791040717589E-2</v>
      </c>
      <c r="I95" s="323">
        <f t="shared" si="45"/>
        <v>8.0795120786532559E-2</v>
      </c>
      <c r="J95" s="34"/>
      <c r="K95" s="34"/>
      <c r="L95" s="34"/>
      <c r="M95" s="34"/>
      <c r="N95" s="34"/>
      <c r="O95" s="34"/>
      <c r="P95" s="34"/>
      <c r="Q95" s="34"/>
      <c r="R95" s="34"/>
      <c r="S95" s="34"/>
      <c r="T95" s="34"/>
      <c r="U95" s="34"/>
      <c r="V95" s="34"/>
      <c r="W95" s="34"/>
      <c r="X95" s="34"/>
      <c r="Y95" s="34"/>
    </row>
    <row r="96" spans="1:26">
      <c r="C96" s="323"/>
      <c r="D96" s="323"/>
      <c r="E96" s="323"/>
      <c r="F96" s="323"/>
      <c r="G96" s="323"/>
      <c r="H96" s="323"/>
      <c r="I96" s="323"/>
      <c r="J96" s="34"/>
      <c r="K96" s="34"/>
      <c r="L96" s="34"/>
      <c r="M96" s="34"/>
      <c r="N96" s="34"/>
      <c r="O96" s="313"/>
      <c r="P96" s="34"/>
      <c r="Q96" s="34"/>
      <c r="R96" s="34"/>
      <c r="S96" s="34"/>
      <c r="T96" s="313"/>
      <c r="U96" s="34"/>
      <c r="V96" s="34"/>
      <c r="W96" s="34"/>
      <c r="X96" s="34"/>
      <c r="Y96" s="313"/>
      <c r="Z96" s="34"/>
    </row>
    <row r="97" spans="1:70">
      <c r="A97" s="808" t="s">
        <v>5</v>
      </c>
      <c r="B97" s="808"/>
      <c r="C97" s="290">
        <v>2005</v>
      </c>
      <c r="D97" s="290">
        <v>2010</v>
      </c>
      <c r="E97" s="290">
        <v>2015</v>
      </c>
      <c r="F97" s="290">
        <v>2020</v>
      </c>
      <c r="G97" s="290">
        <v>2025</v>
      </c>
      <c r="H97" s="290">
        <v>2030</v>
      </c>
      <c r="I97" s="290">
        <v>2035</v>
      </c>
      <c r="J97" s="324"/>
      <c r="K97" s="324"/>
      <c r="L97" s="324"/>
      <c r="M97" s="324"/>
      <c r="N97" s="34"/>
      <c r="O97" s="313"/>
      <c r="P97" s="34"/>
      <c r="Q97" s="34"/>
      <c r="R97" s="34"/>
      <c r="S97" s="34"/>
      <c r="T97" s="313"/>
      <c r="U97" s="34"/>
      <c r="V97" s="34"/>
      <c r="W97" s="34"/>
      <c r="X97" s="34"/>
      <c r="Y97" s="313"/>
      <c r="Z97" s="34"/>
    </row>
    <row r="98" spans="1:70">
      <c r="B98" s="291" t="s">
        <v>347</v>
      </c>
      <c r="C98" s="317">
        <f t="shared" ref="C98:I98" si="46">C129*C290</f>
        <v>0.33945603379579292</v>
      </c>
      <c r="D98" s="317">
        <f t="shared" si="46"/>
        <v>0.391169986872</v>
      </c>
      <c r="E98" s="317">
        <f t="shared" si="46"/>
        <v>0.39634245149800001</v>
      </c>
      <c r="F98" s="317">
        <f t="shared" si="46"/>
        <v>0.44781572434500005</v>
      </c>
      <c r="G98" s="317">
        <f t="shared" si="46"/>
        <v>0.47794246380299998</v>
      </c>
      <c r="H98" s="317">
        <f t="shared" si="46"/>
        <v>0.49712667149</v>
      </c>
      <c r="I98" s="317">
        <f t="shared" si="46"/>
        <v>0.50278071086100007</v>
      </c>
      <c r="J98" s="325"/>
      <c r="K98" s="325"/>
      <c r="L98" s="325"/>
      <c r="M98" s="325"/>
      <c r="O98" s="313"/>
      <c r="P98" s="34"/>
      <c r="Q98" s="34"/>
      <c r="R98" s="34"/>
      <c r="S98" s="34"/>
      <c r="T98" s="313"/>
      <c r="U98" s="34"/>
      <c r="V98" s="34"/>
      <c r="W98" s="34"/>
      <c r="X98" s="34"/>
      <c r="Y98" s="313"/>
      <c r="Z98" s="34"/>
    </row>
    <row r="99" spans="1:70">
      <c r="B99" s="291" t="s">
        <v>580</v>
      </c>
      <c r="C99" s="317">
        <f t="shared" ref="C99:I99" si="47">C146*C291</f>
        <v>0.62680777348874406</v>
      </c>
      <c r="D99" s="317">
        <f t="shared" si="47"/>
        <v>0.73082898682200015</v>
      </c>
      <c r="E99" s="317">
        <f t="shared" si="47"/>
        <v>0.73433069094699999</v>
      </c>
      <c r="F99" s="317">
        <f t="shared" si="47"/>
        <v>0.74998422316400004</v>
      </c>
      <c r="G99" s="317">
        <f t="shared" si="47"/>
        <v>0.76268849519199999</v>
      </c>
      <c r="H99" s="317">
        <f t="shared" si="47"/>
        <v>0.76377765389699992</v>
      </c>
      <c r="I99" s="317">
        <f t="shared" si="47"/>
        <v>0.74586130737699985</v>
      </c>
      <c r="J99" s="326"/>
      <c r="K99" s="326"/>
      <c r="L99" s="326"/>
      <c r="M99" s="326"/>
      <c r="O99" s="313"/>
      <c r="P99" s="34"/>
      <c r="Q99" s="34"/>
      <c r="R99" s="34"/>
      <c r="S99" s="34"/>
      <c r="T99" s="313"/>
      <c r="U99" s="34"/>
      <c r="V99" s="34"/>
      <c r="W99" s="34"/>
      <c r="X99" s="34"/>
      <c r="Y99" s="313"/>
      <c r="Z99" s="34"/>
    </row>
    <row r="100" spans="1:70">
      <c r="B100" s="291" t="s">
        <v>4</v>
      </c>
      <c r="C100" s="317">
        <f t="shared" ref="C100:I100" si="48">C154*C292</f>
        <v>5.9172126898190874E-2</v>
      </c>
      <c r="D100" s="317">
        <f t="shared" si="48"/>
        <v>3.4181042554E-2</v>
      </c>
      <c r="E100" s="317">
        <f t="shared" si="48"/>
        <v>2.7707134105E-2</v>
      </c>
      <c r="F100" s="317">
        <f t="shared" si="48"/>
        <v>2.1679958223E-2</v>
      </c>
      <c r="G100" s="317">
        <f t="shared" si="48"/>
        <v>1.7587182076000001E-2</v>
      </c>
      <c r="H100" s="317">
        <f t="shared" si="48"/>
        <v>1.4446910283999999E-2</v>
      </c>
      <c r="I100" s="317">
        <f t="shared" si="48"/>
        <v>1.1963412933999999E-2</v>
      </c>
      <c r="J100" s="186"/>
      <c r="K100" s="186"/>
      <c r="L100" s="186"/>
      <c r="M100" s="186"/>
    </row>
    <row r="101" spans="1:70">
      <c r="B101" s="291" t="s">
        <v>541</v>
      </c>
      <c r="C101" s="317">
        <f t="shared" ref="C101:I101" si="49">C160*C293</f>
        <v>3.3160278238668212E-2</v>
      </c>
      <c r="D101" s="317">
        <f t="shared" si="49"/>
        <v>4.6913554324000004E-2</v>
      </c>
      <c r="E101" s="317">
        <f t="shared" si="49"/>
        <v>3.9205251785999998E-2</v>
      </c>
      <c r="F101" s="317">
        <f t="shared" si="49"/>
        <v>3.1525302140000003E-2</v>
      </c>
      <c r="G101" s="317">
        <f t="shared" si="49"/>
        <v>2.6609351436E-2</v>
      </c>
      <c r="H101" s="317">
        <f t="shared" si="49"/>
        <v>2.2594980960000004E-2</v>
      </c>
      <c r="I101" s="317">
        <f t="shared" si="49"/>
        <v>1.9255571344000001E-2</v>
      </c>
      <c r="J101" s="34"/>
      <c r="K101" s="34"/>
      <c r="L101" s="34"/>
      <c r="M101" s="34"/>
      <c r="N101" s="34"/>
    </row>
    <row r="102" spans="1:70">
      <c r="B102" s="32"/>
      <c r="C102" s="186">
        <f t="shared" ref="C102:I102" si="50">SUM(C98:C101)</f>
        <v>1.0585962124213961</v>
      </c>
      <c r="D102" s="186">
        <f t="shared" si="50"/>
        <v>1.2030935705720001</v>
      </c>
      <c r="E102" s="186">
        <f t="shared" si="50"/>
        <v>1.197585528336</v>
      </c>
      <c r="F102" s="186">
        <f t="shared" si="50"/>
        <v>1.251005207872</v>
      </c>
      <c r="G102" s="186">
        <f t="shared" si="50"/>
        <v>1.284827492507</v>
      </c>
      <c r="H102" s="186">
        <f t="shared" si="50"/>
        <v>1.2979462166309998</v>
      </c>
      <c r="I102" s="186">
        <f t="shared" si="50"/>
        <v>1.2798610025159998</v>
      </c>
    </row>
    <row r="103" spans="1:70" s="290" customFormat="1" ht="15.75" customHeight="1">
      <c r="A103" s="291"/>
      <c r="B103" s="34"/>
      <c r="C103" s="325">
        <f t="shared" ref="C103:I103" si="51">(C42-C102)/C42</f>
        <v>5.2604312534009559E-3</v>
      </c>
      <c r="D103" s="325">
        <f t="shared" si="51"/>
        <v>8.25275260529132E-4</v>
      </c>
      <c r="E103" s="325">
        <f t="shared" si="51"/>
        <v>2.2515842283002623E-2</v>
      </c>
      <c r="F103" s="325">
        <f t="shared" si="51"/>
        <v>1.3007931930918461E-2</v>
      </c>
      <c r="G103" s="325">
        <f t="shared" si="51"/>
        <v>1.9715487881929162E-2</v>
      </c>
      <c r="H103" s="325">
        <f t="shared" si="51"/>
        <v>2.4878312652618282E-2</v>
      </c>
      <c r="I103" s="325">
        <f t="shared" si="51"/>
        <v>2.6772651804810078E-2</v>
      </c>
      <c r="J103" s="34"/>
      <c r="K103" s="291"/>
      <c r="L103" s="291"/>
      <c r="M103" s="291"/>
      <c r="N103" s="291"/>
      <c r="O103" s="291"/>
      <c r="AL103" s="34" t="s">
        <v>173</v>
      </c>
      <c r="AN103" s="32"/>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row>
    <row r="104" spans="1:70" s="34" customFormat="1" ht="15.75" customHeight="1">
      <c r="A104" s="291"/>
      <c r="B104" s="291"/>
      <c r="C104" s="291"/>
      <c r="D104" s="193"/>
      <c r="E104" s="291"/>
      <c r="F104" s="291"/>
      <c r="G104" s="291"/>
      <c r="H104" s="291"/>
      <c r="I104" s="291"/>
      <c r="J104" s="291"/>
      <c r="K104" s="291"/>
      <c r="L104" s="291"/>
      <c r="M104" s="291"/>
      <c r="N104" s="291"/>
      <c r="O104" s="291"/>
      <c r="P104" s="32"/>
    </row>
    <row r="105" spans="1:70" s="34" customFormat="1">
      <c r="A105" s="810" t="s">
        <v>2361</v>
      </c>
      <c r="B105" s="810"/>
      <c r="C105" s="810"/>
      <c r="D105" s="810"/>
      <c r="E105" s="810"/>
      <c r="F105" s="810"/>
      <c r="G105" s="810"/>
      <c r="H105" s="810"/>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row>
    <row r="106" spans="1:70" s="34" customFormat="1">
      <c r="A106" s="810" t="s">
        <v>728</v>
      </c>
      <c r="B106" s="810"/>
      <c r="C106" s="810"/>
      <c r="D106" s="810"/>
      <c r="E106" s="810"/>
      <c r="F106" s="810"/>
      <c r="G106" s="810"/>
      <c r="H106" s="810"/>
      <c r="L106" s="327"/>
      <c r="M106" s="327"/>
      <c r="N106" s="327"/>
      <c r="O106" s="327"/>
      <c r="P106" s="327"/>
      <c r="Q106" s="327"/>
      <c r="R106" s="327"/>
      <c r="S106" s="327"/>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row>
    <row r="107" spans="1:70" s="34" customFormat="1">
      <c r="C107" s="34" t="s">
        <v>488</v>
      </c>
      <c r="D107" s="32" t="s">
        <v>489</v>
      </c>
      <c r="E107" s="32" t="s">
        <v>490</v>
      </c>
      <c r="F107" s="32" t="s">
        <v>847</v>
      </c>
      <c r="G107" s="32" t="s">
        <v>848</v>
      </c>
      <c r="H107" s="32">
        <v>2030</v>
      </c>
      <c r="I107" s="32">
        <v>2035</v>
      </c>
      <c r="L107" s="291"/>
      <c r="M107" s="291"/>
    </row>
    <row r="108" spans="1:70" s="34" customFormat="1">
      <c r="A108" s="34" t="s">
        <v>731</v>
      </c>
      <c r="L108" s="327"/>
      <c r="M108" s="327"/>
    </row>
    <row r="109" spans="1:70" s="34" customFormat="1">
      <c r="A109" s="34" t="s">
        <v>732</v>
      </c>
      <c r="L109" s="327"/>
      <c r="M109" s="327"/>
    </row>
    <row r="110" spans="1:70" s="34" customFormat="1">
      <c r="A110" s="34" t="s">
        <v>733</v>
      </c>
      <c r="C110" s="316">
        <v>79.6539306640625</v>
      </c>
      <c r="D110" s="291">
        <v>82.11</v>
      </c>
      <c r="E110" s="291">
        <v>85.49</v>
      </c>
      <c r="F110" s="291">
        <v>89.94</v>
      </c>
      <c r="G110" s="291">
        <v>94.26</v>
      </c>
      <c r="H110" s="291">
        <v>98.56</v>
      </c>
      <c r="I110" s="291">
        <v>102.54</v>
      </c>
      <c r="J110" s="325"/>
      <c r="L110" s="291"/>
      <c r="M110" s="291"/>
      <c r="N110" s="291"/>
      <c r="O110" s="291"/>
      <c r="P110" s="291"/>
      <c r="Q110" s="291"/>
      <c r="R110" s="291"/>
      <c r="S110" s="291"/>
      <c r="T110" s="186"/>
      <c r="U110" s="186"/>
      <c r="V110" s="186"/>
      <c r="W110" s="186"/>
      <c r="X110" s="186"/>
      <c r="Y110" s="186"/>
      <c r="Z110" s="186"/>
      <c r="AA110" s="186"/>
      <c r="AB110" s="186"/>
      <c r="AC110" s="186"/>
      <c r="AD110" s="186"/>
      <c r="AE110" s="186"/>
      <c r="AF110" s="186"/>
      <c r="AG110" s="186"/>
      <c r="AH110" s="186"/>
      <c r="AI110" s="186"/>
      <c r="AJ110" s="186"/>
      <c r="AK110" s="186"/>
      <c r="AL110" s="186"/>
      <c r="AM110" s="186"/>
      <c r="AN110" s="186"/>
      <c r="AO110" s="186"/>
      <c r="AP110" s="325"/>
    </row>
    <row r="111" spans="1:70" s="34" customFormat="1">
      <c r="A111" s="34" t="s">
        <v>734</v>
      </c>
      <c r="C111" s="316">
        <v>24.4934978485107</v>
      </c>
      <c r="D111" s="291">
        <v>25.52</v>
      </c>
      <c r="E111" s="291">
        <v>26.98</v>
      </c>
      <c r="F111" s="291">
        <v>29.31</v>
      </c>
      <c r="G111" s="291">
        <v>31.47</v>
      </c>
      <c r="H111" s="291">
        <v>33.700000000000003</v>
      </c>
      <c r="I111" s="291">
        <v>35.96</v>
      </c>
      <c r="J111" s="325"/>
      <c r="L111" s="291"/>
      <c r="M111" s="291"/>
      <c r="N111" s="291"/>
      <c r="O111" s="291"/>
      <c r="P111" s="291"/>
      <c r="Q111" s="291"/>
      <c r="R111" s="291"/>
      <c r="S111" s="291"/>
      <c r="T111" s="186"/>
      <c r="U111" s="186"/>
      <c r="V111" s="186"/>
      <c r="W111" s="186"/>
      <c r="X111" s="186"/>
      <c r="Y111" s="186"/>
      <c r="Z111" s="186"/>
      <c r="AA111" s="186"/>
      <c r="AB111" s="186"/>
      <c r="AC111" s="186"/>
      <c r="AD111" s="186"/>
      <c r="AE111" s="186"/>
      <c r="AF111" s="186"/>
      <c r="AG111" s="186"/>
      <c r="AH111" s="186"/>
      <c r="AI111" s="186"/>
      <c r="AJ111" s="186"/>
      <c r="AK111" s="186"/>
      <c r="AL111" s="186"/>
      <c r="AM111" s="186"/>
      <c r="AN111" s="186"/>
      <c r="AO111" s="186"/>
      <c r="AP111" s="325"/>
    </row>
    <row r="112" spans="1:70" s="34" customFormat="1">
      <c r="A112" s="34" t="s">
        <v>735</v>
      </c>
      <c r="C112" s="316">
        <v>6.9431958198547399</v>
      </c>
      <c r="D112" s="291">
        <v>6.56</v>
      </c>
      <c r="E112" s="291">
        <v>6.25</v>
      </c>
      <c r="F112" s="291">
        <v>6.56</v>
      </c>
      <c r="G112" s="291">
        <v>6.86</v>
      </c>
      <c r="H112" s="291">
        <v>7.04</v>
      </c>
      <c r="I112" s="291">
        <v>7.14</v>
      </c>
      <c r="J112" s="325"/>
      <c r="L112" s="291"/>
      <c r="M112" s="291"/>
      <c r="N112" s="291"/>
      <c r="O112" s="291"/>
      <c r="P112" s="291"/>
      <c r="Q112" s="291"/>
      <c r="R112" s="291"/>
      <c r="S112" s="291"/>
      <c r="T112" s="186"/>
      <c r="U112" s="186"/>
      <c r="V112" s="186"/>
      <c r="W112" s="186"/>
      <c r="X112" s="186"/>
      <c r="Y112" s="186"/>
      <c r="Z112" s="186"/>
      <c r="AA112" s="186"/>
      <c r="AB112" s="186"/>
      <c r="AC112" s="186"/>
      <c r="AD112" s="186"/>
      <c r="AE112" s="186"/>
      <c r="AF112" s="186"/>
      <c r="AG112" s="186"/>
      <c r="AH112" s="186"/>
      <c r="AI112" s="186"/>
      <c r="AJ112" s="186"/>
      <c r="AK112" s="186"/>
      <c r="AL112" s="186"/>
      <c r="AM112" s="186"/>
      <c r="AN112" s="186"/>
      <c r="AO112" s="186"/>
      <c r="AP112" s="325"/>
    </row>
    <row r="113" spans="1:42" s="34" customFormat="1">
      <c r="A113" s="34" t="s">
        <v>636</v>
      </c>
      <c r="C113" s="316">
        <v>111.090629577637</v>
      </c>
      <c r="D113" s="327">
        <v>114.19</v>
      </c>
      <c r="E113" s="327">
        <v>118.73</v>
      </c>
      <c r="F113" s="327">
        <v>125.82</v>
      </c>
      <c r="G113" s="327">
        <v>132.6</v>
      </c>
      <c r="H113" s="327">
        <v>139.30000000000001</v>
      </c>
      <c r="I113" s="327">
        <v>145.63999999999999</v>
      </c>
      <c r="J113" s="328"/>
      <c r="L113" s="327"/>
      <c r="M113" s="327"/>
      <c r="N113" s="327"/>
      <c r="O113" s="327"/>
      <c r="P113" s="327"/>
      <c r="Q113" s="327"/>
      <c r="R113" s="327"/>
      <c r="S113" s="327"/>
      <c r="T113" s="329"/>
      <c r="U113" s="329"/>
      <c r="V113" s="329"/>
      <c r="W113" s="329"/>
      <c r="X113" s="329"/>
      <c r="Y113" s="329"/>
      <c r="Z113" s="329"/>
      <c r="AA113" s="329"/>
      <c r="AB113" s="329"/>
      <c r="AC113" s="329"/>
      <c r="AD113" s="329"/>
      <c r="AE113" s="329"/>
      <c r="AF113" s="329"/>
      <c r="AG113" s="329"/>
      <c r="AH113" s="329"/>
      <c r="AI113" s="329"/>
      <c r="AJ113" s="329"/>
      <c r="AK113" s="329"/>
      <c r="AL113" s="329"/>
      <c r="AM113" s="329"/>
      <c r="AN113" s="329"/>
      <c r="AO113" s="329"/>
      <c r="AP113" s="330"/>
    </row>
    <row r="114" spans="1:42" s="34" customFormat="1">
      <c r="L114" s="291"/>
      <c r="M114" s="291"/>
    </row>
    <row r="115" spans="1:42" s="34" customFormat="1">
      <c r="A115" s="34" t="s">
        <v>736</v>
      </c>
      <c r="C115" s="331">
        <v>1801.65991210938</v>
      </c>
      <c r="D115" s="327">
        <v>1653</v>
      </c>
      <c r="E115" s="327">
        <v>1684</v>
      </c>
      <c r="F115" s="327">
        <v>1705</v>
      </c>
      <c r="G115" s="327">
        <v>1725</v>
      </c>
      <c r="H115" s="327">
        <v>1743</v>
      </c>
      <c r="I115" s="327">
        <v>1759</v>
      </c>
      <c r="J115" s="328"/>
      <c r="L115" s="327"/>
      <c r="M115" s="327"/>
      <c r="N115" s="327"/>
      <c r="O115" s="327"/>
      <c r="P115" s="327"/>
      <c r="Q115" s="327"/>
      <c r="R115" s="327"/>
      <c r="S115" s="327"/>
      <c r="T115" s="332"/>
      <c r="U115" s="332"/>
      <c r="V115" s="332"/>
      <c r="W115" s="332"/>
      <c r="X115" s="332"/>
      <c r="Y115" s="332"/>
      <c r="Z115" s="332"/>
      <c r="AA115" s="332"/>
      <c r="AB115" s="332"/>
      <c r="AC115" s="332"/>
      <c r="AD115" s="332"/>
      <c r="AE115" s="332"/>
      <c r="AF115" s="332"/>
      <c r="AG115" s="332"/>
      <c r="AH115" s="332"/>
      <c r="AI115" s="332"/>
      <c r="AJ115" s="332"/>
      <c r="AK115" s="332"/>
      <c r="AL115" s="332"/>
      <c r="AM115" s="332"/>
      <c r="AN115" s="332"/>
      <c r="AO115" s="332"/>
      <c r="AP115" s="330"/>
    </row>
    <row r="116" spans="1:42" s="34" customFormat="1">
      <c r="L116" s="291"/>
      <c r="M116" s="291"/>
    </row>
    <row r="117" spans="1:42" s="34" customFormat="1">
      <c r="A117" s="34" t="s">
        <v>189</v>
      </c>
      <c r="L117" s="327"/>
      <c r="M117" s="327"/>
    </row>
    <row r="118" spans="1:42" s="34" customFormat="1">
      <c r="A118" s="34" t="s">
        <v>190</v>
      </c>
      <c r="L118" s="327"/>
      <c r="M118" s="327"/>
    </row>
    <row r="119" spans="1:42" s="34" customFormat="1">
      <c r="A119" s="34" t="s">
        <v>191</v>
      </c>
      <c r="C119" s="333">
        <v>103.666473388672</v>
      </c>
      <c r="D119" s="291">
        <v>102.1</v>
      </c>
      <c r="E119" s="291">
        <v>94.6</v>
      </c>
      <c r="F119" s="291">
        <v>90.3</v>
      </c>
      <c r="G119" s="291">
        <v>86.8</v>
      </c>
      <c r="H119" s="291">
        <v>84.2</v>
      </c>
      <c r="I119" s="291">
        <v>81.900000000000006</v>
      </c>
      <c r="J119" s="325"/>
      <c r="L119" s="291"/>
      <c r="M119" s="291"/>
      <c r="N119" s="291"/>
      <c r="O119" s="291"/>
      <c r="P119" s="291"/>
      <c r="Q119" s="291"/>
      <c r="R119" s="291"/>
      <c r="S119" s="291"/>
      <c r="T119" s="334"/>
      <c r="U119" s="334"/>
      <c r="V119" s="334"/>
      <c r="W119" s="334"/>
      <c r="X119" s="334"/>
      <c r="Y119" s="334"/>
      <c r="Z119" s="334"/>
      <c r="AA119" s="334"/>
      <c r="AB119" s="334"/>
      <c r="AC119" s="334"/>
      <c r="AD119" s="334"/>
      <c r="AE119" s="334"/>
      <c r="AF119" s="334"/>
      <c r="AG119" s="334"/>
      <c r="AH119" s="334"/>
      <c r="AI119" s="334"/>
      <c r="AJ119" s="334"/>
      <c r="AK119" s="334"/>
      <c r="AL119" s="334"/>
      <c r="AM119" s="334"/>
      <c r="AN119" s="334"/>
      <c r="AO119" s="334"/>
      <c r="AP119" s="325"/>
    </row>
    <row r="120" spans="1:42" s="34" customFormat="1">
      <c r="A120" s="34" t="s">
        <v>192</v>
      </c>
      <c r="C120" s="333">
        <v>194.80401611328099</v>
      </c>
      <c r="D120" s="291">
        <v>193.1</v>
      </c>
      <c r="E120" s="291">
        <v>175.3</v>
      </c>
      <c r="F120" s="291">
        <v>169.8</v>
      </c>
      <c r="G120" s="291">
        <v>166.1</v>
      </c>
      <c r="H120" s="291">
        <v>162.80000000000001</v>
      </c>
      <c r="I120" s="291">
        <v>159.9</v>
      </c>
      <c r="J120" s="325"/>
      <c r="L120" s="291"/>
      <c r="M120" s="291"/>
      <c r="N120" s="291"/>
      <c r="O120" s="291"/>
      <c r="P120" s="291"/>
      <c r="Q120" s="291"/>
      <c r="R120" s="291"/>
      <c r="S120" s="291"/>
      <c r="T120" s="334"/>
      <c r="U120" s="334"/>
      <c r="V120" s="334"/>
      <c r="W120" s="334"/>
      <c r="X120" s="334"/>
      <c r="Y120" s="334"/>
      <c r="Z120" s="334"/>
      <c r="AA120" s="334"/>
      <c r="AB120" s="334"/>
      <c r="AC120" s="334"/>
      <c r="AD120" s="334"/>
      <c r="AE120" s="334"/>
      <c r="AF120" s="334"/>
      <c r="AG120" s="334"/>
      <c r="AH120" s="334"/>
      <c r="AI120" s="334"/>
      <c r="AJ120" s="334"/>
      <c r="AK120" s="334"/>
      <c r="AL120" s="334"/>
      <c r="AM120" s="334"/>
      <c r="AN120" s="334"/>
      <c r="AO120" s="334"/>
      <c r="AP120" s="325"/>
    </row>
    <row r="121" spans="1:42" s="34" customFormat="1">
      <c r="A121" s="34" t="s">
        <v>193</v>
      </c>
      <c r="L121" s="327"/>
      <c r="M121" s="327"/>
    </row>
    <row r="122" spans="1:42" s="34" customFormat="1">
      <c r="A122" s="34" t="s">
        <v>191</v>
      </c>
      <c r="C122" s="333">
        <v>57.539424896240199</v>
      </c>
      <c r="D122" s="291">
        <v>61.8</v>
      </c>
      <c r="E122" s="291">
        <v>56.2</v>
      </c>
      <c r="F122" s="291">
        <v>52.9</v>
      </c>
      <c r="G122" s="291">
        <v>50.3</v>
      </c>
      <c r="H122" s="291">
        <v>48.3</v>
      </c>
      <c r="I122" s="291">
        <v>46.6</v>
      </c>
      <c r="J122" s="325"/>
      <c r="L122" s="291"/>
      <c r="M122" s="291"/>
      <c r="N122" s="291"/>
      <c r="O122" s="291"/>
      <c r="P122" s="291"/>
      <c r="Q122" s="291"/>
      <c r="R122" s="291"/>
      <c r="S122" s="291"/>
      <c r="T122" s="334"/>
      <c r="U122" s="334"/>
      <c r="V122" s="334"/>
      <c r="W122" s="334"/>
      <c r="X122" s="334"/>
      <c r="Y122" s="334"/>
      <c r="Z122" s="334"/>
      <c r="AA122" s="334"/>
      <c r="AB122" s="334"/>
      <c r="AC122" s="334"/>
      <c r="AD122" s="334"/>
      <c r="AE122" s="334"/>
      <c r="AF122" s="334"/>
      <c r="AG122" s="334"/>
      <c r="AH122" s="334"/>
      <c r="AI122" s="334"/>
      <c r="AJ122" s="334"/>
      <c r="AK122" s="334"/>
      <c r="AL122" s="334"/>
      <c r="AM122" s="334"/>
      <c r="AN122" s="334"/>
      <c r="AO122" s="334"/>
      <c r="AP122" s="325"/>
    </row>
    <row r="123" spans="1:42" s="34" customFormat="1">
      <c r="A123" s="34" t="s">
        <v>192</v>
      </c>
      <c r="C123" s="333">
        <v>108.12474060058599</v>
      </c>
      <c r="D123" s="291">
        <v>116.8</v>
      </c>
      <c r="E123" s="291">
        <v>104.1</v>
      </c>
      <c r="F123" s="291">
        <v>99.6</v>
      </c>
      <c r="G123" s="291">
        <v>96.3</v>
      </c>
      <c r="H123" s="291">
        <v>93.4</v>
      </c>
      <c r="I123" s="291">
        <v>90.9</v>
      </c>
      <c r="J123" s="325"/>
      <c r="L123" s="291"/>
      <c r="M123" s="291"/>
      <c r="N123" s="291"/>
      <c r="O123" s="291"/>
      <c r="P123" s="291"/>
      <c r="Q123" s="291"/>
      <c r="R123" s="291"/>
      <c r="S123" s="291"/>
      <c r="T123" s="334"/>
      <c r="U123" s="334"/>
      <c r="V123" s="334"/>
      <c r="W123" s="334"/>
      <c r="X123" s="334"/>
      <c r="Y123" s="334"/>
      <c r="Z123" s="334"/>
      <c r="AA123" s="334"/>
      <c r="AB123" s="334"/>
      <c r="AC123" s="334"/>
      <c r="AD123" s="334"/>
      <c r="AE123" s="334"/>
      <c r="AF123" s="334"/>
      <c r="AG123" s="334"/>
      <c r="AH123" s="334"/>
      <c r="AI123" s="334"/>
      <c r="AJ123" s="334"/>
      <c r="AK123" s="334"/>
      <c r="AL123" s="334"/>
      <c r="AM123" s="334"/>
      <c r="AN123" s="334"/>
      <c r="AO123" s="334"/>
      <c r="AP123" s="325"/>
    </row>
    <row r="124" spans="1:42" s="34" customFormat="1">
      <c r="L124" s="291"/>
      <c r="M124" s="291"/>
    </row>
    <row r="125" spans="1:42" s="34" customFormat="1">
      <c r="A125" s="34" t="s">
        <v>640</v>
      </c>
      <c r="L125" s="327"/>
      <c r="M125" s="327"/>
    </row>
    <row r="126" spans="1:42" s="34" customFormat="1">
      <c r="A126" s="34" t="s">
        <v>641</v>
      </c>
      <c r="L126" s="327"/>
      <c r="M126" s="327"/>
    </row>
    <row r="127" spans="1:42" s="34" customFormat="1" ht="15">
      <c r="A127" s="34" t="s">
        <v>194</v>
      </c>
      <c r="C127" s="184">
        <v>0.31044062972068798</v>
      </c>
      <c r="D127" s="183">
        <v>0.37431599999999998</v>
      </c>
      <c r="E127" s="183">
        <v>0.37431599999999998</v>
      </c>
      <c r="F127" s="183">
        <v>0.350018</v>
      </c>
      <c r="G127" s="183">
        <v>0.346829</v>
      </c>
      <c r="H127" s="183">
        <v>0.34055000000000002</v>
      </c>
      <c r="I127" s="183">
        <v>0.33205000000000001</v>
      </c>
      <c r="J127" s="183">
        <v>0.32287399999999999</v>
      </c>
      <c r="L127" s="291"/>
      <c r="M127" s="595" t="s">
        <v>2633</v>
      </c>
      <c r="N127" s="596"/>
      <c r="O127" s="596"/>
      <c r="P127" s="596"/>
      <c r="Q127" s="596"/>
      <c r="R127" s="596"/>
      <c r="S127" s="596"/>
      <c r="T127" s="596"/>
      <c r="U127" s="596"/>
      <c r="V127" s="596"/>
      <c r="W127" s="596"/>
      <c r="X127" s="596"/>
      <c r="Y127" s="186"/>
      <c r="Z127" s="186"/>
      <c r="AA127" s="186"/>
      <c r="AB127" s="186"/>
      <c r="AC127" s="186"/>
      <c r="AD127" s="186"/>
      <c r="AE127" s="186"/>
      <c r="AF127" s="186"/>
      <c r="AG127" s="186"/>
      <c r="AH127" s="186"/>
      <c r="AI127" s="186"/>
      <c r="AJ127" s="186"/>
      <c r="AK127" s="186"/>
      <c r="AL127" s="186"/>
      <c r="AM127" s="186"/>
      <c r="AN127" s="186"/>
      <c r="AO127" s="186"/>
      <c r="AP127" s="325"/>
    </row>
    <row r="128" spans="1:42" s="34" customFormat="1">
      <c r="A128" s="34" t="s">
        <v>195</v>
      </c>
      <c r="C128" s="184">
        <v>0.821350157260895</v>
      </c>
      <c r="D128" s="183">
        <v>0.82708599999999999</v>
      </c>
      <c r="E128" s="183">
        <v>0.82708599999999999</v>
      </c>
      <c r="F128" s="183">
        <v>0.88810500000000003</v>
      </c>
      <c r="G128" s="183">
        <v>0.97562300000000002</v>
      </c>
      <c r="H128" s="183">
        <v>1.066975</v>
      </c>
      <c r="I128" s="183">
        <v>1.1596200000000001</v>
      </c>
      <c r="J128" s="183">
        <v>1.2522930000000001</v>
      </c>
      <c r="L128" s="291"/>
      <c r="M128" s="596"/>
      <c r="N128" s="596"/>
      <c r="O128" s="597">
        <v>2010</v>
      </c>
      <c r="P128" s="597">
        <v>2015</v>
      </c>
      <c r="Q128" s="597">
        <v>2020</v>
      </c>
      <c r="R128" s="597">
        <v>2025</v>
      </c>
      <c r="S128" s="597">
        <v>2030</v>
      </c>
      <c r="T128" s="597">
        <v>2035</v>
      </c>
      <c r="U128" s="597">
        <v>2040</v>
      </c>
      <c r="V128" s="597">
        <v>2045</v>
      </c>
      <c r="W128" s="597">
        <v>2050</v>
      </c>
      <c r="X128" s="597">
        <v>2055</v>
      </c>
      <c r="Y128" s="186"/>
      <c r="Z128" s="186"/>
      <c r="AA128" s="186"/>
      <c r="AB128" s="186"/>
      <c r="AC128" s="186"/>
      <c r="AD128" s="186"/>
      <c r="AE128" s="186"/>
      <c r="AF128" s="186"/>
      <c r="AG128" s="186"/>
      <c r="AH128" s="186"/>
      <c r="AI128" s="186"/>
      <c r="AJ128" s="186"/>
      <c r="AK128" s="186"/>
      <c r="AL128" s="186"/>
      <c r="AM128" s="186"/>
      <c r="AN128" s="186"/>
      <c r="AO128" s="186"/>
      <c r="AP128" s="325"/>
    </row>
    <row r="129" spans="1:42" s="34" customFormat="1">
      <c r="A129" s="34" t="s">
        <v>196</v>
      </c>
      <c r="C129" s="184">
        <v>0.382184237241745</v>
      </c>
      <c r="D129" s="183">
        <v>0.43712200000000001</v>
      </c>
      <c r="E129" s="183">
        <v>0.43712200000000001</v>
      </c>
      <c r="F129" s="183">
        <v>0.47446500000000003</v>
      </c>
      <c r="G129" s="183">
        <v>0.49104300000000001</v>
      </c>
      <c r="H129" s="183">
        <v>0.50100999999999996</v>
      </c>
      <c r="I129" s="183">
        <v>0.50321700000000003</v>
      </c>
      <c r="J129" s="183">
        <v>0.50572600000000001</v>
      </c>
      <c r="L129" s="291"/>
      <c r="M129" s="596" t="s">
        <v>2634</v>
      </c>
      <c r="N129" s="598" t="s">
        <v>2635</v>
      </c>
      <c r="O129" s="599">
        <v>5.8956455863568456E-6</v>
      </c>
      <c r="P129" s="599">
        <v>5.8174292682496378E-6</v>
      </c>
      <c r="Q129" s="599">
        <v>5.6385025311668539E-6</v>
      </c>
      <c r="R129" s="599">
        <v>5.4108459566783177E-6</v>
      </c>
      <c r="S129" s="599">
        <v>5.1910538736486155E-6</v>
      </c>
      <c r="T129" s="599">
        <v>4.9883146904680135E-6</v>
      </c>
      <c r="U129" s="599">
        <v>4.7925368748317626E-6</v>
      </c>
      <c r="V129" s="599">
        <v>4.6044428072093538E-6</v>
      </c>
      <c r="W129" s="599">
        <v>4.4237309213413597E-6</v>
      </c>
      <c r="X129" s="599">
        <v>4.2501114866257258E-6</v>
      </c>
      <c r="Y129" s="186"/>
      <c r="Z129" s="186"/>
      <c r="AA129" s="186"/>
      <c r="AB129" s="186"/>
      <c r="AC129" s="186"/>
      <c r="AD129" s="186"/>
      <c r="AE129" s="186"/>
      <c r="AF129" s="186"/>
      <c r="AG129" s="186"/>
      <c r="AH129" s="186"/>
      <c r="AI129" s="186"/>
      <c r="AJ129" s="186"/>
      <c r="AK129" s="186"/>
      <c r="AL129" s="186"/>
      <c r="AM129" s="186"/>
      <c r="AN129" s="186"/>
      <c r="AO129" s="186"/>
      <c r="AP129" s="325"/>
    </row>
    <row r="130" spans="1:42" s="34" customFormat="1">
      <c r="A130" s="34" t="s">
        <v>197</v>
      </c>
      <c r="C130" s="184">
        <v>0.39436101913452098</v>
      </c>
      <c r="D130" s="183">
        <v>0.37790699999999999</v>
      </c>
      <c r="E130" s="183">
        <f>D130*$P$137/$O$137</f>
        <v>0.38577232157370045</v>
      </c>
      <c r="F130" s="183">
        <f>D130*Q$137/$O$137</f>
        <v>0.37514000912351314</v>
      </c>
      <c r="G130" s="183">
        <f>E130*R$137/$O$137</f>
        <v>0.36781029980392183</v>
      </c>
      <c r="H130" s="183">
        <f t="shared" ref="H130:J140" si="52">F130*S$137/$O$137</f>
        <v>0.35333919493138671</v>
      </c>
      <c r="I130" s="183">
        <f t="shared" si="52"/>
        <v>0.34687218895219674</v>
      </c>
      <c r="J130" s="183">
        <f t="shared" si="52"/>
        <v>0.33606819046310171</v>
      </c>
      <c r="L130" s="291"/>
      <c r="M130" s="596" t="s">
        <v>2636</v>
      </c>
      <c r="N130" s="598" t="s">
        <v>2635</v>
      </c>
      <c r="O130" s="599">
        <v>1.0968653823796818E-5</v>
      </c>
      <c r="P130" s="599">
        <v>9.596099890615481E-6</v>
      </c>
      <c r="Q130" s="599">
        <v>9.1321923182592453E-6</v>
      </c>
      <c r="R130" s="599">
        <v>8.8734774593837495E-6</v>
      </c>
      <c r="S130" s="599">
        <v>8.6714720874766991E-6</v>
      </c>
      <c r="T130" s="599">
        <v>8.5791195184934895E-6</v>
      </c>
      <c r="U130" s="599">
        <v>8.5068549399819305E-6</v>
      </c>
      <c r="V130" s="599">
        <v>8.4351990683774368E-6</v>
      </c>
      <c r="W130" s="599">
        <v>8.3641467763533664E-6</v>
      </c>
      <c r="X130" s="599">
        <v>8.2936929797721357E-6</v>
      </c>
      <c r="Y130" s="186"/>
      <c r="Z130" s="186"/>
      <c r="AA130" s="186"/>
      <c r="AB130" s="186"/>
      <c r="AC130" s="186"/>
      <c r="AD130" s="186"/>
      <c r="AE130" s="186"/>
      <c r="AF130" s="186"/>
      <c r="AG130" s="186"/>
      <c r="AH130" s="186"/>
      <c r="AI130" s="186"/>
      <c r="AJ130" s="186"/>
      <c r="AK130" s="186"/>
      <c r="AL130" s="186"/>
      <c r="AM130" s="186"/>
      <c r="AN130" s="186"/>
      <c r="AO130" s="186"/>
      <c r="AP130" s="325"/>
    </row>
    <row r="131" spans="1:42" s="34" customFormat="1">
      <c r="A131" s="34" t="s">
        <v>198</v>
      </c>
      <c r="C131" s="184">
        <v>0.102017246186733</v>
      </c>
      <c r="D131" s="183">
        <v>0.105281</v>
      </c>
      <c r="E131" s="183">
        <f t="shared" ref="E131:E140" si="53">D131*$P$137/$O$137</f>
        <v>0.10747219762428523</v>
      </c>
      <c r="F131" s="183">
        <f t="shared" ref="F131:G140" si="54">D131*Q$137/$O$137</f>
        <v>0.1045101448254004</v>
      </c>
      <c r="G131" s="183">
        <f t="shared" si="54"/>
        <v>0.10246816326148152</v>
      </c>
      <c r="H131" s="183">
        <f t="shared" si="52"/>
        <v>9.8436662410517212E-2</v>
      </c>
      <c r="I131" s="183">
        <f t="shared" si="52"/>
        <v>9.6635021116508096E-2</v>
      </c>
      <c r="J131" s="183">
        <f t="shared" si="52"/>
        <v>9.3625138354531179E-2</v>
      </c>
      <c r="L131" s="291"/>
      <c r="M131" s="596"/>
      <c r="N131" s="596"/>
      <c r="O131" s="596"/>
      <c r="P131" s="596"/>
      <c r="Q131" s="596"/>
      <c r="R131" s="596"/>
      <c r="S131" s="596"/>
      <c r="T131" s="596"/>
      <c r="U131" s="596"/>
      <c r="V131" s="596"/>
      <c r="W131" s="596"/>
      <c r="X131" s="596"/>
      <c r="Y131" s="186"/>
      <c r="Z131" s="186"/>
      <c r="AA131" s="186"/>
      <c r="AB131" s="186"/>
      <c r="AC131" s="186"/>
      <c r="AD131" s="186"/>
      <c r="AE131" s="186"/>
      <c r="AF131" s="186"/>
      <c r="AG131" s="186"/>
      <c r="AH131" s="186"/>
      <c r="AI131" s="186"/>
      <c r="AJ131" s="186"/>
      <c r="AK131" s="186"/>
      <c r="AL131" s="186"/>
      <c r="AM131" s="186"/>
      <c r="AN131" s="186"/>
      <c r="AO131" s="186"/>
      <c r="AP131" s="325"/>
    </row>
    <row r="132" spans="1:42" s="34" customFormat="1">
      <c r="A132" s="34" t="s">
        <v>199</v>
      </c>
      <c r="C132" s="184">
        <v>0.25261107087135298</v>
      </c>
      <c r="D132" s="183">
        <v>0.198571</v>
      </c>
      <c r="E132" s="183">
        <f t="shared" si="53"/>
        <v>0.20270382836838499</v>
      </c>
      <c r="F132" s="183">
        <f t="shared" si="54"/>
        <v>0.19711708635104702</v>
      </c>
      <c r="G132" s="183">
        <f t="shared" si="54"/>
        <v>0.19326569511113728</v>
      </c>
      <c r="H132" s="183">
        <f t="shared" si="52"/>
        <v>0.18566186198382248</v>
      </c>
      <c r="I132" s="183">
        <f t="shared" si="52"/>
        <v>0.18226377768188115</v>
      </c>
      <c r="J132" s="183">
        <f t="shared" si="52"/>
        <v>0.17658682334132098</v>
      </c>
      <c r="L132" s="291"/>
      <c r="M132" s="596" t="s">
        <v>2637</v>
      </c>
      <c r="N132" s="596"/>
      <c r="O132" s="596"/>
      <c r="P132" s="596"/>
      <c r="Q132" s="596"/>
      <c r="R132" s="596"/>
      <c r="S132" s="596"/>
      <c r="T132" s="596"/>
      <c r="U132" s="596"/>
      <c r="V132" s="596"/>
      <c r="W132" s="596"/>
      <c r="X132" s="596"/>
      <c r="Y132" s="186"/>
      <c r="Z132" s="186"/>
      <c r="AA132" s="186"/>
      <c r="AB132" s="186"/>
      <c r="AC132" s="186"/>
      <c r="AD132" s="186"/>
      <c r="AE132" s="186"/>
      <c r="AF132" s="186"/>
      <c r="AG132" s="186"/>
      <c r="AH132" s="186"/>
      <c r="AI132" s="186"/>
      <c r="AJ132" s="186"/>
      <c r="AK132" s="186"/>
      <c r="AL132" s="186"/>
      <c r="AM132" s="186"/>
      <c r="AN132" s="186"/>
      <c r="AO132" s="186"/>
      <c r="AP132" s="325"/>
    </row>
    <row r="133" spans="1:42" s="34" customFormat="1">
      <c r="A133" s="34" t="s">
        <v>200</v>
      </c>
      <c r="C133" s="184">
        <v>8.3529256284236894E-2</v>
      </c>
      <c r="D133" s="183">
        <v>7.9626000000000002E-2</v>
      </c>
      <c r="E133" s="183">
        <f t="shared" si="53"/>
        <v>8.1283243966445387E-2</v>
      </c>
      <c r="F133" s="183">
        <f t="shared" si="54"/>
        <v>7.9042987736318349E-2</v>
      </c>
      <c r="G133" s="183">
        <f t="shared" si="54"/>
        <v>7.7498598682181299E-2</v>
      </c>
      <c r="H133" s="183">
        <f t="shared" si="52"/>
        <v>7.4449498780405229E-2</v>
      </c>
      <c r="I133" s="183">
        <f t="shared" si="52"/>
        <v>7.3086883591750432E-2</v>
      </c>
      <c r="J133" s="183">
        <f t="shared" si="52"/>
        <v>7.0810452661143969E-2</v>
      </c>
      <c r="L133" s="291"/>
      <c r="M133" s="600" t="s">
        <v>2638</v>
      </c>
      <c r="N133" s="600"/>
      <c r="O133" s="601">
        <v>2.083145735851658E-3</v>
      </c>
      <c r="P133" s="601">
        <v>1.9457415936483652E-3</v>
      </c>
      <c r="Q133" s="601">
        <v>1.9223577974795834E-3</v>
      </c>
      <c r="R133" s="601">
        <v>1.9145957621778599E-3</v>
      </c>
      <c r="S133" s="601">
        <v>1.9201780895192703E-3</v>
      </c>
      <c r="T133" s="601">
        <v>1.9313425376328301E-3</v>
      </c>
      <c r="U133" s="601">
        <v>1.9381380395832055E-3</v>
      </c>
      <c r="V133" s="601">
        <v>1.9449574517648616E-3</v>
      </c>
      <c r="W133" s="601">
        <v>1.9518008583068543E-3</v>
      </c>
      <c r="X133" s="601">
        <v>1.9586683436342497E-3</v>
      </c>
      <c r="Y133" s="186"/>
      <c r="Z133" s="186"/>
      <c r="AA133" s="186"/>
      <c r="AB133" s="186"/>
      <c r="AC133" s="186"/>
      <c r="AD133" s="186"/>
      <c r="AE133" s="186"/>
      <c r="AF133" s="186"/>
      <c r="AG133" s="186"/>
      <c r="AH133" s="186"/>
      <c r="AI133" s="186"/>
      <c r="AJ133" s="186"/>
      <c r="AK133" s="186"/>
      <c r="AL133" s="186"/>
      <c r="AM133" s="186"/>
      <c r="AN133" s="186"/>
      <c r="AO133" s="186"/>
      <c r="AP133" s="325"/>
    </row>
    <row r="134" spans="1:42" s="34" customFormat="1">
      <c r="A134" s="34" t="s">
        <v>201</v>
      </c>
      <c r="C134" s="184">
        <v>0.72674226760864302</v>
      </c>
      <c r="D134" s="183">
        <v>0.63835299999999995</v>
      </c>
      <c r="E134" s="183">
        <f t="shared" si="53"/>
        <v>0.65163894501434594</v>
      </c>
      <c r="F134" s="183">
        <f t="shared" si="54"/>
        <v>0.63367905395777779</v>
      </c>
      <c r="G134" s="183">
        <f t="shared" si="54"/>
        <v>0.6212978545269946</v>
      </c>
      <c r="H134" s="183">
        <f t="shared" si="52"/>
        <v>0.5968535515405522</v>
      </c>
      <c r="I134" s="183">
        <f t="shared" si="52"/>
        <v>0.58592961346098826</v>
      </c>
      <c r="J134" s="183">
        <f t="shared" si="52"/>
        <v>0.56767971375680348</v>
      </c>
      <c r="L134" s="291"/>
      <c r="M134" s="600" t="s">
        <v>2639</v>
      </c>
      <c r="N134" s="600"/>
      <c r="O134" s="601">
        <v>4.5550045468802401E-4</v>
      </c>
      <c r="P134" s="601">
        <v>3.8840176908535109E-4</v>
      </c>
      <c r="Q134" s="601">
        <v>3.7870669464693739E-4</v>
      </c>
      <c r="R134" s="601">
        <v>3.7010797342646031E-4</v>
      </c>
      <c r="S134" s="601">
        <v>3.6234250015408078E-4</v>
      </c>
      <c r="T134" s="601">
        <v>3.5518811836054065E-4</v>
      </c>
      <c r="U134" s="601">
        <v>3.4859689009023671E-4</v>
      </c>
      <c r="V134" s="601">
        <v>3.421279752867001E-4</v>
      </c>
      <c r="W134" s="601">
        <v>3.3577910417811608E-4</v>
      </c>
      <c r="X134" s="601">
        <v>3.2954804911284051E-4</v>
      </c>
      <c r="Y134" s="186"/>
      <c r="Z134" s="186"/>
      <c r="AA134" s="186"/>
      <c r="AB134" s="186"/>
      <c r="AC134" s="186"/>
      <c r="AD134" s="186"/>
      <c r="AE134" s="186"/>
      <c r="AF134" s="186"/>
      <c r="AG134" s="186"/>
      <c r="AH134" s="186"/>
      <c r="AI134" s="186"/>
      <c r="AJ134" s="186"/>
      <c r="AK134" s="186"/>
      <c r="AL134" s="186"/>
      <c r="AM134" s="186"/>
      <c r="AN134" s="186"/>
      <c r="AO134" s="186"/>
      <c r="AP134" s="325"/>
    </row>
    <row r="135" spans="1:42" s="34" customFormat="1">
      <c r="A135" s="34" t="s">
        <v>202</v>
      </c>
      <c r="C135" s="184">
        <v>3.4679807722568498E-2</v>
      </c>
      <c r="D135" s="183">
        <v>3.1628999999999997E-2</v>
      </c>
      <c r="E135" s="183">
        <f t="shared" si="53"/>
        <v>3.2287289621665043E-2</v>
      </c>
      <c r="F135" s="183">
        <f t="shared" si="54"/>
        <v>3.1397416159445565E-2</v>
      </c>
      <c r="G135" s="183">
        <f t="shared" si="54"/>
        <v>3.0783954709751985E-2</v>
      </c>
      <c r="H135" s="183">
        <f t="shared" si="52"/>
        <v>2.9572792767757223E-2</v>
      </c>
      <c r="I135" s="183">
        <f t="shared" si="52"/>
        <v>2.903153544223587E-2</v>
      </c>
      <c r="J135" s="183">
        <f t="shared" si="52"/>
        <v>2.8127292683537065E-2</v>
      </c>
      <c r="L135" s="291"/>
      <c r="M135" s="600" t="s">
        <v>855</v>
      </c>
      <c r="N135" s="600"/>
      <c r="O135" s="601">
        <v>2.6039135677495577E-3</v>
      </c>
      <c r="P135" s="601">
        <v>2.6039135677495577E-3</v>
      </c>
      <c r="Q135" s="601">
        <v>2.6039135677495577E-3</v>
      </c>
      <c r="R135" s="601">
        <v>2.6039135677495577E-3</v>
      </c>
      <c r="S135" s="601">
        <v>2.6039135677495577E-3</v>
      </c>
      <c r="T135" s="601">
        <v>2.6039135677495577E-3</v>
      </c>
      <c r="U135" s="601">
        <v>2.6039135677495577E-3</v>
      </c>
      <c r="V135" s="601">
        <v>2.6039135677495577E-3</v>
      </c>
      <c r="W135" s="601">
        <v>2.6039135677495577E-3</v>
      </c>
      <c r="X135" s="601">
        <v>2.6039135677495577E-3</v>
      </c>
      <c r="Y135" s="186"/>
      <c r="Z135" s="186"/>
      <c r="AA135" s="186"/>
      <c r="AB135" s="186"/>
      <c r="AC135" s="186"/>
      <c r="AD135" s="186"/>
      <c r="AE135" s="186"/>
      <c r="AF135" s="186"/>
      <c r="AG135" s="186"/>
      <c r="AH135" s="186"/>
      <c r="AI135" s="186"/>
      <c r="AJ135" s="186"/>
      <c r="AK135" s="186"/>
      <c r="AL135" s="186"/>
      <c r="AM135" s="186"/>
      <c r="AN135" s="186"/>
      <c r="AO135" s="186"/>
      <c r="AP135" s="325"/>
    </row>
    <row r="136" spans="1:42" s="34" customFormat="1">
      <c r="A136" s="34" t="s">
        <v>203</v>
      </c>
      <c r="C136" s="184">
        <v>9.5851413905620603E-2</v>
      </c>
      <c r="D136" s="183">
        <v>9.9588999999999997E-2</v>
      </c>
      <c r="E136" s="183">
        <f t="shared" si="53"/>
        <v>0.10166173088406211</v>
      </c>
      <c r="F136" s="183">
        <f t="shared" si="54"/>
        <v>9.8859820984002811E-2</v>
      </c>
      <c r="G136" s="183">
        <f t="shared" si="54"/>
        <v>9.6928238818473261E-2</v>
      </c>
      <c r="H136" s="183">
        <f t="shared" si="52"/>
        <v>9.3114700399891712E-2</v>
      </c>
      <c r="I136" s="183">
        <f t="shared" si="52"/>
        <v>9.1410464546992573E-2</v>
      </c>
      <c r="J136" s="183">
        <f t="shared" si="52"/>
        <v>8.8563310602952153E-2</v>
      </c>
      <c r="L136" s="291"/>
      <c r="M136" s="596" t="s">
        <v>872</v>
      </c>
      <c r="N136" s="596"/>
      <c r="O136" s="602">
        <v>7.4135093761553772E-3</v>
      </c>
      <c r="P136" s="602">
        <v>6.768988003431356E-3</v>
      </c>
      <c r="Q136" s="602">
        <v>6.5786296287150244E-3</v>
      </c>
      <c r="R136" s="602">
        <v>6.3794289838446146E-3</v>
      </c>
      <c r="S136" s="602">
        <v>6.1632750772278042E-3</v>
      </c>
      <c r="T136" s="602">
        <v>5.8503811553142345E-3</v>
      </c>
      <c r="U136" s="602">
        <v>5.5326782682965986E-3</v>
      </c>
      <c r="V136" s="602">
        <v>5.2322281246028153E-3</v>
      </c>
      <c r="W136" s="602">
        <v>4.9480938200863944E-3</v>
      </c>
      <c r="X136" s="602">
        <v>4.6793893288503644E-3</v>
      </c>
      <c r="Y136" s="186"/>
      <c r="Z136" s="186"/>
      <c r="AA136" s="186"/>
      <c r="AB136" s="186"/>
      <c r="AC136" s="186"/>
      <c r="AD136" s="186"/>
      <c r="AE136" s="186"/>
      <c r="AF136" s="186"/>
      <c r="AG136" s="186"/>
      <c r="AH136" s="186"/>
      <c r="AI136" s="186"/>
      <c r="AJ136" s="186"/>
      <c r="AK136" s="186"/>
      <c r="AL136" s="186"/>
      <c r="AM136" s="186"/>
      <c r="AN136" s="186"/>
      <c r="AO136" s="186"/>
      <c r="AP136" s="325"/>
    </row>
    <row r="137" spans="1:42" s="34" customFormat="1">
      <c r="A137" s="34" t="s">
        <v>204</v>
      </c>
      <c r="C137" s="184">
        <v>0.29940426349639898</v>
      </c>
      <c r="D137" s="183">
        <v>0.33408399999999999</v>
      </c>
      <c r="E137" s="183">
        <f t="shared" si="53"/>
        <v>0.34103724006337049</v>
      </c>
      <c r="F137" s="183">
        <f t="shared" si="54"/>
        <v>0.33163787600658295</v>
      </c>
      <c r="G137" s="183">
        <f t="shared" si="54"/>
        <v>0.32515813731868803</v>
      </c>
      <c r="H137" s="183">
        <f t="shared" si="52"/>
        <v>0.31236513639455576</v>
      </c>
      <c r="I137" s="183">
        <f t="shared" si="52"/>
        <v>0.30664805990337757</v>
      </c>
      <c r="J137" s="183">
        <f t="shared" si="52"/>
        <v>0.29709691893157536</v>
      </c>
      <c r="L137" s="291"/>
      <c r="M137" s="596" t="s">
        <v>2640</v>
      </c>
      <c r="N137" s="596"/>
      <c r="O137" s="602">
        <v>1.1989772309922556E-2</v>
      </c>
      <c r="P137" s="602">
        <v>1.2239313638379002E-2</v>
      </c>
      <c r="Q137" s="602">
        <v>1.190198459867955E-2</v>
      </c>
      <c r="R137" s="602">
        <v>1.1431514137415553E-2</v>
      </c>
      <c r="S137" s="602">
        <v>1.1293000992607629E-2</v>
      </c>
      <c r="T137" s="602">
        <v>1.1307237911495072E-2</v>
      </c>
      <c r="U137" s="602">
        <v>1.1403719547848981E-2</v>
      </c>
      <c r="V137" s="602">
        <v>1.150102443619656E-2</v>
      </c>
      <c r="W137" s="602">
        <v>1.1599159601126846E-2</v>
      </c>
      <c r="X137" s="602">
        <v>1.1698132127167814E-2</v>
      </c>
      <c r="Y137" s="186"/>
      <c r="Z137" s="186"/>
      <c r="AA137" s="186"/>
      <c r="AB137" s="186"/>
      <c r="AC137" s="186"/>
      <c r="AD137" s="186"/>
      <c r="AE137" s="186"/>
      <c r="AF137" s="186"/>
      <c r="AG137" s="186"/>
      <c r="AH137" s="186"/>
      <c r="AI137" s="186"/>
      <c r="AJ137" s="186"/>
      <c r="AK137" s="186"/>
      <c r="AL137" s="186"/>
      <c r="AM137" s="186"/>
      <c r="AN137" s="186"/>
      <c r="AO137" s="186"/>
      <c r="AP137" s="325"/>
    </row>
    <row r="138" spans="1:42" s="34" customFormat="1">
      <c r="A138" s="34" t="s">
        <v>205</v>
      </c>
      <c r="C138" s="184">
        <v>6.5222315490245805E-2</v>
      </c>
      <c r="D138" s="183">
        <v>0.12784400000000001</v>
      </c>
      <c r="E138" s="183">
        <f t="shared" si="53"/>
        <v>0.13050479795099895</v>
      </c>
      <c r="F138" s="183">
        <f t="shared" si="54"/>
        <v>0.12690794117702614</v>
      </c>
      <c r="G138" s="183">
        <f t="shared" si="54"/>
        <v>0.12442833810469926</v>
      </c>
      <c r="H138" s="183">
        <f t="shared" si="52"/>
        <v>0.11953283754153327</v>
      </c>
      <c r="I138" s="183">
        <f t="shared" si="52"/>
        <v>0.11734508258488106</v>
      </c>
      <c r="J138" s="183">
        <f t="shared" si="52"/>
        <v>0.1136901453044394</v>
      </c>
      <c r="L138" s="291"/>
      <c r="M138" s="596" t="s">
        <v>2641</v>
      </c>
      <c r="N138" s="596"/>
      <c r="O138" s="602">
        <v>2.8993423616778141E-3</v>
      </c>
      <c r="P138" s="602">
        <v>2.7400147340475552E-3</v>
      </c>
      <c r="Q138" s="602">
        <v>2.5591609104720953E-3</v>
      </c>
      <c r="R138" s="602">
        <v>2.37721909368559E-3</v>
      </c>
      <c r="S138" s="602">
        <v>2.2373659538174706E-3</v>
      </c>
      <c r="T138" s="602">
        <v>2.1299567091384625E-3</v>
      </c>
      <c r="U138" s="602">
        <v>2.0316388756899751E-3</v>
      </c>
      <c r="V138" s="602">
        <v>1.9378593487397048E-3</v>
      </c>
      <c r="W138" s="602">
        <v>1.8484086421227377E-3</v>
      </c>
      <c r="X138" s="602">
        <v>1.7630869394603037E-3</v>
      </c>
      <c r="Y138" s="186"/>
      <c r="Z138" s="186"/>
      <c r="AA138" s="186"/>
      <c r="AB138" s="186"/>
      <c r="AC138" s="186"/>
      <c r="AD138" s="186"/>
      <c r="AE138" s="186"/>
      <c r="AF138" s="186"/>
      <c r="AG138" s="186"/>
      <c r="AH138" s="186"/>
      <c r="AI138" s="186"/>
      <c r="AJ138" s="186"/>
      <c r="AK138" s="186"/>
      <c r="AL138" s="186"/>
      <c r="AM138" s="186"/>
      <c r="AN138" s="186"/>
      <c r="AO138" s="186"/>
      <c r="AP138" s="325"/>
    </row>
    <row r="139" spans="1:42" s="34" customFormat="1">
      <c r="A139" s="34" t="s">
        <v>206</v>
      </c>
      <c r="C139" s="184">
        <v>5.9013724327087402E-2</v>
      </c>
      <c r="D139" s="183">
        <v>0.11804000000000001</v>
      </c>
      <c r="E139" s="183">
        <f t="shared" si="53"/>
        <v>0.12049674877300395</v>
      </c>
      <c r="F139" s="183">
        <f t="shared" si="54"/>
        <v>0.11717572491893373</v>
      </c>
      <c r="G139" s="183">
        <f t="shared" si="54"/>
        <v>0.11488627569442994</v>
      </c>
      <c r="H139" s="183">
        <f t="shared" si="52"/>
        <v>0.1103661974234425</v>
      </c>
      <c r="I139" s="183">
        <f t="shared" si="52"/>
        <v>0.10834621529613717</v>
      </c>
      <c r="J139" s="183">
        <f t="shared" si="52"/>
        <v>0.10497156496774213</v>
      </c>
      <c r="L139" s="291"/>
      <c r="M139" s="596" t="s">
        <v>2642</v>
      </c>
      <c r="N139" s="596"/>
      <c r="O139" s="602">
        <v>9.7502371797250371E-4</v>
      </c>
      <c r="P139" s="602">
        <v>3.8709549788717225E-4</v>
      </c>
      <c r="Q139" s="602">
        <v>3.7524529988011078E-4</v>
      </c>
      <c r="R139" s="602">
        <v>3.6219491493029568E-4</v>
      </c>
      <c r="S139" s="602">
        <v>3.5391300973412412E-4</v>
      </c>
      <c r="T139" s="602">
        <v>3.4810566769233803E-4</v>
      </c>
      <c r="U139" s="602">
        <v>3.4274874343835936E-4</v>
      </c>
      <c r="V139" s="602">
        <v>3.3747425575501481E-4</v>
      </c>
      <c r="W139" s="602">
        <v>3.3228093604341152E-4</v>
      </c>
      <c r="X139" s="602">
        <v>3.2716753522685579E-4</v>
      </c>
      <c r="Y139" s="186"/>
      <c r="Z139" s="186"/>
      <c r="AA139" s="186"/>
      <c r="AB139" s="186"/>
      <c r="AC139" s="186"/>
      <c r="AD139" s="186"/>
      <c r="AE139" s="186"/>
      <c r="AF139" s="186"/>
      <c r="AG139" s="186"/>
      <c r="AH139" s="186"/>
      <c r="AI139" s="186"/>
      <c r="AJ139" s="186"/>
      <c r="AK139" s="186"/>
      <c r="AL139" s="186"/>
      <c r="AM139" s="186"/>
      <c r="AN139" s="186"/>
      <c r="AO139" s="186"/>
      <c r="AP139" s="325"/>
    </row>
    <row r="140" spans="1:42" s="34" customFormat="1">
      <c r="A140" s="34" t="s">
        <v>207</v>
      </c>
      <c r="C140" s="184">
        <v>1.01017153263092</v>
      </c>
      <c r="D140" s="183">
        <v>1.1051420000000001</v>
      </c>
      <c r="E140" s="183">
        <f t="shared" si="53"/>
        <v>1.1281431542908773</v>
      </c>
      <c r="F140" s="183">
        <f t="shared" si="54"/>
        <v>1.0970502794676404</v>
      </c>
      <c r="G140" s="183">
        <f t="shared" si="54"/>
        <v>1.0756154565697538</v>
      </c>
      <c r="H140" s="183">
        <f t="shared" si="52"/>
        <v>1.0332965109533896</v>
      </c>
      <c r="I140" s="183">
        <f t="shared" si="52"/>
        <v>1.0143845566316814</v>
      </c>
      <c r="J140" s="183">
        <f t="shared" si="52"/>
        <v>0.98278960734988552</v>
      </c>
      <c r="L140" s="291"/>
      <c r="M140" s="596"/>
      <c r="N140" s="596"/>
      <c r="O140" s="596"/>
      <c r="P140" s="596"/>
      <c r="Q140" s="596"/>
      <c r="R140" s="596"/>
      <c r="S140" s="596"/>
      <c r="T140" s="596"/>
      <c r="U140" s="596"/>
      <c r="V140" s="596"/>
      <c r="W140" s="596"/>
      <c r="X140" s="596"/>
      <c r="Y140" s="186"/>
      <c r="Z140" s="186"/>
      <c r="AA140" s="186"/>
      <c r="AB140" s="186"/>
      <c r="AC140" s="186"/>
      <c r="AD140" s="186"/>
      <c r="AE140" s="186"/>
      <c r="AF140" s="186"/>
      <c r="AG140" s="186"/>
      <c r="AH140" s="186"/>
      <c r="AI140" s="186"/>
      <c r="AJ140" s="186"/>
      <c r="AK140" s="186"/>
      <c r="AL140" s="186"/>
      <c r="AM140" s="186"/>
      <c r="AN140" s="186"/>
      <c r="AO140" s="186"/>
      <c r="AP140" s="325"/>
    </row>
    <row r="141" spans="1:42" s="34" customFormat="1">
      <c r="A141" s="34" t="s">
        <v>208</v>
      </c>
      <c r="C141" s="184">
        <v>4.6375794410705602</v>
      </c>
      <c r="D141" s="45">
        <v>4.85459</v>
      </c>
      <c r="E141" s="45">
        <f>SUM(E127:E140)</f>
        <v>4.9215254981311398</v>
      </c>
      <c r="F141" s="45">
        <f>SUM(F127:F140)</f>
        <v>4.9051063407076887</v>
      </c>
      <c r="G141" s="45">
        <f t="shared" ref="G141:J141" si="55">SUM(G127:G140)</f>
        <v>4.9436360126015133</v>
      </c>
      <c r="H141" s="45">
        <f t="shared" si="55"/>
        <v>4.9155239451272541</v>
      </c>
      <c r="I141" s="45">
        <f t="shared" si="55"/>
        <v>4.9468403992086296</v>
      </c>
      <c r="J141" s="45">
        <f t="shared" si="55"/>
        <v>4.9409021584170327</v>
      </c>
      <c r="L141" s="327"/>
      <c r="M141" s="327"/>
      <c r="N141" s="327"/>
      <c r="O141" s="327"/>
      <c r="P141" s="327"/>
      <c r="Q141" s="327"/>
      <c r="R141" s="327"/>
      <c r="S141" s="327"/>
      <c r="T141" s="329"/>
      <c r="U141" s="329"/>
      <c r="V141" s="329"/>
      <c r="W141" s="329"/>
      <c r="X141" s="329"/>
      <c r="Y141" s="329"/>
      <c r="Z141" s="329"/>
      <c r="AA141" s="329"/>
      <c r="AB141" s="329"/>
      <c r="AC141" s="329"/>
      <c r="AD141" s="329"/>
      <c r="AE141" s="329"/>
      <c r="AF141" s="329"/>
      <c r="AG141" s="329"/>
      <c r="AH141" s="329"/>
      <c r="AI141" s="329"/>
      <c r="AJ141" s="329"/>
      <c r="AK141" s="329"/>
      <c r="AL141" s="329"/>
      <c r="AM141" s="329"/>
      <c r="AN141" s="329"/>
      <c r="AO141" s="329"/>
      <c r="AP141" s="330"/>
    </row>
    <row r="142" spans="1:42" s="34" customFormat="1">
      <c r="L142" s="291"/>
      <c r="M142" s="291"/>
    </row>
    <row r="143" spans="1:42" s="34" customFormat="1">
      <c r="A143" s="34" t="s">
        <v>642</v>
      </c>
      <c r="L143" s="327"/>
      <c r="M143" s="327"/>
    </row>
    <row r="144" spans="1:42" s="34" customFormat="1">
      <c r="A144" s="34" t="s">
        <v>194</v>
      </c>
      <c r="B144" s="17"/>
      <c r="C144" s="192">
        <f>C150-SUM(C145:C149)</f>
        <v>3.3343359846145226</v>
      </c>
      <c r="D144" s="183">
        <v>3.0893359999999999</v>
      </c>
      <c r="E144" s="183">
        <v>2.870689</v>
      </c>
      <c r="F144" s="183">
        <v>2.8237290000000002</v>
      </c>
      <c r="G144" s="183">
        <v>2.7605819999999999</v>
      </c>
      <c r="H144" s="183">
        <v>2.69312</v>
      </c>
      <c r="I144" s="183">
        <v>2.6173099999999998</v>
      </c>
      <c r="J144" s="183">
        <v>2.53756</v>
      </c>
      <c r="L144" s="291"/>
      <c r="M144" s="291"/>
      <c r="N144" s="291"/>
      <c r="O144" s="291"/>
      <c r="P144" s="291"/>
      <c r="Q144" s="291"/>
      <c r="R144" s="291"/>
      <c r="S144" s="291"/>
      <c r="T144" s="186"/>
      <c r="U144" s="186"/>
      <c r="V144" s="186"/>
      <c r="W144" s="186"/>
      <c r="X144" s="186"/>
      <c r="Y144" s="186"/>
      <c r="Z144" s="186"/>
      <c r="AA144" s="186"/>
      <c r="AB144" s="186"/>
      <c r="AC144" s="186"/>
      <c r="AD144" s="186"/>
      <c r="AE144" s="186"/>
      <c r="AF144" s="186"/>
      <c r="AG144" s="186"/>
      <c r="AH144" s="186"/>
      <c r="AI144" s="186"/>
      <c r="AJ144" s="186"/>
      <c r="AK144" s="186"/>
      <c r="AL144" s="186"/>
      <c r="AM144" s="186"/>
      <c r="AN144" s="186"/>
      <c r="AO144" s="186"/>
      <c r="AP144" s="325"/>
    </row>
    <row r="145" spans="1:42" s="34" customFormat="1">
      <c r="A145" s="34" t="s">
        <v>195</v>
      </c>
      <c r="B145" s="17"/>
      <c r="C145" s="184">
        <v>1.1000000021965699E-8</v>
      </c>
      <c r="D145" s="183">
        <v>2.2401999999999998E-2</v>
      </c>
      <c r="E145" s="183">
        <v>2.2030999999999999E-2</v>
      </c>
      <c r="F145" s="183">
        <v>2.2488999999999999E-2</v>
      </c>
      <c r="G145" s="183">
        <v>2.1885000000000002E-2</v>
      </c>
      <c r="H145" s="183">
        <v>2.1101999999999999E-2</v>
      </c>
      <c r="I145" s="183">
        <v>2.0320000000000001E-2</v>
      </c>
      <c r="J145" s="183">
        <v>1.9793000000000002E-2</v>
      </c>
      <c r="L145" s="291"/>
      <c r="M145" s="291"/>
      <c r="N145" s="291"/>
      <c r="O145" s="291"/>
      <c r="P145" s="291"/>
      <c r="Q145" s="291"/>
      <c r="R145" s="291"/>
      <c r="S145" s="291"/>
      <c r="T145" s="186"/>
      <c r="U145" s="186"/>
      <c r="V145" s="186"/>
      <c r="W145" s="186"/>
      <c r="X145" s="186"/>
      <c r="Y145" s="186"/>
      <c r="Z145" s="186"/>
      <c r="AA145" s="186"/>
      <c r="AB145" s="186"/>
      <c r="AC145" s="186"/>
      <c r="AD145" s="186"/>
      <c r="AE145" s="186"/>
      <c r="AF145" s="186"/>
      <c r="AG145" s="186"/>
      <c r="AH145" s="186"/>
      <c r="AI145" s="186"/>
      <c r="AJ145" s="186"/>
      <c r="AK145" s="186"/>
      <c r="AL145" s="186"/>
      <c r="AM145" s="186"/>
      <c r="AN145" s="186"/>
      <c r="AO145" s="186"/>
      <c r="AP145" s="335"/>
    </row>
    <row r="146" spans="1:42" s="34" customFormat="1">
      <c r="A146" s="34" t="s">
        <v>196</v>
      </c>
      <c r="B146" s="17"/>
      <c r="C146" s="184">
        <v>1.0887750387191799</v>
      </c>
      <c r="D146" s="183">
        <v>1.1998230000000001</v>
      </c>
      <c r="E146" s="183">
        <v>1.2050989999999999</v>
      </c>
      <c r="F146" s="183">
        <v>1.208537</v>
      </c>
      <c r="G146" s="183">
        <v>1.2195640000000001</v>
      </c>
      <c r="H146" s="183">
        <v>1.217849</v>
      </c>
      <c r="I146" s="183">
        <v>1.1885269999999999</v>
      </c>
      <c r="J146" s="183">
        <v>1.156533</v>
      </c>
      <c r="L146" s="291"/>
      <c r="M146" s="291"/>
      <c r="N146" s="291"/>
      <c r="O146" s="291"/>
      <c r="P146" s="291"/>
      <c r="Q146" s="291"/>
      <c r="R146" s="291"/>
      <c r="S146" s="291"/>
      <c r="T146" s="186"/>
      <c r="U146" s="186"/>
      <c r="V146" s="186"/>
      <c r="W146" s="186"/>
      <c r="X146" s="186"/>
      <c r="Y146" s="186"/>
      <c r="Z146" s="186"/>
      <c r="AA146" s="186"/>
      <c r="AB146" s="186"/>
      <c r="AC146" s="186"/>
      <c r="AD146" s="186"/>
      <c r="AE146" s="186"/>
      <c r="AF146" s="186"/>
      <c r="AG146" s="186"/>
      <c r="AH146" s="186"/>
      <c r="AI146" s="186"/>
      <c r="AJ146" s="186"/>
      <c r="AK146" s="186"/>
      <c r="AL146" s="186"/>
      <c r="AM146" s="186"/>
      <c r="AN146" s="186"/>
      <c r="AO146" s="186"/>
      <c r="AP146" s="325"/>
    </row>
    <row r="147" spans="1:42" s="34" customFormat="1">
      <c r="A147" s="34" t="s">
        <v>198</v>
      </c>
      <c r="B147" s="17"/>
      <c r="C147" s="184">
        <v>0.216470271348953</v>
      </c>
      <c r="D147" s="183">
        <v>0.20971300000000001</v>
      </c>
      <c r="E147" s="183">
        <v>0.208651</v>
      </c>
      <c r="F147" s="183">
        <v>0.209926</v>
      </c>
      <c r="G147" s="183">
        <v>0.210762</v>
      </c>
      <c r="H147" s="183">
        <v>0.21285899999999999</v>
      </c>
      <c r="I147" s="183">
        <v>0.21637700000000001</v>
      </c>
      <c r="J147" s="183">
        <v>0.21986</v>
      </c>
      <c r="L147" s="291"/>
      <c r="M147" s="291"/>
      <c r="N147" s="291"/>
      <c r="O147" s="291"/>
      <c r="P147" s="291"/>
      <c r="Q147" s="291"/>
      <c r="R147" s="291"/>
      <c r="S147" s="291"/>
      <c r="T147" s="186"/>
      <c r="U147" s="186"/>
      <c r="V147" s="186"/>
      <c r="W147" s="186"/>
      <c r="X147" s="186"/>
      <c r="Y147" s="186"/>
      <c r="Z147" s="186"/>
      <c r="AA147" s="186"/>
      <c r="AB147" s="186"/>
      <c r="AC147" s="186"/>
      <c r="AD147" s="186"/>
      <c r="AE147" s="186"/>
      <c r="AF147" s="186"/>
      <c r="AG147" s="186"/>
      <c r="AH147" s="186"/>
      <c r="AI147" s="186"/>
      <c r="AJ147" s="186"/>
      <c r="AK147" s="186"/>
      <c r="AL147" s="186"/>
      <c r="AM147" s="186"/>
      <c r="AN147" s="186"/>
      <c r="AO147" s="186"/>
      <c r="AP147" s="325"/>
    </row>
    <row r="148" spans="1:42" s="34" customFormat="1">
      <c r="A148" s="34" t="s">
        <v>199</v>
      </c>
      <c r="B148" s="17"/>
      <c r="C148" s="184">
        <v>7.1999199688434601E-2</v>
      </c>
      <c r="D148" s="183">
        <v>4.9576000000000002E-2</v>
      </c>
      <c r="E148" s="183">
        <v>5.1721999999999997E-2</v>
      </c>
      <c r="F148" s="183">
        <v>5.4331999999999998E-2</v>
      </c>
      <c r="G148" s="183">
        <v>5.6467999999999997E-2</v>
      </c>
      <c r="H148" s="183">
        <v>5.8194999999999997E-2</v>
      </c>
      <c r="I148" s="183">
        <v>5.9565E-2</v>
      </c>
      <c r="J148" s="183">
        <v>6.1062999999999999E-2</v>
      </c>
      <c r="L148" s="291"/>
      <c r="M148" s="291"/>
      <c r="N148" s="291"/>
      <c r="O148" s="291"/>
      <c r="P148" s="291"/>
      <c r="Q148" s="291"/>
      <c r="R148" s="291"/>
      <c r="S148" s="291"/>
      <c r="T148" s="329"/>
      <c r="U148" s="329"/>
      <c r="V148" s="329"/>
      <c r="W148" s="329"/>
      <c r="X148" s="329"/>
      <c r="Y148" s="329"/>
      <c r="Z148" s="329"/>
      <c r="AA148" s="329"/>
      <c r="AB148" s="329"/>
      <c r="AC148" s="329"/>
      <c r="AD148" s="329"/>
      <c r="AE148" s="329"/>
      <c r="AF148" s="329"/>
      <c r="AG148" s="329"/>
      <c r="AH148" s="329"/>
      <c r="AI148" s="329"/>
      <c r="AJ148" s="329"/>
      <c r="AK148" s="329"/>
      <c r="AL148" s="329"/>
      <c r="AM148" s="329"/>
      <c r="AN148" s="329"/>
      <c r="AO148" s="329"/>
      <c r="AP148" s="330"/>
    </row>
    <row r="149" spans="1:42" s="34" customFormat="1">
      <c r="A149" s="34" t="s">
        <v>1135</v>
      </c>
      <c r="B149" s="17"/>
      <c r="C149" s="192">
        <v>0.26</v>
      </c>
      <c r="D149" s="183">
        <v>0.24676100000000001</v>
      </c>
      <c r="E149" s="183">
        <v>0.24676100000000001</v>
      </c>
      <c r="F149" s="183">
        <v>0.23808099999999999</v>
      </c>
      <c r="G149" s="183">
        <v>0.231403</v>
      </c>
      <c r="H149" s="183">
        <v>0.22462799999999999</v>
      </c>
      <c r="I149" s="183">
        <v>0.21806</v>
      </c>
      <c r="J149" s="183">
        <v>0.21132000000000001</v>
      </c>
      <c r="L149" s="291"/>
      <c r="M149" s="291"/>
      <c r="N149" s="291"/>
      <c r="O149" s="291"/>
      <c r="P149" s="291"/>
      <c r="Q149" s="291"/>
      <c r="R149" s="291"/>
      <c r="S149" s="291"/>
      <c r="T149" s="329"/>
      <c r="U149" s="329"/>
      <c r="V149" s="329"/>
      <c r="W149" s="329"/>
      <c r="X149" s="329"/>
      <c r="Y149" s="329"/>
      <c r="Z149" s="329"/>
      <c r="AA149" s="329"/>
      <c r="AB149" s="329"/>
      <c r="AC149" s="329"/>
      <c r="AD149" s="329"/>
      <c r="AE149" s="329"/>
      <c r="AF149" s="329"/>
      <c r="AG149" s="329"/>
      <c r="AH149" s="329"/>
      <c r="AI149" s="329"/>
      <c r="AJ149" s="329"/>
      <c r="AK149" s="329"/>
      <c r="AL149" s="329"/>
      <c r="AM149" s="329"/>
      <c r="AN149" s="329"/>
      <c r="AO149" s="329"/>
      <c r="AP149" s="330"/>
    </row>
    <row r="150" spans="1:42" s="34" customFormat="1">
      <c r="A150" s="34" t="s">
        <v>208</v>
      </c>
      <c r="B150" s="17"/>
      <c r="C150" s="184">
        <v>4.9715805053710902</v>
      </c>
      <c r="D150" s="336">
        <v>4.8176100000000002</v>
      </c>
      <c r="E150" s="45">
        <v>4.6027329999999997</v>
      </c>
      <c r="F150" s="45">
        <v>4.5570950000000003</v>
      </c>
      <c r="G150" s="45">
        <v>4.5006640000000004</v>
      </c>
      <c r="H150" s="45">
        <v>4.4277519999999999</v>
      </c>
      <c r="I150" s="45">
        <v>4.3201590000000003</v>
      </c>
      <c r="J150" s="45">
        <v>4.2061289999999998</v>
      </c>
      <c r="L150" s="327"/>
      <c r="M150" s="327"/>
      <c r="N150" s="327"/>
      <c r="O150" s="327"/>
      <c r="P150" s="327"/>
      <c r="Q150" s="327"/>
      <c r="R150" s="327"/>
      <c r="S150" s="327"/>
    </row>
    <row r="151" spans="1:42" s="34" customFormat="1">
      <c r="L151" s="291"/>
      <c r="M151" s="291"/>
    </row>
    <row r="152" spans="1:42" s="34" customFormat="1">
      <c r="A152" s="34" t="s">
        <v>210</v>
      </c>
      <c r="B152" s="17"/>
      <c r="C152" s="17"/>
      <c r="D152" s="24"/>
      <c r="E152" s="24"/>
      <c r="F152" s="24"/>
      <c r="G152" s="24"/>
      <c r="H152" s="24"/>
      <c r="I152" s="24"/>
      <c r="J152" s="24"/>
      <c r="L152" s="327"/>
      <c r="M152" s="327"/>
      <c r="T152" s="186"/>
      <c r="U152" s="186"/>
      <c r="V152" s="186"/>
      <c r="W152" s="186"/>
      <c r="X152" s="186"/>
      <c r="Y152" s="186"/>
      <c r="Z152" s="186"/>
      <c r="AA152" s="186"/>
      <c r="AB152" s="186"/>
      <c r="AC152" s="186"/>
      <c r="AD152" s="186"/>
      <c r="AE152" s="186"/>
      <c r="AF152" s="186"/>
      <c r="AG152" s="186"/>
      <c r="AH152" s="186"/>
      <c r="AI152" s="186"/>
      <c r="AJ152" s="186"/>
      <c r="AK152" s="186"/>
      <c r="AL152" s="186"/>
      <c r="AM152" s="186"/>
      <c r="AN152" s="186"/>
      <c r="AO152" s="186"/>
      <c r="AP152" s="325"/>
    </row>
    <row r="153" spans="1:42" s="34" customFormat="1">
      <c r="A153" s="34" t="s">
        <v>194</v>
      </c>
      <c r="B153" s="17"/>
      <c r="C153" s="192">
        <v>0.65</v>
      </c>
      <c r="D153" s="183">
        <v>0.45935300000000001</v>
      </c>
      <c r="E153" s="183">
        <v>0.45097500000000001</v>
      </c>
      <c r="F153" s="183">
        <v>0.41804999999999998</v>
      </c>
      <c r="G153" s="183">
        <v>0.37840299999999999</v>
      </c>
      <c r="H153" s="183">
        <v>0.34350999999999998</v>
      </c>
      <c r="I153" s="183">
        <v>0.31369399999999997</v>
      </c>
      <c r="J153" s="183">
        <v>0.289358</v>
      </c>
      <c r="L153" s="291"/>
      <c r="M153" s="291"/>
      <c r="N153" s="291"/>
      <c r="O153" s="291"/>
      <c r="P153" s="291"/>
      <c r="Q153" s="291"/>
      <c r="R153" s="291"/>
      <c r="S153" s="291"/>
      <c r="T153" s="186"/>
      <c r="U153" s="186"/>
      <c r="V153" s="186"/>
      <c r="W153" s="186"/>
      <c r="X153" s="186"/>
      <c r="Y153" s="186"/>
      <c r="Z153" s="186"/>
      <c r="AA153" s="186"/>
      <c r="AB153" s="186"/>
      <c r="AC153" s="186"/>
      <c r="AD153" s="186"/>
      <c r="AE153" s="186"/>
      <c r="AF153" s="186"/>
      <c r="AG153" s="186"/>
      <c r="AH153" s="186"/>
      <c r="AI153" s="186"/>
      <c r="AJ153" s="186"/>
      <c r="AK153" s="186"/>
      <c r="AL153" s="186"/>
      <c r="AM153" s="186"/>
      <c r="AN153" s="186"/>
      <c r="AO153" s="186"/>
      <c r="AP153" s="325"/>
    </row>
    <row r="154" spans="1:42" s="34" customFormat="1">
      <c r="A154" s="34" t="s">
        <v>196</v>
      </c>
      <c r="B154" s="17"/>
      <c r="C154" s="184">
        <v>0.10857270658016201</v>
      </c>
      <c r="D154" s="183">
        <v>5.9193999999999997E-2</v>
      </c>
      <c r="E154" s="183">
        <v>4.6296999999999998E-2</v>
      </c>
      <c r="F154" s="183">
        <v>3.4250999999999997E-2</v>
      </c>
      <c r="G154" s="183">
        <v>2.7161000000000001E-2</v>
      </c>
      <c r="H154" s="183">
        <v>2.2196E-2</v>
      </c>
      <c r="I154" s="183">
        <v>1.8357999999999999E-2</v>
      </c>
      <c r="J154" s="183">
        <v>1.5649E-2</v>
      </c>
      <c r="L154" s="291"/>
      <c r="M154" s="291"/>
      <c r="N154" s="291"/>
      <c r="O154" s="291"/>
      <c r="P154" s="291"/>
      <c r="Q154" s="291"/>
      <c r="R154" s="291"/>
      <c r="S154" s="291"/>
      <c r="T154" s="329"/>
      <c r="U154" s="329"/>
      <c r="V154" s="329"/>
      <c r="W154" s="329"/>
      <c r="X154" s="329"/>
      <c r="Y154" s="329"/>
      <c r="Z154" s="329"/>
      <c r="AA154" s="329"/>
      <c r="AB154" s="329"/>
      <c r="AC154" s="329"/>
      <c r="AD154" s="329"/>
      <c r="AE154" s="329"/>
      <c r="AF154" s="329"/>
      <c r="AG154" s="329"/>
      <c r="AH154" s="329"/>
      <c r="AI154" s="329"/>
      <c r="AJ154" s="329"/>
      <c r="AK154" s="329"/>
      <c r="AL154" s="329"/>
      <c r="AM154" s="329"/>
      <c r="AN154" s="329"/>
      <c r="AO154" s="329"/>
      <c r="AP154" s="330"/>
    </row>
    <row r="155" spans="1:42" s="34" customFormat="1">
      <c r="A155" s="34" t="s">
        <v>1135</v>
      </c>
      <c r="B155" s="17"/>
      <c r="C155" s="184"/>
      <c r="D155" s="183">
        <v>7.1130000000000004E-3</v>
      </c>
      <c r="E155" s="183">
        <v>6.9259999999999999E-3</v>
      </c>
      <c r="F155" s="183">
        <v>6.8060000000000004E-3</v>
      </c>
      <c r="G155" s="183">
        <v>6.5630000000000003E-3</v>
      </c>
      <c r="H155" s="183">
        <v>6.3610000000000003E-3</v>
      </c>
      <c r="I155" s="183">
        <v>6.169E-3</v>
      </c>
      <c r="J155" s="183">
        <v>5.9890000000000004E-3</v>
      </c>
      <c r="L155" s="327"/>
      <c r="M155" s="327"/>
      <c r="N155" s="327"/>
      <c r="O155" s="327"/>
      <c r="P155" s="327"/>
      <c r="Q155" s="327"/>
      <c r="R155" s="327"/>
      <c r="S155" s="327"/>
    </row>
    <row r="156" spans="1:42" s="34" customFormat="1">
      <c r="A156" s="34" t="s">
        <v>208</v>
      </c>
      <c r="B156" s="17"/>
      <c r="C156" s="184">
        <v>0.85418474674224898</v>
      </c>
      <c r="D156" s="336">
        <v>0.52566000000000002</v>
      </c>
      <c r="E156" s="45">
        <v>0.50419800000000004</v>
      </c>
      <c r="F156" s="45">
        <v>0.45910800000000002</v>
      </c>
      <c r="G156" s="45">
        <v>0.41212700000000002</v>
      </c>
      <c r="H156" s="45">
        <v>0.37206699999999998</v>
      </c>
      <c r="I156" s="45">
        <v>0.33822200000000002</v>
      </c>
      <c r="J156" s="45">
        <v>0.31099599999999999</v>
      </c>
      <c r="L156" s="291"/>
      <c r="M156" s="291"/>
    </row>
    <row r="157" spans="1:42" s="34" customFormat="1">
      <c r="B157" s="17"/>
      <c r="C157" s="184"/>
      <c r="D157" s="336"/>
      <c r="E157" s="45"/>
      <c r="F157" s="45"/>
      <c r="G157" s="45"/>
      <c r="H157" s="45"/>
      <c r="I157" s="45"/>
      <c r="J157" s="45"/>
      <c r="L157" s="291"/>
      <c r="M157" s="291"/>
    </row>
    <row r="158" spans="1:42" s="34" customFormat="1">
      <c r="A158" s="34" t="s">
        <v>211</v>
      </c>
      <c r="L158" s="327"/>
      <c r="M158" s="327"/>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325"/>
    </row>
    <row r="159" spans="1:42" s="34" customFormat="1">
      <c r="A159" s="34" t="s">
        <v>194</v>
      </c>
      <c r="B159" s="17"/>
      <c r="C159" s="192">
        <v>0.37</v>
      </c>
      <c r="D159" s="183">
        <v>0.36563099999999998</v>
      </c>
      <c r="E159" s="183">
        <v>0.32539800000000002</v>
      </c>
      <c r="F159" s="183">
        <v>0.30252699999999999</v>
      </c>
      <c r="G159" s="183">
        <v>0.28169100000000002</v>
      </c>
      <c r="H159" s="183">
        <v>0.26451799999999998</v>
      </c>
      <c r="I159" s="183">
        <v>0.24950600000000001</v>
      </c>
      <c r="J159" s="183">
        <v>0.23649000000000001</v>
      </c>
      <c r="L159" s="291"/>
      <c r="M159" s="291"/>
      <c r="N159" s="291"/>
      <c r="O159" s="291"/>
      <c r="P159" s="291"/>
      <c r="Q159" s="291"/>
      <c r="R159" s="291"/>
      <c r="S159" s="291"/>
      <c r="T159" s="186"/>
      <c r="U159" s="186"/>
      <c r="V159" s="186"/>
      <c r="W159" s="186"/>
      <c r="X159" s="186"/>
      <c r="Y159" s="186"/>
      <c r="Z159" s="186"/>
      <c r="AA159" s="186"/>
      <c r="AB159" s="186"/>
      <c r="AC159" s="186"/>
      <c r="AD159" s="186"/>
      <c r="AE159" s="186"/>
      <c r="AF159" s="186"/>
      <c r="AG159" s="186"/>
      <c r="AH159" s="186"/>
      <c r="AI159" s="186"/>
      <c r="AJ159" s="186"/>
      <c r="AK159" s="186"/>
      <c r="AL159" s="186"/>
      <c r="AM159" s="186"/>
      <c r="AN159" s="186"/>
      <c r="AO159" s="186"/>
      <c r="AP159" s="325"/>
    </row>
    <row r="160" spans="1:42" s="34" customFormat="1">
      <c r="A160" s="34" t="s">
        <v>196</v>
      </c>
      <c r="B160" s="17"/>
      <c r="C160" s="184">
        <v>5.7690113782882697E-2</v>
      </c>
      <c r="D160" s="183">
        <v>7.1582000000000007E-2</v>
      </c>
      <c r="E160" s="183">
        <v>5.9757999999999999E-2</v>
      </c>
      <c r="F160" s="183">
        <v>4.9132000000000002E-2</v>
      </c>
      <c r="G160" s="183">
        <v>4.2442000000000001E-2</v>
      </c>
      <c r="H160" s="183">
        <v>3.6324000000000002E-2</v>
      </c>
      <c r="I160" s="183">
        <v>3.0988000000000002E-2</v>
      </c>
      <c r="J160" s="183">
        <v>2.7212E-2</v>
      </c>
      <c r="L160" s="291"/>
      <c r="M160" s="291"/>
      <c r="N160" s="291"/>
      <c r="O160" s="291"/>
      <c r="P160" s="291"/>
      <c r="Q160" s="291"/>
      <c r="R160" s="291"/>
      <c r="S160" s="291"/>
      <c r="T160" s="186"/>
      <c r="U160" s="186"/>
      <c r="V160" s="186"/>
      <c r="W160" s="186"/>
      <c r="X160" s="186"/>
      <c r="Y160" s="186"/>
      <c r="Z160" s="186"/>
      <c r="AA160" s="186"/>
      <c r="AB160" s="186"/>
      <c r="AC160" s="186"/>
      <c r="AD160" s="186"/>
      <c r="AE160" s="186"/>
      <c r="AF160" s="186"/>
      <c r="AG160" s="186"/>
      <c r="AH160" s="186"/>
      <c r="AI160" s="186"/>
      <c r="AJ160" s="186"/>
      <c r="AK160" s="186"/>
      <c r="AL160" s="186"/>
      <c r="AM160" s="186"/>
      <c r="AN160" s="186"/>
      <c r="AO160" s="186"/>
      <c r="AP160" s="325"/>
    </row>
    <row r="161" spans="1:42" s="34" customFormat="1">
      <c r="A161" s="34" t="s">
        <v>198</v>
      </c>
      <c r="B161" s="17"/>
      <c r="C161" s="184">
        <v>3.14760431647301E-2</v>
      </c>
      <c r="D161" s="183">
        <v>2.9448999999999999E-2</v>
      </c>
      <c r="E161" s="183">
        <v>2.8034E-2</v>
      </c>
      <c r="F161" s="183">
        <v>2.6533000000000001E-2</v>
      </c>
      <c r="G161" s="183">
        <v>2.5009E-2</v>
      </c>
      <c r="H161" s="183">
        <v>2.3845999999999999E-2</v>
      </c>
      <c r="I161" s="183">
        <v>2.3174E-2</v>
      </c>
      <c r="J161" s="183">
        <v>2.2473E-2</v>
      </c>
      <c r="L161" s="291"/>
      <c r="M161" s="291"/>
      <c r="N161" s="291"/>
      <c r="O161" s="291"/>
      <c r="P161" s="291"/>
      <c r="Q161" s="291"/>
      <c r="R161" s="291"/>
      <c r="S161" s="291"/>
      <c r="T161" s="186"/>
      <c r="U161" s="186"/>
      <c r="V161" s="186"/>
      <c r="W161" s="186"/>
      <c r="X161" s="186"/>
      <c r="Y161" s="186"/>
      <c r="Z161" s="186"/>
      <c r="AA161" s="186"/>
      <c r="AB161" s="186"/>
      <c r="AC161" s="186"/>
      <c r="AD161" s="186"/>
      <c r="AE161" s="186"/>
      <c r="AF161" s="186"/>
      <c r="AG161" s="186"/>
      <c r="AH161" s="186"/>
      <c r="AI161" s="186"/>
      <c r="AJ161" s="186"/>
      <c r="AK161" s="186"/>
      <c r="AL161" s="186"/>
      <c r="AM161" s="186"/>
      <c r="AN161" s="186"/>
      <c r="AO161" s="186"/>
      <c r="AP161" s="325"/>
    </row>
    <row r="162" spans="1:42" s="34" customFormat="1">
      <c r="A162" s="34" t="s">
        <v>209</v>
      </c>
      <c r="B162" s="17"/>
      <c r="C162" s="192">
        <v>0.04</v>
      </c>
      <c r="D162" s="183">
        <v>3.9688000000000001E-2</v>
      </c>
      <c r="E162" s="183">
        <v>4.2804000000000002E-2</v>
      </c>
      <c r="F162" s="183">
        <v>4.6605000000000001E-2</v>
      </c>
      <c r="G162" s="183">
        <v>5.0316E-2</v>
      </c>
      <c r="H162" s="183">
        <v>5.4139E-2</v>
      </c>
      <c r="I162" s="183">
        <v>5.7860000000000002E-2</v>
      </c>
      <c r="J162" s="183">
        <v>6.1749999999999999E-2</v>
      </c>
      <c r="L162" s="291"/>
      <c r="M162" s="291"/>
      <c r="N162" s="291"/>
      <c r="O162" s="291"/>
      <c r="P162" s="291"/>
      <c r="Q162" s="291"/>
      <c r="R162" s="291"/>
      <c r="S162" s="291"/>
      <c r="T162" s="329"/>
      <c r="U162" s="329"/>
      <c r="V162" s="329"/>
      <c r="W162" s="329"/>
      <c r="X162" s="329"/>
      <c r="Y162" s="329"/>
      <c r="Z162" s="329"/>
      <c r="AA162" s="329"/>
      <c r="AB162" s="329"/>
      <c r="AC162" s="329"/>
      <c r="AD162" s="329"/>
      <c r="AE162" s="329"/>
      <c r="AF162" s="329"/>
      <c r="AG162" s="329"/>
      <c r="AH162" s="329"/>
      <c r="AI162" s="329"/>
      <c r="AJ162" s="329"/>
      <c r="AK162" s="329"/>
      <c r="AL162" s="329"/>
      <c r="AM162" s="329"/>
      <c r="AN162" s="329"/>
      <c r="AO162" s="329"/>
      <c r="AP162" s="330"/>
    </row>
    <row r="163" spans="1:42" s="34" customFormat="1">
      <c r="A163" s="34" t="s">
        <v>208</v>
      </c>
      <c r="B163" s="17"/>
      <c r="C163" s="184">
        <v>0.50418597459793102</v>
      </c>
      <c r="D163" s="336">
        <v>0.50634999999999997</v>
      </c>
      <c r="E163" s="45">
        <v>0.45599299999999998</v>
      </c>
      <c r="F163" s="45">
        <v>0.42479699999999998</v>
      </c>
      <c r="G163" s="45">
        <v>0.39945700000000001</v>
      </c>
      <c r="H163" s="45">
        <v>0.378826</v>
      </c>
      <c r="I163" s="45">
        <v>0.36152800000000002</v>
      </c>
      <c r="J163" s="45">
        <v>0.34792499999999998</v>
      </c>
      <c r="L163" s="327"/>
      <c r="M163" s="327"/>
      <c r="N163" s="327"/>
      <c r="O163" s="327"/>
      <c r="P163" s="327"/>
      <c r="Q163" s="327"/>
      <c r="R163" s="327"/>
      <c r="S163" s="327"/>
    </row>
    <row r="164" spans="1:42" s="34" customFormat="1">
      <c r="A164" s="17"/>
      <c r="B164" s="17"/>
      <c r="C164" s="184"/>
      <c r="D164" s="24"/>
      <c r="E164" s="24"/>
      <c r="F164" s="24"/>
      <c r="G164" s="24"/>
      <c r="H164" s="24"/>
      <c r="I164" s="24"/>
      <c r="J164" s="24"/>
      <c r="L164" s="291"/>
      <c r="M164" s="291"/>
      <c r="T164" s="186"/>
      <c r="U164" s="186"/>
      <c r="V164" s="186"/>
      <c r="W164" s="186"/>
      <c r="X164" s="186"/>
      <c r="Y164" s="186"/>
      <c r="Z164" s="186"/>
      <c r="AA164" s="186"/>
      <c r="AB164" s="186"/>
      <c r="AC164" s="186"/>
      <c r="AD164" s="186"/>
      <c r="AE164" s="186"/>
      <c r="AF164" s="186"/>
      <c r="AG164" s="186"/>
      <c r="AH164" s="186"/>
      <c r="AI164" s="186"/>
      <c r="AJ164" s="186"/>
      <c r="AK164" s="186"/>
      <c r="AL164" s="186"/>
      <c r="AM164" s="186"/>
      <c r="AN164" s="186"/>
      <c r="AO164" s="186"/>
      <c r="AP164" s="325"/>
    </row>
    <row r="165" spans="1:42" s="34" customFormat="1">
      <c r="A165" s="34" t="s">
        <v>212</v>
      </c>
      <c r="B165" s="17"/>
      <c r="C165" s="184">
        <v>0.44818162918090798</v>
      </c>
      <c r="D165" s="183">
        <v>0.53766800000000003</v>
      </c>
      <c r="E165" s="183">
        <v>0.49865300000000001</v>
      </c>
      <c r="F165" s="183">
        <v>0.45812399999999998</v>
      </c>
      <c r="G165" s="183">
        <v>0.45334400000000002</v>
      </c>
      <c r="H165" s="183">
        <v>0.44167400000000001</v>
      </c>
      <c r="I165" s="183">
        <v>0.429761</v>
      </c>
      <c r="J165" s="183">
        <v>0.41664600000000002</v>
      </c>
      <c r="L165" s="291"/>
      <c r="M165" s="291"/>
      <c r="N165" s="291"/>
      <c r="O165" s="291"/>
      <c r="P165" s="291"/>
      <c r="Q165" s="291"/>
      <c r="R165" s="291"/>
      <c r="S165" s="291"/>
      <c r="T165" s="186"/>
      <c r="U165" s="186"/>
      <c r="V165" s="186"/>
      <c r="W165" s="186"/>
      <c r="X165" s="186"/>
      <c r="Y165" s="186"/>
      <c r="Z165" s="186"/>
      <c r="AA165" s="186"/>
      <c r="AB165" s="186"/>
      <c r="AC165" s="186"/>
      <c r="AD165" s="186"/>
      <c r="AE165" s="186"/>
      <c r="AF165" s="186"/>
      <c r="AG165" s="186"/>
      <c r="AH165" s="186"/>
      <c r="AI165" s="186"/>
      <c r="AJ165" s="186"/>
      <c r="AK165" s="186"/>
      <c r="AL165" s="186"/>
      <c r="AM165" s="186"/>
      <c r="AN165" s="186"/>
      <c r="AO165" s="186"/>
      <c r="AP165" s="325"/>
    </row>
    <row r="166" spans="1:42" s="34" customFormat="1">
      <c r="A166" s="34" t="s">
        <v>213</v>
      </c>
      <c r="B166" s="17"/>
      <c r="C166" s="184">
        <v>0.10066375136375399</v>
      </c>
      <c r="D166" s="183">
        <v>1.8530000000000001E-2</v>
      </c>
      <c r="E166" s="183">
        <v>4.731E-3</v>
      </c>
      <c r="F166" s="183">
        <v>4.1539999999999997E-3</v>
      </c>
      <c r="G166" s="183">
        <v>3.7490000000000002E-3</v>
      </c>
      <c r="H166" s="183">
        <v>3.4259999999999998E-3</v>
      </c>
      <c r="I166" s="183">
        <v>3.124E-3</v>
      </c>
      <c r="J166" s="183">
        <v>2.8519999999999999E-3</v>
      </c>
      <c r="L166" s="291"/>
      <c r="M166" s="291"/>
      <c r="N166" s="291"/>
      <c r="O166" s="291"/>
      <c r="P166" s="291"/>
      <c r="Q166" s="291"/>
      <c r="R166" s="291"/>
      <c r="S166" s="291"/>
    </row>
    <row r="167" spans="1:42" s="34" customFormat="1">
      <c r="L167" s="291"/>
      <c r="M167" s="291"/>
    </row>
    <row r="168" spans="1:42" s="34" customFormat="1">
      <c r="A168" s="34" t="s">
        <v>214</v>
      </c>
      <c r="L168" s="327"/>
      <c r="M168" s="327"/>
      <c r="T168" s="186"/>
      <c r="U168" s="186"/>
      <c r="V168" s="186"/>
      <c r="W168" s="186"/>
      <c r="X168" s="186"/>
      <c r="Y168" s="186"/>
      <c r="Z168" s="186"/>
      <c r="AA168" s="186"/>
      <c r="AB168" s="186"/>
      <c r="AC168" s="186"/>
      <c r="AD168" s="186"/>
      <c r="AE168" s="186"/>
      <c r="AF168" s="186"/>
      <c r="AG168" s="186"/>
      <c r="AH168" s="186"/>
      <c r="AI168" s="186"/>
      <c r="AJ168" s="186"/>
      <c r="AK168" s="186"/>
      <c r="AL168" s="186"/>
      <c r="AM168" s="186"/>
      <c r="AN168" s="186"/>
      <c r="AO168" s="186"/>
      <c r="AP168" s="325"/>
    </row>
    <row r="169" spans="1:42" s="34" customFormat="1">
      <c r="A169" s="193" t="s">
        <v>215</v>
      </c>
      <c r="C169" s="192">
        <f>C127+C144+C153+C159+C165</f>
        <v>5.1129582435161192</v>
      </c>
      <c r="D169" s="183">
        <v>4.8448330000000004</v>
      </c>
      <c r="E169" s="183">
        <v>4.5063139999999997</v>
      </c>
      <c r="F169" s="183">
        <v>4.3566019999999996</v>
      </c>
      <c r="G169" s="183">
        <v>4.2245980000000003</v>
      </c>
      <c r="H169" s="183">
        <v>4.0867969999999998</v>
      </c>
      <c r="I169" s="183">
        <v>3.9454449999999999</v>
      </c>
      <c r="J169" s="183">
        <v>3.8057799999999999</v>
      </c>
      <c r="L169" s="291"/>
      <c r="M169" s="291"/>
      <c r="N169" s="291"/>
      <c r="O169" s="291"/>
      <c r="P169" s="291"/>
      <c r="Q169" s="291"/>
      <c r="R169" s="291"/>
      <c r="S169" s="291"/>
      <c r="T169" s="186"/>
      <c r="U169" s="186"/>
      <c r="V169" s="186"/>
      <c r="W169" s="186"/>
      <c r="X169" s="186"/>
      <c r="Y169" s="186"/>
      <c r="Z169" s="186"/>
      <c r="AA169" s="186"/>
      <c r="AB169" s="186"/>
      <c r="AC169" s="186"/>
      <c r="AD169" s="186"/>
      <c r="AE169" s="186"/>
      <c r="AF169" s="186"/>
      <c r="AG169" s="186"/>
      <c r="AH169" s="186"/>
      <c r="AI169" s="186"/>
      <c r="AJ169" s="186"/>
      <c r="AK169" s="186"/>
      <c r="AL169" s="186"/>
      <c r="AM169" s="186"/>
      <c r="AN169" s="186"/>
      <c r="AO169" s="186"/>
      <c r="AP169" s="325"/>
    </row>
    <row r="170" spans="1:42" s="34" customFormat="1">
      <c r="A170" s="193" t="s">
        <v>216</v>
      </c>
      <c r="C170" s="184">
        <v>0.821350157260895</v>
      </c>
      <c r="D170" s="183">
        <v>0.84948800000000002</v>
      </c>
      <c r="E170" s="183">
        <v>0.84499599999999997</v>
      </c>
      <c r="F170" s="183">
        <v>0.91059400000000001</v>
      </c>
      <c r="G170" s="183">
        <v>0.99750899999999998</v>
      </c>
      <c r="H170" s="183">
        <v>1.088076</v>
      </c>
      <c r="I170" s="183">
        <v>1.17994</v>
      </c>
      <c r="J170" s="183">
        <v>1.2720849999999999</v>
      </c>
      <c r="L170" s="291"/>
      <c r="M170" s="291"/>
      <c r="N170" s="291"/>
      <c r="O170" s="291"/>
      <c r="P170" s="291"/>
      <c r="Q170" s="291"/>
      <c r="R170" s="291"/>
      <c r="S170" s="291"/>
      <c r="T170" s="186"/>
      <c r="U170" s="186"/>
      <c r="V170" s="186"/>
      <c r="W170" s="186"/>
      <c r="X170" s="186"/>
      <c r="Y170" s="186"/>
      <c r="Z170" s="186"/>
      <c r="AA170" s="186"/>
      <c r="AB170" s="186"/>
      <c r="AC170" s="186"/>
      <c r="AD170" s="186"/>
      <c r="AE170" s="186"/>
      <c r="AF170" s="186"/>
      <c r="AG170" s="186"/>
      <c r="AH170" s="186"/>
      <c r="AI170" s="186"/>
      <c r="AJ170" s="186"/>
      <c r="AK170" s="186"/>
      <c r="AL170" s="186"/>
      <c r="AM170" s="186"/>
      <c r="AN170" s="186"/>
      <c r="AO170" s="186"/>
      <c r="AP170" s="325"/>
    </row>
    <row r="171" spans="1:42" s="34" customFormat="1">
      <c r="A171" s="193" t="s">
        <v>217</v>
      </c>
      <c r="C171" s="184">
        <v>1.6372220516204801</v>
      </c>
      <c r="D171" s="183">
        <v>1.7677210000000001</v>
      </c>
      <c r="E171" s="183">
        <v>1.771803</v>
      </c>
      <c r="F171" s="183">
        <v>1.7663850000000001</v>
      </c>
      <c r="G171" s="183">
        <v>1.7802089999999999</v>
      </c>
      <c r="H171" s="183">
        <v>1.777379</v>
      </c>
      <c r="I171" s="183">
        <v>1.74109</v>
      </c>
      <c r="J171" s="183">
        <v>1.70512</v>
      </c>
      <c r="L171" s="291"/>
      <c r="M171" s="291"/>
      <c r="N171" s="291"/>
      <c r="O171" s="291"/>
      <c r="P171" s="291"/>
      <c r="Q171" s="291"/>
      <c r="R171" s="291"/>
      <c r="S171" s="291"/>
      <c r="T171" s="186"/>
      <c r="U171" s="186"/>
      <c r="V171" s="186"/>
      <c r="W171" s="186"/>
      <c r="X171" s="186"/>
      <c r="Y171" s="186"/>
      <c r="Z171" s="186"/>
      <c r="AA171" s="186"/>
      <c r="AB171" s="186"/>
      <c r="AC171" s="186"/>
      <c r="AD171" s="186"/>
      <c r="AE171" s="186"/>
      <c r="AF171" s="186"/>
      <c r="AG171" s="186"/>
      <c r="AH171" s="186"/>
      <c r="AI171" s="186"/>
      <c r="AJ171" s="186"/>
      <c r="AK171" s="186"/>
      <c r="AL171" s="186"/>
      <c r="AM171" s="186"/>
      <c r="AN171" s="186"/>
      <c r="AO171" s="186"/>
      <c r="AP171" s="325"/>
    </row>
    <row r="172" spans="1:42" s="34" customFormat="1">
      <c r="A172" s="193" t="s">
        <v>218</v>
      </c>
      <c r="C172" s="184">
        <v>0.39436101913452098</v>
      </c>
      <c r="D172" s="183">
        <v>0.37790699999999999</v>
      </c>
      <c r="E172" s="183">
        <v>0.37693700000000002</v>
      </c>
      <c r="F172" s="183">
        <v>0.37551299999999999</v>
      </c>
      <c r="G172" s="183">
        <v>0.37684800000000002</v>
      </c>
      <c r="H172" s="183">
        <v>0.38406200000000001</v>
      </c>
      <c r="I172" s="183">
        <v>0.39679799999999998</v>
      </c>
      <c r="J172" s="183">
        <v>0.41375600000000001</v>
      </c>
      <c r="L172" s="291"/>
      <c r="M172" s="291"/>
      <c r="N172" s="291"/>
      <c r="O172" s="291"/>
      <c r="P172" s="291"/>
      <c r="Q172" s="291"/>
      <c r="R172" s="291"/>
      <c r="S172" s="291"/>
      <c r="T172" s="186"/>
      <c r="U172" s="186"/>
      <c r="V172" s="186"/>
      <c r="W172" s="186"/>
      <c r="X172" s="186"/>
      <c r="Y172" s="186"/>
      <c r="Z172" s="186"/>
      <c r="AA172" s="186"/>
      <c r="AB172" s="186"/>
      <c r="AC172" s="186"/>
      <c r="AD172" s="186"/>
      <c r="AE172" s="186"/>
      <c r="AF172" s="186"/>
      <c r="AG172" s="186"/>
      <c r="AH172" s="186"/>
      <c r="AI172" s="186"/>
      <c r="AJ172" s="186"/>
      <c r="AK172" s="186"/>
      <c r="AL172" s="186"/>
      <c r="AM172" s="186"/>
      <c r="AN172" s="186"/>
      <c r="AO172" s="186"/>
      <c r="AP172" s="325"/>
    </row>
    <row r="173" spans="1:42" s="34" customFormat="1">
      <c r="A173" s="193" t="s">
        <v>219</v>
      </c>
      <c r="C173" s="184">
        <v>0.34996357560157798</v>
      </c>
      <c r="D173" s="183">
        <v>0.344443</v>
      </c>
      <c r="E173" s="183">
        <v>0.34578399999999998</v>
      </c>
      <c r="F173" s="183">
        <v>0.353574</v>
      </c>
      <c r="G173" s="183">
        <v>0.36034899999999997</v>
      </c>
      <c r="H173" s="183">
        <v>0.36871300000000001</v>
      </c>
      <c r="I173" s="183">
        <v>0.37854300000000002</v>
      </c>
      <c r="J173" s="183">
        <v>0.388235</v>
      </c>
      <c r="L173" s="291"/>
      <c r="M173" s="291"/>
      <c r="N173" s="291"/>
      <c r="O173" s="291"/>
      <c r="P173" s="291"/>
      <c r="Q173" s="291"/>
      <c r="R173" s="291"/>
      <c r="S173" s="291"/>
      <c r="T173" s="186"/>
      <c r="U173" s="186"/>
      <c r="V173" s="186"/>
      <c r="W173" s="186"/>
      <c r="X173" s="186"/>
      <c r="Y173" s="186"/>
      <c r="Z173" s="186"/>
      <c r="AA173" s="186"/>
      <c r="AB173" s="186"/>
      <c r="AC173" s="186"/>
      <c r="AD173" s="186"/>
      <c r="AE173" s="186"/>
      <c r="AF173" s="186"/>
      <c r="AG173" s="186"/>
      <c r="AH173" s="186"/>
      <c r="AI173" s="186"/>
      <c r="AJ173" s="186"/>
      <c r="AK173" s="186"/>
      <c r="AL173" s="186"/>
      <c r="AM173" s="186"/>
      <c r="AN173" s="186"/>
      <c r="AO173" s="186"/>
      <c r="AP173" s="325"/>
    </row>
    <row r="174" spans="1:42" s="34" customFormat="1">
      <c r="A174" s="193" t="s">
        <v>220</v>
      </c>
      <c r="C174" s="184">
        <v>0.32461026310920699</v>
      </c>
      <c r="D174" s="183">
        <v>0.24814700000000001</v>
      </c>
      <c r="E174" s="183">
        <v>0.25657999999999997</v>
      </c>
      <c r="F174" s="183">
        <v>0.265652</v>
      </c>
      <c r="G174" s="183">
        <v>0.27655200000000002</v>
      </c>
      <c r="H174" s="183">
        <v>0.28820899999999999</v>
      </c>
      <c r="I174" s="183">
        <v>0.30056300000000002</v>
      </c>
      <c r="J174" s="183">
        <v>0.313023</v>
      </c>
      <c r="L174" s="291"/>
      <c r="M174" s="291"/>
      <c r="N174" s="291"/>
      <c r="O174" s="291"/>
      <c r="P174" s="291"/>
      <c r="Q174" s="291"/>
      <c r="R174" s="291"/>
      <c r="S174" s="291"/>
      <c r="T174" s="186"/>
      <c r="U174" s="186"/>
      <c r="V174" s="186"/>
      <c r="W174" s="186"/>
      <c r="X174" s="186"/>
      <c r="Y174" s="186"/>
      <c r="Z174" s="186"/>
      <c r="AA174" s="186"/>
      <c r="AB174" s="186"/>
      <c r="AC174" s="186"/>
      <c r="AD174" s="186"/>
      <c r="AE174" s="186"/>
      <c r="AF174" s="186"/>
      <c r="AG174" s="186"/>
      <c r="AH174" s="186"/>
      <c r="AI174" s="186"/>
      <c r="AJ174" s="186"/>
      <c r="AK174" s="186"/>
      <c r="AL174" s="186"/>
      <c r="AM174" s="186"/>
      <c r="AN174" s="186"/>
      <c r="AO174" s="186"/>
      <c r="AP174" s="325"/>
    </row>
    <row r="175" spans="1:42" s="34" customFormat="1">
      <c r="A175" s="193" t="s">
        <v>221</v>
      </c>
      <c r="C175" s="184">
        <v>8.3529256284236894E-2</v>
      </c>
      <c r="D175" s="183">
        <v>7.9626000000000002E-2</v>
      </c>
      <c r="E175" s="183">
        <v>8.0264000000000002E-2</v>
      </c>
      <c r="F175" s="183">
        <v>7.9727999999999993E-2</v>
      </c>
      <c r="G175" s="183">
        <v>7.8634999999999997E-2</v>
      </c>
      <c r="H175" s="183">
        <v>7.7917E-2</v>
      </c>
      <c r="I175" s="183">
        <v>7.7727000000000004E-2</v>
      </c>
      <c r="J175" s="183">
        <v>7.8753000000000004E-2</v>
      </c>
      <c r="L175" s="291"/>
      <c r="M175" s="291"/>
      <c r="N175" s="291"/>
      <c r="O175" s="291"/>
      <c r="P175" s="291"/>
      <c r="Q175" s="291"/>
      <c r="R175" s="291"/>
      <c r="S175" s="291"/>
      <c r="T175" s="186"/>
      <c r="U175" s="186"/>
      <c r="V175" s="186"/>
      <c r="W175" s="186"/>
      <c r="X175" s="186"/>
      <c r="Y175" s="186"/>
      <c r="Z175" s="186"/>
      <c r="AA175" s="186"/>
      <c r="AB175" s="186"/>
      <c r="AC175" s="186"/>
      <c r="AD175" s="186"/>
      <c r="AE175" s="186"/>
      <c r="AF175" s="186"/>
      <c r="AG175" s="186"/>
      <c r="AH175" s="186"/>
      <c r="AI175" s="186"/>
      <c r="AJ175" s="186"/>
      <c r="AK175" s="186"/>
      <c r="AL175" s="186"/>
      <c r="AM175" s="186"/>
      <c r="AN175" s="186"/>
      <c r="AO175" s="186"/>
      <c r="AP175" s="325"/>
    </row>
    <row r="176" spans="1:42" s="34" customFormat="1">
      <c r="A176" s="193" t="s">
        <v>222</v>
      </c>
      <c r="C176" s="184">
        <v>0.72674226760864302</v>
      </c>
      <c r="D176" s="183">
        <v>0.63835299999999995</v>
      </c>
      <c r="E176" s="183">
        <v>0.498996</v>
      </c>
      <c r="F176" s="183">
        <v>0.43620599999999998</v>
      </c>
      <c r="G176" s="183">
        <v>0.39062000000000002</v>
      </c>
      <c r="H176" s="183">
        <v>0.34983500000000001</v>
      </c>
      <c r="I176" s="183">
        <v>0.29919800000000002</v>
      </c>
      <c r="J176" s="183">
        <v>0.27627400000000002</v>
      </c>
      <c r="L176" s="291"/>
      <c r="M176" s="291"/>
      <c r="N176" s="291"/>
      <c r="O176" s="291"/>
      <c r="P176" s="291"/>
      <c r="Q176" s="291"/>
      <c r="R176" s="291"/>
      <c r="S176" s="291"/>
      <c r="T176" s="186"/>
      <c r="U176" s="186"/>
      <c r="V176" s="186"/>
      <c r="W176" s="186"/>
      <c r="X176" s="186"/>
      <c r="Y176" s="186"/>
      <c r="Z176" s="186"/>
      <c r="AA176" s="186"/>
      <c r="AB176" s="186"/>
      <c r="AC176" s="186"/>
      <c r="AD176" s="186"/>
      <c r="AE176" s="186"/>
      <c r="AF176" s="186"/>
      <c r="AG176" s="186"/>
      <c r="AH176" s="186"/>
      <c r="AI176" s="186"/>
      <c r="AJ176" s="186"/>
      <c r="AK176" s="186"/>
      <c r="AL176" s="186"/>
      <c r="AM176" s="186"/>
      <c r="AN176" s="186"/>
      <c r="AO176" s="186"/>
      <c r="AP176" s="325"/>
    </row>
    <row r="177" spans="1:42" s="34" customFormat="1">
      <c r="A177" s="193" t="s">
        <v>223</v>
      </c>
      <c r="C177" s="184">
        <v>3.4679807722568498E-2</v>
      </c>
      <c r="D177" s="183">
        <v>3.1628999999999997E-2</v>
      </c>
      <c r="E177" s="183">
        <v>3.0263000000000002E-2</v>
      </c>
      <c r="F177" s="183">
        <v>2.5973E-2</v>
      </c>
      <c r="G177" s="183">
        <v>2.2155999999999999E-2</v>
      </c>
      <c r="H177" s="183">
        <v>2.0947E-2</v>
      </c>
      <c r="I177" s="183">
        <v>2.147E-2</v>
      </c>
      <c r="J177" s="183">
        <v>2.2419999999999999E-2</v>
      </c>
      <c r="L177" s="291"/>
      <c r="M177" s="291"/>
      <c r="N177" s="291"/>
      <c r="O177" s="291"/>
      <c r="P177" s="291"/>
      <c r="Q177" s="291"/>
      <c r="R177" s="291"/>
      <c r="S177" s="291"/>
      <c r="T177" s="186"/>
      <c r="U177" s="186"/>
      <c r="V177" s="186"/>
      <c r="W177" s="186"/>
      <c r="X177" s="186"/>
      <c r="Y177" s="186"/>
      <c r="Z177" s="186"/>
      <c r="AA177" s="186"/>
      <c r="AB177" s="186"/>
      <c r="AC177" s="186"/>
      <c r="AD177" s="186"/>
      <c r="AE177" s="186"/>
      <c r="AF177" s="186"/>
      <c r="AG177" s="186"/>
      <c r="AH177" s="186"/>
      <c r="AI177" s="186"/>
      <c r="AJ177" s="186"/>
      <c r="AK177" s="186"/>
      <c r="AL177" s="186"/>
      <c r="AM177" s="186"/>
      <c r="AN177" s="186"/>
      <c r="AO177" s="186"/>
      <c r="AP177" s="325"/>
    </row>
    <row r="178" spans="1:42" s="34" customFormat="1">
      <c r="A178" s="193" t="s">
        <v>224</v>
      </c>
      <c r="C178" s="184">
        <v>9.5851413905620603E-2</v>
      </c>
      <c r="D178" s="183">
        <v>9.9588999999999997E-2</v>
      </c>
      <c r="E178" s="183">
        <v>9.8664000000000002E-2</v>
      </c>
      <c r="F178" s="183">
        <v>9.7799999999999998E-2</v>
      </c>
      <c r="G178" s="183">
        <v>9.7684999999999994E-2</v>
      </c>
      <c r="H178" s="183">
        <v>0.104022</v>
      </c>
      <c r="I178" s="183">
        <v>0.111884</v>
      </c>
      <c r="J178" s="183">
        <v>0.1197</v>
      </c>
      <c r="L178" s="291"/>
      <c r="M178" s="291"/>
      <c r="N178" s="291"/>
      <c r="O178" s="291"/>
      <c r="P178" s="291"/>
      <c r="Q178" s="291"/>
      <c r="R178" s="291"/>
      <c r="S178" s="291"/>
      <c r="T178" s="186"/>
      <c r="U178" s="186"/>
      <c r="V178" s="186"/>
      <c r="W178" s="186"/>
      <c r="X178" s="186"/>
      <c r="Y178" s="186"/>
      <c r="Z178" s="186"/>
      <c r="AA178" s="186"/>
      <c r="AB178" s="186"/>
      <c r="AC178" s="186"/>
      <c r="AD178" s="186"/>
      <c r="AE178" s="186"/>
      <c r="AF178" s="186"/>
      <c r="AG178" s="186"/>
      <c r="AH178" s="186"/>
      <c r="AI178" s="186"/>
      <c r="AJ178" s="186"/>
      <c r="AK178" s="186"/>
      <c r="AL178" s="186"/>
      <c r="AM178" s="186"/>
      <c r="AN178" s="186"/>
      <c r="AO178" s="186"/>
      <c r="AP178" s="325"/>
    </row>
    <row r="179" spans="1:42" s="34" customFormat="1">
      <c r="A179" s="193" t="s">
        <v>225</v>
      </c>
      <c r="C179" s="184">
        <v>0.29940426349639898</v>
      </c>
      <c r="D179" s="183">
        <v>0.33408399999999999</v>
      </c>
      <c r="E179" s="183">
        <v>0.32941999999999999</v>
      </c>
      <c r="F179" s="183">
        <v>0.32728299999999999</v>
      </c>
      <c r="G179" s="183">
        <v>0.33494699999999999</v>
      </c>
      <c r="H179" s="183">
        <v>0.35036</v>
      </c>
      <c r="I179" s="183">
        <v>0.37098100000000001</v>
      </c>
      <c r="J179" s="183">
        <v>0.38829999999999998</v>
      </c>
      <c r="L179" s="291"/>
      <c r="M179" s="291"/>
      <c r="N179" s="291"/>
      <c r="O179" s="291"/>
      <c r="P179" s="291"/>
      <c r="Q179" s="291"/>
      <c r="R179" s="291"/>
      <c r="S179" s="291"/>
      <c r="T179" s="186"/>
      <c r="U179" s="186"/>
      <c r="V179" s="186"/>
      <c r="W179" s="186"/>
      <c r="X179" s="186"/>
      <c r="Y179" s="186"/>
      <c r="Z179" s="186"/>
      <c r="AA179" s="186"/>
      <c r="AB179" s="186"/>
      <c r="AC179" s="186"/>
      <c r="AD179" s="186"/>
      <c r="AE179" s="186"/>
      <c r="AF179" s="186"/>
      <c r="AG179" s="186"/>
      <c r="AH179" s="186"/>
      <c r="AI179" s="186"/>
      <c r="AJ179" s="186"/>
      <c r="AK179" s="186"/>
      <c r="AL179" s="186"/>
      <c r="AM179" s="186"/>
      <c r="AN179" s="186"/>
      <c r="AO179" s="186"/>
      <c r="AP179" s="325"/>
    </row>
    <row r="180" spans="1:42" s="34" customFormat="1">
      <c r="A180" s="193" t="s">
        <v>226</v>
      </c>
      <c r="C180" s="184">
        <v>6.5222315490245805E-2</v>
      </c>
      <c r="D180" s="183">
        <v>0.12784400000000001</v>
      </c>
      <c r="E180" s="183">
        <v>0.11465599999999999</v>
      </c>
      <c r="F180" s="183">
        <v>9.7959000000000004E-2</v>
      </c>
      <c r="G180" s="183">
        <v>8.3530999999999994E-2</v>
      </c>
      <c r="H180" s="183">
        <v>7.1593000000000004E-2</v>
      </c>
      <c r="I180" s="183">
        <v>6.1940000000000002E-2</v>
      </c>
      <c r="J180" s="183">
        <v>5.2770999999999998E-2</v>
      </c>
      <c r="L180" s="291"/>
      <c r="M180" s="291"/>
      <c r="N180" s="291"/>
      <c r="O180" s="291"/>
      <c r="P180" s="291"/>
      <c r="Q180" s="291"/>
      <c r="R180" s="291"/>
      <c r="S180" s="291"/>
      <c r="T180" s="186"/>
      <c r="U180" s="186"/>
      <c r="V180" s="186"/>
      <c r="W180" s="186"/>
      <c r="X180" s="186"/>
      <c r="Y180" s="186"/>
      <c r="Z180" s="186"/>
      <c r="AA180" s="186"/>
      <c r="AB180" s="186"/>
      <c r="AC180" s="186"/>
      <c r="AD180" s="186"/>
      <c r="AE180" s="186"/>
      <c r="AF180" s="186"/>
      <c r="AG180" s="186"/>
      <c r="AH180" s="186"/>
      <c r="AI180" s="186"/>
      <c r="AJ180" s="186"/>
      <c r="AK180" s="186"/>
      <c r="AL180" s="186"/>
      <c r="AM180" s="186"/>
      <c r="AN180" s="186"/>
      <c r="AO180" s="186"/>
      <c r="AP180" s="325"/>
    </row>
    <row r="181" spans="1:42" s="34" customFormat="1">
      <c r="A181" s="193" t="s">
        <v>227</v>
      </c>
      <c r="C181" s="184">
        <v>5.9013724327087402E-2</v>
      </c>
      <c r="D181" s="183">
        <v>0.11804000000000001</v>
      </c>
      <c r="E181" s="183">
        <v>0.113596</v>
      </c>
      <c r="F181" s="183">
        <v>0.115033</v>
      </c>
      <c r="G181" s="183">
        <v>0.116506</v>
      </c>
      <c r="H181" s="183">
        <v>0.117882</v>
      </c>
      <c r="I181" s="183">
        <v>0.118399</v>
      </c>
      <c r="J181" s="183">
        <v>0.118285</v>
      </c>
      <c r="L181" s="291"/>
      <c r="M181" s="291"/>
      <c r="N181" s="291"/>
      <c r="O181" s="291"/>
      <c r="P181" s="291"/>
      <c r="Q181" s="291"/>
      <c r="R181" s="291"/>
      <c r="S181" s="291"/>
      <c r="T181" s="186"/>
      <c r="U181" s="186"/>
      <c r="V181" s="186"/>
      <c r="W181" s="186"/>
      <c r="X181" s="186"/>
      <c r="Y181" s="186"/>
      <c r="Z181" s="186"/>
      <c r="AA181" s="186"/>
      <c r="AB181" s="186"/>
      <c r="AC181" s="186"/>
      <c r="AD181" s="186"/>
      <c r="AE181" s="186"/>
      <c r="AF181" s="186"/>
      <c r="AG181" s="186"/>
      <c r="AH181" s="186"/>
      <c r="AI181" s="186"/>
      <c r="AJ181" s="186"/>
      <c r="AK181" s="186"/>
      <c r="AL181" s="186"/>
      <c r="AM181" s="186"/>
      <c r="AN181" s="186"/>
      <c r="AO181" s="186"/>
      <c r="AP181" s="325"/>
    </row>
    <row r="182" spans="1:42" s="34" customFormat="1">
      <c r="A182" s="193" t="s">
        <v>228</v>
      </c>
      <c r="C182" s="184">
        <v>1.1602649688720701</v>
      </c>
      <c r="D182" s="183">
        <v>1.398703</v>
      </c>
      <c r="E182" s="183">
        <v>1.4423900000000001</v>
      </c>
      <c r="F182" s="183">
        <v>1.5337240000000001</v>
      </c>
      <c r="G182" s="183">
        <v>1.6330979999999999</v>
      </c>
      <c r="H182" s="183">
        <v>1.744796</v>
      </c>
      <c r="I182" s="183">
        <v>1.858017</v>
      </c>
      <c r="J182" s="183">
        <v>1.9823489999999999</v>
      </c>
      <c r="L182" s="291"/>
      <c r="M182" s="291"/>
      <c r="N182" s="291"/>
      <c r="O182" s="291"/>
      <c r="P182" s="291"/>
      <c r="Q182" s="291"/>
      <c r="R182" s="291"/>
      <c r="S182" s="291"/>
      <c r="T182" s="329"/>
      <c r="U182" s="329"/>
      <c r="V182" s="329"/>
      <c r="W182" s="329"/>
      <c r="X182" s="329"/>
      <c r="Y182" s="329"/>
      <c r="Z182" s="329"/>
      <c r="AA182" s="329"/>
      <c r="AB182" s="329"/>
      <c r="AC182" s="329"/>
      <c r="AD182" s="329"/>
      <c r="AE182" s="329"/>
      <c r="AF182" s="329"/>
      <c r="AG182" s="329"/>
      <c r="AH182" s="329"/>
      <c r="AI182" s="329"/>
      <c r="AJ182" s="329"/>
      <c r="AK182" s="329"/>
      <c r="AL182" s="329"/>
      <c r="AM182" s="329"/>
      <c r="AN182" s="329"/>
      <c r="AO182" s="329"/>
      <c r="AP182" s="330"/>
    </row>
    <row r="183" spans="1:42" s="34" customFormat="1">
      <c r="A183" s="34" t="s">
        <v>229</v>
      </c>
      <c r="C183" s="184">
        <v>11.516374588012701</v>
      </c>
      <c r="D183" s="45">
        <v>11.260408999999999</v>
      </c>
      <c r="E183" s="45">
        <v>10.810661</v>
      </c>
      <c r="F183" s="45">
        <v>10.742025999999999</v>
      </c>
      <c r="G183" s="45">
        <v>10.773243000000001</v>
      </c>
      <c r="H183" s="45">
        <v>10.830589</v>
      </c>
      <c r="I183" s="45">
        <v>10.861997000000001</v>
      </c>
      <c r="J183" s="45">
        <v>10.936849</v>
      </c>
      <c r="L183" s="327"/>
      <c r="M183" s="327"/>
      <c r="N183" s="327"/>
      <c r="O183" s="327"/>
      <c r="P183" s="327"/>
      <c r="Q183" s="327"/>
      <c r="R183" s="327"/>
      <c r="S183" s="327"/>
    </row>
    <row r="184" spans="1:42" s="34" customFormat="1">
      <c r="L184" s="291"/>
      <c r="M184" s="291"/>
      <c r="T184" s="329"/>
      <c r="U184" s="329"/>
      <c r="V184" s="329"/>
      <c r="W184" s="329"/>
      <c r="X184" s="329"/>
      <c r="Y184" s="329"/>
      <c r="Z184" s="329"/>
      <c r="AA184" s="329"/>
      <c r="AB184" s="329"/>
      <c r="AC184" s="329"/>
      <c r="AD184" s="329"/>
      <c r="AE184" s="329"/>
      <c r="AF184" s="329"/>
      <c r="AG184" s="329"/>
      <c r="AH184" s="329"/>
      <c r="AI184" s="329"/>
      <c r="AJ184" s="329"/>
      <c r="AK184" s="329"/>
      <c r="AL184" s="329"/>
      <c r="AM184" s="329"/>
      <c r="AN184" s="329"/>
      <c r="AO184" s="329"/>
      <c r="AP184" s="330"/>
    </row>
    <row r="185" spans="1:42" s="34" customFormat="1">
      <c r="A185" s="34" t="s">
        <v>230</v>
      </c>
      <c r="C185" s="184">
        <v>10.1245260238647</v>
      </c>
      <c r="D185" s="45">
        <v>10.131798</v>
      </c>
      <c r="E185" s="45">
        <v>9.7391939999999995</v>
      </c>
      <c r="F185" s="45">
        <v>9.6412230000000001</v>
      </c>
      <c r="G185" s="45">
        <v>9.8094280000000005</v>
      </c>
      <c r="H185" s="45">
        <v>10.000724999999999</v>
      </c>
      <c r="I185" s="45">
        <v>10.224086</v>
      </c>
      <c r="J185" s="45">
        <v>10.546246999999999</v>
      </c>
      <c r="L185" s="327"/>
      <c r="M185" s="327"/>
      <c r="N185" s="327"/>
      <c r="O185" s="327"/>
      <c r="P185" s="327"/>
      <c r="Q185" s="327"/>
      <c r="R185" s="327"/>
      <c r="S185" s="327"/>
    </row>
    <row r="186" spans="1:42" s="34" customFormat="1">
      <c r="L186" s="291"/>
      <c r="M186" s="291"/>
    </row>
    <row r="187" spans="1:42" s="34" customFormat="1">
      <c r="A187" s="34" t="s">
        <v>231</v>
      </c>
      <c r="L187" s="327"/>
      <c r="M187" s="327"/>
      <c r="T187" s="186"/>
      <c r="U187" s="186"/>
      <c r="V187" s="186"/>
      <c r="W187" s="186"/>
      <c r="X187" s="186"/>
      <c r="Y187" s="186"/>
      <c r="Z187" s="186"/>
      <c r="AA187" s="186"/>
      <c r="AB187" s="186"/>
      <c r="AC187" s="186"/>
      <c r="AD187" s="186"/>
      <c r="AE187" s="186"/>
      <c r="AF187" s="186"/>
      <c r="AG187" s="186"/>
      <c r="AH187" s="186"/>
      <c r="AI187" s="186"/>
      <c r="AJ187" s="186"/>
      <c r="AK187" s="186"/>
      <c r="AL187" s="186"/>
      <c r="AM187" s="186"/>
      <c r="AN187" s="186"/>
      <c r="AO187" s="186"/>
      <c r="AP187" s="325"/>
    </row>
    <row r="188" spans="1:42" s="34" customFormat="1">
      <c r="A188" s="34" t="s">
        <v>215</v>
      </c>
      <c r="C188" s="184">
        <v>6.1418976783752397</v>
      </c>
      <c r="D188" s="183">
        <v>5.6260519999999996</v>
      </c>
      <c r="E188" s="183">
        <v>5.2368370000000004</v>
      </c>
      <c r="F188" s="183">
        <v>5.0540130000000003</v>
      </c>
      <c r="G188" s="183">
        <v>4.9045069999999997</v>
      </c>
      <c r="H188" s="183">
        <v>4.740888</v>
      </c>
      <c r="I188" s="183">
        <v>4.5730620000000002</v>
      </c>
      <c r="J188" s="183">
        <v>4.4082090000000003</v>
      </c>
      <c r="L188" s="291"/>
      <c r="M188" s="291"/>
      <c r="N188" s="291"/>
      <c r="O188" s="291"/>
      <c r="P188" s="291"/>
      <c r="Q188" s="291"/>
      <c r="R188" s="291"/>
      <c r="S188" s="291"/>
      <c r="T188" s="186"/>
      <c r="U188" s="186"/>
      <c r="V188" s="186"/>
      <c r="W188" s="186"/>
      <c r="X188" s="186"/>
      <c r="Y188" s="186"/>
      <c r="Z188" s="186"/>
      <c r="AA188" s="186"/>
      <c r="AB188" s="186"/>
      <c r="AC188" s="186"/>
      <c r="AD188" s="186"/>
      <c r="AE188" s="186"/>
      <c r="AF188" s="186"/>
      <c r="AG188" s="186"/>
      <c r="AH188" s="186"/>
      <c r="AI188" s="186"/>
      <c r="AJ188" s="186"/>
      <c r="AK188" s="186"/>
      <c r="AL188" s="186"/>
      <c r="AM188" s="186"/>
      <c r="AN188" s="186"/>
      <c r="AO188" s="186"/>
      <c r="AP188" s="325"/>
    </row>
    <row r="189" spans="1:42" s="34" customFormat="1">
      <c r="A189" s="34" t="s">
        <v>216</v>
      </c>
      <c r="C189" s="184">
        <v>2.61447978019714</v>
      </c>
      <c r="D189" s="183">
        <v>2.575663</v>
      </c>
      <c r="E189" s="183">
        <v>2.5343770000000001</v>
      </c>
      <c r="F189" s="183">
        <v>2.680145</v>
      </c>
      <c r="G189" s="183">
        <v>2.9100769999999998</v>
      </c>
      <c r="H189" s="183">
        <v>3.1374019999999998</v>
      </c>
      <c r="I189" s="183">
        <v>3.3717700000000002</v>
      </c>
      <c r="J189" s="183">
        <v>3.6086529999999999</v>
      </c>
      <c r="L189" s="291"/>
      <c r="M189" s="291"/>
      <c r="N189" s="291"/>
      <c r="O189" s="291"/>
      <c r="P189" s="291"/>
      <c r="Q189" s="291"/>
      <c r="R189" s="291"/>
      <c r="S189" s="291"/>
      <c r="T189" s="186"/>
      <c r="U189" s="186"/>
      <c r="V189" s="186"/>
      <c r="W189" s="186"/>
      <c r="X189" s="186"/>
      <c r="Y189" s="186"/>
      <c r="Z189" s="186"/>
      <c r="AA189" s="186"/>
      <c r="AB189" s="186"/>
      <c r="AC189" s="186"/>
      <c r="AD189" s="186"/>
      <c r="AE189" s="186"/>
      <c r="AF189" s="186"/>
      <c r="AG189" s="186"/>
      <c r="AH189" s="186"/>
      <c r="AI189" s="186"/>
      <c r="AJ189" s="186"/>
      <c r="AK189" s="186"/>
      <c r="AL189" s="186"/>
      <c r="AM189" s="186"/>
      <c r="AN189" s="186"/>
      <c r="AO189" s="186"/>
      <c r="AP189" s="325"/>
    </row>
    <row r="190" spans="1:42" s="34" customFormat="1">
      <c r="A190" s="34" t="s">
        <v>217</v>
      </c>
      <c r="C190" s="184">
        <v>2.4715871810913099</v>
      </c>
      <c r="D190" s="183">
        <v>2.680018</v>
      </c>
      <c r="E190" s="183">
        <v>2.7174230000000001</v>
      </c>
      <c r="F190" s="183">
        <v>2.7117589999999998</v>
      </c>
      <c r="G190" s="183">
        <v>2.7428270000000001</v>
      </c>
      <c r="H190" s="183">
        <v>2.7396630000000002</v>
      </c>
      <c r="I190" s="183">
        <v>2.6922350000000002</v>
      </c>
      <c r="J190" s="183">
        <v>2.64872</v>
      </c>
      <c r="L190" s="291"/>
      <c r="M190" s="291"/>
      <c r="N190" s="291"/>
      <c r="O190" s="291"/>
      <c r="P190" s="291"/>
      <c r="Q190" s="291"/>
      <c r="R190" s="291"/>
      <c r="S190" s="291"/>
      <c r="T190" s="186"/>
      <c r="U190" s="186"/>
      <c r="V190" s="186"/>
      <c r="W190" s="186"/>
      <c r="X190" s="186"/>
      <c r="Y190" s="186"/>
      <c r="Z190" s="186"/>
      <c r="AA190" s="186"/>
      <c r="AB190" s="186"/>
      <c r="AC190" s="186"/>
      <c r="AD190" s="186"/>
      <c r="AE190" s="186"/>
      <c r="AF190" s="186"/>
      <c r="AG190" s="186"/>
      <c r="AH190" s="186"/>
      <c r="AI190" s="186"/>
      <c r="AJ190" s="186"/>
      <c r="AK190" s="186"/>
      <c r="AL190" s="186"/>
      <c r="AM190" s="186"/>
      <c r="AN190" s="186"/>
      <c r="AO190" s="186"/>
      <c r="AP190" s="325"/>
    </row>
    <row r="191" spans="1:42" s="34" customFormat="1">
      <c r="A191" s="34" t="s">
        <v>218</v>
      </c>
      <c r="C191" s="184">
        <v>1.25530982017517</v>
      </c>
      <c r="D191" s="183">
        <v>1.16662</v>
      </c>
      <c r="E191" s="183">
        <v>1.150711</v>
      </c>
      <c r="F191" s="183">
        <v>1.123723</v>
      </c>
      <c r="G191" s="183">
        <v>1.115604</v>
      </c>
      <c r="H191" s="183">
        <v>1.121726</v>
      </c>
      <c r="I191" s="183">
        <v>1.1467970000000001</v>
      </c>
      <c r="J191" s="183">
        <v>1.185754</v>
      </c>
      <c r="L191" s="291"/>
      <c r="M191" s="291"/>
      <c r="N191" s="291"/>
      <c r="O191" s="291"/>
      <c r="P191" s="291"/>
      <c r="Q191" s="291"/>
      <c r="R191" s="291"/>
      <c r="S191" s="291"/>
      <c r="T191" s="186"/>
      <c r="U191" s="186"/>
      <c r="V191" s="186"/>
      <c r="W191" s="186"/>
      <c r="X191" s="186"/>
      <c r="Y191" s="186"/>
      <c r="Z191" s="186"/>
      <c r="AA191" s="186"/>
      <c r="AB191" s="186"/>
      <c r="AC191" s="186"/>
      <c r="AD191" s="186"/>
      <c r="AE191" s="186"/>
      <c r="AF191" s="186"/>
      <c r="AG191" s="186"/>
      <c r="AH191" s="186"/>
      <c r="AI191" s="186"/>
      <c r="AJ191" s="186"/>
      <c r="AK191" s="186"/>
      <c r="AL191" s="186"/>
      <c r="AM191" s="186"/>
      <c r="AN191" s="186"/>
      <c r="AO191" s="186"/>
      <c r="AP191" s="325"/>
    </row>
    <row r="192" spans="1:42" s="34" customFormat="1">
      <c r="A192" s="34" t="s">
        <v>232</v>
      </c>
      <c r="C192" s="184">
        <v>0.57268238067626998</v>
      </c>
      <c r="D192" s="183">
        <v>0.56416900000000003</v>
      </c>
      <c r="E192" s="183">
        <v>0.56974199999999997</v>
      </c>
      <c r="F192" s="183">
        <v>0.58692800000000001</v>
      </c>
      <c r="G192" s="183">
        <v>0.60456600000000005</v>
      </c>
      <c r="H192" s="183">
        <v>0.62226000000000004</v>
      </c>
      <c r="I192" s="183">
        <v>0.64125500000000002</v>
      </c>
      <c r="J192" s="183">
        <v>0.66046499999999997</v>
      </c>
      <c r="L192" s="291"/>
      <c r="M192" s="291"/>
      <c r="N192" s="291"/>
      <c r="O192" s="291"/>
      <c r="P192" s="291"/>
      <c r="Q192" s="291"/>
      <c r="R192" s="291"/>
      <c r="S192" s="291"/>
      <c r="T192" s="186"/>
      <c r="U192" s="186"/>
      <c r="V192" s="186"/>
      <c r="W192" s="186"/>
      <c r="X192" s="186"/>
      <c r="Y192" s="186"/>
      <c r="Z192" s="186"/>
      <c r="AA192" s="186"/>
      <c r="AB192" s="186"/>
      <c r="AC192" s="186"/>
      <c r="AD192" s="186"/>
      <c r="AE192" s="186"/>
      <c r="AF192" s="186"/>
      <c r="AG192" s="186"/>
      <c r="AH192" s="186"/>
      <c r="AI192" s="186"/>
      <c r="AJ192" s="186"/>
      <c r="AK192" s="186"/>
      <c r="AL192" s="186"/>
      <c r="AM192" s="186"/>
      <c r="AN192" s="186"/>
      <c r="AO192" s="186"/>
      <c r="AP192" s="325"/>
    </row>
    <row r="193" spans="1:42" s="34" customFormat="1">
      <c r="A193" s="34" t="s">
        <v>233</v>
      </c>
      <c r="C193" s="184">
        <v>0.87609779834747303</v>
      </c>
      <c r="D193" s="183">
        <v>0.66257600000000005</v>
      </c>
      <c r="E193" s="183">
        <v>0.67711200000000005</v>
      </c>
      <c r="F193" s="183">
        <v>0.68670699999999996</v>
      </c>
      <c r="G193" s="183">
        <v>0.70799500000000004</v>
      </c>
      <c r="H193" s="183">
        <v>0.729993</v>
      </c>
      <c r="I193" s="183">
        <v>0.756081</v>
      </c>
      <c r="J193" s="183">
        <v>0.78313600000000005</v>
      </c>
      <c r="L193" s="291"/>
      <c r="M193" s="291"/>
      <c r="N193" s="291"/>
      <c r="O193" s="291"/>
      <c r="P193" s="291"/>
      <c r="Q193" s="291"/>
      <c r="R193" s="291"/>
      <c r="S193" s="291"/>
      <c r="T193" s="186"/>
      <c r="U193" s="186"/>
      <c r="V193" s="186"/>
      <c r="W193" s="186"/>
      <c r="X193" s="186"/>
      <c r="Y193" s="186"/>
      <c r="Z193" s="186"/>
      <c r="AA193" s="186"/>
      <c r="AB193" s="186"/>
      <c r="AC193" s="186"/>
      <c r="AD193" s="186"/>
      <c r="AE193" s="186"/>
      <c r="AF193" s="186"/>
      <c r="AG193" s="186"/>
      <c r="AH193" s="186"/>
      <c r="AI193" s="186"/>
      <c r="AJ193" s="186"/>
      <c r="AK193" s="186"/>
      <c r="AL193" s="186"/>
      <c r="AM193" s="186"/>
      <c r="AN193" s="186"/>
      <c r="AO193" s="186"/>
      <c r="AP193" s="325"/>
    </row>
    <row r="194" spans="1:42" s="34" customFormat="1">
      <c r="A194" s="34" t="s">
        <v>221</v>
      </c>
      <c r="C194" s="184">
        <v>0.26588606834411599</v>
      </c>
      <c r="D194" s="183">
        <v>0.245808</v>
      </c>
      <c r="E194" s="183">
        <v>0.245028</v>
      </c>
      <c r="F194" s="183">
        <v>0.23858699999999999</v>
      </c>
      <c r="G194" s="183">
        <v>0.23278699999999999</v>
      </c>
      <c r="H194" s="183">
        <v>0.22756999999999999</v>
      </c>
      <c r="I194" s="183">
        <v>0.22464100000000001</v>
      </c>
      <c r="J194" s="183">
        <v>0.225691</v>
      </c>
      <c r="L194" s="291"/>
      <c r="M194" s="291"/>
      <c r="N194" s="291"/>
      <c r="O194" s="291"/>
      <c r="P194" s="291"/>
      <c r="Q194" s="291"/>
      <c r="R194" s="291"/>
      <c r="S194" s="291"/>
      <c r="T194" s="186"/>
      <c r="U194" s="186"/>
      <c r="V194" s="186"/>
      <c r="W194" s="186"/>
      <c r="X194" s="186"/>
      <c r="Y194" s="186"/>
      <c r="Z194" s="186"/>
      <c r="AA194" s="186"/>
      <c r="AB194" s="186"/>
      <c r="AC194" s="186"/>
      <c r="AD194" s="186"/>
      <c r="AE194" s="186"/>
      <c r="AF194" s="186"/>
      <c r="AG194" s="186"/>
      <c r="AH194" s="186"/>
      <c r="AI194" s="186"/>
      <c r="AJ194" s="186"/>
      <c r="AK194" s="186"/>
      <c r="AL194" s="186"/>
      <c r="AM194" s="186"/>
      <c r="AN194" s="186"/>
      <c r="AO194" s="186"/>
      <c r="AP194" s="325"/>
    </row>
    <row r="195" spans="1:42" s="34" customFormat="1">
      <c r="A195" s="34" t="s">
        <v>222</v>
      </c>
      <c r="C195" s="184">
        <v>2.3133287429809601</v>
      </c>
      <c r="D195" s="183">
        <v>1.970631</v>
      </c>
      <c r="E195" s="183">
        <v>1.5233319999999999</v>
      </c>
      <c r="F195" s="183">
        <v>1.305347</v>
      </c>
      <c r="G195" s="183">
        <v>1.156374</v>
      </c>
      <c r="H195" s="183">
        <v>1.0217590000000001</v>
      </c>
      <c r="I195" s="183">
        <v>0.86472099999999996</v>
      </c>
      <c r="J195" s="183">
        <v>0.79175399999999996</v>
      </c>
      <c r="L195" s="291"/>
      <c r="M195" s="291"/>
      <c r="N195" s="291"/>
      <c r="O195" s="291"/>
      <c r="P195" s="291"/>
      <c r="Q195" s="291"/>
      <c r="R195" s="291"/>
      <c r="S195" s="291"/>
      <c r="T195" s="186"/>
      <c r="U195" s="186"/>
      <c r="V195" s="186"/>
      <c r="W195" s="186"/>
      <c r="X195" s="186"/>
      <c r="Y195" s="186"/>
      <c r="Z195" s="186"/>
      <c r="AA195" s="186"/>
      <c r="AB195" s="186"/>
      <c r="AC195" s="186"/>
      <c r="AD195" s="186"/>
      <c r="AE195" s="186"/>
      <c r="AF195" s="186"/>
      <c r="AG195" s="186"/>
      <c r="AH195" s="186"/>
      <c r="AI195" s="186"/>
      <c r="AJ195" s="186"/>
      <c r="AK195" s="186"/>
      <c r="AL195" s="186"/>
      <c r="AM195" s="186"/>
      <c r="AN195" s="186"/>
      <c r="AO195" s="186"/>
      <c r="AP195" s="325"/>
    </row>
    <row r="196" spans="1:42" s="34" customFormat="1">
      <c r="A196" s="34" t="s">
        <v>223</v>
      </c>
      <c r="C196" s="184">
        <v>0.110390990972519</v>
      </c>
      <c r="D196" s="183">
        <v>9.7642000000000007E-2</v>
      </c>
      <c r="E196" s="183">
        <v>9.2385999999999996E-2</v>
      </c>
      <c r="F196" s="183">
        <v>7.7723E-2</v>
      </c>
      <c r="G196" s="183">
        <v>6.5588999999999995E-2</v>
      </c>
      <c r="H196" s="183">
        <v>6.1179999999999998E-2</v>
      </c>
      <c r="I196" s="183">
        <v>6.2051000000000002E-2</v>
      </c>
      <c r="J196" s="183">
        <v>6.4252000000000004E-2</v>
      </c>
      <c r="L196" s="291"/>
      <c r="M196" s="291"/>
      <c r="N196" s="291"/>
      <c r="O196" s="291"/>
      <c r="P196" s="291"/>
      <c r="Q196" s="291"/>
      <c r="R196" s="291"/>
      <c r="S196" s="291"/>
      <c r="T196" s="186"/>
      <c r="U196" s="186"/>
      <c r="V196" s="186"/>
      <c r="W196" s="186"/>
      <c r="X196" s="186"/>
      <c r="Y196" s="186"/>
      <c r="Z196" s="186"/>
      <c r="AA196" s="186"/>
      <c r="AB196" s="186"/>
      <c r="AC196" s="186"/>
      <c r="AD196" s="186"/>
      <c r="AE196" s="186"/>
      <c r="AF196" s="186"/>
      <c r="AG196" s="186"/>
      <c r="AH196" s="186"/>
      <c r="AI196" s="186"/>
      <c r="AJ196" s="186"/>
      <c r="AK196" s="186"/>
      <c r="AL196" s="186"/>
      <c r="AM196" s="186"/>
      <c r="AN196" s="186"/>
      <c r="AO196" s="186"/>
      <c r="AP196" s="325"/>
    </row>
    <row r="197" spans="1:42" s="34" customFormat="1">
      <c r="A197" s="34" t="s">
        <v>224</v>
      </c>
      <c r="C197" s="184">
        <v>0.305109322071075</v>
      </c>
      <c r="D197" s="183">
        <v>0.30743700000000002</v>
      </c>
      <c r="E197" s="183">
        <v>0.30120000000000002</v>
      </c>
      <c r="F197" s="183">
        <v>0.29266599999999998</v>
      </c>
      <c r="G197" s="183">
        <v>0.28918199999999999</v>
      </c>
      <c r="H197" s="183">
        <v>0.303815</v>
      </c>
      <c r="I197" s="183">
        <v>0.32335799999999998</v>
      </c>
      <c r="J197" s="183">
        <v>0.34304099999999998</v>
      </c>
      <c r="L197" s="291"/>
      <c r="M197" s="291"/>
      <c r="N197" s="291"/>
      <c r="O197" s="291"/>
      <c r="P197" s="291"/>
      <c r="Q197" s="291"/>
      <c r="R197" s="291"/>
      <c r="S197" s="291"/>
      <c r="T197" s="186"/>
      <c r="U197" s="186"/>
      <c r="V197" s="186"/>
      <c r="W197" s="186"/>
      <c r="X197" s="186"/>
      <c r="Y197" s="186"/>
      <c r="Z197" s="186"/>
      <c r="AA197" s="186"/>
      <c r="AB197" s="186"/>
      <c r="AC197" s="186"/>
      <c r="AD197" s="186"/>
      <c r="AE197" s="186"/>
      <c r="AF197" s="186"/>
      <c r="AG197" s="186"/>
      <c r="AH197" s="186"/>
      <c r="AI197" s="186"/>
      <c r="AJ197" s="186"/>
      <c r="AK197" s="186"/>
      <c r="AL197" s="186"/>
      <c r="AM197" s="186"/>
      <c r="AN197" s="186"/>
      <c r="AO197" s="186"/>
      <c r="AP197" s="325"/>
    </row>
    <row r="198" spans="1:42" s="34" customFormat="1">
      <c r="A198" s="34" t="s">
        <v>225</v>
      </c>
      <c r="C198" s="184">
        <v>0.95304834842681896</v>
      </c>
      <c r="D198" s="183">
        <v>1.031336</v>
      </c>
      <c r="E198" s="183">
        <v>1.005652</v>
      </c>
      <c r="F198" s="183">
        <v>0.97939600000000004</v>
      </c>
      <c r="G198" s="183">
        <v>0.99156299999999997</v>
      </c>
      <c r="H198" s="183">
        <v>1.0232920000000001</v>
      </c>
      <c r="I198" s="183">
        <v>1.072184</v>
      </c>
      <c r="J198" s="183">
        <v>1.1128020000000001</v>
      </c>
      <c r="L198" s="291"/>
      <c r="M198" s="291"/>
      <c r="N198" s="291"/>
      <c r="O198" s="291"/>
      <c r="P198" s="291"/>
      <c r="Q198" s="291"/>
      <c r="R198" s="291"/>
      <c r="S198" s="291"/>
      <c r="T198" s="186"/>
      <c r="U198" s="186"/>
      <c r="V198" s="186"/>
      <c r="W198" s="186"/>
      <c r="X198" s="186"/>
      <c r="Y198" s="186"/>
      <c r="Z198" s="186"/>
      <c r="AA198" s="186"/>
      <c r="AB198" s="186"/>
      <c r="AC198" s="186"/>
      <c r="AD198" s="186"/>
      <c r="AE198" s="186"/>
      <c r="AF198" s="186"/>
      <c r="AG198" s="186"/>
      <c r="AH198" s="186"/>
      <c r="AI198" s="186"/>
      <c r="AJ198" s="186"/>
      <c r="AK198" s="186"/>
      <c r="AL198" s="186"/>
      <c r="AM198" s="186"/>
      <c r="AN198" s="186"/>
      <c r="AO198" s="186"/>
      <c r="AP198" s="325"/>
    </row>
    <row r="199" spans="1:42" s="34" customFormat="1">
      <c r="A199" s="34" t="s">
        <v>226</v>
      </c>
      <c r="C199" s="184">
        <v>0.20761233568191501</v>
      </c>
      <c r="D199" s="183">
        <v>0.39466099999999998</v>
      </c>
      <c r="E199" s="183">
        <v>0.35002100000000003</v>
      </c>
      <c r="F199" s="183">
        <v>0.29314400000000002</v>
      </c>
      <c r="G199" s="183">
        <v>0.247283</v>
      </c>
      <c r="H199" s="183">
        <v>0.20910100000000001</v>
      </c>
      <c r="I199" s="183">
        <v>0.17901500000000001</v>
      </c>
      <c r="J199" s="183">
        <v>0.15123200000000001</v>
      </c>
      <c r="L199" s="291"/>
      <c r="M199" s="291"/>
      <c r="N199" s="291"/>
      <c r="O199" s="291"/>
      <c r="P199" s="291"/>
      <c r="Q199" s="291"/>
      <c r="R199" s="291"/>
      <c r="S199" s="291"/>
      <c r="T199" s="186"/>
      <c r="U199" s="186"/>
      <c r="V199" s="186"/>
      <c r="W199" s="186"/>
      <c r="X199" s="186"/>
      <c r="Y199" s="186"/>
      <c r="Z199" s="186"/>
      <c r="AA199" s="186"/>
      <c r="AB199" s="186"/>
      <c r="AC199" s="186"/>
      <c r="AD199" s="186"/>
      <c r="AE199" s="186"/>
      <c r="AF199" s="186"/>
      <c r="AG199" s="186"/>
      <c r="AH199" s="186"/>
      <c r="AI199" s="186"/>
      <c r="AJ199" s="186"/>
      <c r="AK199" s="186"/>
      <c r="AL199" s="186"/>
      <c r="AM199" s="186"/>
      <c r="AN199" s="186"/>
      <c r="AO199" s="186"/>
      <c r="AP199" s="325"/>
    </row>
    <row r="200" spans="1:42" s="34" customFormat="1">
      <c r="A200" s="34" t="s">
        <v>234</v>
      </c>
      <c r="C200" s="184">
        <v>0.187849476933479</v>
      </c>
      <c r="D200" s="183">
        <v>0.36439500000000002</v>
      </c>
      <c r="E200" s="183">
        <v>0.34678599999999998</v>
      </c>
      <c r="F200" s="183">
        <v>0.34423599999999999</v>
      </c>
      <c r="G200" s="183">
        <v>0.34489900000000001</v>
      </c>
      <c r="H200" s="183">
        <v>0.34429799999999999</v>
      </c>
      <c r="I200" s="183">
        <v>0.34218900000000002</v>
      </c>
      <c r="J200" s="183">
        <v>0.33898400000000001</v>
      </c>
      <c r="L200" s="291"/>
      <c r="M200" s="291"/>
      <c r="N200" s="291"/>
      <c r="O200" s="291"/>
      <c r="P200" s="291"/>
      <c r="Q200" s="291"/>
      <c r="R200" s="291"/>
      <c r="S200" s="291"/>
      <c r="T200" s="186"/>
      <c r="U200" s="186"/>
      <c r="V200" s="186"/>
      <c r="W200" s="186"/>
      <c r="X200" s="186"/>
      <c r="Y200" s="186"/>
      <c r="Z200" s="186"/>
      <c r="AA200" s="186"/>
      <c r="AB200" s="186"/>
      <c r="AC200" s="186"/>
      <c r="AD200" s="186"/>
      <c r="AE200" s="186"/>
      <c r="AF200" s="186"/>
      <c r="AG200" s="186"/>
      <c r="AH200" s="186"/>
      <c r="AI200" s="186"/>
      <c r="AJ200" s="186"/>
      <c r="AK200" s="186"/>
      <c r="AL200" s="186"/>
      <c r="AM200" s="186"/>
      <c r="AN200" s="186"/>
      <c r="AO200" s="186"/>
      <c r="AP200" s="325"/>
    </row>
    <row r="201" spans="1:42" s="34" customFormat="1">
      <c r="A201" s="34" t="s">
        <v>235</v>
      </c>
      <c r="C201" s="184">
        <v>3.3656198978424099</v>
      </c>
      <c r="D201" s="183">
        <v>3.7051949999999998</v>
      </c>
      <c r="E201" s="183">
        <v>3.7992490000000001</v>
      </c>
      <c r="F201" s="183">
        <v>4.0088739999999996</v>
      </c>
      <c r="G201" s="183">
        <v>4.2694169999999998</v>
      </c>
      <c r="H201" s="183">
        <v>4.5483659999999997</v>
      </c>
      <c r="I201" s="183">
        <v>4.8367230000000001</v>
      </c>
      <c r="J201" s="183">
        <v>5.1604020000000004</v>
      </c>
      <c r="L201" s="291"/>
      <c r="M201" s="291"/>
      <c r="N201" s="291"/>
      <c r="O201" s="291"/>
      <c r="P201" s="291"/>
      <c r="Q201" s="291"/>
      <c r="R201" s="291"/>
      <c r="S201" s="291"/>
      <c r="T201" s="329"/>
      <c r="U201" s="329"/>
      <c r="V201" s="329"/>
      <c r="W201" s="329"/>
      <c r="X201" s="329"/>
      <c r="Y201" s="329"/>
      <c r="Z201" s="329"/>
      <c r="AA201" s="329"/>
      <c r="AB201" s="329"/>
      <c r="AC201" s="329"/>
      <c r="AD201" s="329"/>
      <c r="AE201" s="329"/>
      <c r="AF201" s="329"/>
      <c r="AG201" s="329"/>
      <c r="AH201" s="329"/>
      <c r="AI201" s="329"/>
      <c r="AJ201" s="329"/>
      <c r="AK201" s="329"/>
      <c r="AL201" s="329"/>
      <c r="AM201" s="329"/>
      <c r="AN201" s="329"/>
      <c r="AO201" s="329"/>
      <c r="AP201" s="330"/>
    </row>
    <row r="202" spans="1:42" s="34" customFormat="1">
      <c r="A202" s="34" t="s">
        <v>236</v>
      </c>
      <c r="C202" s="184">
        <v>21.6409015655518</v>
      </c>
      <c r="D202" s="45">
        <v>21.392208</v>
      </c>
      <c r="E202" s="45">
        <v>20.549854</v>
      </c>
      <c r="F202" s="45">
        <v>20.383248999999999</v>
      </c>
      <c r="G202" s="45">
        <v>20.582671999999999</v>
      </c>
      <c r="H202" s="45">
        <v>20.831313999999999</v>
      </c>
      <c r="I202" s="45">
        <v>21.086082000000001</v>
      </c>
      <c r="J202" s="45">
        <v>21.483097000000001</v>
      </c>
      <c r="L202" s="327"/>
      <c r="M202" s="327"/>
      <c r="N202" s="327"/>
      <c r="O202" s="327"/>
      <c r="P202" s="327"/>
      <c r="Q202" s="327"/>
      <c r="R202" s="327"/>
      <c r="S202" s="327"/>
    </row>
    <row r="203" spans="1:42" s="34" customFormat="1">
      <c r="L203" s="291"/>
      <c r="M203" s="291"/>
    </row>
    <row r="204" spans="1:42" s="34" customFormat="1">
      <c r="A204" s="34" t="s">
        <v>237</v>
      </c>
      <c r="L204" s="327"/>
      <c r="M204" s="327"/>
      <c r="T204" s="186"/>
      <c r="U204" s="186"/>
      <c r="V204" s="186"/>
      <c r="W204" s="186"/>
      <c r="X204" s="186"/>
      <c r="Y204" s="186"/>
      <c r="Z204" s="186"/>
      <c r="AA204" s="186"/>
      <c r="AB204" s="186"/>
      <c r="AC204" s="186"/>
      <c r="AD204" s="186"/>
      <c r="AE204" s="186"/>
      <c r="AF204" s="186"/>
      <c r="AG204" s="186"/>
      <c r="AH204" s="186"/>
      <c r="AI204" s="186"/>
      <c r="AJ204" s="186"/>
      <c r="AK204" s="186"/>
      <c r="AL204" s="186"/>
      <c r="AM204" s="186"/>
      <c r="AN204" s="186"/>
      <c r="AO204" s="186"/>
      <c r="AP204" s="325"/>
    </row>
    <row r="205" spans="1:42" s="34" customFormat="1">
      <c r="A205" s="34" t="s">
        <v>1075</v>
      </c>
      <c r="C205" s="184">
        <v>3.2191900536418E-3</v>
      </c>
      <c r="D205" s="183">
        <v>1.0892000000000001E-2</v>
      </c>
      <c r="E205" s="183">
        <v>1.4688E-2</v>
      </c>
      <c r="F205" s="183">
        <v>1.9826E-2</v>
      </c>
      <c r="G205" s="183">
        <v>2.1811000000000001E-2</v>
      </c>
      <c r="H205" s="183">
        <v>2.2950000000000002E-2</v>
      </c>
      <c r="I205" s="183">
        <v>2.3990000000000001E-2</v>
      </c>
      <c r="J205" s="183">
        <v>2.5647E-2</v>
      </c>
      <c r="L205" s="291"/>
      <c r="M205" s="291"/>
      <c r="N205" s="291"/>
      <c r="O205" s="291"/>
      <c r="P205" s="291"/>
      <c r="Q205" s="291"/>
      <c r="R205" s="291"/>
      <c r="S205" s="291"/>
      <c r="T205" s="186"/>
      <c r="U205" s="186"/>
      <c r="V205" s="186"/>
      <c r="W205" s="186"/>
      <c r="X205" s="186"/>
      <c r="Y205" s="186"/>
      <c r="Z205" s="186"/>
      <c r="AA205" s="186"/>
      <c r="AB205" s="186"/>
      <c r="AC205" s="186"/>
      <c r="AD205" s="186"/>
      <c r="AE205" s="186"/>
      <c r="AF205" s="186"/>
      <c r="AG205" s="186"/>
      <c r="AH205" s="186"/>
      <c r="AI205" s="186"/>
      <c r="AJ205" s="186"/>
      <c r="AK205" s="186"/>
      <c r="AL205" s="186"/>
      <c r="AM205" s="186"/>
      <c r="AN205" s="186"/>
      <c r="AO205" s="186"/>
      <c r="AP205" s="325"/>
    </row>
    <row r="206" spans="1:42" s="34" customFormat="1">
      <c r="A206" s="34" t="s">
        <v>1076</v>
      </c>
      <c r="C206" s="184">
        <v>9.8772877827286703E-3</v>
      </c>
      <c r="D206" s="183">
        <v>4.7939999999999997E-3</v>
      </c>
      <c r="E206" s="183">
        <v>9.8549999999999992E-3</v>
      </c>
      <c r="F206" s="183">
        <v>1.111E-2</v>
      </c>
      <c r="G206" s="183">
        <v>1.1153E-2</v>
      </c>
      <c r="H206" s="183">
        <v>1.1258000000000001E-2</v>
      </c>
      <c r="I206" s="183">
        <v>1.1545E-2</v>
      </c>
      <c r="J206" s="183">
        <v>1.1861E-2</v>
      </c>
      <c r="L206" s="291"/>
      <c r="M206" s="291"/>
      <c r="N206" s="291"/>
      <c r="O206" s="291"/>
      <c r="P206" s="291"/>
      <c r="Q206" s="291"/>
      <c r="R206" s="291"/>
      <c r="S206" s="291"/>
      <c r="T206" s="186"/>
      <c r="U206" s="186"/>
      <c r="V206" s="186"/>
      <c r="W206" s="186"/>
      <c r="X206" s="186"/>
      <c r="Y206" s="186"/>
      <c r="Z206" s="186"/>
      <c r="AA206" s="186"/>
      <c r="AB206" s="186"/>
      <c r="AC206" s="186"/>
      <c r="AD206" s="186"/>
      <c r="AE206" s="186"/>
      <c r="AF206" s="186"/>
      <c r="AG206" s="186"/>
      <c r="AH206" s="186"/>
      <c r="AI206" s="186"/>
      <c r="AJ206" s="186"/>
      <c r="AK206" s="186"/>
      <c r="AL206" s="186"/>
      <c r="AM206" s="186"/>
      <c r="AN206" s="186"/>
      <c r="AO206" s="186"/>
      <c r="AP206" s="325"/>
    </row>
    <row r="207" spans="1:42" s="34" customFormat="1">
      <c r="A207" s="34" t="s">
        <v>1077</v>
      </c>
      <c r="C207" s="184">
        <v>1.0117285273736299E-4</v>
      </c>
      <c r="D207" s="183">
        <v>1.5768000000000001E-2</v>
      </c>
      <c r="E207" s="183">
        <v>6.6061999999999996E-2</v>
      </c>
      <c r="F207" s="183">
        <v>9.6735000000000002E-2</v>
      </c>
      <c r="G207" s="183">
        <v>0.115691</v>
      </c>
      <c r="H207" s="183">
        <v>0.14494299999999999</v>
      </c>
      <c r="I207" s="183">
        <v>0.18159900000000001</v>
      </c>
      <c r="J207" s="183">
        <v>0.22465099999999999</v>
      </c>
      <c r="L207" s="291"/>
      <c r="M207" s="291"/>
      <c r="N207" s="291"/>
      <c r="O207" s="291"/>
      <c r="P207" s="291"/>
      <c r="Q207" s="291"/>
      <c r="R207" s="291"/>
      <c r="S207" s="291"/>
      <c r="T207" s="186"/>
      <c r="U207" s="186"/>
      <c r="V207" s="186"/>
      <c r="W207" s="186"/>
      <c r="X207" s="186"/>
      <c r="Y207" s="186"/>
      <c r="Z207" s="186"/>
      <c r="AA207" s="186"/>
      <c r="AB207" s="186"/>
      <c r="AC207" s="186"/>
      <c r="AD207" s="186"/>
      <c r="AE207" s="186"/>
      <c r="AF207" s="186"/>
      <c r="AG207" s="186"/>
      <c r="AH207" s="186"/>
      <c r="AI207" s="186"/>
      <c r="AJ207" s="186"/>
      <c r="AK207" s="186"/>
      <c r="AL207" s="186"/>
      <c r="AM207" s="186"/>
      <c r="AN207" s="186"/>
      <c r="AO207" s="186"/>
      <c r="AP207" s="325"/>
    </row>
    <row r="208" spans="1:42" s="34" customFormat="1">
      <c r="A208" s="34" t="s">
        <v>1078</v>
      </c>
      <c r="C208" s="184"/>
      <c r="D208" s="183">
        <v>5.7700000000000004E-4</v>
      </c>
      <c r="E208" s="183">
        <v>5.6470000000000001E-3</v>
      </c>
      <c r="F208" s="183">
        <v>7.9830000000000005E-3</v>
      </c>
      <c r="G208" s="183">
        <v>7.9830000000000005E-3</v>
      </c>
      <c r="H208" s="183">
        <v>7.9830000000000005E-3</v>
      </c>
      <c r="I208" s="183">
        <v>8.0180000000000008E-3</v>
      </c>
      <c r="J208" s="183">
        <v>8.2620000000000002E-3</v>
      </c>
      <c r="L208" s="291"/>
      <c r="M208" s="291"/>
      <c r="N208" s="291"/>
      <c r="O208" s="291"/>
      <c r="P208" s="291"/>
      <c r="Q208" s="291"/>
      <c r="R208" s="291"/>
      <c r="S208" s="291"/>
      <c r="T208" s="329"/>
      <c r="U208" s="329"/>
      <c r="V208" s="329"/>
      <c r="W208" s="329"/>
      <c r="X208" s="329"/>
      <c r="Y208" s="329"/>
      <c r="Z208" s="329"/>
      <c r="AA208" s="329"/>
      <c r="AB208" s="329"/>
      <c r="AC208" s="329"/>
      <c r="AD208" s="329"/>
      <c r="AE208" s="329"/>
      <c r="AF208" s="329"/>
      <c r="AG208" s="329"/>
      <c r="AH208" s="329"/>
      <c r="AI208" s="329"/>
      <c r="AJ208" s="329"/>
      <c r="AK208" s="329"/>
      <c r="AL208" s="329"/>
      <c r="AM208" s="329"/>
      <c r="AN208" s="329"/>
      <c r="AO208" s="329"/>
      <c r="AP208" s="337"/>
    </row>
    <row r="209" spans="1:36" s="34" customFormat="1">
      <c r="A209" s="34" t="s">
        <v>236</v>
      </c>
      <c r="C209" s="184">
        <v>1.3197651132941199E-2</v>
      </c>
      <c r="D209" s="45">
        <v>3.2031999999999998E-2</v>
      </c>
      <c r="E209" s="45">
        <v>9.6252000000000004E-2</v>
      </c>
      <c r="F209" s="45">
        <v>0.135653</v>
      </c>
      <c r="G209" s="45">
        <v>0.156638</v>
      </c>
      <c r="H209" s="45">
        <v>0.18713299999999999</v>
      </c>
      <c r="I209" s="45">
        <v>0.22515099999999999</v>
      </c>
      <c r="J209" s="45">
        <v>0.27041999999999999</v>
      </c>
      <c r="L209" s="327"/>
      <c r="M209" s="327"/>
      <c r="N209" s="327"/>
      <c r="O209" s="327"/>
      <c r="P209" s="327"/>
      <c r="Q209" s="327"/>
      <c r="R209" s="327"/>
      <c r="S209" s="327"/>
    </row>
    <row r="210" spans="1:36" s="34" customFormat="1">
      <c r="L210" s="291"/>
      <c r="M210" s="291"/>
    </row>
    <row r="211" spans="1:36" s="34" customFormat="1">
      <c r="L211" s="327"/>
      <c r="M211" s="327"/>
    </row>
    <row r="212" spans="1:36">
      <c r="A212" s="34"/>
      <c r="B212" s="34"/>
      <c r="C212" s="34"/>
      <c r="D212" s="34"/>
      <c r="E212" s="34"/>
      <c r="F212" s="34"/>
      <c r="G212" s="34"/>
      <c r="H212" s="34"/>
      <c r="I212" s="34"/>
      <c r="J212" s="34"/>
      <c r="K212" s="34"/>
    </row>
    <row r="214" spans="1:36">
      <c r="A214" s="807" t="s">
        <v>238</v>
      </c>
      <c r="B214" s="807"/>
      <c r="C214" s="290">
        <v>2005</v>
      </c>
      <c r="D214" s="290">
        <v>2010</v>
      </c>
      <c r="E214" s="290">
        <v>2015</v>
      </c>
      <c r="F214" s="290">
        <v>2020</v>
      </c>
      <c r="G214" s="290">
        <v>2025</v>
      </c>
      <c r="H214" s="290">
        <v>2030</v>
      </c>
      <c r="I214" s="290">
        <v>2035</v>
      </c>
      <c r="J214" s="290">
        <v>2040</v>
      </c>
    </row>
    <row r="215" spans="1:36">
      <c r="B215" s="34" t="s">
        <v>232</v>
      </c>
      <c r="C215" s="338">
        <f>C131/(C131+C147)</f>
        <v>0.32031787925660898</v>
      </c>
      <c r="D215" s="338">
        <f t="shared" ref="D215:J216" si="56">D131/(D131+D147)</f>
        <v>0.33423176314469483</v>
      </c>
      <c r="E215" s="338">
        <f t="shared" si="56"/>
        <v>0.33996934876008922</v>
      </c>
      <c r="F215" s="338">
        <f t="shared" si="56"/>
        <v>0.33237319101286089</v>
      </c>
      <c r="G215" s="338">
        <f t="shared" si="56"/>
        <v>0.32713376705021247</v>
      </c>
      <c r="H215" s="338">
        <f t="shared" si="56"/>
        <v>0.31621597823841541</v>
      </c>
      <c r="I215" s="338">
        <f t="shared" si="56"/>
        <v>0.30872622965665264</v>
      </c>
      <c r="J215" s="338">
        <f t="shared" si="56"/>
        <v>0.29865893753676859</v>
      </c>
    </row>
    <row r="216" spans="1:36">
      <c r="B216" s="34" t="s">
        <v>233</v>
      </c>
      <c r="C216" s="338">
        <f>C132/(C132+C148)</f>
        <v>0.77819802323483911</v>
      </c>
      <c r="D216" s="338">
        <f t="shared" si="56"/>
        <v>0.80021519502552918</v>
      </c>
      <c r="E216" s="338">
        <f t="shared" si="56"/>
        <v>0.79671089082547331</v>
      </c>
      <c r="F216" s="338">
        <f t="shared" si="56"/>
        <v>0.78392444852972221</v>
      </c>
      <c r="G216" s="338">
        <f t="shared" si="56"/>
        <v>0.77388714015995952</v>
      </c>
      <c r="H216" s="338">
        <f t="shared" si="56"/>
        <v>0.76135590556454935</v>
      </c>
      <c r="I216" s="338">
        <f t="shared" si="56"/>
        <v>0.75368936414029242</v>
      </c>
      <c r="J216" s="338">
        <f t="shared" si="56"/>
        <v>0.74305472168477404</v>
      </c>
    </row>
    <row r="217" spans="1:36">
      <c r="B217" s="34" t="s">
        <v>239</v>
      </c>
      <c r="C217" s="338">
        <f>C140/(C140+C149+C155+C162)</f>
        <v>0.77102234896099586</v>
      </c>
      <c r="D217" s="338">
        <f t="shared" ref="D217:J217" si="57">D140/(D140+D149+D155+D162)</f>
        <v>0.79011856690193216</v>
      </c>
      <c r="E217" s="338">
        <f t="shared" si="57"/>
        <v>0.79188270960162344</v>
      </c>
      <c r="F217" s="338">
        <f t="shared" si="57"/>
        <v>0.79007337096587615</v>
      </c>
      <c r="G217" s="338">
        <f t="shared" si="57"/>
        <v>0.78863366992043615</v>
      </c>
      <c r="H217" s="338">
        <f t="shared" si="57"/>
        <v>0.7837358167789098</v>
      </c>
      <c r="I217" s="338">
        <f t="shared" si="57"/>
        <v>0.78241823864662174</v>
      </c>
      <c r="J217" s="338">
        <f t="shared" si="57"/>
        <v>0.77884906448002877</v>
      </c>
      <c r="AJ217" s="34" t="s">
        <v>173</v>
      </c>
    </row>
    <row r="218" spans="1:36">
      <c r="AJ218" s="34" t="s">
        <v>174</v>
      </c>
    </row>
    <row r="219" spans="1:36">
      <c r="T219" s="34"/>
      <c r="U219" s="32"/>
    </row>
    <row r="220" spans="1:36" ht="12.75" customHeight="1">
      <c r="A220" s="811" t="s">
        <v>1097</v>
      </c>
      <c r="B220" s="811"/>
      <c r="C220" s="811"/>
      <c r="D220" s="811"/>
      <c r="E220" s="811"/>
      <c r="F220" s="811"/>
      <c r="G220" s="811"/>
      <c r="H220" s="44"/>
      <c r="J220" s="34"/>
      <c r="T220" s="32"/>
      <c r="U220" s="32"/>
    </row>
    <row r="221" spans="1:36">
      <c r="A221" s="339"/>
      <c r="B221" s="339"/>
      <c r="C221" s="339"/>
      <c r="D221" s="339"/>
      <c r="E221" s="339"/>
      <c r="F221" s="339"/>
      <c r="G221" s="339"/>
      <c r="H221" s="339"/>
      <c r="I221" s="291">
        <v>2035</v>
      </c>
      <c r="J221" s="34"/>
      <c r="L221" s="327"/>
      <c r="M221" s="327"/>
      <c r="N221" s="327"/>
      <c r="O221" s="327"/>
      <c r="P221" s="327"/>
      <c r="Q221" s="327"/>
      <c r="R221" s="327"/>
      <c r="S221" s="327"/>
      <c r="T221" s="34"/>
      <c r="U221" s="34"/>
    </row>
    <row r="222" spans="1:36">
      <c r="A222" s="32" t="s">
        <v>240</v>
      </c>
      <c r="C222" s="34"/>
      <c r="D222" s="34"/>
      <c r="E222" s="34"/>
      <c r="F222" s="34"/>
      <c r="G222" s="34"/>
      <c r="N222" s="34"/>
      <c r="O222" s="34"/>
      <c r="P222" s="34"/>
      <c r="Q222" s="34"/>
      <c r="R222" s="34"/>
      <c r="S222" s="34"/>
      <c r="T222" s="186"/>
      <c r="U222" s="34"/>
    </row>
    <row r="223" spans="1:36">
      <c r="A223" s="32" t="s">
        <v>241</v>
      </c>
      <c r="C223" s="34"/>
      <c r="D223" s="34"/>
      <c r="E223" s="34"/>
      <c r="F223" s="34"/>
      <c r="G223" s="34"/>
      <c r="L223" s="327"/>
      <c r="M223" s="327"/>
      <c r="N223" s="34"/>
      <c r="O223" s="34"/>
      <c r="P223" s="34"/>
      <c r="Q223" s="34"/>
      <c r="R223" s="34"/>
      <c r="S223" s="34"/>
      <c r="T223" s="186"/>
      <c r="U223" s="325"/>
    </row>
    <row r="224" spans="1:36">
      <c r="A224" s="34" t="s">
        <v>242</v>
      </c>
      <c r="C224" s="184">
        <v>9.0129785537719709</v>
      </c>
      <c r="D224" s="183">
        <v>9.4284479999999995</v>
      </c>
      <c r="E224" s="183">
        <v>10.782083999999999</v>
      </c>
      <c r="F224" s="183">
        <v>13.210682</v>
      </c>
      <c r="G224" s="183">
        <v>15.564698999999999</v>
      </c>
      <c r="H224" s="183">
        <v>17.948681000000001</v>
      </c>
      <c r="I224" s="183">
        <v>20.221375999999999</v>
      </c>
      <c r="J224" s="183">
        <v>22.454535</v>
      </c>
      <c r="T224" s="325"/>
    </row>
    <row r="225" spans="1:20">
      <c r="A225" s="34" t="s">
        <v>243</v>
      </c>
      <c r="C225" s="184">
        <v>24.643083572387699</v>
      </c>
      <c r="D225" s="183">
        <v>29.383524000000001</v>
      </c>
      <c r="E225" s="183">
        <v>29.266096000000001</v>
      </c>
      <c r="F225" s="183">
        <v>29.599385999999999</v>
      </c>
      <c r="G225" s="183">
        <v>29.984966</v>
      </c>
      <c r="H225" s="183">
        <v>30.457101999999999</v>
      </c>
      <c r="I225" s="183">
        <v>30.938476999999999</v>
      </c>
      <c r="J225" s="183">
        <v>31.437695999999999</v>
      </c>
      <c r="T225" s="335"/>
    </row>
    <row r="226" spans="1:20">
      <c r="A226" s="34" t="s">
        <v>244</v>
      </c>
      <c r="C226" s="184">
        <v>0</v>
      </c>
      <c r="D226" s="183">
        <v>0.40661399999999998</v>
      </c>
      <c r="E226" s="183">
        <v>0.40098899999999998</v>
      </c>
      <c r="F226" s="183">
        <v>0.39396999999999999</v>
      </c>
      <c r="G226" s="183">
        <v>0.38708300000000001</v>
      </c>
      <c r="H226" s="183">
        <v>0.38032700000000003</v>
      </c>
      <c r="I226" s="183">
        <v>0.373695</v>
      </c>
      <c r="J226" s="183">
        <v>0.36718699999999999</v>
      </c>
      <c r="T226" s="325"/>
    </row>
    <row r="227" spans="1:20">
      <c r="A227" s="34" t="s">
        <v>245</v>
      </c>
      <c r="C227" s="184">
        <v>58.612491607666001</v>
      </c>
      <c r="D227" s="183">
        <v>56.362037999999998</v>
      </c>
      <c r="E227" s="183">
        <v>57.758724000000001</v>
      </c>
      <c r="F227" s="183">
        <v>60.771011000000001</v>
      </c>
      <c r="G227" s="183">
        <v>63.648304000000003</v>
      </c>
      <c r="H227" s="183">
        <v>66.507378000000003</v>
      </c>
      <c r="I227" s="183">
        <v>69.147659000000004</v>
      </c>
      <c r="J227" s="183">
        <v>71.724120999999997</v>
      </c>
      <c r="T227" s="325"/>
    </row>
    <row r="228" spans="1:20">
      <c r="A228" s="34" t="s">
        <v>643</v>
      </c>
      <c r="C228" s="184">
        <v>7.76714992523193</v>
      </c>
      <c r="D228" s="183">
        <v>6.7947689999999996</v>
      </c>
      <c r="E228" s="183">
        <v>6.5325879999999996</v>
      </c>
      <c r="F228" s="183">
        <v>6.2292730000000001</v>
      </c>
      <c r="G228" s="183">
        <v>5.9322910000000002</v>
      </c>
      <c r="H228" s="183">
        <v>5.6429720000000003</v>
      </c>
      <c r="I228" s="183">
        <v>5.3817180000000002</v>
      </c>
      <c r="J228" s="183">
        <v>5.1507170000000002</v>
      </c>
      <c r="T228" s="325"/>
    </row>
    <row r="229" spans="1:20">
      <c r="A229" s="34" t="s">
        <v>644</v>
      </c>
      <c r="C229" s="184">
        <v>6.0340309143066397</v>
      </c>
      <c r="D229" s="183">
        <v>5.5439420000000004</v>
      </c>
      <c r="E229" s="183">
        <v>5.4402140000000001</v>
      </c>
      <c r="F229" s="183">
        <v>5.3711200000000003</v>
      </c>
      <c r="G229" s="183">
        <v>5.3105890000000002</v>
      </c>
      <c r="H229" s="183">
        <v>5.2659539999999998</v>
      </c>
      <c r="I229" s="183">
        <v>5.2271320000000001</v>
      </c>
      <c r="J229" s="183">
        <v>5.1974900000000002</v>
      </c>
      <c r="T229" s="325"/>
    </row>
    <row r="230" spans="1:20">
      <c r="A230" s="34" t="s">
        <v>246</v>
      </c>
      <c r="C230" s="184">
        <v>0.68602198362350497</v>
      </c>
      <c r="D230" s="183">
        <v>0.48496600000000001</v>
      </c>
      <c r="E230" s="183">
        <v>0.464974</v>
      </c>
      <c r="F230" s="183">
        <v>0.45170500000000002</v>
      </c>
      <c r="G230" s="183">
        <v>0.43881900000000001</v>
      </c>
      <c r="H230" s="183">
        <v>0.426759</v>
      </c>
      <c r="I230" s="183">
        <v>0.414599</v>
      </c>
      <c r="J230" s="183">
        <v>0.40295300000000001</v>
      </c>
      <c r="T230" s="325"/>
    </row>
    <row r="231" spans="1:20">
      <c r="A231" s="34" t="s">
        <v>247</v>
      </c>
      <c r="C231" s="184">
        <v>2.8879349231720002</v>
      </c>
      <c r="D231" s="183">
        <v>2.8175810000000001</v>
      </c>
      <c r="E231" s="183">
        <v>2.7498459999999998</v>
      </c>
      <c r="F231" s="183">
        <v>2.674153</v>
      </c>
      <c r="G231" s="183">
        <v>2.6052550000000001</v>
      </c>
      <c r="H231" s="183">
        <v>2.5417290000000001</v>
      </c>
      <c r="I231" s="183">
        <v>2.4828260000000002</v>
      </c>
      <c r="J231" s="183">
        <v>2.427972</v>
      </c>
      <c r="T231" s="325"/>
    </row>
    <row r="232" spans="1:20">
      <c r="A232" s="34" t="s">
        <v>248</v>
      </c>
      <c r="C232" s="184">
        <v>0.15187999606132499</v>
      </c>
      <c r="D232" s="183">
        <v>0.79883800000000005</v>
      </c>
      <c r="E232" s="183">
        <v>1.157117</v>
      </c>
      <c r="F232" s="183">
        <v>1.6737040000000001</v>
      </c>
      <c r="G232" s="183">
        <v>1.962008</v>
      </c>
      <c r="H232" s="183">
        <v>2.1602030000000001</v>
      </c>
      <c r="I232" s="183">
        <v>2.303741</v>
      </c>
      <c r="J232" s="183">
        <v>2.4254709999999999</v>
      </c>
      <c r="T232" s="330"/>
    </row>
    <row r="233" spans="1:20">
      <c r="A233" s="34" t="s">
        <v>636</v>
      </c>
      <c r="C233" s="194">
        <v>109.79556274414099</v>
      </c>
      <c r="D233" s="45">
        <v>112.02072099999999</v>
      </c>
      <c r="E233" s="45">
        <v>114.552635</v>
      </c>
      <c r="F233" s="45">
        <v>120.37500799999999</v>
      </c>
      <c r="G233" s="45">
        <v>125.834007</v>
      </c>
      <c r="H233" s="45">
        <v>131.33109999999999</v>
      </c>
      <c r="I233" s="45">
        <v>136.49121099999999</v>
      </c>
      <c r="J233" s="45">
        <v>141.58815000000001</v>
      </c>
      <c r="L233" s="327"/>
      <c r="M233" s="327"/>
      <c r="N233" s="327"/>
      <c r="O233" s="327"/>
      <c r="P233" s="327"/>
      <c r="Q233" s="327"/>
      <c r="R233" s="327"/>
      <c r="S233" s="327"/>
      <c r="T233" s="34"/>
    </row>
    <row r="234" spans="1:20">
      <c r="A234" s="34"/>
      <c r="C234" s="34"/>
      <c r="D234" s="34"/>
      <c r="E234" s="34"/>
      <c r="F234" s="34"/>
      <c r="G234" s="34"/>
      <c r="H234" s="34"/>
      <c r="I234" s="34"/>
      <c r="J234" s="34"/>
      <c r="N234" s="34"/>
      <c r="O234" s="34"/>
      <c r="P234" s="34"/>
      <c r="Q234" s="34"/>
      <c r="R234" s="34"/>
      <c r="S234" s="34"/>
      <c r="T234" s="34"/>
    </row>
    <row r="235" spans="1:20">
      <c r="A235" s="32" t="s">
        <v>249</v>
      </c>
      <c r="C235" s="34"/>
      <c r="D235" s="34"/>
      <c r="E235" s="34"/>
      <c r="F235" s="34"/>
      <c r="G235" s="34"/>
      <c r="H235" s="34"/>
      <c r="I235" s="34"/>
      <c r="J235" s="34"/>
      <c r="L235" s="327"/>
      <c r="M235" s="327"/>
      <c r="N235" s="34"/>
      <c r="O235" s="34"/>
      <c r="P235" s="34"/>
      <c r="Q235" s="34"/>
      <c r="R235" s="34"/>
      <c r="S235" s="34"/>
      <c r="T235" s="325"/>
    </row>
    <row r="236" spans="1:20">
      <c r="A236" s="34" t="s">
        <v>242</v>
      </c>
      <c r="C236" s="184">
        <v>9.0129785537719709</v>
      </c>
      <c r="D236" s="183">
        <v>9.4284490000000005</v>
      </c>
      <c r="E236" s="183">
        <v>10.782088</v>
      </c>
      <c r="F236" s="183">
        <v>13.210680999999999</v>
      </c>
      <c r="G236" s="183">
        <v>15.564704000000001</v>
      </c>
      <c r="H236" s="183">
        <v>17.948687</v>
      </c>
      <c r="I236" s="183">
        <v>20.221384</v>
      </c>
      <c r="J236" s="183">
        <v>22.454535</v>
      </c>
      <c r="T236" s="335"/>
    </row>
    <row r="237" spans="1:20">
      <c r="A237" s="34" t="s">
        <v>244</v>
      </c>
      <c r="C237" s="184">
        <v>9.9999999747524292E-7</v>
      </c>
      <c r="D237" s="183">
        <v>0.40661399999999998</v>
      </c>
      <c r="E237" s="183">
        <v>0.40098899999999998</v>
      </c>
      <c r="F237" s="183">
        <v>0.39396999999999999</v>
      </c>
      <c r="G237" s="183">
        <v>0.38708300000000001</v>
      </c>
      <c r="H237" s="183">
        <v>0.38032700000000003</v>
      </c>
      <c r="I237" s="183">
        <v>0.373695</v>
      </c>
      <c r="J237" s="183">
        <v>0.36718699999999999</v>
      </c>
      <c r="T237" s="325"/>
    </row>
    <row r="238" spans="1:20">
      <c r="A238" s="34" t="s">
        <v>248</v>
      </c>
      <c r="C238" s="184">
        <v>0.15187999606132499</v>
      </c>
      <c r="D238" s="183">
        <v>0.79883800000000005</v>
      </c>
      <c r="E238" s="183">
        <v>1.157117</v>
      </c>
      <c r="F238" s="183">
        <v>1.6737029999999999</v>
      </c>
      <c r="G238" s="183">
        <v>1.962008</v>
      </c>
      <c r="H238" s="183">
        <v>2.1602030000000001</v>
      </c>
      <c r="I238" s="183">
        <v>2.3037420000000002</v>
      </c>
      <c r="J238" s="183">
        <v>2.4254720000000001</v>
      </c>
      <c r="T238" s="325"/>
    </row>
    <row r="239" spans="1:20">
      <c r="A239" s="34" t="s">
        <v>250</v>
      </c>
      <c r="C239" s="184">
        <v>56.698097229003899</v>
      </c>
      <c r="D239" s="183">
        <v>63.027839999999998</v>
      </c>
      <c r="E239" s="183">
        <v>67.554817</v>
      </c>
      <c r="F239" s="183">
        <v>74.527168000000003</v>
      </c>
      <c r="G239" s="183">
        <v>81.311194999999998</v>
      </c>
      <c r="H239" s="183">
        <v>88.018906000000001</v>
      </c>
      <c r="I239" s="183">
        <v>94.422957999999994</v>
      </c>
      <c r="J239" s="183">
        <v>100.67227200000001</v>
      </c>
      <c r="T239" s="325"/>
    </row>
    <row r="240" spans="1:20">
      <c r="A240" s="34" t="s">
        <v>251</v>
      </c>
      <c r="C240" s="184">
        <v>51.317440032958999</v>
      </c>
      <c r="D240" s="183">
        <v>48.668446000000003</v>
      </c>
      <c r="E240" s="183">
        <v>48.105705</v>
      </c>
      <c r="F240" s="183">
        <v>47.775635000000001</v>
      </c>
      <c r="G240" s="183">
        <v>47.474727999999999</v>
      </c>
      <c r="H240" s="183">
        <v>47.236697999999997</v>
      </c>
      <c r="I240" s="183">
        <v>47.008338999999999</v>
      </c>
      <c r="J240" s="183">
        <v>46.804248999999999</v>
      </c>
      <c r="T240" s="330"/>
    </row>
    <row r="241" spans="1:20">
      <c r="A241" s="34" t="s">
        <v>636</v>
      </c>
      <c r="C241" s="340">
        <f>SUM(C236:C240)</f>
        <v>117.18039681179619</v>
      </c>
      <c r="D241" s="340">
        <f t="shared" ref="D241:J241" si="58">SUM(D236:D240)</f>
        <v>122.330187</v>
      </c>
      <c r="E241" s="340">
        <f t="shared" si="58"/>
        <v>128.00071600000001</v>
      </c>
      <c r="F241" s="340">
        <f t="shared" si="58"/>
        <v>137.58115699999999</v>
      </c>
      <c r="G241" s="340">
        <f t="shared" si="58"/>
        <v>146.69971799999999</v>
      </c>
      <c r="H241" s="340">
        <f t="shared" si="58"/>
        <v>155.744821</v>
      </c>
      <c r="I241" s="340">
        <f t="shared" si="58"/>
        <v>164.330118</v>
      </c>
      <c r="J241" s="340">
        <f t="shared" si="58"/>
        <v>172.723715</v>
      </c>
      <c r="L241" s="327"/>
      <c r="M241" s="327"/>
      <c r="N241" s="327"/>
      <c r="O241" s="327"/>
      <c r="P241" s="327"/>
      <c r="Q241" s="327"/>
      <c r="R241" s="327"/>
      <c r="S241" s="327"/>
      <c r="T241" s="34"/>
    </row>
    <row r="242" spans="1:20">
      <c r="A242" s="34"/>
      <c r="C242" s="34"/>
      <c r="D242" s="34"/>
      <c r="E242" s="34"/>
      <c r="F242" s="34"/>
      <c r="G242" s="34"/>
      <c r="H242" s="34"/>
      <c r="I242" s="34"/>
      <c r="J242" s="34"/>
      <c r="N242" s="34"/>
      <c r="O242" s="34"/>
      <c r="P242" s="34"/>
      <c r="Q242" s="34"/>
      <c r="R242" s="34"/>
      <c r="S242" s="34"/>
      <c r="T242" s="34"/>
    </row>
    <row r="243" spans="1:20">
      <c r="A243" s="32" t="s">
        <v>632</v>
      </c>
      <c r="C243" s="34"/>
      <c r="D243" s="34"/>
      <c r="E243" s="34"/>
      <c r="F243" s="34"/>
      <c r="G243" s="34"/>
      <c r="H243" s="34"/>
      <c r="I243" s="34"/>
      <c r="J243" s="34"/>
      <c r="L243" s="327"/>
      <c r="M243" s="327"/>
      <c r="N243" s="34"/>
      <c r="O243" s="34"/>
      <c r="P243" s="34"/>
      <c r="Q243" s="34"/>
      <c r="R243" s="34"/>
      <c r="S243" s="34"/>
      <c r="T243" s="325"/>
    </row>
    <row r="244" spans="1:20">
      <c r="A244" s="34" t="s">
        <v>633</v>
      </c>
      <c r="C244" s="184">
        <v>43.052391052246101</v>
      </c>
      <c r="D244" s="183">
        <v>47.497748999999999</v>
      </c>
      <c r="E244" s="183">
        <v>50.246932999999999</v>
      </c>
      <c r="F244" s="183">
        <v>54.931561000000002</v>
      </c>
      <c r="G244" s="183">
        <v>59.051430000000003</v>
      </c>
      <c r="H244" s="183">
        <v>63.069358999999999</v>
      </c>
      <c r="I244" s="183">
        <v>66.807533000000006</v>
      </c>
      <c r="J244" s="183">
        <v>70.429862999999997</v>
      </c>
      <c r="T244" s="325"/>
    </row>
    <row r="245" spans="1:20">
      <c r="A245" s="34" t="s">
        <v>634</v>
      </c>
      <c r="C245" s="184">
        <v>58.660655975341797</v>
      </c>
      <c r="D245" s="183">
        <v>58.053196</v>
      </c>
      <c r="E245" s="183">
        <v>58.583553000000002</v>
      </c>
      <c r="F245" s="183">
        <v>60.630791000000002</v>
      </c>
      <c r="G245" s="183">
        <v>62.595528000000002</v>
      </c>
      <c r="H245" s="183">
        <v>64.532852000000005</v>
      </c>
      <c r="I245" s="183">
        <v>66.265884</v>
      </c>
      <c r="J245" s="183">
        <v>67.936592000000005</v>
      </c>
      <c r="T245" s="325"/>
    </row>
    <row r="246" spans="1:20">
      <c r="A246" s="34" t="s">
        <v>643</v>
      </c>
      <c r="C246" s="184">
        <v>4.0430588722229004</v>
      </c>
      <c r="D246" s="183">
        <v>3.3306969999999998</v>
      </c>
      <c r="E246" s="183">
        <v>2.7731840000000001</v>
      </c>
      <c r="F246" s="183">
        <v>2.2372459999999998</v>
      </c>
      <c r="G246" s="183">
        <v>1.9014990000000001</v>
      </c>
      <c r="H246" s="183">
        <v>1.6495230000000001</v>
      </c>
      <c r="I246" s="183">
        <v>1.4673179999999999</v>
      </c>
      <c r="J246" s="183">
        <v>1.3398429999999999</v>
      </c>
      <c r="T246" s="325"/>
    </row>
    <row r="247" spans="1:20">
      <c r="A247" s="34" t="s">
        <v>644</v>
      </c>
      <c r="C247" s="184">
        <v>4.0272889137268102</v>
      </c>
      <c r="D247" s="183">
        <v>3.8712740000000001</v>
      </c>
      <c r="E247" s="183">
        <v>3.2968899999999999</v>
      </c>
      <c r="F247" s="183">
        <v>2.8075749999999999</v>
      </c>
      <c r="G247" s="183">
        <v>2.490259</v>
      </c>
      <c r="H247" s="183">
        <v>2.2539639999999999</v>
      </c>
      <c r="I247" s="183">
        <v>2.0837430000000001</v>
      </c>
      <c r="J247" s="183">
        <v>1.9728140000000001</v>
      </c>
      <c r="T247" s="325"/>
    </row>
    <row r="248" spans="1:20">
      <c r="A248" s="34" t="s">
        <v>635</v>
      </c>
      <c r="C248" s="184">
        <v>0.17044399678707101</v>
      </c>
      <c r="D248" s="183">
        <v>0.35251500000000002</v>
      </c>
      <c r="E248" s="183">
        <v>0.71553900000000004</v>
      </c>
      <c r="F248" s="183">
        <v>0.80603499999999995</v>
      </c>
      <c r="G248" s="183">
        <v>0.80945999999999996</v>
      </c>
      <c r="H248" s="183">
        <v>0.81655800000000001</v>
      </c>
      <c r="I248" s="183">
        <v>0.83592900000000003</v>
      </c>
      <c r="J248" s="183">
        <v>0.857124</v>
      </c>
      <c r="T248" s="330"/>
    </row>
    <row r="249" spans="1:20">
      <c r="A249" s="34" t="s">
        <v>636</v>
      </c>
      <c r="C249" s="340">
        <f>SUM(C244:C248)</f>
        <v>109.95383881032467</v>
      </c>
      <c r="D249" s="340">
        <f t="shared" ref="D249:J249" si="59">SUM(D244:D248)</f>
        <v>113.105431</v>
      </c>
      <c r="E249" s="340">
        <f t="shared" si="59"/>
        <v>115.61609900000002</v>
      </c>
      <c r="F249" s="340">
        <f t="shared" si="59"/>
        <v>121.413208</v>
      </c>
      <c r="G249" s="340">
        <f t="shared" si="59"/>
        <v>126.84817600000001</v>
      </c>
      <c r="H249" s="340">
        <f t="shared" si="59"/>
        <v>132.32225599999998</v>
      </c>
      <c r="I249" s="340">
        <f t="shared" si="59"/>
        <v>137.460407</v>
      </c>
      <c r="J249" s="340">
        <f t="shared" si="59"/>
        <v>142.536236</v>
      </c>
      <c r="L249" s="327"/>
      <c r="M249" s="327"/>
      <c r="N249" s="327"/>
      <c r="O249" s="327"/>
      <c r="P249" s="327"/>
      <c r="Q249" s="327"/>
      <c r="R249" s="327"/>
      <c r="S249" s="327"/>
      <c r="T249" s="34"/>
    </row>
    <row r="250" spans="1:20">
      <c r="A250" s="34"/>
      <c r="C250" s="34"/>
      <c r="D250" s="34"/>
      <c r="E250" s="34"/>
      <c r="F250" s="34"/>
      <c r="G250" s="34"/>
      <c r="H250" s="34"/>
      <c r="I250" s="34"/>
      <c r="J250" s="34"/>
      <c r="N250" s="34"/>
      <c r="O250" s="34"/>
      <c r="P250" s="34"/>
      <c r="Q250" s="34"/>
      <c r="R250" s="34"/>
      <c r="S250" s="34"/>
      <c r="T250" s="34"/>
    </row>
    <row r="251" spans="1:20">
      <c r="A251" s="32" t="s">
        <v>252</v>
      </c>
      <c r="C251" s="34"/>
      <c r="D251" s="34"/>
      <c r="E251" s="34"/>
      <c r="F251" s="34"/>
      <c r="G251" s="34"/>
      <c r="H251" s="34"/>
      <c r="I251" s="34"/>
      <c r="J251" s="34"/>
      <c r="L251" s="327"/>
      <c r="M251" s="327"/>
      <c r="N251" s="34"/>
      <c r="O251" s="34"/>
      <c r="P251" s="34"/>
      <c r="Q251" s="34"/>
      <c r="R251" s="34"/>
      <c r="S251" s="34"/>
      <c r="T251" s="325"/>
    </row>
    <row r="252" spans="1:20">
      <c r="A252" s="34" t="s">
        <v>633</v>
      </c>
      <c r="C252" s="184">
        <v>65.712928771972699</v>
      </c>
      <c r="D252" s="183">
        <v>68.440392000000003</v>
      </c>
      <c r="E252" s="183">
        <v>70.955269000000001</v>
      </c>
      <c r="F252" s="183">
        <v>76.152602999999999</v>
      </c>
      <c r="G252" s="183">
        <v>81.020904999999999</v>
      </c>
      <c r="H252" s="183">
        <v>85.902023</v>
      </c>
      <c r="I252" s="183">
        <v>90.517882999999998</v>
      </c>
      <c r="J252" s="183">
        <v>95.074959000000007</v>
      </c>
      <c r="T252" s="325"/>
    </row>
    <row r="253" spans="1:20">
      <c r="A253" s="34" t="s">
        <v>634</v>
      </c>
      <c r="C253" s="184">
        <v>38.655399322509801</v>
      </c>
      <c r="D253" s="183">
        <v>38.221214000000003</v>
      </c>
      <c r="E253" s="183">
        <v>38.450915999999999</v>
      </c>
      <c r="F253" s="183">
        <v>39.286732000000001</v>
      </c>
      <c r="G253" s="183">
        <v>40.089008</v>
      </c>
      <c r="H253" s="183">
        <v>40.882496000000003</v>
      </c>
      <c r="I253" s="183">
        <v>41.560799000000003</v>
      </c>
      <c r="J253" s="183">
        <v>42.239319000000002</v>
      </c>
      <c r="T253" s="325"/>
    </row>
    <row r="254" spans="1:20">
      <c r="A254" s="34" t="s">
        <v>644</v>
      </c>
      <c r="C254" s="184">
        <v>5.6207227706909197</v>
      </c>
      <c r="D254" s="183">
        <v>5.338425</v>
      </c>
      <c r="E254" s="183">
        <v>5.1353</v>
      </c>
      <c r="F254" s="183">
        <v>4.9346410000000001</v>
      </c>
      <c r="G254" s="183">
        <v>4.73156</v>
      </c>
      <c r="H254" s="183">
        <v>4.5610169999999997</v>
      </c>
      <c r="I254" s="183">
        <v>4.4326970000000001</v>
      </c>
      <c r="J254" s="183">
        <v>4.298832</v>
      </c>
      <c r="T254" s="330"/>
    </row>
    <row r="255" spans="1:20">
      <c r="A255" s="34" t="s">
        <v>636</v>
      </c>
      <c r="C255" s="340">
        <f>SUM(C252:C254)</f>
        <v>109.98905086517343</v>
      </c>
      <c r="D255" s="340">
        <f t="shared" ref="D255:J255" si="60">SUM(D252:D254)</f>
        <v>112.00003100000001</v>
      </c>
      <c r="E255" s="340">
        <f t="shared" si="60"/>
        <v>114.54148499999999</v>
      </c>
      <c r="F255" s="340">
        <f t="shared" si="60"/>
        <v>120.373976</v>
      </c>
      <c r="G255" s="340">
        <f t="shared" si="60"/>
        <v>125.84147300000001</v>
      </c>
      <c r="H255" s="340">
        <f t="shared" si="60"/>
        <v>131.34553600000001</v>
      </c>
      <c r="I255" s="340">
        <f t="shared" si="60"/>
        <v>136.51137900000001</v>
      </c>
      <c r="J255" s="340">
        <f t="shared" si="60"/>
        <v>141.61311000000001</v>
      </c>
      <c r="L255" s="327"/>
      <c r="M255" s="327"/>
      <c r="N255" s="327"/>
      <c r="O255" s="327"/>
      <c r="P255" s="327"/>
      <c r="Q255" s="327"/>
      <c r="R255" s="327"/>
      <c r="S255" s="327"/>
      <c r="T255" s="34"/>
    </row>
    <row r="256" spans="1:20">
      <c r="A256" s="34"/>
      <c r="C256" s="34"/>
      <c r="D256" s="34"/>
      <c r="E256" s="34"/>
      <c r="F256" s="34"/>
      <c r="G256" s="34"/>
      <c r="H256" s="34"/>
      <c r="I256" s="34"/>
      <c r="J256" s="34"/>
      <c r="N256" s="34"/>
      <c r="O256" s="34"/>
      <c r="P256" s="34"/>
      <c r="Q256" s="34"/>
      <c r="R256" s="34"/>
      <c r="S256" s="34"/>
      <c r="T256" s="34"/>
    </row>
    <row r="257" spans="1:20">
      <c r="A257" s="32" t="s">
        <v>253</v>
      </c>
      <c r="C257" s="34"/>
      <c r="D257" s="34"/>
      <c r="E257" s="34"/>
      <c r="F257" s="34"/>
      <c r="G257" s="34"/>
      <c r="H257" s="34"/>
      <c r="I257" s="34"/>
      <c r="J257" s="34"/>
      <c r="L257" s="327"/>
      <c r="M257" s="327"/>
      <c r="N257" s="34"/>
      <c r="O257" s="34"/>
      <c r="P257" s="34"/>
      <c r="Q257" s="34"/>
      <c r="R257" s="34"/>
      <c r="S257" s="34"/>
      <c r="T257" s="325"/>
    </row>
    <row r="258" spans="1:20">
      <c r="A258" s="34" t="s">
        <v>633</v>
      </c>
      <c r="C258" s="184">
        <v>67.225288391113295</v>
      </c>
      <c r="D258" s="183">
        <v>72.276854999999998</v>
      </c>
      <c r="E258" s="183">
        <v>75.299537999999998</v>
      </c>
      <c r="F258" s="183">
        <v>81.210144</v>
      </c>
      <c r="G258" s="183">
        <v>86.877662999999998</v>
      </c>
      <c r="H258" s="183">
        <v>92.593520999999996</v>
      </c>
      <c r="I258" s="183">
        <v>98.021736000000004</v>
      </c>
      <c r="J258" s="183">
        <v>103.37975299999999</v>
      </c>
      <c r="T258" s="325"/>
    </row>
    <row r="259" spans="1:20">
      <c r="A259" s="34" t="s">
        <v>634</v>
      </c>
      <c r="C259" s="184">
        <v>19.374872207641602</v>
      </c>
      <c r="D259" s="183">
        <v>17.526484</v>
      </c>
      <c r="E259" s="183">
        <v>18.012087000000001</v>
      </c>
      <c r="F259" s="183">
        <v>18.997999</v>
      </c>
      <c r="G259" s="183">
        <v>19.903658</v>
      </c>
      <c r="H259" s="183">
        <v>20.775611999999999</v>
      </c>
      <c r="I259" s="183">
        <v>21.578047000000002</v>
      </c>
      <c r="J259" s="183">
        <v>22.370708</v>
      </c>
      <c r="T259" s="330"/>
    </row>
    <row r="260" spans="1:20">
      <c r="A260" s="34" t="s">
        <v>636</v>
      </c>
      <c r="C260" s="340">
        <f>SUM(C258:C259)</f>
        <v>86.600160598754897</v>
      </c>
      <c r="D260" s="340">
        <f t="shared" ref="D260:J260" si="61">SUM(D258:D259)</f>
        <v>89.803338999999994</v>
      </c>
      <c r="E260" s="340">
        <f t="shared" si="61"/>
        <v>93.311624999999992</v>
      </c>
      <c r="F260" s="340">
        <f t="shared" si="61"/>
        <v>100.20814300000001</v>
      </c>
      <c r="G260" s="340">
        <f t="shared" si="61"/>
        <v>106.78132099999999</v>
      </c>
      <c r="H260" s="340">
        <f t="shared" si="61"/>
        <v>113.36913299999999</v>
      </c>
      <c r="I260" s="340">
        <f t="shared" si="61"/>
        <v>119.599783</v>
      </c>
      <c r="J260" s="340">
        <f t="shared" si="61"/>
        <v>125.750461</v>
      </c>
      <c r="L260" s="327"/>
      <c r="M260" s="327"/>
      <c r="N260" s="327"/>
      <c r="O260" s="327"/>
      <c r="P260" s="327"/>
      <c r="Q260" s="327"/>
      <c r="R260" s="327"/>
      <c r="S260" s="327"/>
      <c r="T260" s="34"/>
    </row>
    <row r="261" spans="1:20">
      <c r="A261" s="34"/>
      <c r="C261" s="34"/>
      <c r="D261" s="34"/>
      <c r="E261" s="34"/>
      <c r="F261" s="34"/>
      <c r="G261" s="34"/>
      <c r="H261" s="34"/>
      <c r="I261" s="34"/>
      <c r="J261" s="34"/>
      <c r="N261" s="34"/>
      <c r="O261" s="34"/>
      <c r="P261" s="34"/>
      <c r="Q261" s="34"/>
      <c r="R261" s="34"/>
      <c r="S261" s="34"/>
      <c r="T261" s="34"/>
    </row>
    <row r="262" spans="1:20">
      <c r="A262" s="32" t="s">
        <v>254</v>
      </c>
      <c r="C262" s="34"/>
      <c r="D262" s="34"/>
      <c r="E262" s="34"/>
      <c r="F262" s="34"/>
      <c r="G262" s="34"/>
      <c r="H262" s="34"/>
      <c r="I262" s="34"/>
      <c r="J262" s="34"/>
      <c r="L262" s="327"/>
      <c r="M262" s="327"/>
      <c r="N262" s="34"/>
      <c r="O262" s="34"/>
      <c r="P262" s="34"/>
      <c r="Q262" s="34"/>
      <c r="R262" s="34"/>
      <c r="S262" s="34"/>
      <c r="T262" s="325"/>
    </row>
    <row r="263" spans="1:20">
      <c r="A263" s="34" t="s">
        <v>255</v>
      </c>
      <c r="C263" s="194">
        <v>137.59495544433599</v>
      </c>
      <c r="D263" s="183">
        <v>142.74478099999999</v>
      </c>
      <c r="E263" s="183">
        <v>146.25145000000001</v>
      </c>
      <c r="F263" s="183">
        <v>154.08332799999999</v>
      </c>
      <c r="G263" s="183">
        <v>161.34394800000001</v>
      </c>
      <c r="H263" s="183">
        <v>168.56379699999999</v>
      </c>
      <c r="I263" s="183">
        <v>175.27842699999999</v>
      </c>
      <c r="J263" s="183">
        <v>181.908264</v>
      </c>
      <c r="T263" s="325"/>
    </row>
    <row r="264" spans="1:20">
      <c r="A264" s="34" t="s">
        <v>200</v>
      </c>
      <c r="C264" s="194">
        <v>38.425449371337898</v>
      </c>
      <c r="D264" s="183">
        <v>38.009281000000001</v>
      </c>
      <c r="E264" s="183">
        <v>38.799267</v>
      </c>
      <c r="F264" s="183">
        <v>40.689968</v>
      </c>
      <c r="G264" s="183">
        <v>42.401108000000001</v>
      </c>
      <c r="H264" s="183">
        <v>44.059565999999997</v>
      </c>
      <c r="I264" s="183">
        <v>45.560253000000003</v>
      </c>
      <c r="J264" s="183">
        <v>47.049377</v>
      </c>
      <c r="T264" s="34"/>
    </row>
    <row r="265" spans="1:20">
      <c r="A265" s="34"/>
      <c r="C265" s="34"/>
      <c r="D265" s="34"/>
      <c r="E265" s="34"/>
      <c r="F265" s="34"/>
      <c r="G265" s="34"/>
      <c r="H265" s="34"/>
      <c r="N265" s="34"/>
      <c r="O265" s="34"/>
      <c r="P265" s="34"/>
      <c r="Q265" s="34"/>
      <c r="R265" s="34"/>
      <c r="S265" s="34"/>
      <c r="T265" s="34"/>
    </row>
    <row r="266" spans="1:20">
      <c r="A266" s="32" t="s">
        <v>637</v>
      </c>
      <c r="C266" s="34"/>
      <c r="D266" s="34"/>
      <c r="E266" s="34"/>
      <c r="F266" s="34"/>
      <c r="G266" s="34"/>
      <c r="H266" s="34"/>
      <c r="L266" s="327"/>
      <c r="M266" s="327"/>
      <c r="N266" s="34"/>
      <c r="O266" s="34"/>
      <c r="P266" s="34"/>
      <c r="Q266" s="34"/>
      <c r="R266" s="34"/>
      <c r="S266" s="34"/>
      <c r="T266" s="34"/>
    </row>
    <row r="267" spans="1:20">
      <c r="A267" s="32" t="s">
        <v>241</v>
      </c>
      <c r="C267" s="34"/>
      <c r="D267" s="34"/>
      <c r="E267" s="34"/>
      <c r="F267" s="34"/>
      <c r="G267" s="34"/>
      <c r="H267" s="34"/>
      <c r="L267" s="327"/>
      <c r="M267" s="327"/>
      <c r="N267" s="34"/>
      <c r="O267" s="34"/>
      <c r="P267" s="34"/>
      <c r="Q267" s="34"/>
      <c r="R267" s="34"/>
      <c r="S267" s="34"/>
      <c r="T267" s="325"/>
    </row>
    <row r="268" spans="1:20">
      <c r="A268" s="34" t="s">
        <v>256</v>
      </c>
      <c r="C268" s="184">
        <v>7.73056840896606</v>
      </c>
      <c r="D268" s="183">
        <v>7.4495990000000001</v>
      </c>
      <c r="E268" s="133">
        <v>7.628679</v>
      </c>
      <c r="F268" s="133">
        <v>7.964467</v>
      </c>
      <c r="G268" s="133">
        <v>8.1679739999999992</v>
      </c>
      <c r="H268" s="133">
        <v>8.2638839999999991</v>
      </c>
      <c r="I268" s="133">
        <v>8.287077</v>
      </c>
      <c r="J268" s="133">
        <v>8.2947190000000006</v>
      </c>
      <c r="K268" s="323"/>
      <c r="L268" s="323"/>
      <c r="M268" s="323"/>
      <c r="N268" s="323"/>
      <c r="O268" s="323"/>
      <c r="P268" s="323"/>
      <c r="T268" s="325"/>
    </row>
    <row r="269" spans="1:20" ht="48" customHeight="1">
      <c r="A269" s="195" t="s">
        <v>257</v>
      </c>
      <c r="B269" s="341"/>
      <c r="C269" s="342">
        <f t="shared" ref="C269:J269" si="62">C268/3.412</f>
        <v>2.2657000026278018</v>
      </c>
      <c r="D269" s="342">
        <f t="shared" si="62"/>
        <v>2.1833525791324737</v>
      </c>
      <c r="E269" s="342">
        <f t="shared" si="62"/>
        <v>2.2358379249706917</v>
      </c>
      <c r="F269" s="342">
        <f t="shared" si="62"/>
        <v>2.334251758499414</v>
      </c>
      <c r="G269" s="342">
        <f t="shared" si="62"/>
        <v>2.3938962485345838</v>
      </c>
      <c r="H269" s="342">
        <f t="shared" si="62"/>
        <v>2.4220058616647124</v>
      </c>
      <c r="I269" s="342">
        <f t="shared" si="62"/>
        <v>2.4288033411488863</v>
      </c>
      <c r="J269" s="342">
        <f t="shared" si="62"/>
        <v>2.4310430832356391</v>
      </c>
      <c r="K269" s="806" t="s">
        <v>2362</v>
      </c>
      <c r="L269" s="806"/>
      <c r="M269" s="806"/>
      <c r="N269" s="806"/>
      <c r="O269" s="806"/>
      <c r="P269" s="806"/>
      <c r="Q269" s="806"/>
      <c r="T269" s="325"/>
    </row>
    <row r="270" spans="1:20">
      <c r="A270" s="34" t="s">
        <v>258</v>
      </c>
      <c r="C270" s="321">
        <v>1.29999995231628</v>
      </c>
      <c r="D270" s="317">
        <v>1.3</v>
      </c>
      <c r="E270" s="317">
        <v>1.3</v>
      </c>
      <c r="F270" s="317">
        <v>1.31</v>
      </c>
      <c r="G270" s="317">
        <v>1.34</v>
      </c>
      <c r="H270" s="317">
        <v>1.38</v>
      </c>
      <c r="I270" s="317">
        <v>1.4</v>
      </c>
      <c r="J270" s="343">
        <v>1.397397</v>
      </c>
      <c r="K270" s="323"/>
      <c r="L270" s="323"/>
      <c r="M270" s="323"/>
      <c r="N270" s="323"/>
      <c r="O270" s="323"/>
      <c r="P270" s="323"/>
      <c r="T270" s="325"/>
    </row>
    <row r="271" spans="1:20">
      <c r="A271" s="34" t="s">
        <v>259</v>
      </c>
      <c r="C271" s="321">
        <v>3.2999999523162802</v>
      </c>
      <c r="D271" s="317">
        <v>3.33</v>
      </c>
      <c r="E271" s="317">
        <v>3.34</v>
      </c>
      <c r="F271" s="317">
        <v>3.34</v>
      </c>
      <c r="G271" s="317">
        <v>3.34</v>
      </c>
      <c r="H271" s="317">
        <v>3.36</v>
      </c>
      <c r="I271" s="317">
        <v>3.37</v>
      </c>
      <c r="J271" s="343">
        <v>3.3813490000000002</v>
      </c>
      <c r="K271" s="344">
        <v>2005</v>
      </c>
      <c r="L271" s="344">
        <v>2010</v>
      </c>
      <c r="M271" s="344">
        <v>2015</v>
      </c>
      <c r="N271" s="344">
        <v>2020</v>
      </c>
      <c r="O271" s="344">
        <v>2025</v>
      </c>
      <c r="P271" s="344">
        <v>2030</v>
      </c>
      <c r="Q271" s="344">
        <v>2035</v>
      </c>
      <c r="T271" s="325"/>
    </row>
    <row r="272" spans="1:20">
      <c r="A272" s="34" t="s">
        <v>301</v>
      </c>
      <c r="C272" s="321">
        <v>0.81440001726150502</v>
      </c>
      <c r="D272" s="317">
        <v>0.84</v>
      </c>
      <c r="E272" s="317">
        <v>0.85</v>
      </c>
      <c r="F272" s="317">
        <v>0.87</v>
      </c>
      <c r="G272" s="317">
        <v>0.89</v>
      </c>
      <c r="H272" s="317">
        <v>0.89</v>
      </c>
      <c r="I272" s="317">
        <v>0.89</v>
      </c>
      <c r="J272" s="343">
        <v>0.86960499999999996</v>
      </c>
      <c r="K272" s="323"/>
      <c r="L272" s="323">
        <f>(D274-C274)/C274</f>
        <v>1.9374376611273069E-2</v>
      </c>
      <c r="M272" s="323">
        <f t="shared" ref="M272:Q272" si="63">(E274-D274)/D274</f>
        <v>3.8574895145423171E-2</v>
      </c>
      <c r="N272" s="323">
        <f t="shared" si="63"/>
        <v>4.5372775401902932E-2</v>
      </c>
      <c r="O272" s="323">
        <f t="shared" si="63"/>
        <v>3.3479412157636425E-2</v>
      </c>
      <c r="P272" s="323">
        <f t="shared" si="63"/>
        <v>2.4878432978693896E-2</v>
      </c>
      <c r="Q272" s="323">
        <f t="shared" si="63"/>
        <v>1.7796770479363067E-2</v>
      </c>
      <c r="T272" s="325"/>
    </row>
    <row r="273" spans="1:24">
      <c r="A273" s="34" t="s">
        <v>302</v>
      </c>
      <c r="C273" s="321">
        <v>0.81739997863769498</v>
      </c>
      <c r="D273" s="317">
        <v>0.85</v>
      </c>
      <c r="E273" s="317">
        <v>0.88</v>
      </c>
      <c r="F273" s="317">
        <v>0.91</v>
      </c>
      <c r="G273" s="317">
        <v>0.92</v>
      </c>
      <c r="H273" s="317">
        <v>0.92</v>
      </c>
      <c r="I273" s="317">
        <v>0.92</v>
      </c>
      <c r="J273" s="343">
        <v>0.89261299999999999</v>
      </c>
      <c r="L273" s="345">
        <f>1+L272</f>
        <v>1.0193743766112731</v>
      </c>
      <c r="M273" s="345">
        <f t="shared" ref="M273:Q273" si="64">1+M272</f>
        <v>1.0385748951454232</v>
      </c>
      <c r="N273" s="345">
        <f t="shared" si="64"/>
        <v>1.0453727754019029</v>
      </c>
      <c r="O273" s="345">
        <f t="shared" si="64"/>
        <v>1.0334794121576365</v>
      </c>
      <c r="P273" s="345">
        <f t="shared" si="64"/>
        <v>1.024878432978694</v>
      </c>
      <c r="Q273" s="345">
        <f t="shared" si="64"/>
        <v>1.0177967704793631</v>
      </c>
      <c r="R273" s="323"/>
      <c r="T273" s="34"/>
    </row>
    <row r="274" spans="1:24">
      <c r="A274" s="34"/>
      <c r="B274" s="289" t="s">
        <v>8</v>
      </c>
      <c r="C274" s="346">
        <v>0.981853056187732</v>
      </c>
      <c r="D274" s="346">
        <v>1.0008758470752426</v>
      </c>
      <c r="E274" s="346">
        <v>1.0394845279297567</v>
      </c>
      <c r="F274" s="346">
        <v>1.0866488259492666</v>
      </c>
      <c r="G274" s="346">
        <v>1.1230291898638338</v>
      </c>
      <c r="H274" s="346">
        <v>1.1509683962969781</v>
      </c>
      <c r="I274" s="346">
        <v>1.171451916674876</v>
      </c>
      <c r="J274" s="321">
        <v>1.1891003642149611</v>
      </c>
      <c r="K274" s="347">
        <f>0.87</f>
        <v>0.87</v>
      </c>
      <c r="L274" s="347">
        <f>K274*L273</f>
        <v>0.88685570765180755</v>
      </c>
      <c r="M274" s="347">
        <f t="shared" ref="M274:Q274" si="65">L274*M273</f>
        <v>0.92106607358359616</v>
      </c>
      <c r="N274" s="347">
        <f t="shared" si="65"/>
        <v>0.96285739767061718</v>
      </c>
      <c r="O274" s="347">
        <f t="shared" si="65"/>
        <v>0.99509329733626106</v>
      </c>
      <c r="P274" s="347">
        <f t="shared" si="65"/>
        <v>1.0198496592415889</v>
      </c>
      <c r="Q274" s="347">
        <f t="shared" si="65"/>
        <v>1.0379996895505681</v>
      </c>
      <c r="R274" s="348"/>
      <c r="T274" s="34"/>
    </row>
    <row r="275" spans="1:24">
      <c r="A275" s="34"/>
      <c r="B275" s="289"/>
      <c r="C275" s="349"/>
      <c r="D275" s="349"/>
      <c r="E275" s="349"/>
      <c r="F275" s="349"/>
      <c r="G275" s="349"/>
      <c r="H275" s="349"/>
      <c r="I275" s="349"/>
      <c r="J275" s="34"/>
      <c r="K275" s="312"/>
      <c r="L275" s="312"/>
      <c r="M275" s="312"/>
      <c r="N275" s="186"/>
      <c r="O275" s="186"/>
      <c r="P275" s="186"/>
      <c r="Q275" s="186"/>
      <c r="R275" s="186"/>
      <c r="S275" s="186"/>
      <c r="T275" s="186"/>
      <c r="U275" s="312"/>
    </row>
    <row r="276" spans="1:24">
      <c r="A276" s="32" t="s">
        <v>216</v>
      </c>
      <c r="C276" s="34"/>
      <c r="D276" s="34"/>
      <c r="E276" s="34"/>
      <c r="F276" s="34"/>
      <c r="G276" s="34"/>
      <c r="H276" s="34"/>
      <c r="I276" s="34"/>
      <c r="J276" s="34"/>
      <c r="L276" s="327"/>
      <c r="M276" s="327"/>
      <c r="N276" s="34"/>
      <c r="O276" s="34"/>
      <c r="P276" s="34"/>
      <c r="Q276" s="34"/>
      <c r="R276" s="34"/>
      <c r="S276" s="34"/>
      <c r="T276" s="325"/>
    </row>
    <row r="277" spans="1:24">
      <c r="A277" s="34" t="s">
        <v>303</v>
      </c>
      <c r="C277" s="316">
        <v>11.3684425354004</v>
      </c>
      <c r="D277" s="291">
        <v>12.490154</v>
      </c>
      <c r="E277" s="291">
        <v>12.887708</v>
      </c>
      <c r="F277" s="291">
        <v>13.589295</v>
      </c>
      <c r="G277" s="291">
        <v>13.989630999999999</v>
      </c>
      <c r="H277" s="291">
        <v>14.168240000000001</v>
      </c>
      <c r="I277" s="291">
        <v>14.204084</v>
      </c>
      <c r="J277" s="350">
        <v>14.216915999999999</v>
      </c>
      <c r="T277" s="325"/>
    </row>
    <row r="278" spans="1:24">
      <c r="A278" s="195" t="s">
        <v>257</v>
      </c>
      <c r="B278" s="341"/>
      <c r="C278" s="351">
        <v>2.9980069977321731</v>
      </c>
      <c r="D278" s="351">
        <v>3.2938169831223632</v>
      </c>
      <c r="E278" s="351">
        <v>3.3986571729957809</v>
      </c>
      <c r="F278" s="351">
        <v>3.5836748417721522</v>
      </c>
      <c r="G278" s="351">
        <v>3.6892486814345991</v>
      </c>
      <c r="H278" s="351">
        <v>3.7363502109704645</v>
      </c>
      <c r="I278" s="351">
        <v>3.7458027426160339</v>
      </c>
      <c r="J278" s="350">
        <v>3.7491867088607593</v>
      </c>
      <c r="T278" s="325"/>
    </row>
    <row r="279" spans="1:24">
      <c r="A279" s="34" t="s">
        <v>258</v>
      </c>
      <c r="C279" s="316">
        <v>0.67000001668930098</v>
      </c>
      <c r="D279" s="291">
        <v>0.66283599999999998</v>
      </c>
      <c r="E279" s="291">
        <v>0.64683299999999999</v>
      </c>
      <c r="F279" s="291">
        <v>0.63121400000000005</v>
      </c>
      <c r="G279" s="291">
        <v>0.64742500000000003</v>
      </c>
      <c r="H279" s="291">
        <v>0.66974</v>
      </c>
      <c r="I279" s="291">
        <v>0.68790200000000001</v>
      </c>
      <c r="J279" s="350">
        <v>0.69718599999999997</v>
      </c>
      <c r="T279" s="325"/>
    </row>
    <row r="280" spans="1:24">
      <c r="A280" s="34" t="s">
        <v>304</v>
      </c>
      <c r="C280" s="316">
        <v>13.800000190734901</v>
      </c>
      <c r="D280" s="291">
        <v>14.202239000000001</v>
      </c>
      <c r="E280" s="291">
        <v>14.325847</v>
      </c>
      <c r="F280" s="291">
        <v>14.372543</v>
      </c>
      <c r="G280" s="291">
        <v>14.437117000000001</v>
      </c>
      <c r="H280" s="291">
        <v>14.503729999999999</v>
      </c>
      <c r="I280" s="291">
        <v>14.572488</v>
      </c>
      <c r="J280" s="350">
        <v>14.633620000000001</v>
      </c>
      <c r="T280" s="325"/>
    </row>
    <row r="281" spans="1:24">
      <c r="A281" s="195" t="s">
        <v>259</v>
      </c>
      <c r="B281" s="341"/>
      <c r="C281" s="351">
        <v>4.0433636656123353</v>
      </c>
      <c r="D281" s="351">
        <v>4.161218576032816</v>
      </c>
      <c r="E281" s="351">
        <v>4.1974353940814533</v>
      </c>
      <c r="F281" s="351">
        <v>4.2111171989452094</v>
      </c>
      <c r="G281" s="351">
        <v>4.2300372106651043</v>
      </c>
      <c r="H281" s="351">
        <v>4.2495546440082039</v>
      </c>
      <c r="I281" s="351">
        <v>4.2697005566949899</v>
      </c>
      <c r="J281" s="350">
        <v>4.287612071491357</v>
      </c>
      <c r="T281" s="325"/>
    </row>
    <row r="282" spans="1:24">
      <c r="A282" s="34" t="s">
        <v>305</v>
      </c>
      <c r="C282" s="316">
        <v>11.0634098052979</v>
      </c>
      <c r="D282" s="291">
        <v>13.09069</v>
      </c>
      <c r="E282" s="291">
        <v>13.508846999999999</v>
      </c>
      <c r="F282" s="291">
        <v>14.031323</v>
      </c>
      <c r="G282" s="291">
        <v>14.363262000000001</v>
      </c>
      <c r="H282" s="291">
        <v>14.497761000000001</v>
      </c>
      <c r="I282" s="291">
        <v>14.52397</v>
      </c>
      <c r="J282" s="350">
        <v>14.546241</v>
      </c>
      <c r="T282" s="325"/>
    </row>
    <row r="283" spans="1:24">
      <c r="A283" s="195" t="s">
        <v>306</v>
      </c>
      <c r="B283" s="341"/>
      <c r="C283" s="351">
        <v>2.9175658769245518</v>
      </c>
      <c r="D283" s="351">
        <v>3.4521861814345995</v>
      </c>
      <c r="E283" s="351">
        <v>3.5624596518987341</v>
      </c>
      <c r="F283" s="351">
        <v>3.7002434071729962</v>
      </c>
      <c r="G283" s="351">
        <v>3.7877800632911396</v>
      </c>
      <c r="H283" s="351">
        <v>3.8232492088607599</v>
      </c>
      <c r="I283" s="351">
        <v>3.8301608649789034</v>
      </c>
      <c r="J283" s="350">
        <v>3.8360340189873421</v>
      </c>
      <c r="T283" s="325"/>
    </row>
    <row r="284" spans="1:24">
      <c r="A284" s="34" t="s">
        <v>307</v>
      </c>
      <c r="C284" s="316">
        <v>9.36389255523682</v>
      </c>
      <c r="D284" s="291">
        <v>9.8480220000000003</v>
      </c>
      <c r="E284" s="291">
        <v>10.179399999999999</v>
      </c>
      <c r="F284" s="291">
        <v>10.866448999999999</v>
      </c>
      <c r="G284" s="291">
        <v>11.33005</v>
      </c>
      <c r="H284" s="291">
        <v>11.462763000000001</v>
      </c>
      <c r="I284" s="291">
        <v>11.567854000000001</v>
      </c>
      <c r="J284" s="350">
        <v>11.628211</v>
      </c>
      <c r="L284" s="323">
        <f>(D286-C286)/C286</f>
        <v>0.12588012664599041</v>
      </c>
      <c r="M284" s="323">
        <f t="shared" ref="M284:Q284" si="66">(E286-D286)/D286</f>
        <v>3.6672567128408294E-2</v>
      </c>
      <c r="N284" s="323">
        <f t="shared" si="66"/>
        <v>5.4146579287512694E-2</v>
      </c>
      <c r="O284" s="323">
        <f t="shared" si="66"/>
        <v>3.32099572461435E-2</v>
      </c>
      <c r="P284" s="323">
        <f t="shared" si="66"/>
        <v>1.3008582388782573E-2</v>
      </c>
      <c r="Q284" s="323">
        <f t="shared" si="66"/>
        <v>6.067543491466122E-3</v>
      </c>
      <c r="T284" s="325"/>
    </row>
    <row r="285" spans="1:24">
      <c r="A285" s="195" t="s">
        <v>308</v>
      </c>
      <c r="B285" s="341"/>
      <c r="C285" s="351">
        <v>2.7435958263219513</v>
      </c>
      <c r="D285" s="351">
        <v>2.8854444769997074</v>
      </c>
      <c r="E285" s="351">
        <v>2.9825373571637854</v>
      </c>
      <c r="F285" s="351">
        <v>3.1838409024318781</v>
      </c>
      <c r="G285" s="351">
        <v>3.3196747729270437</v>
      </c>
      <c r="H285" s="351">
        <v>3.3585593319660125</v>
      </c>
      <c r="I285" s="351">
        <v>3.3893507178435396</v>
      </c>
      <c r="J285" s="186">
        <v>3.4070351596835633</v>
      </c>
      <c r="L285" s="345">
        <f>1+L284</f>
        <v>1.1258801266459904</v>
      </c>
      <c r="M285" s="345">
        <f t="shared" ref="M285:Q285" si="67">1+M284</f>
        <v>1.0366725671284083</v>
      </c>
      <c r="N285" s="345">
        <f t="shared" si="67"/>
        <v>1.0541465792875127</v>
      </c>
      <c r="O285" s="345">
        <f t="shared" si="67"/>
        <v>1.0332099572461435</v>
      </c>
      <c r="P285" s="345">
        <f t="shared" si="67"/>
        <v>1.0130085823887827</v>
      </c>
      <c r="Q285" s="345">
        <f t="shared" si="67"/>
        <v>1.0060675434914661</v>
      </c>
      <c r="T285" s="34"/>
    </row>
    <row r="286" spans="1:24">
      <c r="A286" s="34"/>
      <c r="B286" s="289" t="s">
        <v>8</v>
      </c>
      <c r="C286" s="349">
        <f t="shared" ref="C286:J286" si="68">C278*C236/C241 + C281*C238/C241 + C283*C239/C241 + C285*C240/C241</f>
        <v>2.8490245465055812</v>
      </c>
      <c r="D286" s="349">
        <f t="shared" si="68"/>
        <v>3.2076601172372392</v>
      </c>
      <c r="E286" s="349">
        <f t="shared" si="68"/>
        <v>3.3252932482117399</v>
      </c>
      <c r="F286" s="349">
        <f t="shared" si="68"/>
        <v>3.5053465027302675</v>
      </c>
      <c r="G286" s="349">
        <f t="shared" si="68"/>
        <v>3.6217589102188583</v>
      </c>
      <c r="H286" s="349">
        <f t="shared" si="68"/>
        <v>3.6688728593947477</v>
      </c>
      <c r="I286" s="349">
        <f t="shared" si="68"/>
        <v>3.691133905033785</v>
      </c>
      <c r="J286" s="349">
        <f t="shared" si="68"/>
        <v>3.706680980826774</v>
      </c>
      <c r="K286" s="352">
        <v>2.89</v>
      </c>
      <c r="L286" s="353">
        <f>K286*L285</f>
        <v>3.2537935660069124</v>
      </c>
      <c r="M286" s="353">
        <f t="shared" ref="M286:Q286" si="69">L286*M285</f>
        <v>3.3731185289782837</v>
      </c>
      <c r="N286" s="353">
        <f t="shared" si="69"/>
        <v>3.5557613588537844</v>
      </c>
      <c r="O286" s="353">
        <f t="shared" si="69"/>
        <v>3.673848041558808</v>
      </c>
      <c r="P286" s="353">
        <f t="shared" si="69"/>
        <v>3.7216395964912934</v>
      </c>
      <c r="Q286" s="353">
        <f t="shared" si="69"/>
        <v>3.7442208066025668</v>
      </c>
      <c r="T286" s="34"/>
      <c r="U286" s="34"/>
      <c r="V286" s="34"/>
      <c r="W286" s="34"/>
      <c r="X286" s="34"/>
    </row>
    <row r="287" spans="1:24">
      <c r="B287" s="341" t="s">
        <v>773</v>
      </c>
      <c r="C287" s="354">
        <f t="shared" ref="C287:J287" si="70">C278/C269</f>
        <v>1.3232144565719326</v>
      </c>
      <c r="D287" s="354">
        <f t="shared" si="70"/>
        <v>1.5086051673940439</v>
      </c>
      <c r="E287" s="354">
        <f t="shared" si="70"/>
        <v>1.5200820842326179</v>
      </c>
      <c r="F287" s="354">
        <f t="shared" si="70"/>
        <v>1.535256353014782</v>
      </c>
      <c r="G287" s="354">
        <f t="shared" si="70"/>
        <v>1.5411063381267927</v>
      </c>
      <c r="H287" s="354">
        <f t="shared" si="70"/>
        <v>1.5426676995745858</v>
      </c>
      <c r="I287" s="354">
        <f t="shared" si="70"/>
        <v>1.5422420906437706</v>
      </c>
      <c r="J287" s="354">
        <f t="shared" si="70"/>
        <v>1.5422131901795479</v>
      </c>
      <c r="K287" s="312"/>
      <c r="N287" s="34"/>
      <c r="O287" s="34"/>
      <c r="P287" s="34"/>
      <c r="Q287" s="34"/>
      <c r="R287" s="34"/>
      <c r="S287" s="34"/>
      <c r="T287" s="34"/>
    </row>
    <row r="288" spans="1:24">
      <c r="A288" s="34"/>
      <c r="B288" s="289"/>
      <c r="C288" s="349"/>
      <c r="D288" s="349"/>
      <c r="E288" s="349"/>
      <c r="F288" s="349"/>
      <c r="G288" s="349"/>
      <c r="H288" s="349"/>
      <c r="I288" s="349"/>
      <c r="J288" s="34"/>
      <c r="N288" s="34"/>
      <c r="O288" s="34"/>
      <c r="P288" s="34"/>
      <c r="Q288" s="34"/>
      <c r="R288" s="34"/>
      <c r="S288" s="34"/>
      <c r="T288" s="34"/>
    </row>
    <row r="289" spans="1:20">
      <c r="A289" s="32" t="s">
        <v>309</v>
      </c>
      <c r="C289" s="34"/>
      <c r="D289" s="34"/>
      <c r="E289" s="34"/>
      <c r="F289" s="34"/>
      <c r="G289" s="34"/>
      <c r="H289" s="34"/>
      <c r="I289" s="34"/>
      <c r="J289" s="34"/>
      <c r="L289" s="327"/>
      <c r="M289" s="327"/>
      <c r="N289" s="34"/>
      <c r="O289" s="34"/>
      <c r="P289" s="34"/>
      <c r="Q289" s="34"/>
      <c r="R289" s="34"/>
      <c r="S289" s="34"/>
      <c r="T289" s="325"/>
    </row>
    <row r="290" spans="1:20">
      <c r="A290" s="34" t="s">
        <v>638</v>
      </c>
      <c r="C290" s="184">
        <v>0.88819998502731301</v>
      </c>
      <c r="D290" s="183">
        <v>0.894876</v>
      </c>
      <c r="E290" s="183">
        <v>0.90670899999999999</v>
      </c>
      <c r="F290" s="183">
        <v>0.94383300000000003</v>
      </c>
      <c r="G290" s="183">
        <v>0.97332099999999999</v>
      </c>
      <c r="H290" s="183">
        <v>0.99224900000000005</v>
      </c>
      <c r="I290" s="183">
        <v>0.99913300000000005</v>
      </c>
      <c r="J290" s="183">
        <v>1.0006139999999999</v>
      </c>
      <c r="T290" s="325"/>
    </row>
    <row r="291" spans="1:20">
      <c r="A291" s="34" t="s">
        <v>639</v>
      </c>
      <c r="C291" s="184">
        <v>0.57569998502731301</v>
      </c>
      <c r="D291" s="183">
        <v>0.60911400000000004</v>
      </c>
      <c r="E291" s="183">
        <v>0.60935300000000003</v>
      </c>
      <c r="F291" s="183">
        <v>0.62057200000000001</v>
      </c>
      <c r="G291" s="183">
        <v>0.62537799999999999</v>
      </c>
      <c r="H291" s="183">
        <v>0.62715299999999996</v>
      </c>
      <c r="I291" s="183">
        <v>0.62755099999999997</v>
      </c>
      <c r="J291" s="183">
        <v>0.62778400000000001</v>
      </c>
      <c r="T291" s="325"/>
    </row>
    <row r="292" spans="1:20">
      <c r="A292" s="34" t="s">
        <v>116</v>
      </c>
      <c r="C292" s="184">
        <v>0.54500001668930098</v>
      </c>
      <c r="D292" s="183">
        <v>0.57744099999999998</v>
      </c>
      <c r="E292" s="183">
        <v>0.59846500000000002</v>
      </c>
      <c r="F292" s="183">
        <v>0.63297300000000001</v>
      </c>
      <c r="G292" s="183">
        <v>0.64751599999999998</v>
      </c>
      <c r="H292" s="183">
        <v>0.65087899999999999</v>
      </c>
      <c r="I292" s="183">
        <v>0.65167299999999995</v>
      </c>
      <c r="J292" s="183">
        <v>0.65205100000000005</v>
      </c>
      <c r="L292" s="323">
        <f>(D294-C294)/C294</f>
        <v>4.7926658118872915E-2</v>
      </c>
      <c r="M292" s="323">
        <f t="shared" ref="M292:Q292" si="71">(E294-D294)/D294</f>
        <v>1.5166164052768355E-2</v>
      </c>
      <c r="N292" s="323">
        <f t="shared" si="71"/>
        <v>3.7716465746918566E-2</v>
      </c>
      <c r="O292" s="323">
        <f t="shared" si="71"/>
        <v>2.6033641163661504E-2</v>
      </c>
      <c r="P292" s="323">
        <f t="shared" si="71"/>
        <v>1.717610442329582E-2</v>
      </c>
      <c r="Q292" s="323">
        <f t="shared" si="71"/>
        <v>8.5778917508377607E-3</v>
      </c>
      <c r="T292" s="325"/>
    </row>
    <row r="293" spans="1:20">
      <c r="A293" s="34" t="s">
        <v>117</v>
      </c>
      <c r="C293" s="184">
        <v>0.57480001449585005</v>
      </c>
      <c r="D293" s="183">
        <v>0.65538200000000002</v>
      </c>
      <c r="E293" s="183">
        <v>0.65606699999999996</v>
      </c>
      <c r="F293" s="183">
        <v>0.64164500000000002</v>
      </c>
      <c r="G293" s="183">
        <v>0.62695800000000002</v>
      </c>
      <c r="H293" s="183">
        <v>0.62204000000000004</v>
      </c>
      <c r="I293" s="183">
        <v>0.62138800000000005</v>
      </c>
      <c r="J293" s="183">
        <v>0.62141900000000005</v>
      </c>
      <c r="L293" s="345">
        <f>1+L292</f>
        <v>1.0479266581188729</v>
      </c>
      <c r="M293" s="345">
        <f t="shared" ref="M293:Q293" si="72">1+M292</f>
        <v>1.0151661640527683</v>
      </c>
      <c r="N293" s="345">
        <f t="shared" si="72"/>
        <v>1.0377164657469187</v>
      </c>
      <c r="O293" s="345">
        <f t="shared" si="72"/>
        <v>1.0260336411636615</v>
      </c>
      <c r="P293" s="345">
        <f t="shared" si="72"/>
        <v>1.0171761044232959</v>
      </c>
      <c r="Q293" s="345">
        <f t="shared" si="72"/>
        <v>1.0085778917508377</v>
      </c>
      <c r="T293" s="34"/>
    </row>
    <row r="294" spans="1:20">
      <c r="A294" s="34"/>
      <c r="B294" s="289" t="s">
        <v>8</v>
      </c>
      <c r="C294" s="349">
        <v>0.65</v>
      </c>
      <c r="D294" s="349">
        <v>0.68115232777726742</v>
      </c>
      <c r="E294" s="349">
        <v>0.6914827957252625</v>
      </c>
      <c r="F294" s="349">
        <v>0.71756308290481785</v>
      </c>
      <c r="G294" s="349">
        <v>0.73624386271745257</v>
      </c>
      <c r="H294" s="349">
        <v>0.7488896641844982</v>
      </c>
      <c r="I294" s="349">
        <v>0.75531355865719407</v>
      </c>
      <c r="J294" s="349">
        <v>0.75886479891283121</v>
      </c>
      <c r="K294" s="349">
        <v>0.75886479891283121</v>
      </c>
      <c r="L294" s="353">
        <f>K294*L293</f>
        <v>0.79523465268877369</v>
      </c>
      <c r="M294" s="353">
        <f t="shared" ref="M294:Q294" si="73">L294*M293</f>
        <v>0.80729531189189785</v>
      </c>
      <c r="N294" s="353">
        <f t="shared" si="73"/>
        <v>0.83774363787051664</v>
      </c>
      <c r="O294" s="353">
        <f t="shared" si="73"/>
        <v>0.85955315512597807</v>
      </c>
      <c r="P294" s="353">
        <f t="shared" si="73"/>
        <v>0.87431692987579535</v>
      </c>
      <c r="Q294" s="353">
        <f t="shared" si="73"/>
        <v>0.88181672585619464</v>
      </c>
      <c r="R294" s="34"/>
      <c r="S294" s="34"/>
      <c r="T294" s="34"/>
    </row>
    <row r="295" spans="1:20">
      <c r="A295" s="34"/>
      <c r="B295" s="289"/>
      <c r="C295" s="349"/>
      <c r="D295" s="349"/>
      <c r="E295" s="349"/>
      <c r="F295" s="349"/>
      <c r="G295" s="349"/>
      <c r="H295" s="349"/>
      <c r="I295" s="349"/>
      <c r="J295" s="34"/>
      <c r="N295" s="34"/>
      <c r="O295" s="34"/>
      <c r="P295" s="34"/>
      <c r="Q295" s="34"/>
      <c r="R295" s="34"/>
      <c r="S295" s="34"/>
      <c r="T295" s="34"/>
    </row>
    <row r="296" spans="1:20">
      <c r="A296" s="32" t="s">
        <v>310</v>
      </c>
      <c r="C296" s="34"/>
      <c r="D296" s="34"/>
      <c r="E296" s="34"/>
      <c r="F296" s="34"/>
      <c r="G296" s="34"/>
      <c r="H296" s="34"/>
      <c r="I296" s="34"/>
      <c r="J296" s="34"/>
      <c r="L296" s="327"/>
      <c r="M296" s="327"/>
      <c r="N296" s="34"/>
      <c r="O296" s="34"/>
      <c r="P296" s="34"/>
      <c r="Q296" s="34"/>
      <c r="R296" s="34"/>
      <c r="S296" s="34"/>
      <c r="T296" s="325"/>
    </row>
    <row r="297" spans="1:20">
      <c r="A297" s="34" t="s">
        <v>255</v>
      </c>
      <c r="C297" s="184">
        <v>673.06201171875</v>
      </c>
      <c r="D297" s="183">
        <v>618.44274900000005</v>
      </c>
      <c r="E297" s="183">
        <v>601.20519999999999</v>
      </c>
      <c r="F297" s="183">
        <v>565.92767300000003</v>
      </c>
      <c r="G297" s="183">
        <v>538.84704599999998</v>
      </c>
      <c r="H297" s="183">
        <v>521.03576699999996</v>
      </c>
      <c r="I297" s="183">
        <v>512.76214600000003</v>
      </c>
      <c r="J297" s="183">
        <v>510.818085</v>
      </c>
      <c r="T297" s="325"/>
    </row>
    <row r="298" spans="1:20">
      <c r="A298" s="34" t="s">
        <v>200</v>
      </c>
      <c r="C298" s="184">
        <v>481.41000366210898</v>
      </c>
      <c r="D298" s="183">
        <v>516.68060300000002</v>
      </c>
      <c r="E298" s="183">
        <v>510.20761099999999</v>
      </c>
      <c r="F298" s="183">
        <v>483.23846400000002</v>
      </c>
      <c r="G298" s="183">
        <v>457.36019900000002</v>
      </c>
      <c r="H298" s="183">
        <v>436.10687300000001</v>
      </c>
      <c r="I298" s="183">
        <v>420.70077500000002</v>
      </c>
      <c r="J298" s="183">
        <v>412.74560500000001</v>
      </c>
      <c r="T298" s="34"/>
    </row>
    <row r="299" spans="1:20">
      <c r="A299" s="34"/>
      <c r="C299" s="34"/>
      <c r="D299" s="34"/>
      <c r="E299" s="34"/>
      <c r="F299" s="34"/>
      <c r="G299" s="34"/>
      <c r="H299" s="34"/>
      <c r="I299" s="34"/>
      <c r="N299" s="34"/>
      <c r="O299" s="34"/>
      <c r="P299" s="34"/>
      <c r="Q299" s="34"/>
      <c r="R299" s="34"/>
      <c r="S299" s="34"/>
      <c r="T299" s="34"/>
    </row>
    <row r="300" spans="1:20">
      <c r="A300" s="32" t="s">
        <v>187</v>
      </c>
      <c r="C300" s="34"/>
      <c r="D300" s="34"/>
      <c r="E300" s="34"/>
      <c r="F300" s="34"/>
      <c r="G300" s="34"/>
      <c r="H300" s="34"/>
      <c r="I300" s="34"/>
      <c r="L300" s="327"/>
      <c r="M300" s="327"/>
      <c r="N300" s="34"/>
      <c r="O300" s="34"/>
      <c r="P300" s="34"/>
      <c r="Q300" s="34"/>
      <c r="R300" s="34"/>
      <c r="S300" s="34"/>
      <c r="T300" s="34"/>
    </row>
    <row r="301" spans="1:20">
      <c r="A301" s="32" t="s">
        <v>215</v>
      </c>
      <c r="C301" s="34"/>
      <c r="D301" s="34"/>
      <c r="E301" s="34"/>
      <c r="F301" s="34"/>
      <c r="G301" s="34"/>
      <c r="H301" s="34"/>
      <c r="I301" s="34"/>
      <c r="L301" s="327"/>
      <c r="M301" s="327"/>
      <c r="N301" s="34"/>
      <c r="O301" s="34"/>
      <c r="P301" s="34"/>
      <c r="Q301" s="34"/>
      <c r="R301" s="34"/>
      <c r="S301" s="34"/>
      <c r="T301" s="325"/>
    </row>
    <row r="302" spans="1:20">
      <c r="A302" s="34" t="s">
        <v>853</v>
      </c>
      <c r="C302" s="196">
        <v>0.97422799999999998</v>
      </c>
      <c r="D302" s="133">
        <v>0.91</v>
      </c>
      <c r="E302" s="183">
        <v>0.95128100000000004</v>
      </c>
      <c r="F302" s="183">
        <v>0.92034499999999997</v>
      </c>
      <c r="G302" s="183">
        <v>0.88965899999999998</v>
      </c>
      <c r="H302" s="183">
        <v>0.85840499999999997</v>
      </c>
      <c r="I302" s="183">
        <v>0.82547899999999996</v>
      </c>
      <c r="J302" s="183">
        <v>0.79220100000000004</v>
      </c>
      <c r="T302" s="325"/>
    </row>
    <row r="303" spans="1:20">
      <c r="A303" s="34" t="s">
        <v>311</v>
      </c>
      <c r="C303" s="24">
        <v>1.0231920000000001</v>
      </c>
      <c r="D303" s="133">
        <v>0.86</v>
      </c>
      <c r="E303" s="183">
        <v>0.95008300000000001</v>
      </c>
      <c r="F303" s="183">
        <v>0.91624399999999995</v>
      </c>
      <c r="G303" s="183">
        <v>0.92264299999999999</v>
      </c>
      <c r="H303" s="183">
        <v>0.932307</v>
      </c>
      <c r="I303" s="183">
        <v>0.93074699999999999</v>
      </c>
      <c r="J303" s="183">
        <v>0.92602300000000004</v>
      </c>
      <c r="T303" s="325"/>
    </row>
    <row r="304" spans="1:20">
      <c r="A304" s="34" t="s">
        <v>312</v>
      </c>
      <c r="C304" s="24">
        <v>0.97457899999999997</v>
      </c>
      <c r="D304" s="133">
        <v>0.9</v>
      </c>
      <c r="E304" s="183">
        <v>0.95341200000000004</v>
      </c>
      <c r="F304" s="183">
        <v>0.92342500000000005</v>
      </c>
      <c r="G304" s="183">
        <v>0.89810599999999996</v>
      </c>
      <c r="H304" s="183">
        <v>0.87608200000000003</v>
      </c>
      <c r="I304" s="183">
        <v>0.85571900000000001</v>
      </c>
      <c r="J304" s="183">
        <v>0.83712399999999998</v>
      </c>
      <c r="T304" s="34"/>
    </row>
    <row r="305" spans="1:20">
      <c r="A305" s="34"/>
      <c r="C305" s="34"/>
      <c r="D305" s="34"/>
      <c r="E305" s="34"/>
      <c r="F305" s="34"/>
      <c r="G305" s="34"/>
      <c r="H305" s="34"/>
      <c r="I305" s="34"/>
      <c r="J305" s="34"/>
      <c r="N305" s="34"/>
      <c r="O305" s="34"/>
      <c r="P305" s="34"/>
      <c r="Q305" s="34"/>
      <c r="R305" s="34"/>
      <c r="S305" s="34"/>
      <c r="T305" s="34"/>
    </row>
    <row r="306" spans="1:20">
      <c r="A306" s="32" t="s">
        <v>216</v>
      </c>
      <c r="C306" s="34"/>
      <c r="D306" s="34"/>
      <c r="E306" s="34"/>
      <c r="F306" s="34"/>
      <c r="G306" s="34"/>
      <c r="H306" s="34"/>
      <c r="I306" s="34"/>
      <c r="J306" s="34"/>
      <c r="L306" s="327"/>
      <c r="M306" s="327"/>
      <c r="N306" s="34"/>
      <c r="O306" s="34"/>
      <c r="P306" s="34"/>
      <c r="Q306" s="34"/>
      <c r="R306" s="34"/>
      <c r="S306" s="34"/>
      <c r="T306" s="325"/>
    </row>
    <row r="307" spans="1:20">
      <c r="A307" s="34" t="s">
        <v>853</v>
      </c>
      <c r="C307" s="196">
        <v>0.985433</v>
      </c>
      <c r="D307" s="133">
        <v>0.96</v>
      </c>
      <c r="E307" s="183">
        <v>0.97746200000000005</v>
      </c>
      <c r="F307" s="183">
        <v>0.96739200000000003</v>
      </c>
      <c r="G307" s="183">
        <v>0.95709200000000005</v>
      </c>
      <c r="H307" s="183">
        <v>0.94655800000000001</v>
      </c>
      <c r="I307" s="183">
        <v>0.93499399999999999</v>
      </c>
      <c r="J307" s="183">
        <v>0.92303800000000003</v>
      </c>
      <c r="T307" s="325"/>
    </row>
    <row r="308" spans="1:20">
      <c r="A308" s="34" t="s">
        <v>311</v>
      </c>
      <c r="C308" s="24">
        <v>1.0663450000000001</v>
      </c>
      <c r="D308" s="133">
        <v>0.98</v>
      </c>
      <c r="E308" s="183">
        <v>1.0298560000000001</v>
      </c>
      <c r="F308" s="183">
        <v>1.009806</v>
      </c>
      <c r="G308" s="183">
        <v>1.013566</v>
      </c>
      <c r="H308" s="183">
        <v>1.0193810000000001</v>
      </c>
      <c r="I308" s="183">
        <v>1.020062</v>
      </c>
      <c r="J308" s="183">
        <v>1.0193559999999999</v>
      </c>
      <c r="T308" s="325"/>
    </row>
    <row r="309" spans="1:20">
      <c r="A309" s="34" t="s">
        <v>312</v>
      </c>
      <c r="C309" s="24">
        <v>0.98617900000000003</v>
      </c>
      <c r="D309" s="133">
        <v>0.96</v>
      </c>
      <c r="E309" s="183">
        <v>0.98068299999999997</v>
      </c>
      <c r="F309" s="183">
        <v>0.97319900000000004</v>
      </c>
      <c r="G309" s="183">
        <v>0.96629900000000002</v>
      </c>
      <c r="H309" s="183">
        <v>0.95999199999999996</v>
      </c>
      <c r="I309" s="183">
        <v>0.95335899999999996</v>
      </c>
      <c r="J309" s="183">
        <v>0.94671799999999995</v>
      </c>
      <c r="T309" s="34"/>
    </row>
    <row r="310" spans="1:20">
      <c r="A310" s="34"/>
      <c r="C310" s="313"/>
      <c r="D310" s="313"/>
      <c r="E310" s="313"/>
      <c r="F310" s="313"/>
      <c r="G310" s="313"/>
      <c r="H310" s="313"/>
      <c r="L310" s="34"/>
      <c r="M310" s="34"/>
      <c r="N310" s="34"/>
      <c r="O310" s="34"/>
      <c r="P310" s="34"/>
      <c r="Q310" s="34"/>
      <c r="R310" s="34"/>
      <c r="S310" s="325"/>
      <c r="T310" s="34"/>
    </row>
    <row r="311" spans="1:20" s="355" customFormat="1" ht="15" customHeight="1">
      <c r="A311" s="812" t="s">
        <v>2363</v>
      </c>
      <c r="B311" s="812"/>
      <c r="C311" s="812"/>
      <c r="D311" s="812"/>
      <c r="E311" s="812"/>
      <c r="F311" s="812"/>
      <c r="G311" s="812"/>
      <c r="H311" s="812"/>
    </row>
    <row r="312" spans="1:20" s="34" customFormat="1" ht="15" customHeight="1">
      <c r="A312" s="809" t="s">
        <v>2364</v>
      </c>
      <c r="B312" s="809"/>
      <c r="C312" s="809"/>
      <c r="D312" s="809"/>
      <c r="E312" s="809"/>
      <c r="F312" s="809"/>
      <c r="G312" s="809"/>
      <c r="H312" s="809"/>
    </row>
    <row r="313" spans="1:20" s="34" customFormat="1" ht="15" customHeight="1">
      <c r="A313" s="809" t="s">
        <v>2365</v>
      </c>
      <c r="B313" s="809"/>
      <c r="C313" s="809"/>
      <c r="D313" s="809"/>
      <c r="E313" s="809"/>
      <c r="F313" s="809"/>
      <c r="G313" s="809"/>
      <c r="H313" s="809"/>
    </row>
    <row r="314" spans="1:20" s="34" customFormat="1" ht="15" customHeight="1">
      <c r="A314" s="809" t="s">
        <v>2366</v>
      </c>
      <c r="B314" s="809"/>
      <c r="C314" s="809"/>
      <c r="D314" s="809"/>
      <c r="E314" s="809"/>
      <c r="F314" s="809"/>
      <c r="G314" s="809"/>
      <c r="H314" s="809"/>
    </row>
    <row r="315" spans="1:20" s="34" customFormat="1" ht="15" customHeight="1">
      <c r="A315" s="809" t="s">
        <v>2367</v>
      </c>
      <c r="B315" s="809"/>
      <c r="C315" s="809"/>
      <c r="D315" s="809"/>
      <c r="E315" s="809"/>
      <c r="F315" s="809"/>
      <c r="G315" s="809"/>
      <c r="H315" s="809"/>
    </row>
    <row r="316" spans="1:20" s="34" customFormat="1" ht="15" customHeight="1">
      <c r="A316" s="809" t="s">
        <v>2368</v>
      </c>
      <c r="B316" s="809"/>
      <c r="C316" s="809"/>
      <c r="D316" s="809"/>
      <c r="E316" s="809"/>
      <c r="F316" s="809"/>
      <c r="G316" s="809"/>
      <c r="H316" s="809"/>
    </row>
    <row r="317" spans="1:20" s="34" customFormat="1" ht="15" customHeight="1">
      <c r="A317" s="809" t="s">
        <v>2369</v>
      </c>
      <c r="B317" s="809"/>
      <c r="C317" s="809"/>
      <c r="D317" s="809"/>
      <c r="E317" s="809"/>
      <c r="F317" s="809"/>
      <c r="G317" s="809"/>
      <c r="H317" s="809"/>
    </row>
    <row r="318" spans="1:20" s="34" customFormat="1" ht="15" customHeight="1">
      <c r="A318" s="809" t="s">
        <v>2370</v>
      </c>
      <c r="B318" s="809"/>
      <c r="C318" s="809"/>
      <c r="D318" s="809"/>
      <c r="E318" s="809"/>
      <c r="F318" s="809"/>
      <c r="G318" s="809"/>
      <c r="H318" s="809"/>
    </row>
    <row r="319" spans="1:20" s="34" customFormat="1" ht="15" customHeight="1">
      <c r="A319" s="809" t="s">
        <v>2371</v>
      </c>
      <c r="B319" s="809"/>
      <c r="C319" s="809"/>
      <c r="D319" s="809"/>
      <c r="E319" s="809"/>
      <c r="F319" s="809"/>
      <c r="G319" s="809"/>
      <c r="H319" s="809"/>
    </row>
    <row r="320" spans="1:20" s="34" customFormat="1" ht="15" customHeight="1">
      <c r="A320" s="809" t="s">
        <v>2372</v>
      </c>
      <c r="B320" s="809"/>
      <c r="C320" s="809"/>
      <c r="D320" s="809"/>
      <c r="E320" s="809"/>
      <c r="F320" s="809"/>
      <c r="G320" s="809"/>
      <c r="H320" s="809"/>
    </row>
    <row r="321" spans="1:8" s="34" customFormat="1" ht="15" customHeight="1">
      <c r="A321" s="809" t="s">
        <v>2373</v>
      </c>
      <c r="B321" s="809"/>
      <c r="C321" s="809"/>
      <c r="D321" s="809"/>
      <c r="E321" s="809"/>
      <c r="F321" s="809"/>
      <c r="G321" s="809"/>
      <c r="H321" s="809"/>
    </row>
    <row r="322" spans="1:8" s="34" customFormat="1" ht="15" customHeight="1">
      <c r="A322" s="809" t="s">
        <v>2374</v>
      </c>
      <c r="B322" s="809"/>
      <c r="C322" s="809"/>
      <c r="D322" s="809"/>
      <c r="E322" s="809"/>
      <c r="F322" s="809"/>
      <c r="G322" s="809"/>
      <c r="H322" s="809"/>
    </row>
    <row r="323" spans="1:8" s="34" customFormat="1" ht="15" customHeight="1">
      <c r="A323" s="809" t="s">
        <v>2375</v>
      </c>
      <c r="B323" s="809"/>
      <c r="C323" s="809"/>
      <c r="D323" s="809"/>
      <c r="E323" s="809"/>
      <c r="F323" s="809"/>
      <c r="G323" s="809"/>
      <c r="H323" s="809"/>
    </row>
    <row r="324" spans="1:8" s="34" customFormat="1" ht="15" customHeight="1">
      <c r="A324" s="809" t="s">
        <v>2376</v>
      </c>
      <c r="B324" s="809"/>
      <c r="C324" s="809"/>
      <c r="D324" s="809"/>
      <c r="E324" s="809"/>
      <c r="F324" s="809"/>
      <c r="G324" s="809"/>
      <c r="H324" s="809"/>
    </row>
    <row r="325" spans="1:8" s="34" customFormat="1" ht="15" customHeight="1">
      <c r="A325" s="809" t="s">
        <v>2377</v>
      </c>
      <c r="B325" s="809"/>
      <c r="C325" s="809"/>
      <c r="D325" s="809"/>
      <c r="E325" s="809"/>
      <c r="F325" s="809"/>
      <c r="G325" s="809"/>
      <c r="H325" s="809"/>
    </row>
    <row r="326" spans="1:8" s="34" customFormat="1" ht="15" customHeight="1">
      <c r="A326" s="809" t="s">
        <v>2378</v>
      </c>
      <c r="B326" s="809"/>
      <c r="C326" s="809"/>
      <c r="D326" s="809"/>
      <c r="E326" s="809"/>
      <c r="F326" s="809"/>
      <c r="G326" s="809"/>
      <c r="H326" s="809"/>
    </row>
    <row r="327" spans="1:8" s="34" customFormat="1" ht="15" customHeight="1">
      <c r="A327" s="809" t="s">
        <v>2379</v>
      </c>
      <c r="B327" s="809"/>
      <c r="C327" s="809"/>
      <c r="D327" s="809"/>
      <c r="E327" s="809"/>
      <c r="F327" s="809"/>
      <c r="G327" s="809"/>
      <c r="H327" s="809"/>
    </row>
    <row r="328" spans="1:8" s="34" customFormat="1" ht="15" customHeight="1">
      <c r="A328" s="809" t="s">
        <v>2380</v>
      </c>
      <c r="B328" s="809"/>
      <c r="C328" s="809"/>
      <c r="D328" s="809"/>
      <c r="E328" s="809"/>
      <c r="F328" s="809"/>
      <c r="G328" s="809"/>
      <c r="H328" s="809"/>
    </row>
    <row r="329" spans="1:8" s="34" customFormat="1" ht="15" customHeight="1">
      <c r="A329" s="809" t="s">
        <v>2381</v>
      </c>
      <c r="B329" s="809"/>
      <c r="C329" s="809"/>
      <c r="D329" s="809"/>
      <c r="E329" s="809"/>
      <c r="F329" s="809"/>
      <c r="G329" s="809"/>
      <c r="H329" s="809"/>
    </row>
    <row r="330" spans="1:8" s="34" customFormat="1" ht="15" customHeight="1">
      <c r="A330" s="809" t="s">
        <v>2382</v>
      </c>
      <c r="B330" s="809"/>
      <c r="C330" s="809"/>
      <c r="D330" s="809"/>
      <c r="E330" s="809"/>
      <c r="F330" s="809"/>
      <c r="G330" s="809"/>
      <c r="H330" s="809"/>
    </row>
    <row r="331" spans="1:8" s="34" customFormat="1" ht="15" customHeight="1">
      <c r="A331" s="809" t="s">
        <v>2383</v>
      </c>
      <c r="B331" s="809"/>
      <c r="C331" s="809"/>
      <c r="D331" s="809"/>
      <c r="E331" s="809"/>
      <c r="F331" s="809"/>
      <c r="G331" s="809"/>
      <c r="H331" s="809"/>
    </row>
    <row r="332" spans="1:8" s="34" customFormat="1" ht="15" customHeight="1">
      <c r="A332" s="809" t="s">
        <v>2384</v>
      </c>
      <c r="B332" s="809"/>
      <c r="C332" s="809"/>
      <c r="D332" s="809"/>
      <c r="E332" s="809"/>
      <c r="F332" s="809"/>
      <c r="G332" s="809"/>
      <c r="H332" s="809"/>
    </row>
    <row r="333" spans="1:8" s="34" customFormat="1" ht="15" customHeight="1">
      <c r="A333" s="809" t="s">
        <v>2385</v>
      </c>
      <c r="B333" s="809"/>
      <c r="C333" s="809"/>
      <c r="D333" s="809"/>
      <c r="E333" s="809"/>
      <c r="F333" s="809"/>
      <c r="G333" s="809"/>
      <c r="H333" s="809"/>
    </row>
    <row r="334" spans="1:8" s="34" customFormat="1" ht="15" customHeight="1">
      <c r="A334" s="809" t="s">
        <v>2386</v>
      </c>
      <c r="B334" s="809"/>
      <c r="C334" s="809"/>
      <c r="D334" s="809"/>
      <c r="E334" s="809"/>
      <c r="F334" s="809"/>
      <c r="G334" s="809"/>
      <c r="H334" s="809"/>
    </row>
    <row r="335" spans="1:8" s="34" customFormat="1" ht="15" customHeight="1">
      <c r="A335" s="809" t="s">
        <v>2387</v>
      </c>
      <c r="B335" s="809"/>
      <c r="C335" s="809"/>
      <c r="D335" s="809"/>
      <c r="E335" s="809"/>
      <c r="F335" s="809"/>
      <c r="G335" s="809"/>
      <c r="H335" s="809"/>
    </row>
    <row r="336" spans="1:8" s="34" customFormat="1" ht="15" customHeight="1">
      <c r="A336" s="809" t="s">
        <v>2388</v>
      </c>
      <c r="B336" s="809"/>
      <c r="C336" s="809"/>
      <c r="D336" s="809"/>
      <c r="E336" s="809"/>
      <c r="F336" s="809"/>
      <c r="G336" s="809"/>
      <c r="H336" s="809"/>
    </row>
    <row r="337" spans="1:20" s="34" customFormat="1" ht="15" customHeight="1">
      <c r="A337" s="809" t="s">
        <v>2389</v>
      </c>
      <c r="B337" s="809"/>
      <c r="C337" s="809"/>
      <c r="D337" s="809"/>
      <c r="E337" s="809"/>
      <c r="F337" s="809"/>
      <c r="G337" s="809"/>
      <c r="H337" s="809"/>
    </row>
    <row r="338" spans="1:20" s="34" customFormat="1"/>
    <row r="339" spans="1:20">
      <c r="B339" s="34"/>
      <c r="C339" s="34"/>
      <c r="D339" s="186"/>
      <c r="E339" s="186"/>
      <c r="F339" s="186"/>
      <c r="G339" s="186"/>
      <c r="H339" s="186"/>
      <c r="I339" s="186"/>
      <c r="J339" s="186"/>
      <c r="K339" s="325"/>
      <c r="L339" s="34"/>
      <c r="M339" s="34"/>
      <c r="N339" s="34"/>
      <c r="O339" s="34"/>
      <c r="P339" s="34"/>
      <c r="Q339" s="34"/>
      <c r="R339" s="34"/>
      <c r="S339" s="34"/>
      <c r="T339" s="34"/>
    </row>
    <row r="340" spans="1:20">
      <c r="B340" s="32"/>
      <c r="C340" s="32"/>
      <c r="D340" s="329"/>
      <c r="E340" s="329"/>
      <c r="F340" s="329"/>
      <c r="G340" s="329"/>
      <c r="H340" s="329"/>
      <c r="I340" s="329"/>
      <c r="J340" s="329"/>
      <c r="K340" s="330"/>
      <c r="L340" s="34"/>
      <c r="M340" s="34"/>
      <c r="N340" s="34"/>
      <c r="O340" s="34"/>
      <c r="P340" s="34"/>
      <c r="Q340" s="34"/>
      <c r="R340" s="34"/>
      <c r="S340" s="34"/>
      <c r="T340" s="34"/>
    </row>
    <row r="341" spans="1:20">
      <c r="B341" s="34"/>
      <c r="C341" s="34"/>
      <c r="D341" s="34"/>
      <c r="E341" s="34"/>
      <c r="F341" s="34"/>
      <c r="G341" s="34"/>
      <c r="H341" s="34"/>
      <c r="I341" s="34"/>
      <c r="J341" s="34"/>
      <c r="K341" s="34"/>
      <c r="N341" s="34"/>
      <c r="O341" s="34"/>
      <c r="P341" s="34"/>
      <c r="Q341" s="34"/>
      <c r="R341" s="34"/>
      <c r="S341" s="34"/>
    </row>
    <row r="342" spans="1:20">
      <c r="B342" s="32"/>
      <c r="C342" s="32"/>
      <c r="D342" s="34"/>
      <c r="E342" s="34"/>
      <c r="F342" s="34"/>
      <c r="G342" s="34"/>
      <c r="H342" s="34"/>
      <c r="I342" s="34"/>
      <c r="J342" s="34"/>
      <c r="K342" s="34"/>
      <c r="N342" s="34"/>
      <c r="O342" s="34"/>
      <c r="P342" s="34"/>
      <c r="Q342" s="34"/>
      <c r="R342" s="34"/>
      <c r="S342" s="34"/>
    </row>
    <row r="343" spans="1:20">
      <c r="B343" s="34"/>
      <c r="C343" s="34"/>
      <c r="D343" s="186"/>
      <c r="E343" s="186"/>
      <c r="F343" s="186"/>
      <c r="G343" s="186"/>
      <c r="H343" s="186"/>
      <c r="I343" s="186"/>
      <c r="J343" s="186"/>
      <c r="K343" s="325"/>
      <c r="N343" s="34"/>
      <c r="O343" s="34"/>
      <c r="P343" s="34"/>
      <c r="Q343" s="34"/>
      <c r="R343" s="34"/>
      <c r="S343" s="34"/>
    </row>
    <row r="344" spans="1:20">
      <c r="B344" s="34"/>
      <c r="C344" s="34"/>
      <c r="D344" s="186"/>
      <c r="E344" s="186"/>
      <c r="F344" s="186"/>
      <c r="G344" s="186"/>
      <c r="H344" s="186"/>
      <c r="I344" s="186"/>
      <c r="J344" s="186"/>
      <c r="K344" s="325"/>
      <c r="N344" s="34"/>
      <c r="O344" s="34"/>
      <c r="P344" s="34"/>
      <c r="Q344" s="34"/>
      <c r="R344" s="34"/>
      <c r="S344" s="34"/>
    </row>
    <row r="345" spans="1:20">
      <c r="B345" s="34"/>
      <c r="C345" s="34"/>
      <c r="D345" s="186"/>
      <c r="E345" s="186"/>
      <c r="F345" s="186"/>
      <c r="G345" s="186"/>
      <c r="H345" s="186"/>
      <c r="I345" s="186"/>
      <c r="J345" s="186"/>
      <c r="K345" s="325"/>
      <c r="N345" s="34"/>
      <c r="O345" s="34"/>
      <c r="P345" s="34"/>
      <c r="Q345" s="34"/>
      <c r="R345" s="34"/>
      <c r="S345" s="34"/>
    </row>
    <row r="346" spans="1:20">
      <c r="B346" s="34"/>
      <c r="C346" s="34"/>
      <c r="D346" s="186"/>
      <c r="E346" s="186"/>
      <c r="F346" s="186"/>
      <c r="G346" s="186"/>
      <c r="H346" s="186"/>
      <c r="I346" s="186"/>
      <c r="J346" s="186"/>
      <c r="K346" s="325"/>
      <c r="N346" s="34"/>
      <c r="O346" s="34"/>
      <c r="P346" s="34"/>
      <c r="Q346" s="34"/>
      <c r="R346" s="34"/>
      <c r="S346" s="34"/>
    </row>
    <row r="347" spans="1:20">
      <c r="B347" s="34"/>
      <c r="C347" s="34"/>
      <c r="D347" s="186"/>
      <c r="E347" s="186"/>
      <c r="F347" s="186"/>
      <c r="G347" s="186"/>
      <c r="H347" s="186"/>
      <c r="I347" s="186"/>
      <c r="J347" s="186"/>
      <c r="K347" s="325"/>
      <c r="N347" s="34"/>
      <c r="O347" s="34"/>
      <c r="P347" s="34"/>
      <c r="Q347" s="34"/>
      <c r="R347" s="34"/>
      <c r="S347" s="34"/>
    </row>
    <row r="348" spans="1:20">
      <c r="B348" s="32"/>
      <c r="C348" s="32"/>
      <c r="D348" s="329"/>
      <c r="E348" s="329"/>
      <c r="F348" s="329"/>
      <c r="G348" s="329"/>
      <c r="H348" s="329"/>
      <c r="I348" s="329"/>
      <c r="J348" s="329"/>
      <c r="K348" s="330"/>
      <c r="N348" s="34"/>
      <c r="S348" s="34"/>
    </row>
    <row r="349" spans="1:20">
      <c r="B349" s="34"/>
      <c r="C349" s="34"/>
      <c r="D349" s="34"/>
      <c r="E349" s="34"/>
      <c r="F349" s="34"/>
      <c r="G349" s="34"/>
      <c r="H349" s="34"/>
      <c r="I349" s="34"/>
      <c r="J349" s="34"/>
      <c r="K349" s="34"/>
      <c r="S349" s="34"/>
    </row>
    <row r="350" spans="1:20">
      <c r="B350" s="32"/>
      <c r="C350" s="32"/>
      <c r="D350" s="34"/>
      <c r="E350" s="34"/>
      <c r="F350" s="34"/>
      <c r="G350" s="34"/>
      <c r="H350" s="34"/>
      <c r="I350" s="34"/>
      <c r="J350" s="34"/>
      <c r="K350" s="34"/>
    </row>
    <row r="351" spans="1:20">
      <c r="B351" s="34"/>
      <c r="C351" s="34"/>
      <c r="D351" s="186"/>
      <c r="E351" s="186"/>
      <c r="F351" s="186"/>
      <c r="G351" s="186"/>
      <c r="H351" s="186"/>
      <c r="I351" s="186"/>
      <c r="J351" s="186"/>
      <c r="K351" s="325"/>
    </row>
    <row r="352" spans="1:20">
      <c r="B352" s="34"/>
      <c r="C352" s="34"/>
      <c r="D352" s="186"/>
      <c r="E352" s="186"/>
      <c r="F352" s="186"/>
      <c r="G352" s="186"/>
      <c r="H352" s="186"/>
      <c r="I352" s="186"/>
      <c r="J352" s="186"/>
      <c r="K352" s="325"/>
    </row>
    <row r="353" spans="2:11">
      <c r="B353" s="34"/>
      <c r="C353" s="34"/>
      <c r="D353" s="186"/>
      <c r="E353" s="186"/>
      <c r="F353" s="186"/>
      <c r="G353" s="186"/>
      <c r="H353" s="186"/>
      <c r="I353" s="186"/>
      <c r="J353" s="186"/>
      <c r="K353" s="325"/>
    </row>
    <row r="354" spans="2:11">
      <c r="B354" s="32"/>
      <c r="C354" s="32"/>
      <c r="D354" s="329"/>
      <c r="E354" s="329"/>
      <c r="F354" s="329"/>
      <c r="G354" s="329"/>
      <c r="H354" s="329"/>
      <c r="I354" s="329"/>
      <c r="J354" s="329"/>
      <c r="K354" s="330"/>
    </row>
    <row r="355" spans="2:11">
      <c r="B355" s="34"/>
      <c r="C355" s="34"/>
      <c r="D355" s="34"/>
      <c r="E355" s="34"/>
      <c r="F355" s="34"/>
      <c r="G355" s="34"/>
      <c r="H355" s="34"/>
      <c r="I355" s="34"/>
      <c r="J355" s="34"/>
      <c r="K355" s="34"/>
    </row>
    <row r="356" spans="2:11">
      <c r="B356" s="32"/>
      <c r="C356" s="32"/>
      <c r="D356" s="34"/>
      <c r="E356" s="34"/>
      <c r="F356" s="34"/>
      <c r="G356" s="34"/>
      <c r="H356" s="34"/>
      <c r="I356" s="34"/>
      <c r="J356" s="34"/>
      <c r="K356" s="34"/>
    </row>
    <row r="357" spans="2:11">
      <c r="B357" s="34"/>
      <c r="C357" s="34"/>
      <c r="D357" s="186"/>
      <c r="E357" s="186"/>
      <c r="F357" s="186"/>
      <c r="G357" s="186"/>
      <c r="H357" s="186"/>
      <c r="I357" s="186"/>
      <c r="J357" s="186"/>
      <c r="K357" s="325"/>
    </row>
    <row r="358" spans="2:11">
      <c r="B358" s="34"/>
      <c r="C358" s="34"/>
      <c r="D358" s="186"/>
      <c r="E358" s="186"/>
      <c r="F358" s="186"/>
      <c r="G358" s="186"/>
      <c r="H358" s="186"/>
      <c r="I358" s="186"/>
      <c r="J358" s="186"/>
      <c r="K358" s="325"/>
    </row>
    <row r="359" spans="2:11">
      <c r="B359" s="32"/>
      <c r="C359" s="32"/>
      <c r="D359" s="329"/>
      <c r="E359" s="329"/>
      <c r="F359" s="329"/>
      <c r="G359" s="329"/>
      <c r="H359" s="329"/>
      <c r="I359" s="329"/>
      <c r="J359" s="329"/>
      <c r="K359" s="330"/>
    </row>
    <row r="360" spans="2:11">
      <c r="B360" s="34"/>
      <c r="C360" s="34"/>
      <c r="D360" s="34"/>
      <c r="E360" s="34"/>
      <c r="F360" s="34"/>
      <c r="G360" s="34"/>
      <c r="H360" s="34"/>
      <c r="I360" s="34"/>
      <c r="J360" s="34"/>
      <c r="K360" s="34"/>
    </row>
    <row r="361" spans="2:11">
      <c r="B361" s="32"/>
      <c r="C361" s="32"/>
      <c r="D361" s="34"/>
      <c r="E361" s="34"/>
      <c r="F361" s="34"/>
      <c r="G361" s="34"/>
      <c r="H361" s="34"/>
      <c r="I361" s="34"/>
      <c r="J361" s="34"/>
      <c r="K361" s="34"/>
    </row>
    <row r="362" spans="2:11">
      <c r="B362" s="34"/>
      <c r="C362" s="34"/>
      <c r="D362" s="186"/>
      <c r="E362" s="186"/>
      <c r="F362" s="186"/>
      <c r="G362" s="186"/>
      <c r="H362" s="186"/>
      <c r="I362" s="186"/>
      <c r="J362" s="186"/>
      <c r="K362" s="325"/>
    </row>
    <row r="363" spans="2:11">
      <c r="B363" s="34"/>
      <c r="C363" s="34"/>
      <c r="D363" s="186"/>
      <c r="E363" s="186"/>
      <c r="F363" s="186"/>
      <c r="G363" s="186"/>
      <c r="H363" s="186"/>
      <c r="I363" s="186"/>
      <c r="J363" s="186"/>
      <c r="K363" s="325"/>
    </row>
    <row r="364" spans="2:11">
      <c r="B364" s="34"/>
      <c r="C364" s="34"/>
      <c r="D364" s="34"/>
      <c r="E364" s="34"/>
      <c r="F364" s="34"/>
      <c r="G364" s="34"/>
      <c r="H364" s="34"/>
      <c r="I364" s="34"/>
      <c r="J364" s="34"/>
      <c r="K364" s="34"/>
    </row>
    <row r="365" spans="2:11">
      <c r="B365" s="32"/>
      <c r="C365" s="32"/>
      <c r="D365" s="34"/>
      <c r="E365" s="34"/>
      <c r="F365" s="34"/>
      <c r="G365" s="34"/>
      <c r="H365" s="34"/>
      <c r="I365" s="34"/>
      <c r="J365" s="34"/>
      <c r="K365" s="34"/>
    </row>
    <row r="366" spans="2:11">
      <c r="B366" s="32"/>
      <c r="C366" s="32"/>
      <c r="D366" s="34"/>
      <c r="E366" s="34"/>
      <c r="F366" s="34"/>
      <c r="G366" s="34"/>
      <c r="H366" s="34"/>
      <c r="I366" s="34"/>
      <c r="J366" s="34"/>
      <c r="K366" s="34"/>
    </row>
    <row r="367" spans="2:11">
      <c r="B367" s="34"/>
      <c r="C367" s="34"/>
      <c r="D367" s="186"/>
      <c r="E367" s="186"/>
      <c r="F367" s="186"/>
      <c r="G367" s="186"/>
      <c r="H367" s="186"/>
      <c r="I367" s="186"/>
      <c r="J367" s="186"/>
      <c r="K367" s="325"/>
    </row>
    <row r="368" spans="2:11">
      <c r="B368" s="34"/>
      <c r="C368" s="34"/>
      <c r="D368" s="186"/>
      <c r="E368" s="186"/>
      <c r="F368" s="186"/>
      <c r="G368" s="186"/>
      <c r="H368" s="186"/>
      <c r="I368" s="186"/>
      <c r="J368" s="186"/>
      <c r="K368" s="325"/>
    </row>
    <row r="369" spans="2:11">
      <c r="B369" s="34"/>
      <c r="C369" s="34"/>
      <c r="D369" s="186"/>
      <c r="E369" s="186"/>
      <c r="F369" s="186"/>
      <c r="G369" s="186"/>
      <c r="H369" s="186"/>
      <c r="I369" s="186"/>
      <c r="J369" s="186"/>
      <c r="K369" s="325"/>
    </row>
    <row r="370" spans="2:11">
      <c r="B370" s="34"/>
      <c r="C370" s="34"/>
      <c r="D370" s="186"/>
      <c r="E370" s="186"/>
      <c r="F370" s="186"/>
      <c r="G370" s="186"/>
      <c r="H370" s="186"/>
      <c r="I370" s="186"/>
      <c r="J370" s="186"/>
      <c r="K370" s="325"/>
    </row>
    <row r="371" spans="2:11">
      <c r="B371" s="34"/>
      <c r="C371" s="34"/>
      <c r="D371" s="186"/>
      <c r="E371" s="186"/>
      <c r="F371" s="186"/>
      <c r="G371" s="186"/>
      <c r="H371" s="186"/>
      <c r="I371" s="186"/>
      <c r="J371" s="186"/>
      <c r="K371" s="325"/>
    </row>
    <row r="372" spans="2:11">
      <c r="B372" s="34"/>
      <c r="C372" s="34"/>
      <c r="D372" s="34"/>
      <c r="E372" s="34"/>
      <c r="F372" s="34"/>
      <c r="G372" s="34"/>
      <c r="H372" s="34"/>
      <c r="I372" s="34"/>
      <c r="J372" s="34"/>
      <c r="K372" s="34"/>
    </row>
    <row r="373" spans="2:11">
      <c r="B373" s="32"/>
      <c r="C373" s="32"/>
      <c r="D373" s="34"/>
      <c r="E373" s="34"/>
      <c r="F373" s="34"/>
      <c r="G373" s="34"/>
      <c r="H373" s="34"/>
      <c r="I373" s="34"/>
      <c r="J373" s="34"/>
      <c r="K373" s="34"/>
    </row>
    <row r="374" spans="2:11">
      <c r="B374" s="34"/>
      <c r="C374" s="34"/>
      <c r="D374" s="186"/>
      <c r="E374" s="186"/>
      <c r="F374" s="186"/>
      <c r="G374" s="186"/>
      <c r="H374" s="186"/>
      <c r="I374" s="186"/>
      <c r="J374" s="186"/>
      <c r="K374" s="325"/>
    </row>
    <row r="375" spans="2:11">
      <c r="B375" s="34"/>
      <c r="C375" s="34"/>
      <c r="D375" s="186"/>
      <c r="E375" s="186"/>
      <c r="F375" s="186"/>
      <c r="G375" s="186"/>
      <c r="H375" s="186"/>
      <c r="I375" s="186"/>
      <c r="J375" s="186"/>
      <c r="K375" s="325"/>
    </row>
    <row r="376" spans="2:11">
      <c r="B376" s="34"/>
      <c r="C376" s="34"/>
      <c r="D376" s="186"/>
      <c r="E376" s="186"/>
      <c r="F376" s="186"/>
      <c r="G376" s="186"/>
      <c r="H376" s="186"/>
      <c r="I376" s="186"/>
      <c r="J376" s="186"/>
      <c r="K376" s="325"/>
    </row>
    <row r="377" spans="2:11">
      <c r="B377" s="34"/>
      <c r="C377" s="34"/>
      <c r="D377" s="186"/>
      <c r="E377" s="186"/>
      <c r="F377" s="186"/>
      <c r="G377" s="186"/>
      <c r="H377" s="186"/>
      <c r="I377" s="186"/>
      <c r="J377" s="186"/>
      <c r="K377" s="325"/>
    </row>
    <row r="378" spans="2:11">
      <c r="B378" s="34"/>
      <c r="C378" s="34"/>
      <c r="D378" s="186"/>
      <c r="E378" s="186"/>
      <c r="F378" s="186"/>
      <c r="G378" s="186"/>
      <c r="H378" s="186"/>
      <c r="I378" s="186"/>
      <c r="J378" s="186"/>
      <c r="K378" s="325"/>
    </row>
    <row r="379" spans="2:11">
      <c r="B379" s="34"/>
      <c r="C379" s="34"/>
      <c r="D379" s="34"/>
      <c r="E379" s="34"/>
      <c r="F379" s="34"/>
      <c r="G379" s="34"/>
      <c r="H379" s="34"/>
      <c r="I379" s="34"/>
      <c r="J379" s="34"/>
      <c r="K379" s="34"/>
    </row>
    <row r="380" spans="2:11">
      <c r="B380" s="32"/>
      <c r="C380" s="32"/>
      <c r="D380" s="34"/>
      <c r="E380" s="34"/>
      <c r="F380" s="34"/>
      <c r="G380" s="34"/>
      <c r="H380" s="34"/>
      <c r="I380" s="34"/>
      <c r="J380" s="34"/>
      <c r="K380" s="34"/>
    </row>
    <row r="381" spans="2:11">
      <c r="B381" s="34"/>
      <c r="C381" s="34"/>
      <c r="D381" s="186"/>
      <c r="E381" s="186"/>
      <c r="F381" s="186"/>
      <c r="G381" s="186"/>
      <c r="H381" s="186"/>
      <c r="I381" s="186"/>
      <c r="J381" s="186"/>
      <c r="K381" s="325"/>
    </row>
    <row r="382" spans="2:11">
      <c r="B382" s="34"/>
      <c r="C382" s="34"/>
      <c r="D382" s="186"/>
      <c r="E382" s="186"/>
      <c r="F382" s="186"/>
      <c r="G382" s="186"/>
      <c r="H382" s="186"/>
      <c r="I382" s="186"/>
      <c r="J382" s="186"/>
      <c r="K382" s="325"/>
    </row>
    <row r="383" spans="2:11">
      <c r="B383" s="34"/>
      <c r="C383" s="34"/>
      <c r="D383" s="186"/>
      <c r="E383" s="186"/>
      <c r="F383" s="186"/>
      <c r="G383" s="186"/>
      <c r="H383" s="186"/>
      <c r="I383" s="186"/>
      <c r="J383" s="186"/>
      <c r="K383" s="325"/>
    </row>
    <row r="384" spans="2:11">
      <c r="B384" s="34"/>
      <c r="C384" s="34"/>
      <c r="D384" s="186"/>
      <c r="E384" s="186"/>
      <c r="F384" s="186"/>
      <c r="G384" s="186"/>
      <c r="H384" s="186"/>
      <c r="I384" s="186"/>
      <c r="J384" s="186"/>
      <c r="K384" s="325"/>
    </row>
    <row r="385" spans="2:11">
      <c r="B385" s="34"/>
      <c r="C385" s="34"/>
      <c r="D385" s="34"/>
      <c r="E385" s="34"/>
      <c r="F385" s="34"/>
      <c r="G385" s="34"/>
      <c r="H385" s="34"/>
      <c r="I385" s="34"/>
      <c r="J385" s="34"/>
      <c r="K385" s="34"/>
    </row>
    <row r="386" spans="2:11">
      <c r="B386" s="32"/>
      <c r="C386" s="32"/>
      <c r="D386" s="34"/>
      <c r="E386" s="34"/>
      <c r="F386" s="34"/>
      <c r="G386" s="34"/>
      <c r="H386" s="34"/>
      <c r="I386" s="34"/>
      <c r="J386" s="34"/>
      <c r="K386" s="34"/>
    </row>
    <row r="387" spans="2:11">
      <c r="B387" s="34"/>
      <c r="C387" s="34"/>
      <c r="D387" s="186"/>
      <c r="E387" s="186"/>
      <c r="F387" s="186"/>
      <c r="G387" s="186"/>
      <c r="H387" s="186"/>
      <c r="I387" s="186"/>
      <c r="J387" s="186"/>
      <c r="K387" s="325"/>
    </row>
    <row r="388" spans="2:11">
      <c r="B388" s="34"/>
      <c r="C388" s="34"/>
      <c r="D388" s="186"/>
      <c r="E388" s="186"/>
      <c r="F388" s="186"/>
      <c r="G388" s="186"/>
      <c r="H388" s="186"/>
      <c r="I388" s="186"/>
      <c r="J388" s="186"/>
      <c r="K388" s="325"/>
    </row>
    <row r="389" spans="2:11">
      <c r="B389" s="34"/>
      <c r="C389" s="34"/>
      <c r="D389" s="34"/>
      <c r="E389" s="34"/>
      <c r="F389" s="34"/>
      <c r="G389" s="34"/>
      <c r="H389" s="34"/>
      <c r="I389" s="34"/>
      <c r="J389" s="34"/>
      <c r="K389" s="34"/>
    </row>
    <row r="390" spans="2:11">
      <c r="B390" s="32"/>
      <c r="C390" s="32"/>
      <c r="D390" s="34"/>
      <c r="E390" s="34"/>
      <c r="F390" s="34"/>
      <c r="G390" s="34"/>
      <c r="H390" s="34"/>
      <c r="I390" s="34"/>
      <c r="J390" s="34"/>
      <c r="K390" s="34"/>
    </row>
    <row r="391" spans="2:11">
      <c r="B391" s="32"/>
      <c r="C391" s="32"/>
      <c r="D391" s="34"/>
      <c r="E391" s="34"/>
      <c r="F391" s="34"/>
      <c r="G391" s="34"/>
      <c r="H391" s="34"/>
      <c r="I391" s="34"/>
      <c r="J391" s="34"/>
      <c r="K391" s="34"/>
    </row>
    <row r="392" spans="2:11">
      <c r="B392" s="34"/>
      <c r="C392" s="34"/>
      <c r="D392" s="186"/>
      <c r="E392" s="186"/>
      <c r="F392" s="186"/>
      <c r="G392" s="186"/>
      <c r="H392" s="186"/>
      <c r="I392" s="186"/>
      <c r="J392" s="186"/>
      <c r="K392" s="325"/>
    </row>
    <row r="393" spans="2:11">
      <c r="B393" s="34"/>
      <c r="C393" s="34"/>
      <c r="D393" s="186"/>
      <c r="E393" s="186"/>
      <c r="F393" s="186"/>
      <c r="G393" s="186"/>
      <c r="H393" s="186"/>
      <c r="I393" s="186"/>
      <c r="J393" s="186"/>
      <c r="K393" s="325"/>
    </row>
    <row r="394" spans="2:11">
      <c r="B394" s="34"/>
      <c r="C394" s="34"/>
      <c r="D394" s="186"/>
      <c r="E394" s="186"/>
      <c r="F394" s="186"/>
      <c r="G394" s="186"/>
      <c r="H394" s="186"/>
      <c r="I394" s="186"/>
      <c r="J394" s="186"/>
      <c r="K394" s="325"/>
    </row>
    <row r="395" spans="2:11">
      <c r="B395" s="34"/>
      <c r="C395" s="34"/>
      <c r="D395" s="34"/>
      <c r="E395" s="34"/>
      <c r="F395" s="34"/>
      <c r="G395" s="34"/>
      <c r="H395" s="34"/>
      <c r="I395" s="34"/>
      <c r="J395" s="34"/>
      <c r="K395" s="34"/>
    </row>
    <row r="396" spans="2:11">
      <c r="B396" s="32"/>
      <c r="C396" s="32"/>
      <c r="D396" s="34"/>
      <c r="E396" s="34"/>
      <c r="F396" s="34"/>
      <c r="G396" s="34"/>
      <c r="H396" s="34"/>
      <c r="I396" s="34"/>
      <c r="J396" s="34"/>
      <c r="K396" s="34"/>
    </row>
    <row r="397" spans="2:11">
      <c r="B397" s="34"/>
      <c r="C397" s="34"/>
      <c r="D397" s="186"/>
      <c r="E397" s="186"/>
      <c r="F397" s="186"/>
      <c r="G397" s="186"/>
      <c r="H397" s="186"/>
      <c r="I397" s="186"/>
      <c r="J397" s="186"/>
      <c r="K397" s="325"/>
    </row>
    <row r="398" spans="2:11">
      <c r="B398" s="34"/>
      <c r="C398" s="34"/>
      <c r="D398" s="186"/>
      <c r="E398" s="186"/>
      <c r="F398" s="186"/>
      <c r="G398" s="186"/>
      <c r="H398" s="186"/>
      <c r="I398" s="186"/>
      <c r="J398" s="186"/>
      <c r="K398" s="325"/>
    </row>
    <row r="399" spans="2:11">
      <c r="B399" s="34"/>
      <c r="C399" s="34"/>
      <c r="D399" s="186"/>
      <c r="E399" s="186"/>
      <c r="F399" s="186"/>
      <c r="G399" s="186"/>
      <c r="H399" s="186"/>
      <c r="I399" s="186"/>
      <c r="J399" s="186"/>
      <c r="K399" s="325"/>
    </row>
    <row r="400" spans="2:11">
      <c r="B400" s="34"/>
      <c r="C400" s="34"/>
      <c r="D400" s="34"/>
      <c r="E400" s="34"/>
      <c r="F400" s="34"/>
      <c r="G400" s="34"/>
      <c r="H400" s="34"/>
      <c r="I400" s="34"/>
      <c r="J400" s="34"/>
      <c r="K400" s="34"/>
    </row>
    <row r="401" spans="2:32">
      <c r="B401" s="34"/>
      <c r="C401" s="34"/>
      <c r="D401" s="34"/>
      <c r="E401" s="34"/>
      <c r="F401" s="34"/>
      <c r="G401" s="34"/>
      <c r="H401" s="34"/>
      <c r="I401" s="34"/>
      <c r="J401" s="34"/>
      <c r="K401" s="34"/>
    </row>
    <row r="402" spans="2:32">
      <c r="B402" s="34"/>
      <c r="C402" s="34"/>
      <c r="D402" s="34"/>
      <c r="E402" s="34"/>
      <c r="F402" s="34"/>
      <c r="G402" s="34"/>
      <c r="H402" s="34"/>
      <c r="I402" s="34"/>
      <c r="J402" s="34"/>
      <c r="K402" s="34"/>
      <c r="W402" s="34"/>
    </row>
    <row r="403" spans="2:32">
      <c r="B403" s="34"/>
      <c r="C403" s="34"/>
      <c r="D403" s="34"/>
      <c r="E403" s="34"/>
      <c r="F403" s="34"/>
      <c r="G403" s="34"/>
      <c r="H403" s="34"/>
      <c r="I403" s="34"/>
      <c r="J403" s="34"/>
      <c r="K403" s="34"/>
      <c r="W403" s="34"/>
      <c r="X403" s="34"/>
      <c r="Y403" s="34"/>
      <c r="Z403" s="34"/>
      <c r="AA403" s="34"/>
      <c r="AB403" s="34"/>
    </row>
    <row r="404" spans="2:32">
      <c r="B404" s="34"/>
      <c r="C404" s="34"/>
      <c r="D404" s="34"/>
      <c r="E404" s="34"/>
      <c r="F404" s="34"/>
      <c r="G404" s="34"/>
      <c r="H404" s="34"/>
      <c r="I404" s="34"/>
      <c r="J404" s="34"/>
      <c r="K404" s="34"/>
      <c r="W404" s="34"/>
      <c r="X404" s="34"/>
      <c r="Y404" s="34"/>
      <c r="Z404" s="34"/>
      <c r="AA404" s="34"/>
      <c r="AB404" s="34"/>
      <c r="AC404" s="34"/>
      <c r="AD404" s="34"/>
      <c r="AE404" s="34"/>
      <c r="AF404" s="34"/>
    </row>
    <row r="405" spans="2:32">
      <c r="B405" s="34"/>
      <c r="C405" s="34"/>
      <c r="D405" s="34"/>
      <c r="E405" s="34"/>
      <c r="F405" s="34"/>
      <c r="G405" s="34"/>
      <c r="H405" s="34"/>
      <c r="I405" s="34"/>
      <c r="J405" s="34"/>
      <c r="K405" s="34"/>
      <c r="W405" s="34"/>
      <c r="X405" s="34"/>
      <c r="Y405" s="34"/>
      <c r="Z405" s="34"/>
      <c r="AA405" s="34"/>
      <c r="AB405" s="34"/>
      <c r="AC405" s="34"/>
      <c r="AD405" s="34"/>
      <c r="AE405" s="34"/>
      <c r="AF405" s="34"/>
    </row>
    <row r="406" spans="2:32">
      <c r="B406" s="34"/>
      <c r="C406" s="34"/>
      <c r="D406" s="34"/>
      <c r="E406" s="34"/>
      <c r="F406" s="34"/>
      <c r="G406" s="34"/>
      <c r="H406" s="34"/>
      <c r="I406" s="34"/>
      <c r="J406" s="34"/>
      <c r="K406" s="34"/>
      <c r="V406" s="34"/>
      <c r="W406" s="34"/>
      <c r="X406" s="34"/>
      <c r="Y406" s="34"/>
      <c r="Z406" s="34"/>
      <c r="AA406" s="34"/>
      <c r="AB406" s="34"/>
      <c r="AC406" s="34"/>
      <c r="AD406" s="34"/>
      <c r="AE406" s="34"/>
      <c r="AF406" s="34"/>
    </row>
    <row r="407" spans="2:32">
      <c r="B407" s="34"/>
      <c r="C407" s="34"/>
      <c r="D407" s="34"/>
      <c r="E407" s="34"/>
      <c r="F407" s="34"/>
      <c r="G407" s="34"/>
      <c r="H407" s="34"/>
      <c r="I407" s="34"/>
      <c r="J407" s="34"/>
      <c r="K407" s="34"/>
      <c r="V407" s="34"/>
      <c r="W407" s="34"/>
      <c r="X407" s="34"/>
      <c r="Y407" s="34"/>
      <c r="Z407" s="34"/>
      <c r="AA407" s="34"/>
      <c r="AB407" s="34"/>
      <c r="AC407" s="34"/>
      <c r="AD407" s="34"/>
      <c r="AE407" s="34"/>
      <c r="AF407" s="34"/>
    </row>
    <row r="408" spans="2:32">
      <c r="B408" s="34"/>
      <c r="C408" s="34"/>
      <c r="D408" s="34"/>
      <c r="E408" s="34"/>
      <c r="F408" s="34"/>
      <c r="G408" s="34"/>
      <c r="H408" s="34"/>
      <c r="I408" s="34"/>
      <c r="J408" s="34"/>
      <c r="K408" s="34"/>
      <c r="V408" s="34"/>
      <c r="W408" s="34"/>
      <c r="X408" s="34"/>
      <c r="Y408" s="34"/>
      <c r="Z408" s="34"/>
      <c r="AA408" s="34"/>
      <c r="AB408" s="34"/>
      <c r="AC408" s="34"/>
      <c r="AD408" s="34"/>
      <c r="AE408" s="34"/>
      <c r="AF408" s="34"/>
    </row>
    <row r="409" spans="2:32">
      <c r="B409" s="34"/>
      <c r="C409" s="34"/>
      <c r="D409" s="34"/>
      <c r="E409" s="34"/>
      <c r="F409" s="34"/>
      <c r="G409" s="34"/>
      <c r="H409" s="34"/>
      <c r="I409" s="34"/>
      <c r="J409" s="34"/>
      <c r="K409" s="34"/>
      <c r="L409" s="34"/>
      <c r="M409" s="34"/>
      <c r="V409" s="34"/>
      <c r="W409" s="34"/>
      <c r="X409" s="34"/>
      <c r="Y409" s="34"/>
      <c r="Z409" s="34"/>
      <c r="AA409" s="34"/>
      <c r="AB409" s="34"/>
      <c r="AC409" s="34"/>
      <c r="AD409" s="34"/>
      <c r="AE409" s="34"/>
      <c r="AF409" s="34"/>
    </row>
    <row r="410" spans="2:32">
      <c r="B410" s="34"/>
      <c r="C410" s="34"/>
      <c r="D410" s="34"/>
      <c r="E410" s="34"/>
      <c r="F410" s="34"/>
      <c r="G410" s="34"/>
      <c r="H410" s="34"/>
      <c r="I410" s="34"/>
      <c r="J410" s="34"/>
      <c r="K410" s="34"/>
      <c r="L410" s="34"/>
      <c r="M410" s="34"/>
      <c r="V410" s="34"/>
      <c r="W410" s="34"/>
      <c r="X410" s="34"/>
      <c r="Y410" s="34"/>
      <c r="Z410" s="34"/>
      <c r="AA410" s="34"/>
      <c r="AB410" s="34"/>
      <c r="AC410" s="34"/>
      <c r="AD410" s="34"/>
      <c r="AE410" s="34"/>
      <c r="AF410" s="34"/>
    </row>
    <row r="411" spans="2:32">
      <c r="B411" s="34"/>
      <c r="C411" s="34"/>
      <c r="D411" s="34"/>
      <c r="E411" s="34"/>
      <c r="F411" s="34"/>
      <c r="G411" s="34"/>
      <c r="H411" s="34"/>
      <c r="I411" s="34"/>
      <c r="J411" s="34"/>
      <c r="K411" s="34"/>
      <c r="L411" s="34"/>
      <c r="M411" s="34"/>
      <c r="V411" s="34"/>
      <c r="W411" s="34"/>
      <c r="X411" s="34"/>
      <c r="Y411" s="34"/>
      <c r="Z411" s="34"/>
      <c r="AA411" s="34"/>
      <c r="AB411" s="34"/>
      <c r="AC411" s="34"/>
      <c r="AD411" s="34"/>
      <c r="AE411" s="34"/>
      <c r="AF411" s="34"/>
    </row>
    <row r="412" spans="2:32">
      <c r="B412" s="34"/>
      <c r="C412" s="34"/>
      <c r="D412" s="34"/>
      <c r="E412" s="34"/>
      <c r="F412" s="34"/>
      <c r="G412" s="34"/>
      <c r="H412" s="34"/>
      <c r="I412" s="34"/>
      <c r="J412" s="34"/>
      <c r="K412" s="34"/>
      <c r="L412" s="34"/>
      <c r="M412" s="34"/>
      <c r="V412" s="34"/>
      <c r="W412" s="34"/>
      <c r="X412" s="34"/>
      <c r="Y412" s="34"/>
      <c r="Z412" s="34"/>
      <c r="AA412" s="34"/>
      <c r="AB412" s="34"/>
      <c r="AC412" s="34"/>
      <c r="AD412" s="34"/>
      <c r="AE412" s="34"/>
      <c r="AF412" s="34"/>
    </row>
    <row r="413" spans="2:32">
      <c r="B413" s="34"/>
      <c r="C413" s="34"/>
      <c r="D413" s="34"/>
      <c r="E413" s="34"/>
      <c r="F413" s="34"/>
      <c r="G413" s="34"/>
      <c r="H413" s="34"/>
      <c r="I413" s="34"/>
      <c r="J413" s="34"/>
      <c r="K413" s="34"/>
      <c r="L413" s="34"/>
      <c r="M413" s="34"/>
      <c r="T413" s="34"/>
      <c r="V413" s="34"/>
      <c r="W413" s="34"/>
      <c r="X413" s="34"/>
      <c r="Y413" s="34"/>
      <c r="Z413" s="34"/>
      <c r="AA413" s="34"/>
      <c r="AB413" s="34"/>
      <c r="AC413" s="34"/>
      <c r="AD413" s="34"/>
      <c r="AE413" s="34"/>
      <c r="AF413" s="34"/>
    </row>
    <row r="414" spans="2:32">
      <c r="B414" s="34"/>
      <c r="C414" s="34"/>
      <c r="D414" s="34"/>
      <c r="E414" s="34"/>
      <c r="F414" s="34"/>
      <c r="G414" s="34"/>
      <c r="H414" s="34"/>
      <c r="I414" s="34"/>
      <c r="J414" s="34"/>
      <c r="K414" s="34"/>
      <c r="L414" s="34"/>
      <c r="M414" s="34"/>
      <c r="T414" s="34"/>
      <c r="U414" s="34"/>
      <c r="V414" s="34"/>
      <c r="W414" s="34"/>
      <c r="X414" s="34"/>
      <c r="Y414" s="34"/>
      <c r="Z414" s="34"/>
      <c r="AA414" s="34"/>
      <c r="AB414" s="34"/>
      <c r="AC414" s="34"/>
      <c r="AD414" s="34"/>
      <c r="AE414" s="34"/>
      <c r="AF414" s="34"/>
    </row>
    <row r="415" spans="2:32">
      <c r="B415" s="34"/>
      <c r="C415" s="34"/>
      <c r="D415" s="34"/>
      <c r="E415" s="34"/>
      <c r="F415" s="34"/>
      <c r="G415" s="34"/>
      <c r="H415" s="34"/>
      <c r="I415" s="34"/>
      <c r="J415" s="34"/>
      <c r="K415" s="34"/>
      <c r="L415" s="34"/>
      <c r="M415" s="34"/>
      <c r="T415" s="34"/>
      <c r="U415" s="34"/>
      <c r="V415" s="34"/>
      <c r="W415" s="34"/>
      <c r="X415" s="34"/>
      <c r="Y415" s="34"/>
      <c r="Z415" s="34"/>
      <c r="AA415" s="34"/>
      <c r="AB415" s="34"/>
      <c r="AC415" s="34"/>
      <c r="AD415" s="34"/>
      <c r="AE415" s="34"/>
      <c r="AF415" s="34"/>
    </row>
    <row r="416" spans="2:32">
      <c r="B416" s="34"/>
      <c r="C416" s="34"/>
      <c r="D416" s="34"/>
      <c r="E416" s="34"/>
      <c r="F416" s="34"/>
      <c r="G416" s="34"/>
      <c r="H416" s="34"/>
      <c r="I416" s="34"/>
      <c r="J416" s="34"/>
      <c r="K416" s="34"/>
      <c r="L416" s="34"/>
      <c r="M416" s="34"/>
      <c r="T416" s="34"/>
      <c r="U416" s="34"/>
      <c r="V416" s="34"/>
      <c r="W416" s="34"/>
      <c r="X416" s="34"/>
      <c r="Y416" s="34"/>
      <c r="Z416" s="34"/>
      <c r="AA416" s="34"/>
      <c r="AB416" s="34"/>
      <c r="AC416" s="34"/>
      <c r="AD416" s="34"/>
      <c r="AE416" s="34"/>
      <c r="AF416" s="34"/>
    </row>
    <row r="417" spans="2:32">
      <c r="B417" s="34"/>
      <c r="C417" s="34"/>
      <c r="D417" s="34"/>
      <c r="E417" s="34"/>
      <c r="F417" s="34"/>
      <c r="G417" s="34"/>
      <c r="H417" s="34"/>
      <c r="I417" s="34"/>
      <c r="J417" s="34"/>
      <c r="K417" s="34"/>
      <c r="L417" s="34"/>
      <c r="M417" s="34"/>
      <c r="T417" s="34"/>
      <c r="U417" s="34"/>
      <c r="V417" s="34"/>
      <c r="W417" s="34"/>
      <c r="X417" s="34"/>
      <c r="Y417" s="34"/>
      <c r="Z417" s="34"/>
      <c r="AA417" s="34"/>
      <c r="AB417" s="34"/>
      <c r="AC417" s="34"/>
      <c r="AD417" s="34"/>
      <c r="AE417" s="34"/>
      <c r="AF417" s="34"/>
    </row>
    <row r="418" spans="2:32">
      <c r="B418" s="34"/>
      <c r="C418" s="34"/>
      <c r="D418" s="34"/>
      <c r="E418" s="34"/>
      <c r="F418" s="34"/>
      <c r="G418" s="34"/>
      <c r="H418" s="34"/>
      <c r="I418" s="34"/>
      <c r="J418" s="34"/>
      <c r="K418" s="34"/>
      <c r="L418" s="34"/>
      <c r="M418" s="34"/>
      <c r="N418" s="34"/>
      <c r="T418" s="34"/>
      <c r="U418" s="34"/>
      <c r="V418" s="34"/>
      <c r="W418" s="34"/>
      <c r="X418" s="34"/>
      <c r="Y418" s="34"/>
      <c r="Z418" s="34"/>
      <c r="AA418" s="34"/>
      <c r="AB418" s="34"/>
      <c r="AC418" s="34"/>
      <c r="AD418" s="34"/>
      <c r="AE418" s="34"/>
      <c r="AF418" s="34"/>
    </row>
    <row r="419" spans="2:32">
      <c r="B419" s="34"/>
      <c r="C419" s="34"/>
      <c r="D419" s="34"/>
      <c r="E419" s="34"/>
      <c r="F419" s="34"/>
      <c r="G419" s="34"/>
      <c r="H419" s="34"/>
      <c r="I419" s="34"/>
      <c r="J419" s="34"/>
      <c r="K419" s="34"/>
      <c r="L419" s="34"/>
      <c r="M419" s="34"/>
      <c r="N419" s="34"/>
      <c r="T419" s="34"/>
      <c r="U419" s="34"/>
      <c r="V419" s="34"/>
      <c r="W419" s="34"/>
      <c r="X419" s="34"/>
      <c r="Y419" s="34"/>
      <c r="Z419" s="34"/>
      <c r="AA419" s="34"/>
      <c r="AB419" s="34"/>
      <c r="AC419" s="34"/>
      <c r="AD419" s="34"/>
      <c r="AE419" s="34"/>
      <c r="AF419" s="34"/>
    </row>
    <row r="420" spans="2:32">
      <c r="B420" s="34"/>
      <c r="C420" s="34"/>
      <c r="D420" s="34"/>
      <c r="E420" s="34"/>
      <c r="F420" s="34"/>
      <c r="G420" s="34"/>
      <c r="H420" s="34"/>
      <c r="I420" s="34"/>
      <c r="J420" s="34"/>
      <c r="K420" s="34"/>
      <c r="L420" s="34"/>
      <c r="M420" s="34"/>
      <c r="N420" s="34"/>
      <c r="P420" s="34"/>
      <c r="Q420" s="34"/>
      <c r="R420" s="34"/>
      <c r="S420" s="34"/>
      <c r="T420" s="34"/>
      <c r="U420" s="34"/>
      <c r="V420" s="34"/>
      <c r="W420" s="34"/>
      <c r="X420" s="34"/>
      <c r="Y420" s="34"/>
      <c r="Z420" s="34"/>
      <c r="AA420" s="34"/>
      <c r="AB420" s="34"/>
      <c r="AC420" s="34"/>
      <c r="AD420" s="34"/>
      <c r="AE420" s="34"/>
      <c r="AF420" s="34"/>
    </row>
    <row r="421" spans="2:32">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row>
    <row r="422" spans="2:32">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row>
    <row r="423" spans="2:32">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row>
    <row r="424" spans="2:32">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row>
    <row r="425" spans="2:32">
      <c r="B425" s="34"/>
      <c r="C425" s="34"/>
      <c r="D425" s="34"/>
      <c r="E425" s="34"/>
      <c r="F425" s="34"/>
      <c r="G425" s="34"/>
      <c r="H425" s="34"/>
      <c r="I425" s="34"/>
      <c r="J425" s="34"/>
      <c r="K425" s="34"/>
      <c r="L425" s="34"/>
      <c r="M425" s="34"/>
      <c r="N425" s="34"/>
      <c r="O425" s="34"/>
      <c r="P425" s="34"/>
      <c r="Q425" s="34"/>
      <c r="R425" s="34"/>
      <c r="S425" s="34"/>
      <c r="T425" s="34"/>
      <c r="U425" s="34"/>
      <c r="V425" s="34"/>
      <c r="X425" s="34"/>
      <c r="Y425" s="34"/>
      <c r="Z425" s="34"/>
      <c r="AA425" s="34"/>
      <c r="AB425" s="34"/>
      <c r="AC425" s="34"/>
      <c r="AD425" s="34"/>
      <c r="AE425" s="34"/>
      <c r="AF425" s="34"/>
    </row>
    <row r="426" spans="2:32">
      <c r="B426" s="34"/>
      <c r="C426" s="34"/>
      <c r="D426" s="34"/>
      <c r="E426" s="34"/>
      <c r="F426" s="34"/>
      <c r="G426" s="34"/>
      <c r="H426" s="34"/>
      <c r="I426" s="34"/>
      <c r="J426" s="34"/>
      <c r="K426" s="34"/>
      <c r="L426" s="34"/>
      <c r="M426" s="34"/>
      <c r="N426" s="34"/>
      <c r="O426" s="34"/>
      <c r="P426" s="34"/>
      <c r="Q426" s="34"/>
      <c r="R426" s="34"/>
      <c r="S426" s="34"/>
      <c r="T426" s="34"/>
      <c r="U426" s="34"/>
      <c r="V426" s="34"/>
    </row>
    <row r="427" spans="2:32">
      <c r="L427" s="34"/>
      <c r="M427" s="34"/>
      <c r="N427" s="34"/>
      <c r="O427" s="34"/>
      <c r="P427" s="34"/>
      <c r="Q427" s="34"/>
      <c r="R427" s="34"/>
      <c r="S427" s="34"/>
      <c r="T427" s="34"/>
      <c r="U427" s="34"/>
      <c r="V427" s="34"/>
    </row>
    <row r="428" spans="2:32">
      <c r="L428" s="34"/>
      <c r="M428" s="34"/>
      <c r="N428" s="34"/>
      <c r="O428" s="34"/>
      <c r="P428" s="34"/>
      <c r="Q428" s="34"/>
      <c r="R428" s="34"/>
      <c r="S428" s="34"/>
      <c r="T428" s="34"/>
      <c r="U428" s="34"/>
      <c r="V428" s="34"/>
    </row>
    <row r="429" spans="2:32">
      <c r="L429" s="34"/>
      <c r="M429" s="34"/>
      <c r="N429" s="34"/>
      <c r="O429" s="34"/>
      <c r="P429" s="34"/>
      <c r="Q429" s="34"/>
      <c r="R429" s="34"/>
      <c r="S429" s="34"/>
      <c r="T429" s="34"/>
      <c r="U429" s="34"/>
    </row>
    <row r="430" spans="2:32">
      <c r="L430" s="34"/>
      <c r="M430" s="34"/>
      <c r="N430" s="34"/>
      <c r="O430" s="34"/>
      <c r="P430" s="34"/>
      <c r="Q430" s="34"/>
      <c r="R430" s="34"/>
      <c r="S430" s="34"/>
      <c r="T430" s="34"/>
      <c r="U430" s="34"/>
    </row>
    <row r="431" spans="2:32">
      <c r="L431" s="34"/>
      <c r="M431" s="34"/>
      <c r="N431" s="34"/>
      <c r="O431" s="34"/>
      <c r="P431" s="34"/>
      <c r="Q431" s="34"/>
      <c r="R431" s="34"/>
      <c r="S431" s="34"/>
      <c r="T431" s="34"/>
      <c r="U431" s="34"/>
    </row>
    <row r="432" spans="2:32">
      <c r="L432" s="34"/>
      <c r="M432" s="34"/>
      <c r="N432" s="34"/>
      <c r="O432" s="34"/>
      <c r="P432" s="34"/>
      <c r="Q432" s="34"/>
      <c r="R432" s="34"/>
      <c r="S432" s="34"/>
      <c r="T432" s="34"/>
      <c r="U432" s="34"/>
    </row>
    <row r="433" spans="12:21">
      <c r="L433" s="34"/>
      <c r="M433" s="34"/>
      <c r="N433" s="34"/>
      <c r="O433" s="34"/>
      <c r="P433" s="34"/>
      <c r="Q433" s="34"/>
      <c r="R433" s="34"/>
      <c r="S433" s="34"/>
      <c r="T433" s="34"/>
      <c r="U433" s="34"/>
    </row>
    <row r="434" spans="12:21">
      <c r="N434" s="34"/>
      <c r="O434" s="34"/>
      <c r="P434" s="34"/>
      <c r="Q434" s="34"/>
      <c r="R434" s="34"/>
      <c r="S434" s="34"/>
      <c r="T434" s="34"/>
      <c r="U434" s="34"/>
    </row>
    <row r="435" spans="12:21">
      <c r="N435" s="34"/>
      <c r="O435" s="34"/>
      <c r="P435" s="34"/>
      <c r="Q435" s="34"/>
      <c r="R435" s="34"/>
      <c r="S435" s="34"/>
      <c r="T435" s="34"/>
      <c r="U435" s="34"/>
    </row>
    <row r="436" spans="12:21">
      <c r="N436" s="34"/>
      <c r="O436" s="34"/>
      <c r="P436" s="34"/>
      <c r="Q436" s="34"/>
      <c r="R436" s="34"/>
      <c r="S436" s="34"/>
      <c r="T436" s="34"/>
      <c r="U436" s="34"/>
    </row>
    <row r="437" spans="12:21">
      <c r="N437" s="34"/>
      <c r="O437" s="34"/>
      <c r="P437" s="34"/>
      <c r="Q437" s="34"/>
      <c r="R437" s="34"/>
      <c r="S437" s="34"/>
    </row>
    <row r="438" spans="12:21">
      <c r="N438" s="34"/>
      <c r="O438" s="34"/>
      <c r="P438" s="34"/>
      <c r="Q438" s="34"/>
      <c r="R438" s="34"/>
      <c r="S438" s="34"/>
    </row>
    <row r="439" spans="12:21">
      <c r="N439" s="34"/>
      <c r="O439" s="34"/>
      <c r="P439" s="34"/>
      <c r="Q439" s="34"/>
      <c r="R439" s="34"/>
      <c r="S439" s="34"/>
    </row>
    <row r="440" spans="12:21">
      <c r="N440" s="34"/>
      <c r="O440" s="34"/>
      <c r="P440" s="34"/>
      <c r="Q440" s="34"/>
      <c r="R440" s="34"/>
      <c r="S440" s="34"/>
    </row>
    <row r="441" spans="12:21">
      <c r="N441" s="34"/>
      <c r="O441" s="34"/>
      <c r="P441" s="34"/>
      <c r="Q441" s="34"/>
      <c r="R441" s="34"/>
      <c r="S441" s="34"/>
    </row>
    <row r="442" spans="12:21">
      <c r="O442" s="34"/>
      <c r="P442" s="34"/>
      <c r="Q442" s="34"/>
      <c r="R442" s="34"/>
      <c r="S442" s="34"/>
    </row>
    <row r="443" spans="12:21">
      <c r="O443" s="34"/>
      <c r="P443" s="34"/>
      <c r="Q443" s="34"/>
      <c r="R443" s="34"/>
      <c r="S443" s="34"/>
    </row>
    <row r="444" spans="12:21">
      <c r="O444" s="34"/>
    </row>
  </sheetData>
  <mergeCells count="39">
    <mergeCell ref="A335:H335"/>
    <mergeCell ref="A336:H336"/>
    <mergeCell ref="A337:H337"/>
    <mergeCell ref="A329:H329"/>
    <mergeCell ref="A330:H330"/>
    <mergeCell ref="A331:H331"/>
    <mergeCell ref="A332:H332"/>
    <mergeCell ref="A333:H333"/>
    <mergeCell ref="A334:H334"/>
    <mergeCell ref="A328:H328"/>
    <mergeCell ref="A317:H317"/>
    <mergeCell ref="A318:H318"/>
    <mergeCell ref="A319:H319"/>
    <mergeCell ref="A320:H320"/>
    <mergeCell ref="A321:H321"/>
    <mergeCell ref="A322:H322"/>
    <mergeCell ref="A323:H323"/>
    <mergeCell ref="A324:H324"/>
    <mergeCell ref="A325:H325"/>
    <mergeCell ref="A326:H326"/>
    <mergeCell ref="A327:H327"/>
    <mergeCell ref="A316:H316"/>
    <mergeCell ref="A97:B97"/>
    <mergeCell ref="A105:H105"/>
    <mergeCell ref="A106:H106"/>
    <mergeCell ref="A214:B214"/>
    <mergeCell ref="A220:G220"/>
    <mergeCell ref="A311:H311"/>
    <mergeCell ref="A312:H312"/>
    <mergeCell ref="A313:H313"/>
    <mergeCell ref="A314:H314"/>
    <mergeCell ref="A315:H315"/>
    <mergeCell ref="K269:Q269"/>
    <mergeCell ref="A1:M1"/>
    <mergeCell ref="A2:B2"/>
    <mergeCell ref="A16:L16"/>
    <mergeCell ref="A24:L24"/>
    <mergeCell ref="A37:L37"/>
    <mergeCell ref="A87:B87"/>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7"/>
  <sheetViews>
    <sheetView workbookViewId="0">
      <selection activeCell="C33" sqref="C33"/>
    </sheetView>
  </sheetViews>
  <sheetFormatPr defaultColWidth="9.28515625" defaultRowHeight="12.75"/>
  <cols>
    <col min="1" max="1" width="37.7109375" style="18" bestFit="1" customWidth="1"/>
    <col min="2" max="2" width="25.5703125" style="18" bestFit="1" customWidth="1"/>
    <col min="3" max="3" width="10.42578125" style="18" bestFit="1" customWidth="1"/>
    <col min="4" max="4" width="5.42578125" style="18" bestFit="1" customWidth="1"/>
    <col min="5" max="5" width="13.7109375" style="18" bestFit="1" customWidth="1"/>
    <col min="6" max="6" width="10.28515625" style="18" bestFit="1" customWidth="1"/>
    <col min="7" max="7" width="11.28515625" style="18" bestFit="1" customWidth="1"/>
    <col min="8" max="8" width="11.28515625" style="18" customWidth="1"/>
    <col min="9" max="9" width="11.28515625" style="18" bestFit="1" customWidth="1"/>
    <col min="10" max="10" width="6.5703125" style="18" bestFit="1" customWidth="1"/>
    <col min="11" max="15" width="9.28515625" style="18"/>
    <col min="16" max="16" width="48.28515625" style="18" customWidth="1"/>
    <col min="17" max="16384" width="9.28515625" style="18"/>
  </cols>
  <sheetData>
    <row r="1" spans="1:17" s="17" customFormat="1">
      <c r="A1" s="481" t="s">
        <v>2578</v>
      </c>
      <c r="B1" s="481" t="s">
        <v>2579</v>
      </c>
      <c r="C1" s="481" t="s">
        <v>2580</v>
      </c>
      <c r="D1" s="481" t="s">
        <v>332</v>
      </c>
      <c r="E1" s="481" t="s">
        <v>2572</v>
      </c>
      <c r="F1" s="481" t="s">
        <v>2581</v>
      </c>
      <c r="G1" s="481" t="s">
        <v>2582</v>
      </c>
      <c r="H1" s="481" t="s">
        <v>2601</v>
      </c>
      <c r="I1" s="182"/>
      <c r="J1" s="182"/>
      <c r="K1" s="182"/>
      <c r="L1" s="182"/>
      <c r="M1" s="182"/>
      <c r="N1" s="182"/>
      <c r="O1" s="182"/>
      <c r="P1" s="182"/>
    </row>
    <row r="2" spans="1:17" s="17" customFormat="1">
      <c r="A2" s="813" t="s">
        <v>2583</v>
      </c>
      <c r="B2" s="182" t="s">
        <v>2584</v>
      </c>
      <c r="C2" s="182" t="s">
        <v>2414</v>
      </c>
      <c r="D2" s="182" t="s">
        <v>2573</v>
      </c>
      <c r="E2" s="282">
        <v>2196468297</v>
      </c>
      <c r="F2" s="282">
        <v>5954831</v>
      </c>
      <c r="G2" s="282">
        <v>84482415</v>
      </c>
      <c r="H2" s="275">
        <f>G2/1000000</f>
        <v>84.482415000000003</v>
      </c>
      <c r="I2" s="182"/>
      <c r="J2" s="182"/>
      <c r="K2" s="182" t="s">
        <v>2584</v>
      </c>
      <c r="L2" s="182" t="s">
        <v>2414</v>
      </c>
      <c r="M2" s="24">
        <f>N2/N5</f>
        <v>0.61168451717608885</v>
      </c>
      <c r="N2" s="275">
        <f>H2</f>
        <v>84.482415000000003</v>
      </c>
      <c r="O2" s="182"/>
      <c r="P2" s="182"/>
    </row>
    <row r="3" spans="1:17" s="17" customFormat="1" ht="13.5" customHeight="1">
      <c r="A3" s="813"/>
      <c r="B3" s="182" t="s">
        <v>2584</v>
      </c>
      <c r="C3" s="182" t="s">
        <v>2415</v>
      </c>
      <c r="D3" s="182" t="s">
        <v>2573</v>
      </c>
      <c r="E3" s="282">
        <v>342015072</v>
      </c>
      <c r="F3" s="282">
        <v>995301</v>
      </c>
      <c r="G3" s="282">
        <v>13917473</v>
      </c>
      <c r="H3" s="275">
        <f t="shared" ref="H3:H20" si="0">G3/1000000</f>
        <v>13.917472999999999</v>
      </c>
      <c r="I3" s="182"/>
      <c r="J3" s="182"/>
      <c r="K3" s="182" t="s">
        <v>2584</v>
      </c>
      <c r="L3" s="182" t="s">
        <v>2415</v>
      </c>
      <c r="M3" s="24">
        <f>N3/N5</f>
        <v>0.10076774855827987</v>
      </c>
      <c r="N3" s="275">
        <f>H3</f>
        <v>13.917472999999999</v>
      </c>
      <c r="O3" s="182"/>
      <c r="P3" s="814" t="s">
        <v>2762</v>
      </c>
      <c r="Q3" s="133"/>
    </row>
    <row r="4" spans="1:17" s="17" customFormat="1">
      <c r="A4" s="813"/>
      <c r="B4" s="182" t="s">
        <v>2584</v>
      </c>
      <c r="C4" s="182" t="s">
        <v>2416</v>
      </c>
      <c r="D4" s="182" t="s">
        <v>2573</v>
      </c>
      <c r="E4" s="282">
        <v>949937922</v>
      </c>
      <c r="F4" s="282">
        <v>2842565</v>
      </c>
      <c r="G4" s="282">
        <v>39714471</v>
      </c>
      <c r="H4" s="275">
        <f t="shared" si="0"/>
        <v>39.714471000000003</v>
      </c>
      <c r="I4" s="182"/>
      <c r="J4" s="182"/>
      <c r="K4" s="182" t="s">
        <v>2584</v>
      </c>
      <c r="L4" s="182" t="s">
        <v>2416</v>
      </c>
      <c r="M4" s="24">
        <f>N4/N5</f>
        <v>0.28754773426563129</v>
      </c>
      <c r="N4" s="275">
        <f>H4</f>
        <v>39.714471000000003</v>
      </c>
      <c r="O4" s="182"/>
      <c r="P4" s="814"/>
      <c r="Q4" s="133"/>
    </row>
    <row r="5" spans="1:17" s="17" customFormat="1">
      <c r="A5" s="813"/>
      <c r="B5" s="182" t="s">
        <v>2584</v>
      </c>
      <c r="C5" s="182" t="s">
        <v>347</v>
      </c>
      <c r="D5" s="182" t="s">
        <v>2574</v>
      </c>
      <c r="E5" s="282">
        <v>178090456</v>
      </c>
      <c r="F5" s="282">
        <v>15652183</v>
      </c>
      <c r="G5" s="282">
        <v>447638338</v>
      </c>
      <c r="H5" s="275">
        <f t="shared" si="0"/>
        <v>447.63833799999998</v>
      </c>
      <c r="I5" s="644">
        <f>E5/1000000</f>
        <v>178.09045599999999</v>
      </c>
      <c r="J5" s="182"/>
      <c r="K5" s="182"/>
      <c r="L5" s="182"/>
      <c r="M5" s="182"/>
      <c r="N5" s="275">
        <f>SUM(N2:N4)</f>
        <v>138.11435900000001</v>
      </c>
      <c r="O5" s="182"/>
      <c r="P5" s="814"/>
      <c r="Q5" s="133"/>
    </row>
    <row r="6" spans="1:17" s="17" customFormat="1">
      <c r="A6" s="813"/>
      <c r="B6" s="182" t="s">
        <v>2584</v>
      </c>
      <c r="C6" s="182" t="s">
        <v>870</v>
      </c>
      <c r="D6" s="182" t="s">
        <v>2574</v>
      </c>
      <c r="E6" s="282">
        <v>271992112</v>
      </c>
      <c r="F6" s="282">
        <v>13701775</v>
      </c>
      <c r="G6" s="282">
        <v>271992112</v>
      </c>
      <c r="H6" s="275">
        <f t="shared" si="0"/>
        <v>271.99211200000002</v>
      </c>
      <c r="I6" s="182"/>
      <c r="J6" s="182" t="s">
        <v>348</v>
      </c>
      <c r="K6" s="182"/>
      <c r="L6" s="182"/>
      <c r="M6" s="182"/>
      <c r="N6" s="182"/>
      <c r="O6" s="182"/>
      <c r="P6" s="814"/>
      <c r="Q6" s="133"/>
    </row>
    <row r="7" spans="1:17" s="17" customFormat="1">
      <c r="A7" s="813"/>
      <c r="B7" s="182" t="s">
        <v>2584</v>
      </c>
      <c r="C7" s="182" t="s">
        <v>2408</v>
      </c>
      <c r="D7" s="182" t="s">
        <v>2575</v>
      </c>
      <c r="E7" s="282">
        <v>10569902787</v>
      </c>
      <c r="F7" s="282">
        <v>1511301</v>
      </c>
      <c r="G7" s="282">
        <v>26017955</v>
      </c>
      <c r="H7" s="275">
        <f t="shared" si="0"/>
        <v>26.017955000000001</v>
      </c>
      <c r="I7" s="282">
        <f>SUM(G2:G6)</f>
        <v>857744809</v>
      </c>
      <c r="J7" s="435">
        <f>H2+H3+H4+I5+H6</f>
        <v>588.19692699999996</v>
      </c>
      <c r="K7" s="275"/>
      <c r="L7" s="182"/>
      <c r="M7" s="182"/>
      <c r="N7" s="182"/>
      <c r="O7" s="182"/>
      <c r="P7" s="814"/>
      <c r="Q7" s="133"/>
    </row>
    <row r="8" spans="1:17" s="17" customFormat="1">
      <c r="A8" s="182" t="s">
        <v>2585</v>
      </c>
      <c r="B8" s="182" t="s">
        <v>2586</v>
      </c>
      <c r="C8" s="182" t="s">
        <v>2587</v>
      </c>
      <c r="D8" s="182" t="s">
        <v>2574</v>
      </c>
      <c r="E8" s="282">
        <v>1420989</v>
      </c>
      <c r="F8" s="282">
        <v>78637</v>
      </c>
      <c r="G8" s="282">
        <v>1420989</v>
      </c>
      <c r="H8" s="275">
        <f t="shared" si="0"/>
        <v>1.4209890000000001</v>
      </c>
      <c r="I8" s="182"/>
      <c r="J8" s="182"/>
      <c r="K8" s="182"/>
      <c r="L8" s="182"/>
      <c r="M8" s="182"/>
      <c r="N8" s="182"/>
      <c r="O8" s="182"/>
      <c r="P8" s="814"/>
      <c r="Q8" s="133"/>
    </row>
    <row r="9" spans="1:17" s="17" customFormat="1">
      <c r="A9" s="182" t="s">
        <v>2588</v>
      </c>
      <c r="B9" s="182" t="s">
        <v>2586</v>
      </c>
      <c r="C9" s="182" t="s">
        <v>884</v>
      </c>
      <c r="D9" s="182" t="s">
        <v>2573</v>
      </c>
      <c r="E9" s="282">
        <v>5064028</v>
      </c>
      <c r="F9" s="282">
        <v>13789</v>
      </c>
      <c r="G9" s="282">
        <v>195751</v>
      </c>
      <c r="H9" s="275">
        <f t="shared" si="0"/>
        <v>0.19575100000000001</v>
      </c>
      <c r="I9" s="182"/>
      <c r="J9" s="182"/>
      <c r="K9" s="182"/>
      <c r="L9" s="182"/>
      <c r="M9" s="182"/>
      <c r="N9" s="182"/>
      <c r="O9" s="182"/>
      <c r="P9" s="814"/>
      <c r="Q9" s="133"/>
    </row>
    <row r="10" spans="1:17" s="17" customFormat="1">
      <c r="A10" s="182" t="s">
        <v>2589</v>
      </c>
      <c r="B10" s="182" t="s">
        <v>2586</v>
      </c>
      <c r="C10" s="182" t="s">
        <v>884</v>
      </c>
      <c r="D10" s="182" t="s">
        <v>2573</v>
      </c>
      <c r="E10" s="282">
        <v>326200350</v>
      </c>
      <c r="F10" s="282">
        <v>881007</v>
      </c>
      <c r="G10" s="282">
        <v>12555252</v>
      </c>
      <c r="H10" s="275">
        <f t="shared" si="0"/>
        <v>12.555251999999999</v>
      </c>
      <c r="I10" s="182"/>
      <c r="J10" s="182"/>
      <c r="K10" s="182"/>
      <c r="L10" s="182"/>
      <c r="M10" s="182"/>
      <c r="N10" s="182"/>
      <c r="O10" s="182"/>
      <c r="P10" s="814"/>
      <c r="Q10" s="133"/>
    </row>
    <row r="11" spans="1:17" s="17" customFormat="1">
      <c r="A11" s="182" t="s">
        <v>2590</v>
      </c>
      <c r="B11" s="182" t="s">
        <v>2586</v>
      </c>
      <c r="C11" s="182" t="s">
        <v>884</v>
      </c>
      <c r="D11" s="182" t="s">
        <v>2591</v>
      </c>
      <c r="E11" s="282">
        <v>35234181</v>
      </c>
      <c r="F11" s="282">
        <v>95080</v>
      </c>
      <c r="G11" s="282">
        <v>1356142</v>
      </c>
      <c r="H11" s="275">
        <f t="shared" si="0"/>
        <v>1.356142</v>
      </c>
      <c r="I11" s="182"/>
      <c r="J11" s="182"/>
      <c r="K11" s="182"/>
      <c r="L11" s="182"/>
      <c r="M11" s="182"/>
      <c r="N11" s="182"/>
      <c r="O11" s="182"/>
      <c r="P11" s="814"/>
      <c r="Q11" s="133"/>
    </row>
    <row r="12" spans="1:17" s="17" customFormat="1">
      <c r="A12" s="182" t="s">
        <v>2592</v>
      </c>
      <c r="B12" s="182" t="s">
        <v>2586</v>
      </c>
      <c r="C12" s="182" t="s">
        <v>884</v>
      </c>
      <c r="D12" s="182" t="s">
        <v>2573</v>
      </c>
      <c r="E12" s="282">
        <v>7545275</v>
      </c>
      <c r="F12" s="282">
        <v>20391</v>
      </c>
      <c r="G12" s="282">
        <v>290413</v>
      </c>
      <c r="H12" s="275">
        <f t="shared" si="0"/>
        <v>0.29041299999999998</v>
      </c>
      <c r="I12" s="182"/>
      <c r="J12" s="182"/>
      <c r="K12" s="182"/>
      <c r="L12" s="182"/>
      <c r="M12" s="182"/>
      <c r="N12" s="182"/>
      <c r="O12" s="182"/>
      <c r="P12" s="814"/>
    </row>
    <row r="13" spans="1:17" s="17" customFormat="1">
      <c r="A13" s="182" t="s">
        <v>2593</v>
      </c>
      <c r="B13" s="182" t="s">
        <v>2586</v>
      </c>
      <c r="C13" s="182" t="s">
        <v>884</v>
      </c>
      <c r="D13" s="182" t="s">
        <v>2573</v>
      </c>
      <c r="E13" s="282">
        <v>14166357</v>
      </c>
      <c r="F13" s="282">
        <v>38228</v>
      </c>
      <c r="G13" s="282">
        <v>545254</v>
      </c>
      <c r="H13" s="275">
        <f t="shared" si="0"/>
        <v>0.54525400000000002</v>
      </c>
      <c r="I13" s="182"/>
      <c r="J13" s="182"/>
      <c r="K13" s="182"/>
      <c r="L13" s="182"/>
      <c r="M13" s="182"/>
      <c r="N13" s="182"/>
      <c r="O13" s="182"/>
      <c r="P13" s="814"/>
    </row>
    <row r="14" spans="1:17" s="17" customFormat="1">
      <c r="A14" s="182" t="s">
        <v>2594</v>
      </c>
      <c r="B14" s="182" t="s">
        <v>2586</v>
      </c>
      <c r="C14" s="182" t="s">
        <v>884</v>
      </c>
      <c r="D14" s="182" t="s">
        <v>2573</v>
      </c>
      <c r="E14" s="282">
        <v>5671501</v>
      </c>
      <c r="F14" s="282">
        <v>15443</v>
      </c>
      <c r="G14" s="282">
        <v>219257</v>
      </c>
      <c r="H14" s="275">
        <f t="shared" si="0"/>
        <v>0.21925700000000001</v>
      </c>
      <c r="I14" s="182"/>
      <c r="J14" s="182"/>
      <c r="K14" s="182"/>
      <c r="L14" s="182"/>
      <c r="M14" s="182"/>
      <c r="N14" s="182"/>
      <c r="O14" s="182"/>
      <c r="P14" s="814"/>
    </row>
    <row r="15" spans="1:17" s="17" customFormat="1">
      <c r="A15" s="182" t="s">
        <v>2595</v>
      </c>
      <c r="B15" s="182" t="s">
        <v>2586</v>
      </c>
      <c r="C15" s="182" t="s">
        <v>884</v>
      </c>
      <c r="D15" s="182" t="s">
        <v>2573</v>
      </c>
      <c r="E15" s="282">
        <v>28064413</v>
      </c>
      <c r="F15" s="282">
        <v>75797</v>
      </c>
      <c r="G15" s="282">
        <v>1080300</v>
      </c>
      <c r="H15" s="275">
        <f t="shared" si="0"/>
        <v>1.0803</v>
      </c>
      <c r="I15" s="182"/>
      <c r="J15" s="182"/>
      <c r="K15" s="182"/>
      <c r="L15" s="182"/>
      <c r="M15" s="182"/>
      <c r="N15" s="182"/>
      <c r="O15" s="182"/>
      <c r="P15" s="814"/>
    </row>
    <row r="16" spans="1:17" s="17" customFormat="1">
      <c r="A16" s="182" t="s">
        <v>2585</v>
      </c>
      <c r="B16" s="182" t="s">
        <v>2586</v>
      </c>
      <c r="C16" s="182" t="s">
        <v>884</v>
      </c>
      <c r="D16" s="182" t="s">
        <v>2573</v>
      </c>
      <c r="E16" s="282">
        <v>188631878</v>
      </c>
      <c r="F16" s="282">
        <v>509784</v>
      </c>
      <c r="G16" s="282">
        <v>7260325</v>
      </c>
      <c r="H16" s="275">
        <f t="shared" si="0"/>
        <v>7.2603249999999999</v>
      </c>
      <c r="I16" s="182"/>
      <c r="J16" s="182"/>
      <c r="K16" s="182"/>
      <c r="L16" s="182"/>
      <c r="M16" s="182"/>
      <c r="N16" s="182"/>
      <c r="O16" s="182"/>
      <c r="P16" s="814"/>
    </row>
    <row r="17" spans="1:16" s="17" customFormat="1">
      <c r="A17" s="182" t="s">
        <v>2596</v>
      </c>
      <c r="B17" s="182" t="s">
        <v>2586</v>
      </c>
      <c r="C17" s="182" t="s">
        <v>347</v>
      </c>
      <c r="D17" s="182" t="s">
        <v>2574</v>
      </c>
      <c r="E17" s="282">
        <v>10118346</v>
      </c>
      <c r="F17" s="282">
        <v>889291</v>
      </c>
      <c r="G17" s="282">
        <v>25432916</v>
      </c>
      <c r="H17" s="275">
        <f t="shared" si="0"/>
        <v>25.432915999999999</v>
      </c>
      <c r="I17" s="182"/>
      <c r="J17" s="182"/>
      <c r="K17" s="182"/>
      <c r="L17" s="182"/>
      <c r="M17" s="182"/>
      <c r="N17" s="182"/>
      <c r="O17" s="182"/>
      <c r="P17" s="814"/>
    </row>
    <row r="18" spans="1:16" s="17" customFormat="1">
      <c r="A18" s="182" t="s">
        <v>2590</v>
      </c>
      <c r="B18" s="182" t="s">
        <v>2586</v>
      </c>
      <c r="C18" s="182" t="s">
        <v>882</v>
      </c>
      <c r="D18" s="182" t="s">
        <v>2573</v>
      </c>
      <c r="E18" s="282">
        <v>440373688</v>
      </c>
      <c r="F18" s="282">
        <v>946065</v>
      </c>
      <c r="G18" s="282">
        <v>14846296</v>
      </c>
      <c r="H18" s="275">
        <f t="shared" si="0"/>
        <v>14.846296000000001</v>
      </c>
      <c r="I18" s="182"/>
      <c r="J18" s="182"/>
      <c r="K18" s="182"/>
      <c r="L18" s="182"/>
      <c r="M18" s="182"/>
      <c r="N18" s="182"/>
      <c r="O18" s="182"/>
      <c r="P18" s="814"/>
    </row>
    <row r="19" spans="1:16" s="17" customFormat="1">
      <c r="A19" s="182" t="s">
        <v>2593</v>
      </c>
      <c r="B19" s="182" t="s">
        <v>2586</v>
      </c>
      <c r="C19" s="182" t="s">
        <v>882</v>
      </c>
      <c r="D19" s="182" t="s">
        <v>2573</v>
      </c>
      <c r="E19" s="282">
        <v>3629210490</v>
      </c>
      <c r="F19" s="282">
        <v>7790907</v>
      </c>
      <c r="G19" s="282">
        <v>122351394</v>
      </c>
      <c r="H19" s="275">
        <f t="shared" si="0"/>
        <v>122.351394</v>
      </c>
      <c r="I19" s="182"/>
      <c r="J19" s="182"/>
      <c r="K19" s="182"/>
      <c r="L19" s="182"/>
      <c r="M19" s="182"/>
      <c r="N19" s="182"/>
      <c r="O19" s="182"/>
      <c r="P19" s="182"/>
    </row>
    <row r="20" spans="1:16" s="17" customFormat="1">
      <c r="A20" s="182"/>
      <c r="B20" s="182" t="s">
        <v>2597</v>
      </c>
      <c r="C20" s="182" t="s">
        <v>347</v>
      </c>
      <c r="D20" s="182" t="s">
        <v>2574</v>
      </c>
      <c r="E20" s="282">
        <v>855804</v>
      </c>
      <c r="F20" s="282">
        <v>75216</v>
      </c>
      <c r="G20" s="282">
        <v>2151100</v>
      </c>
      <c r="H20" s="275">
        <f t="shared" si="0"/>
        <v>2.1511</v>
      </c>
      <c r="I20" s="182"/>
      <c r="J20" s="182"/>
      <c r="K20" s="182"/>
      <c r="L20" s="182"/>
      <c r="M20" s="182"/>
      <c r="N20" s="182"/>
      <c r="O20" s="182"/>
      <c r="P20" s="182"/>
    </row>
    <row r="21" spans="1:16" s="17" customFormat="1">
      <c r="A21" s="182"/>
      <c r="B21" s="182"/>
      <c r="C21" s="182"/>
      <c r="D21" s="182"/>
      <c r="E21" s="182"/>
      <c r="F21" s="182"/>
      <c r="G21" s="182"/>
      <c r="H21" s="182"/>
      <c r="I21" s="182"/>
      <c r="J21" s="182"/>
      <c r="K21" s="182"/>
      <c r="L21" s="182"/>
      <c r="M21" s="182"/>
      <c r="N21" s="182"/>
      <c r="O21" s="182"/>
      <c r="P21" s="182"/>
    </row>
    <row r="22" spans="1:16" s="17" customFormat="1">
      <c r="A22" s="182"/>
      <c r="B22" s="182"/>
      <c r="C22" s="182"/>
      <c r="D22" s="182"/>
      <c r="E22" s="182"/>
      <c r="F22" s="182"/>
      <c r="G22" s="182"/>
      <c r="H22" s="182"/>
      <c r="I22" s="182"/>
      <c r="J22" s="182"/>
      <c r="K22" s="182"/>
      <c r="L22" s="182"/>
      <c r="M22" s="182"/>
      <c r="N22" s="182"/>
      <c r="O22" s="182"/>
      <c r="P22" s="182"/>
    </row>
    <row r="23" spans="1:16" s="17" customFormat="1">
      <c r="A23" s="182"/>
      <c r="B23" s="182"/>
      <c r="C23" s="182"/>
      <c r="D23" s="182"/>
      <c r="E23" s="182"/>
      <c r="F23" s="182"/>
      <c r="G23" s="182"/>
      <c r="H23" s="182"/>
      <c r="I23" s="182"/>
      <c r="J23" s="182"/>
      <c r="K23" s="182"/>
      <c r="L23" s="182"/>
      <c r="M23" s="182"/>
      <c r="N23" s="182"/>
      <c r="O23" s="182"/>
      <c r="P23" s="182"/>
    </row>
    <row r="24" spans="1:16" s="17" customFormat="1">
      <c r="A24" s="182"/>
      <c r="B24" s="182"/>
      <c r="C24" s="182"/>
      <c r="D24" s="182"/>
      <c r="E24" s="182"/>
      <c r="F24" s="182"/>
      <c r="G24" s="182"/>
      <c r="H24" s="182"/>
      <c r="I24" s="182"/>
      <c r="J24" s="182"/>
      <c r="K24" s="182"/>
      <c r="L24" s="182"/>
      <c r="M24" s="182"/>
      <c r="N24" s="182"/>
      <c r="O24" s="182"/>
      <c r="P24" s="182"/>
    </row>
    <row r="25" spans="1:16" s="17" customFormat="1">
      <c r="A25" s="182"/>
      <c r="B25" s="182"/>
      <c r="C25" s="182"/>
      <c r="D25" s="182"/>
      <c r="E25" s="182"/>
      <c r="F25" s="182"/>
      <c r="G25" s="182"/>
      <c r="H25" s="182"/>
      <c r="I25" s="182"/>
      <c r="J25" s="182"/>
      <c r="K25" s="182"/>
      <c r="L25" s="182"/>
      <c r="M25" s="182"/>
      <c r="N25" s="182"/>
      <c r="O25" s="182"/>
      <c r="P25" s="182"/>
    </row>
    <row r="26" spans="1:16" s="17" customFormat="1">
      <c r="A26" s="182"/>
      <c r="B26" s="182"/>
      <c r="C26" s="182"/>
      <c r="D26" s="182"/>
      <c r="E26" s="182"/>
      <c r="F26" s="182"/>
      <c r="G26" s="182"/>
      <c r="H26" s="182"/>
      <c r="I26" s="182"/>
      <c r="J26" s="182"/>
      <c r="K26" s="182"/>
      <c r="L26" s="182"/>
      <c r="M26" s="182"/>
      <c r="N26" s="182"/>
      <c r="O26" s="182"/>
      <c r="P26" s="182"/>
    </row>
    <row r="27" spans="1:16" s="17" customFormat="1">
      <c r="A27" s="182"/>
      <c r="B27" s="182"/>
      <c r="C27" s="182"/>
      <c r="D27" s="182"/>
      <c r="E27" s="182"/>
      <c r="F27" s="182"/>
      <c r="G27" s="182"/>
      <c r="H27" s="182"/>
      <c r="I27" s="182"/>
      <c r="J27" s="182"/>
      <c r="K27" s="182"/>
      <c r="L27" s="182"/>
      <c r="M27" s="182"/>
      <c r="N27" s="182"/>
      <c r="O27" s="182"/>
      <c r="P27" s="182"/>
    </row>
  </sheetData>
  <mergeCells count="2">
    <mergeCell ref="A2:A7"/>
    <mergeCell ref="P3:P18"/>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B96C-D17A-4860-B5A0-805DC618F811}">
  <dimension ref="A1:BK112"/>
  <sheetViews>
    <sheetView workbookViewId="0">
      <selection activeCell="C33" sqref="C33"/>
    </sheetView>
  </sheetViews>
  <sheetFormatPr defaultColWidth="10.7109375" defaultRowHeight="12.75"/>
  <cols>
    <col min="1" max="1" width="23.28515625" style="479" bestFit="1" customWidth="1"/>
    <col min="2" max="2" width="13.5703125" style="479" bestFit="1" customWidth="1"/>
    <col min="3" max="3" width="14" style="479" customWidth="1"/>
    <col min="4" max="4" width="15.28515625" style="479" customWidth="1"/>
    <col min="5" max="5" width="15.7109375" style="479" customWidth="1"/>
    <col min="6" max="6" width="11.28515625" style="479" bestFit="1" customWidth="1"/>
    <col min="7" max="7" width="14.28515625" style="479" customWidth="1"/>
    <col min="8" max="8" width="10.28515625" style="479" bestFit="1" customWidth="1"/>
    <col min="9" max="9" width="15.28515625" style="479" bestFit="1" customWidth="1"/>
    <col min="10" max="10" width="6.7109375" style="479" bestFit="1" customWidth="1"/>
    <col min="11" max="11" width="12.7109375" style="479" bestFit="1" customWidth="1"/>
    <col min="12" max="12" width="6.28515625" style="479" bestFit="1" customWidth="1"/>
    <col min="13" max="13" width="13.28515625" style="479" bestFit="1" customWidth="1"/>
    <col min="14" max="14" width="10.42578125" style="479" customWidth="1"/>
    <col min="15" max="15" width="13.28515625" style="479" bestFit="1" customWidth="1"/>
    <col min="16" max="16" width="10.7109375" style="479"/>
    <col min="17" max="17" width="11.5703125" style="479" customWidth="1"/>
    <col min="18" max="18" width="8.7109375" style="479" customWidth="1"/>
    <col min="19" max="19" width="9.28515625" style="479" customWidth="1"/>
    <col min="20" max="20" width="11" style="479" customWidth="1"/>
    <col min="21" max="21" width="10.28515625" style="479" customWidth="1"/>
    <col min="22" max="22" width="9.42578125" style="479" customWidth="1"/>
    <col min="23" max="23" width="12" style="479" customWidth="1"/>
    <col min="24" max="24" width="9.42578125" style="479" customWidth="1"/>
    <col min="25" max="25" width="12" style="479" customWidth="1"/>
    <col min="26" max="26" width="7.42578125" style="479" customWidth="1"/>
    <col min="27" max="28" width="8.7109375" style="479" customWidth="1"/>
    <col min="29" max="29" width="9.28515625" style="479" customWidth="1"/>
    <col min="30" max="31" width="11" style="479" customWidth="1"/>
    <col min="32" max="32" width="4.42578125" style="479" customWidth="1"/>
    <col min="33" max="33" width="5.7109375" style="479" customWidth="1"/>
    <col min="34" max="34" width="13.28515625" style="479" bestFit="1" customWidth="1"/>
    <col min="35" max="35" width="6.7109375" style="479" bestFit="1" customWidth="1"/>
    <col min="36" max="36" width="11.7109375" style="479" bestFit="1" customWidth="1"/>
    <col min="37" max="37" width="7.42578125" style="479" customWidth="1"/>
    <col min="38" max="39" width="8.7109375" style="479" customWidth="1"/>
    <col min="40" max="40" width="9.28515625" style="479" customWidth="1"/>
    <col min="41" max="42" width="10.7109375" style="479"/>
    <col min="43" max="43" width="4.42578125" style="479" customWidth="1"/>
    <col min="44" max="44" width="5.7109375" style="479" customWidth="1"/>
    <col min="45" max="45" width="11.7109375" style="479" customWidth="1"/>
    <col min="46" max="46" width="5.7109375" style="479" customWidth="1"/>
    <col min="47" max="47" width="11.7109375" style="479" customWidth="1"/>
    <col min="48" max="48" width="7.42578125" style="479" customWidth="1"/>
    <col min="49" max="50" width="8.7109375" style="479" customWidth="1"/>
    <col min="51" max="51" width="9.28515625" style="479" customWidth="1"/>
    <col min="52" max="53" width="10.7109375" style="479"/>
    <col min="54" max="54" width="4.42578125" style="479" bestFit="1" customWidth="1"/>
    <col min="55" max="55" width="4.7109375" style="479" bestFit="1" customWidth="1"/>
    <col min="56" max="56" width="11.7109375" style="479" bestFit="1" customWidth="1"/>
    <col min="57" max="57" width="5.7109375" style="479" bestFit="1" customWidth="1"/>
    <col min="58" max="58" width="11.7109375" style="479" bestFit="1" customWidth="1"/>
    <col min="59" max="59" width="7.42578125" style="479" bestFit="1" customWidth="1"/>
    <col min="60" max="61" width="8.7109375" style="479" bestFit="1" customWidth="1"/>
    <col min="62" max="62" width="9.28515625" style="479" bestFit="1" customWidth="1"/>
    <col min="63" max="16384" width="10.7109375" style="479"/>
  </cols>
  <sheetData>
    <row r="1" spans="1:24">
      <c r="B1" s="182" t="s">
        <v>2398</v>
      </c>
      <c r="C1" s="182" t="s">
        <v>2400</v>
      </c>
      <c r="D1" s="182" t="s">
        <v>492</v>
      </c>
      <c r="E1" s="182" t="s">
        <v>2401</v>
      </c>
      <c r="F1" s="182" t="s">
        <v>493</v>
      </c>
      <c r="G1" s="479" t="s">
        <v>2399</v>
      </c>
    </row>
    <row r="2" spans="1:24">
      <c r="A2" s="479" t="s">
        <v>589</v>
      </c>
      <c r="B2" s="560">
        <f>SUM(Original!M3:T4)</f>
        <v>8460295.6592598446</v>
      </c>
      <c r="C2" s="560">
        <f>SUM(Original!M6:T12)</f>
        <v>29186361.566191815</v>
      </c>
      <c r="D2" s="560">
        <f>SUM(Original!M13:T20)</f>
        <v>8003998.3410948738</v>
      </c>
      <c r="E2" s="560">
        <f>SUM(Original!M24:T29)</f>
        <v>5537647.8334544301</v>
      </c>
      <c r="F2" s="560">
        <f>SUM(Original!M21:T23)</f>
        <v>2929826.6911631091</v>
      </c>
      <c r="G2" s="561">
        <f>SUM(B2:F2)</f>
        <v>54118130.091164075</v>
      </c>
    </row>
    <row r="3" spans="1:24">
      <c r="A3" s="182" t="s">
        <v>347</v>
      </c>
      <c r="B3" s="560">
        <f>SUM(Original!U3:AB4)</f>
        <v>19885543</v>
      </c>
      <c r="C3" s="560">
        <f>SUM(Original!U6:AB12)</f>
        <v>31859848</v>
      </c>
      <c r="D3" s="560">
        <f>SUM(Original!U13:AB20)</f>
        <v>63229620.15442849</v>
      </c>
      <c r="E3" s="560">
        <f>SUM(Original!U24:AB28)</f>
        <v>18987066.663351629</v>
      </c>
      <c r="F3" s="560">
        <f>SUM(Original!U21:AB23)</f>
        <v>30357435.168775488</v>
      </c>
      <c r="G3" s="561">
        <f t="shared" ref="G3:G4" si="0">SUM(B3:F3)</f>
        <v>164319512.98655561</v>
      </c>
    </row>
    <row r="4" spans="1:24">
      <c r="A4" s="182" t="s">
        <v>870</v>
      </c>
      <c r="B4" s="560">
        <f>SUM(Original!AC3:AJ4)</f>
        <v>51014236.484452657</v>
      </c>
      <c r="C4" s="560">
        <f>SUM(Original!AC6:AJ12)</f>
        <v>126522055.86150233</v>
      </c>
      <c r="D4" s="560">
        <f>SUM(Original!AC13:AJ20)</f>
        <v>72977381.157310739</v>
      </c>
      <c r="E4" s="560">
        <f>SUM(Original!AC24:AJ28)</f>
        <v>34299730.702522986</v>
      </c>
      <c r="F4" s="560">
        <f>SUM(Original!AC21:AJ23)</f>
        <v>25470689.013762552</v>
      </c>
      <c r="G4" s="561">
        <f t="shared" si="0"/>
        <v>310284093.21955127</v>
      </c>
    </row>
    <row r="7" spans="1:24" ht="15">
      <c r="A7" s="549" t="s">
        <v>2615</v>
      </c>
      <c r="B7" s="480" t="s">
        <v>2480</v>
      </c>
      <c r="C7" s="480" t="s">
        <v>2481</v>
      </c>
      <c r="D7" s="480" t="s">
        <v>2482</v>
      </c>
      <c r="E7" s="480" t="s">
        <v>2484</v>
      </c>
      <c r="F7" s="480" t="s">
        <v>2483</v>
      </c>
      <c r="G7" s="480" t="s">
        <v>2350</v>
      </c>
      <c r="I7" s="549" t="s">
        <v>2615</v>
      </c>
      <c r="J7" s="480" t="s">
        <v>2480</v>
      </c>
      <c r="K7" s="480" t="s">
        <v>2481</v>
      </c>
      <c r="L7" s="480" t="s">
        <v>2482</v>
      </c>
      <c r="M7" s="480" t="s">
        <v>2484</v>
      </c>
      <c r="N7" s="480" t="s">
        <v>2483</v>
      </c>
      <c r="O7" s="480" t="s">
        <v>2350</v>
      </c>
    </row>
    <row r="8" spans="1:24">
      <c r="A8" s="562" t="s">
        <v>2398</v>
      </c>
      <c r="B8" s="563">
        <f>BldgArea!B41</f>
        <v>451052104</v>
      </c>
      <c r="C8" s="563">
        <f>BldgArea!C41</f>
        <v>141799753</v>
      </c>
      <c r="D8" s="563">
        <f>BldgArea!D41</f>
        <v>30184805.999999996</v>
      </c>
      <c r="E8" s="563">
        <f>BldgArea!E41</f>
        <v>240814156.00000003</v>
      </c>
      <c r="F8" s="563">
        <f>BldgArea!F41</f>
        <v>188837761</v>
      </c>
      <c r="G8" s="563">
        <f>BldgArea!G41</f>
        <v>1052688580</v>
      </c>
      <c r="I8" s="562" t="s">
        <v>2398</v>
      </c>
      <c r="J8" s="564">
        <f>B8/$G8</f>
        <v>0.42847629638007473</v>
      </c>
      <c r="K8" s="564">
        <f t="shared" ref="K8:N12" si="1">C8/$G8</f>
        <v>0.13470247107648875</v>
      </c>
      <c r="L8" s="564">
        <f t="shared" si="1"/>
        <v>2.8674012973523469E-2</v>
      </c>
      <c r="M8" s="564">
        <f>E8/$G8</f>
        <v>0.22876106055980966</v>
      </c>
      <c r="N8" s="564">
        <f t="shared" si="1"/>
        <v>0.17938615901010344</v>
      </c>
      <c r="O8" s="564">
        <f>SUM(J8:N8)</f>
        <v>1</v>
      </c>
    </row>
    <row r="9" spans="1:24">
      <c r="A9" s="562" t="s">
        <v>2400</v>
      </c>
      <c r="B9" s="563">
        <f>BldgArea!B45</f>
        <v>488073637</v>
      </c>
      <c r="C9" s="563">
        <f>BldgArea!C45</f>
        <v>365931051</v>
      </c>
      <c r="D9" s="563">
        <f>BldgArea!D45</f>
        <v>743673556</v>
      </c>
      <c r="E9" s="563">
        <f>BldgArea!E45</f>
        <v>235518283</v>
      </c>
      <c r="F9" s="563">
        <f>BldgArea!F45</f>
        <v>20635136</v>
      </c>
      <c r="G9" s="563">
        <f>BldgArea!G45</f>
        <v>1853831663</v>
      </c>
      <c r="I9" s="562" t="s">
        <v>2400</v>
      </c>
      <c r="J9" s="564">
        <f t="shared" ref="J9:J12" si="2">B9/$G9</f>
        <v>0.26327829367752037</v>
      </c>
      <c r="K9" s="564">
        <f t="shared" si="1"/>
        <v>0.19739173642542321</v>
      </c>
      <c r="L9" s="564">
        <f t="shared" si="1"/>
        <v>0.40115484638801319</v>
      </c>
      <c r="M9" s="564">
        <f t="shared" si="1"/>
        <v>0.12704405027739565</v>
      </c>
      <c r="N9" s="564">
        <f t="shared" si="1"/>
        <v>1.1131073231647571E-2</v>
      </c>
      <c r="O9" s="564">
        <f t="shared" ref="O9:O12" si="3">SUM(J9:N9)</f>
        <v>1</v>
      </c>
    </row>
    <row r="10" spans="1:24">
      <c r="A10" s="562" t="s">
        <v>492</v>
      </c>
      <c r="B10" s="563">
        <f>BldgArea!B42</f>
        <v>120536929</v>
      </c>
      <c r="C10" s="563">
        <f>BldgArea!C42</f>
        <v>52844931</v>
      </c>
      <c r="D10" s="563">
        <f>BldgArea!D42</f>
        <v>737990936</v>
      </c>
      <c r="E10" s="563">
        <f>BldgArea!E42</f>
        <v>81617104</v>
      </c>
      <c r="F10" s="563">
        <f>BldgArea!F42</f>
        <v>21255942</v>
      </c>
      <c r="G10" s="563">
        <f>BldgArea!G42</f>
        <v>1014245842</v>
      </c>
      <c r="I10" s="562" t="s">
        <v>492</v>
      </c>
      <c r="J10" s="564">
        <f t="shared" si="2"/>
        <v>0.11884389761195589</v>
      </c>
      <c r="K10" s="564">
        <f t="shared" si="1"/>
        <v>5.2102684390398515E-2</v>
      </c>
      <c r="L10" s="564">
        <f t="shared" si="1"/>
        <v>0.72762530092778044</v>
      </c>
      <c r="M10" s="564">
        <f t="shared" si="1"/>
        <v>8.0470730685036421E-2</v>
      </c>
      <c r="N10" s="564">
        <f t="shared" si="1"/>
        <v>2.0957386384828778E-2</v>
      </c>
      <c r="O10" s="564">
        <f t="shared" si="3"/>
        <v>1</v>
      </c>
    </row>
    <row r="11" spans="1:24">
      <c r="A11" s="562" t="s">
        <v>493</v>
      </c>
      <c r="B11" s="563">
        <f>BldgArea!B43</f>
        <v>125278970</v>
      </c>
      <c r="C11" s="563">
        <f>BldgArea!C43</f>
        <v>43875351</v>
      </c>
      <c r="D11" s="563">
        <f>BldgArea!D43</f>
        <v>39271823</v>
      </c>
      <c r="E11" s="563">
        <f>BldgArea!E43</f>
        <v>77054457</v>
      </c>
      <c r="F11" s="563">
        <f>BldgArea!F43</f>
        <v>10499730</v>
      </c>
      <c r="G11" s="563">
        <f>BldgArea!G43</f>
        <v>295980331</v>
      </c>
      <c r="I11" s="562" t="s">
        <v>493</v>
      </c>
      <c r="J11" s="564">
        <f t="shared" si="2"/>
        <v>0.42326788937877091</v>
      </c>
      <c r="K11" s="564">
        <f t="shared" si="1"/>
        <v>0.14823738743639692</v>
      </c>
      <c r="L11" s="564">
        <f t="shared" si="1"/>
        <v>0.13268389445783815</v>
      </c>
      <c r="M11" s="564">
        <f t="shared" si="1"/>
        <v>0.26033641066507218</v>
      </c>
      <c r="N11" s="564">
        <f t="shared" si="1"/>
        <v>3.5474418061921822E-2</v>
      </c>
      <c r="O11" s="564">
        <f t="shared" si="3"/>
        <v>1</v>
      </c>
      <c r="X11" s="22"/>
    </row>
    <row r="12" spans="1:24">
      <c r="A12" s="562" t="s">
        <v>2401</v>
      </c>
      <c r="B12" s="563">
        <f>BldgArea!B44</f>
        <v>154479825</v>
      </c>
      <c r="C12" s="563">
        <f>BldgArea!C44</f>
        <v>92417027</v>
      </c>
      <c r="D12" s="563">
        <f>BldgArea!D44</f>
        <v>163140516</v>
      </c>
      <c r="E12" s="563">
        <f>BldgArea!E44</f>
        <v>48554369</v>
      </c>
      <c r="F12" s="563">
        <f>BldgArea!F44</f>
        <v>25465478</v>
      </c>
      <c r="G12" s="563">
        <f>BldgArea!G44</f>
        <v>484057215</v>
      </c>
      <c r="I12" s="562" t="s">
        <v>2401</v>
      </c>
      <c r="J12" s="564">
        <f t="shared" si="2"/>
        <v>0.31913546624855083</v>
      </c>
      <c r="K12" s="564">
        <f t="shared" si="1"/>
        <v>0.19092170127037567</v>
      </c>
      <c r="L12" s="564">
        <f t="shared" si="1"/>
        <v>0.33702734086919872</v>
      </c>
      <c r="M12" s="564">
        <f t="shared" si="1"/>
        <v>0.10030708663231061</v>
      </c>
      <c r="N12" s="564">
        <f t="shared" si="1"/>
        <v>5.2608404979564247E-2</v>
      </c>
      <c r="O12" s="564">
        <f t="shared" si="3"/>
        <v>1</v>
      </c>
    </row>
    <row r="14" spans="1:24">
      <c r="B14" s="565">
        <f>B8+B9</f>
        <v>939125741</v>
      </c>
      <c r="C14" s="565">
        <f t="shared" ref="C14:F14" si="4">C8+C9</f>
        <v>507730804</v>
      </c>
      <c r="D14" s="565">
        <f t="shared" si="4"/>
        <v>773858362</v>
      </c>
      <c r="E14" s="565">
        <f t="shared" si="4"/>
        <v>476332439</v>
      </c>
      <c r="F14" s="565">
        <f t="shared" si="4"/>
        <v>209472897</v>
      </c>
      <c r="G14" s="479">
        <f>(G8+G9)/SUM(G8:G12)</f>
        <v>0.61830284163171845</v>
      </c>
      <c r="S14" s="22"/>
      <c r="T14" s="22"/>
      <c r="U14" s="22"/>
      <c r="V14" s="22"/>
      <c r="W14" s="22"/>
    </row>
    <row r="15" spans="1:24" ht="15">
      <c r="A15" s="549" t="s">
        <v>491</v>
      </c>
      <c r="B15" s="480" t="s">
        <v>2480</v>
      </c>
      <c r="C15" s="480" t="s">
        <v>2481</v>
      </c>
      <c r="D15" s="480" t="s">
        <v>2482</v>
      </c>
      <c r="E15" s="480" t="s">
        <v>2484</v>
      </c>
      <c r="F15" s="480" t="s">
        <v>2483</v>
      </c>
      <c r="S15" s="22"/>
      <c r="T15" s="22"/>
      <c r="U15" s="22"/>
      <c r="V15" s="22"/>
      <c r="W15" s="22"/>
    </row>
    <row r="16" spans="1:24">
      <c r="A16" s="562" t="s">
        <v>2398</v>
      </c>
      <c r="B16" s="564">
        <f>B8/B$14</f>
        <v>0.48028936308327641</v>
      </c>
      <c r="C16" s="564">
        <f t="shared" ref="C16:F17" si="5">C8/C$14</f>
        <v>0.27928136698201989</v>
      </c>
      <c r="D16" s="564">
        <f t="shared" si="5"/>
        <v>3.9005595186680939E-2</v>
      </c>
      <c r="E16" s="564">
        <f t="shared" si="5"/>
        <v>0.50555900938755938</v>
      </c>
      <c r="F16" s="564">
        <f t="shared" si="5"/>
        <v>0.90149018658008062</v>
      </c>
      <c r="S16" s="22"/>
      <c r="T16" s="22"/>
      <c r="U16" s="22"/>
      <c r="V16" s="22"/>
      <c r="W16" s="22"/>
    </row>
    <row r="17" spans="1:63">
      <c r="A17" s="562" t="s">
        <v>2400</v>
      </c>
      <c r="B17" s="564">
        <f>B9/B$14</f>
        <v>0.51971063691672359</v>
      </c>
      <c r="C17" s="564">
        <f t="shared" si="5"/>
        <v>0.72071863301798011</v>
      </c>
      <c r="D17" s="564">
        <f t="shared" si="5"/>
        <v>0.9609944048133191</v>
      </c>
      <c r="E17" s="564">
        <f t="shared" si="5"/>
        <v>0.49444099061244073</v>
      </c>
      <c r="F17" s="564">
        <f t="shared" si="5"/>
        <v>9.8509813419919434E-2</v>
      </c>
      <c r="S17" s="22"/>
      <c r="T17" s="22"/>
      <c r="U17" s="22"/>
      <c r="V17" s="22"/>
      <c r="W17" s="22"/>
    </row>
    <row r="18" spans="1:63">
      <c r="S18" s="22"/>
      <c r="T18" s="22"/>
      <c r="U18" s="22"/>
      <c r="V18" s="22"/>
      <c r="W18" s="22"/>
    </row>
    <row r="19" spans="1:63">
      <c r="S19" s="22"/>
      <c r="T19" s="22"/>
      <c r="U19" s="22"/>
      <c r="V19" s="22"/>
      <c r="W19" s="22"/>
    </row>
    <row r="20" spans="1:63">
      <c r="S20" s="22"/>
      <c r="T20" s="22"/>
      <c r="U20" s="22"/>
      <c r="V20" s="22"/>
      <c r="W20" s="22"/>
    </row>
    <row r="21" spans="1:63">
      <c r="A21" s="479" t="s">
        <v>2402</v>
      </c>
      <c r="B21" s="479" t="s">
        <v>2403</v>
      </c>
    </row>
    <row r="23" spans="1:63" ht="15">
      <c r="B23" s="479" t="s">
        <v>2621</v>
      </c>
      <c r="C23" s="479" t="s">
        <v>2400</v>
      </c>
      <c r="D23" s="479" t="s">
        <v>492</v>
      </c>
      <c r="E23" s="479" t="s">
        <v>493</v>
      </c>
      <c r="F23" s="479" t="s">
        <v>2401</v>
      </c>
      <c r="K23" s="479" t="s">
        <v>2622</v>
      </c>
      <c r="L23" s="479" t="s">
        <v>2621</v>
      </c>
      <c r="M23" s="479" t="s">
        <v>2400</v>
      </c>
      <c r="N23" s="479" t="s">
        <v>492</v>
      </c>
      <c r="O23" s="479" t="s">
        <v>493</v>
      </c>
      <c r="P23" s="479" t="s">
        <v>2401</v>
      </c>
      <c r="Q23" s="479" t="s">
        <v>491</v>
      </c>
      <c r="R23" s="566" t="s">
        <v>2571</v>
      </c>
      <c r="S23" s="567"/>
      <c r="T23" s="567" t="s">
        <v>2621</v>
      </c>
      <c r="U23" s="567" t="s">
        <v>2400</v>
      </c>
      <c r="V23" s="567" t="s">
        <v>492</v>
      </c>
      <c r="W23" s="567" t="s">
        <v>493</v>
      </c>
      <c r="X23" s="567" t="s">
        <v>2401</v>
      </c>
    </row>
    <row r="24" spans="1:63" ht="15">
      <c r="A24" s="479" t="s">
        <v>346</v>
      </c>
      <c r="B24" s="568">
        <f>B3/G3</f>
        <v>0.12101753856601928</v>
      </c>
      <c r="C24" s="568">
        <f>C3/G3</f>
        <v>0.19388962041657662</v>
      </c>
      <c r="D24" s="568">
        <f>D3/G3</f>
        <v>0.38479678405328432</v>
      </c>
      <c r="E24" s="568">
        <f>F3/G3</f>
        <v>0.18474637988526227</v>
      </c>
      <c r="F24" s="568">
        <f>E3/G3</f>
        <v>0.11554967707885748</v>
      </c>
      <c r="G24" s="22">
        <f>SUM(B24:F24)</f>
        <v>0.99999999999999989</v>
      </c>
      <c r="I24" s="479" t="s">
        <v>346</v>
      </c>
      <c r="K24" s="643">
        <f>'2010 GHG Emissions'!I5</f>
        <v>178.09045599999999</v>
      </c>
      <c r="L24" s="22">
        <f>B24*$K24</f>
        <v>21.55206862721996</v>
      </c>
      <c r="M24" s="22">
        <f>C24*$K24</f>
        <v>34.529890913655038</v>
      </c>
      <c r="N24" s="22">
        <f>D24*$K24</f>
        <v>68.528634739382923</v>
      </c>
      <c r="O24" s="22">
        <f>E24*$K24</f>
        <v>32.90156703811558</v>
      </c>
      <c r="P24" s="22">
        <f>F24*$K24</f>
        <v>20.578294681626474</v>
      </c>
      <c r="Q24" s="22">
        <f>L24+M24</f>
        <v>56.081959540874998</v>
      </c>
      <c r="R24" s="569">
        <f>SUM(L24:P24)-K24</f>
        <v>0</v>
      </c>
      <c r="S24" s="567" t="s">
        <v>346</v>
      </c>
      <c r="T24" s="570">
        <f>L31+V31+AG31+AR31+BC31-L24</f>
        <v>0</v>
      </c>
      <c r="U24" s="570">
        <f>L38+V38+AG38+AR38+BC38-M24</f>
        <v>0</v>
      </c>
      <c r="V24" s="570"/>
      <c r="W24" s="570"/>
      <c r="X24" s="570"/>
      <c r="AI24" s="22">
        <f>B47+B52+B57+B62+B67</f>
        <v>56.081959540874998</v>
      </c>
    </row>
    <row r="25" spans="1:63" ht="15">
      <c r="A25" s="479" t="s">
        <v>2404</v>
      </c>
      <c r="B25" s="568">
        <f>B4/G4</f>
        <v>0.164411381695793</v>
      </c>
      <c r="C25" s="568">
        <f>C4/G4</f>
        <v>0.40776197886489035</v>
      </c>
      <c r="D25" s="568">
        <f>D4/G4</f>
        <v>0.23519536692998727</v>
      </c>
      <c r="E25" s="568">
        <f>F4/G4</f>
        <v>8.2088284802082856E-2</v>
      </c>
      <c r="F25" s="568">
        <f>E4/G4</f>
        <v>0.11054298770724651</v>
      </c>
      <c r="G25" s="22">
        <f t="shared" ref="G25:G26" si="6">SUM(B25:F25)</f>
        <v>1</v>
      </c>
      <c r="I25" s="479" t="s">
        <v>2404</v>
      </c>
      <c r="K25" s="22">
        <f>'2010 GHG Emissions'!H6</f>
        <v>271.99211200000002</v>
      </c>
      <c r="L25" s="22">
        <f t="shared" ref="L25:P26" si="7">B25*$K25</f>
        <v>44.718598944276884</v>
      </c>
      <c r="M25" s="22">
        <f t="shared" si="7"/>
        <v>110.9080418247609</v>
      </c>
      <c r="N25" s="22">
        <f t="shared" si="7"/>
        <v>63.971284583902197</v>
      </c>
      <c r="O25" s="22">
        <f t="shared" si="7"/>
        <v>22.32736595377602</v>
      </c>
      <c r="P25" s="22">
        <f t="shared" si="7"/>
        <v>30.066820693284019</v>
      </c>
      <c r="Q25" s="22">
        <f t="shared" ref="Q25:Q26" si="8">L25+M25</f>
        <v>155.62664076903778</v>
      </c>
      <c r="R25" s="569">
        <f>SUM(L25:P25)-K25</f>
        <v>0</v>
      </c>
      <c r="S25" s="567" t="s">
        <v>2404</v>
      </c>
      <c r="T25" s="570">
        <f>L32+V32+AG32+AR32+BC32-L25</f>
        <v>0</v>
      </c>
      <c r="U25" s="570">
        <f>L39+V39+AG39+AR39+BC39-M25</f>
        <v>0</v>
      </c>
      <c r="V25" s="570"/>
      <c r="W25" s="570"/>
      <c r="X25" s="570"/>
    </row>
    <row r="26" spans="1:63" ht="15">
      <c r="A26" s="479" t="s">
        <v>2405</v>
      </c>
      <c r="B26" s="568">
        <f>B2/G2</f>
        <v>0.15633015488539886</v>
      </c>
      <c r="C26" s="568">
        <f>C2/G2</f>
        <v>0.53930838920388169</v>
      </c>
      <c r="D26" s="568">
        <f>D2/G2</f>
        <v>0.14789864926248986</v>
      </c>
      <c r="E26" s="568">
        <f>F2/G2</f>
        <v>5.4137618691327716E-2</v>
      </c>
      <c r="F26" s="568">
        <f>E2/G2</f>
        <v>0.10232518795690186</v>
      </c>
      <c r="G26" s="22">
        <f t="shared" si="6"/>
        <v>0.99999999999999989</v>
      </c>
      <c r="I26" s="479" t="s">
        <v>2405</v>
      </c>
      <c r="K26" s="22">
        <f>SUM('2010 GHG Emissions'!H2:H4)</f>
        <v>138.11435900000001</v>
      </c>
      <c r="L26" s="22">
        <f t="shared" si="7"/>
        <v>21.591439134367583</v>
      </c>
      <c r="M26" s="22">
        <f t="shared" si="7"/>
        <v>74.48623247821665</v>
      </c>
      <c r="N26" s="22">
        <f t="shared" si="7"/>
        <v>20.426927139854609</v>
      </c>
      <c r="O26" s="22">
        <f t="shared" si="7"/>
        <v>7.4771825033391464</v>
      </c>
      <c r="P26" s="22">
        <f t="shared" si="7"/>
        <v>14.13257774422202</v>
      </c>
      <c r="Q26" s="22">
        <f t="shared" si="8"/>
        <v>96.077671612584226</v>
      </c>
      <c r="R26" s="569">
        <f>SUM(L26:P26)-K26</f>
        <v>0</v>
      </c>
      <c r="S26" s="567" t="s">
        <v>2405</v>
      </c>
      <c r="T26" s="570">
        <f>L33+V33+AG33+AR33+BC33-L26</f>
        <v>0</v>
      </c>
      <c r="U26" s="570">
        <f>L40+V40+AG40+AR40+BC40-M26</f>
        <v>0</v>
      </c>
      <c r="V26" s="570"/>
      <c r="W26" s="570"/>
      <c r="X26" s="570"/>
    </row>
    <row r="27" spans="1:63">
      <c r="C27" s="22"/>
      <c r="D27" s="22"/>
      <c r="E27" s="22"/>
      <c r="F27" s="22"/>
      <c r="G27" s="22"/>
      <c r="K27" s="22">
        <f>SUM(K24:K26)</f>
        <v>588.19692700000007</v>
      </c>
    </row>
    <row r="28" spans="1:63">
      <c r="B28" s="568"/>
      <c r="C28" s="22"/>
      <c r="D28" s="22"/>
      <c r="E28" s="22"/>
      <c r="F28" s="22"/>
      <c r="G28" s="22"/>
    </row>
    <row r="29" spans="1:63">
      <c r="B29" s="568"/>
      <c r="C29" s="22"/>
      <c r="D29" s="22"/>
      <c r="E29" s="22"/>
      <c r="F29" s="22"/>
      <c r="G29" s="22"/>
    </row>
    <row r="30" spans="1:63" s="480" customFormat="1" ht="25.5">
      <c r="A30" s="571" t="s">
        <v>2616</v>
      </c>
      <c r="B30" s="480" t="s">
        <v>2391</v>
      </c>
      <c r="C30" s="26" t="s">
        <v>2392</v>
      </c>
      <c r="D30" s="26" t="s">
        <v>2393</v>
      </c>
      <c r="E30" s="26" t="s">
        <v>855</v>
      </c>
      <c r="F30" s="26" t="s">
        <v>2568</v>
      </c>
      <c r="G30" s="26" t="s">
        <v>2570</v>
      </c>
      <c r="H30" s="480" t="s">
        <v>2569</v>
      </c>
      <c r="I30" s="480" t="s">
        <v>497</v>
      </c>
      <c r="L30" s="577" t="s">
        <v>2345</v>
      </c>
      <c r="M30" s="480" t="s">
        <v>2391</v>
      </c>
      <c r="N30" s="26" t="s">
        <v>2392</v>
      </c>
      <c r="O30" s="26" t="s">
        <v>2393</v>
      </c>
      <c r="P30" s="26" t="s">
        <v>855</v>
      </c>
      <c r="Q30" s="26" t="s">
        <v>2568</v>
      </c>
      <c r="R30" s="26" t="s">
        <v>2570</v>
      </c>
      <c r="S30" s="480" t="s">
        <v>2569</v>
      </c>
      <c r="V30" s="577" t="s">
        <v>2346</v>
      </c>
      <c r="W30" s="480" t="s">
        <v>2391</v>
      </c>
      <c r="X30" s="26" t="s">
        <v>2392</v>
      </c>
      <c r="Y30" s="26" t="s">
        <v>2393</v>
      </c>
      <c r="Z30" s="26" t="s">
        <v>855</v>
      </c>
      <c r="AA30" s="26" t="s">
        <v>2568</v>
      </c>
      <c r="AB30" s="26" t="s">
        <v>2570</v>
      </c>
      <c r="AC30" s="480" t="s">
        <v>2569</v>
      </c>
      <c r="AG30" s="577" t="s">
        <v>2347</v>
      </c>
      <c r="AH30" s="480" t="s">
        <v>2391</v>
      </c>
      <c r="AI30" s="26" t="s">
        <v>2392</v>
      </c>
      <c r="AJ30" s="26" t="s">
        <v>2393</v>
      </c>
      <c r="AK30" s="26" t="s">
        <v>855</v>
      </c>
      <c r="AL30" s="26" t="s">
        <v>2568</v>
      </c>
      <c r="AM30" s="26" t="s">
        <v>2570</v>
      </c>
      <c r="AN30" s="480" t="s">
        <v>2569</v>
      </c>
      <c r="AR30" s="577" t="s">
        <v>2349</v>
      </c>
      <c r="AS30" s="480" t="s">
        <v>2391</v>
      </c>
      <c r="AT30" s="26" t="s">
        <v>2392</v>
      </c>
      <c r="AU30" s="26" t="s">
        <v>2393</v>
      </c>
      <c r="AV30" s="26" t="s">
        <v>855</v>
      </c>
      <c r="AW30" s="26" t="s">
        <v>2568</v>
      </c>
      <c r="AX30" s="26" t="s">
        <v>2570</v>
      </c>
      <c r="AY30" s="480" t="s">
        <v>2569</v>
      </c>
      <c r="BB30" s="577"/>
      <c r="BC30" s="577" t="s">
        <v>2348</v>
      </c>
      <c r="BD30" s="480" t="s">
        <v>2391</v>
      </c>
      <c r="BE30" s="26" t="s">
        <v>2392</v>
      </c>
      <c r="BF30" s="26" t="s">
        <v>2393</v>
      </c>
      <c r="BG30" s="26" t="s">
        <v>855</v>
      </c>
      <c r="BH30" s="26" t="s">
        <v>2568</v>
      </c>
      <c r="BI30" s="26" t="s">
        <v>2570</v>
      </c>
      <c r="BJ30" s="480" t="s">
        <v>2569</v>
      </c>
    </row>
    <row r="31" spans="1:63" s="22" customFormat="1" ht="15">
      <c r="A31" s="572" t="s">
        <v>346</v>
      </c>
      <c r="B31" s="22">
        <f>'Dmd Share'!L53</f>
        <v>2.0000000000000004E-2</v>
      </c>
      <c r="C31" s="22">
        <f>'Dmd Share'!M53</f>
        <v>3.0000000000000002E-2</v>
      </c>
      <c r="D31" s="22">
        <f>'Dmd Share'!N53</f>
        <v>0.17000000000000004</v>
      </c>
      <c r="E31" s="22">
        <f>'Dmd Share'!O53</f>
        <v>0.19000000000000003</v>
      </c>
      <c r="F31" s="22">
        <f>'Dmd Share'!P53</f>
        <v>0.59</v>
      </c>
      <c r="G31" s="22">
        <f>'Dmd Share'!Q53</f>
        <v>0</v>
      </c>
      <c r="H31" s="22">
        <v>0</v>
      </c>
      <c r="I31" s="22">
        <f>SUM(B31:H31)</f>
        <v>1</v>
      </c>
      <c r="K31" s="22" t="s">
        <v>346</v>
      </c>
      <c r="L31" s="573">
        <f>L24*J8</f>
        <v>9.2345505447204097</v>
      </c>
      <c r="M31" s="22">
        <f>$L31*B31</f>
        <v>0.18469101089440823</v>
      </c>
      <c r="N31" s="22">
        <f t="shared" ref="N31:S33" si="9">$L31*C31</f>
        <v>0.2770365163416123</v>
      </c>
      <c r="O31" s="22">
        <f t="shared" si="9"/>
        <v>1.5698735926024701</v>
      </c>
      <c r="P31" s="22">
        <f t="shared" si="9"/>
        <v>1.754564603496878</v>
      </c>
      <c r="Q31" s="22">
        <f t="shared" si="9"/>
        <v>5.4483848213850417</v>
      </c>
      <c r="R31" s="22">
        <f t="shared" si="9"/>
        <v>0</v>
      </c>
      <c r="S31" s="22">
        <f t="shared" si="9"/>
        <v>0</v>
      </c>
      <c r="T31" s="570">
        <f>L31-SUM(M31:S31)</f>
        <v>0</v>
      </c>
      <c r="U31" s="22" t="s">
        <v>346</v>
      </c>
      <c r="V31" s="573">
        <f>L24*K8</f>
        <v>2.9031169008965971</v>
      </c>
      <c r="W31" s="22">
        <f>$V31*B31</f>
        <v>5.8062338017931953E-2</v>
      </c>
      <c r="X31" s="22">
        <f t="shared" ref="X31:AC33" si="10">$V31*C31</f>
        <v>8.7093507026897915E-2</v>
      </c>
      <c r="Y31" s="22">
        <f t="shared" si="10"/>
        <v>0.49352987315242164</v>
      </c>
      <c r="Z31" s="22">
        <f t="shared" si="10"/>
        <v>0.55159221117035351</v>
      </c>
      <c r="AA31" s="22">
        <f t="shared" si="10"/>
        <v>1.7128389715289922</v>
      </c>
      <c r="AB31" s="22">
        <f t="shared" si="10"/>
        <v>0</v>
      </c>
      <c r="AC31" s="22">
        <f t="shared" si="10"/>
        <v>0</v>
      </c>
      <c r="AD31" s="570">
        <f>V31-SUM(W31:AC31)</f>
        <v>0</v>
      </c>
      <c r="AE31" s="570"/>
      <c r="AF31" s="22" t="s">
        <v>346</v>
      </c>
      <c r="AG31" s="573">
        <f>L24*L8</f>
        <v>0.61798429542317324</v>
      </c>
      <c r="AH31" s="22">
        <f t="shared" ref="AH31:AN33" si="11">$AG31*B31</f>
        <v>1.2359685908463466E-2</v>
      </c>
      <c r="AI31" s="22">
        <f t="shared" si="11"/>
        <v>1.85395288626952E-2</v>
      </c>
      <c r="AJ31" s="22">
        <f t="shared" si="11"/>
        <v>0.10505733022193947</v>
      </c>
      <c r="AK31" s="22">
        <f t="shared" si="11"/>
        <v>0.11741701613040294</v>
      </c>
      <c r="AL31" s="22">
        <f t="shared" si="11"/>
        <v>0.36461073429967217</v>
      </c>
      <c r="AM31" s="22">
        <f t="shared" si="11"/>
        <v>0</v>
      </c>
      <c r="AN31" s="22">
        <f t="shared" si="11"/>
        <v>0</v>
      </c>
      <c r="AO31" s="570">
        <f>AG31-SUM(AH31:AN31)</f>
        <v>0</v>
      </c>
      <c r="AP31" s="570"/>
      <c r="AQ31" s="22" t="s">
        <v>346</v>
      </c>
      <c r="AR31" s="573">
        <f>L24*M8</f>
        <v>4.9302740764206394</v>
      </c>
      <c r="AS31" s="22">
        <f t="shared" ref="AS31:AY33" si="12">$AR31*B31</f>
        <v>9.8605481528412808E-2</v>
      </c>
      <c r="AT31" s="22">
        <f t="shared" si="12"/>
        <v>0.14790822229261918</v>
      </c>
      <c r="AU31" s="22">
        <f t="shared" si="12"/>
        <v>0.83814659299150884</v>
      </c>
      <c r="AV31" s="22">
        <f t="shared" si="12"/>
        <v>0.9367520745199216</v>
      </c>
      <c r="AW31" s="22">
        <f t="shared" si="12"/>
        <v>2.9088617050881771</v>
      </c>
      <c r="AX31" s="22">
        <f t="shared" si="12"/>
        <v>0</v>
      </c>
      <c r="AY31" s="22">
        <f t="shared" si="12"/>
        <v>0</v>
      </c>
      <c r="AZ31" s="570">
        <f>AR31-SUM(AS31:AY31)</f>
        <v>0</v>
      </c>
      <c r="BA31" s="570"/>
      <c r="BB31" s="22" t="s">
        <v>346</v>
      </c>
      <c r="BC31" s="573">
        <f>L24*N8</f>
        <v>3.8661428097591415</v>
      </c>
      <c r="BD31" s="22">
        <f t="shared" ref="BD31:BJ33" si="13">$BC31*B31</f>
        <v>7.7322856195182851E-2</v>
      </c>
      <c r="BE31" s="22">
        <f t="shared" si="13"/>
        <v>0.11598428429277426</v>
      </c>
      <c r="BF31" s="22">
        <f t="shared" si="13"/>
        <v>0.65724427765905424</v>
      </c>
      <c r="BG31" s="22">
        <f t="shared" si="13"/>
        <v>0.734567133854237</v>
      </c>
      <c r="BH31" s="22">
        <f t="shared" si="13"/>
        <v>2.2810242577578932</v>
      </c>
      <c r="BI31" s="22">
        <f t="shared" si="13"/>
        <v>0</v>
      </c>
      <c r="BJ31" s="22">
        <f t="shared" si="13"/>
        <v>0</v>
      </c>
      <c r="BK31" s="570">
        <f>BC31-SUM(BD31:BJ31)</f>
        <v>0</v>
      </c>
    </row>
    <row r="32" spans="1:63" s="22" customFormat="1" ht="15">
      <c r="A32" s="572" t="s">
        <v>2404</v>
      </c>
      <c r="B32" s="22">
        <f>'Dmd Share'!L54</f>
        <v>0.71577734452364239</v>
      </c>
      <c r="C32" s="22">
        <f>'Dmd Share'!M54</f>
        <v>0.28422265547635739</v>
      </c>
      <c r="D32" s="22">
        <f>'Dmd Share'!N54</f>
        <v>0</v>
      </c>
      <c r="E32" s="22">
        <f>'Dmd Share'!O54</f>
        <v>0</v>
      </c>
      <c r="F32" s="22">
        <f>'Dmd Share'!P54</f>
        <v>0</v>
      </c>
      <c r="G32" s="22">
        <f>'Dmd Share'!Q54</f>
        <v>0</v>
      </c>
      <c r="H32" s="22">
        <v>0</v>
      </c>
      <c r="I32" s="22">
        <f t="shared" ref="I32:I33" si="14">SUM(B32:H32)</f>
        <v>0.99999999999999978</v>
      </c>
      <c r="K32" s="22" t="s">
        <v>2404</v>
      </c>
      <c r="L32" s="573">
        <f t="shared" ref="L32:L33" si="15">L25*$B$8/$G$8</f>
        <v>19.160859654949679</v>
      </c>
      <c r="M32" s="22">
        <f t="shared" ref="M32:M33" si="16">$L32*B32</f>
        <v>13.714909242610076</v>
      </c>
      <c r="N32" s="22">
        <f t="shared" si="9"/>
        <v>5.4459504123395988</v>
      </c>
      <c r="O32" s="22">
        <f t="shared" si="9"/>
        <v>0</v>
      </c>
      <c r="P32" s="22">
        <f t="shared" si="9"/>
        <v>0</v>
      </c>
      <c r="Q32" s="22">
        <f t="shared" si="9"/>
        <v>0</v>
      </c>
      <c r="R32" s="22">
        <f t="shared" si="9"/>
        <v>0</v>
      </c>
      <c r="S32" s="22">
        <f t="shared" si="9"/>
        <v>0</v>
      </c>
      <c r="T32" s="570">
        <f t="shared" ref="T32:T33" si="17">L32-SUM(M32:S32)</f>
        <v>0</v>
      </c>
      <c r="U32" s="22" t="s">
        <v>2404</v>
      </c>
      <c r="V32" s="573">
        <f>L25*$C$8/$G$8</f>
        <v>6.0237057808725565</v>
      </c>
      <c r="W32" s="22">
        <f t="shared" ref="W32:W33" si="18">$V32*B32</f>
        <v>4.3116321280246721</v>
      </c>
      <c r="X32" s="22">
        <f t="shared" si="10"/>
        <v>1.712073652847883</v>
      </c>
      <c r="Y32" s="22">
        <f t="shared" si="10"/>
        <v>0</v>
      </c>
      <c r="Z32" s="22">
        <f t="shared" si="10"/>
        <v>0</v>
      </c>
      <c r="AA32" s="22">
        <f t="shared" si="10"/>
        <v>0</v>
      </c>
      <c r="AB32" s="22">
        <f t="shared" si="10"/>
        <v>0</v>
      </c>
      <c r="AC32" s="22">
        <f t="shared" si="10"/>
        <v>0</v>
      </c>
      <c r="AD32" s="570">
        <f t="shared" ref="AD32:AD33" si="19">V32-SUM(W32:AC32)</f>
        <v>0</v>
      </c>
      <c r="AE32" s="570"/>
      <c r="AF32" s="22" t="s">
        <v>2404</v>
      </c>
      <c r="AG32" s="573">
        <f>L25*$D$8/$G$8</f>
        <v>1.2822616862859884</v>
      </c>
      <c r="AH32" s="22">
        <f t="shared" si="11"/>
        <v>0.91781386479419258</v>
      </c>
      <c r="AI32" s="22">
        <f t="shared" si="11"/>
        <v>0.36444782149179555</v>
      </c>
      <c r="AJ32" s="22">
        <f t="shared" si="11"/>
        <v>0</v>
      </c>
      <c r="AK32" s="22">
        <f t="shared" si="11"/>
        <v>0</v>
      </c>
      <c r="AL32" s="22">
        <f t="shared" si="11"/>
        <v>0</v>
      </c>
      <c r="AM32" s="22">
        <f t="shared" si="11"/>
        <v>0</v>
      </c>
      <c r="AN32" s="22">
        <f t="shared" si="11"/>
        <v>0</v>
      </c>
      <c r="AO32" s="570">
        <f t="shared" ref="AO32:AO33" si="20">AG32-SUM(AH32:AN32)</f>
        <v>0</v>
      </c>
      <c r="AP32" s="570"/>
      <c r="AQ32" s="22" t="s">
        <v>2404</v>
      </c>
      <c r="AR32" s="573">
        <f>L25*$E$8/$G$8</f>
        <v>10.229874121241565</v>
      </c>
      <c r="AS32" s="22">
        <f t="shared" si="12"/>
        <v>7.3223121333134173</v>
      </c>
      <c r="AT32" s="22">
        <f t="shared" si="12"/>
        <v>2.9075619879281458</v>
      </c>
      <c r="AU32" s="22">
        <f t="shared" si="12"/>
        <v>0</v>
      </c>
      <c r="AV32" s="22">
        <f t="shared" si="12"/>
        <v>0</v>
      </c>
      <c r="AW32" s="22">
        <f t="shared" si="12"/>
        <v>0</v>
      </c>
      <c r="AX32" s="22">
        <f t="shared" si="12"/>
        <v>0</v>
      </c>
      <c r="AY32" s="22">
        <f t="shared" si="12"/>
        <v>0</v>
      </c>
      <c r="AZ32" s="570">
        <f t="shared" ref="AZ32:AZ33" si="21">AR32-SUM(AS32:AY32)</f>
        <v>0</v>
      </c>
      <c r="BA32" s="570"/>
      <c r="BB32" s="22" t="s">
        <v>2404</v>
      </c>
      <c r="BC32" s="573">
        <f>L25*$F$8/$G$8</f>
        <v>8.0218977009270969</v>
      </c>
      <c r="BD32" s="22">
        <f t="shared" si="13"/>
        <v>5.7418926344099095</v>
      </c>
      <c r="BE32" s="22">
        <f t="shared" si="13"/>
        <v>2.2800050665171856</v>
      </c>
      <c r="BF32" s="22">
        <f t="shared" si="13"/>
        <v>0</v>
      </c>
      <c r="BG32" s="22">
        <f t="shared" si="13"/>
        <v>0</v>
      </c>
      <c r="BH32" s="22">
        <f t="shared" si="13"/>
        <v>0</v>
      </c>
      <c r="BI32" s="22">
        <f t="shared" si="13"/>
        <v>0</v>
      </c>
      <c r="BJ32" s="22">
        <f t="shared" si="13"/>
        <v>0</v>
      </c>
      <c r="BK32" s="570">
        <f t="shared" ref="BK32:BK33" si="22">BC32-SUM(BD32:BJ32)</f>
        <v>0</v>
      </c>
    </row>
    <row r="33" spans="1:63" s="22" customFormat="1" ht="15">
      <c r="A33" s="572" t="s">
        <v>2405</v>
      </c>
      <c r="B33" s="22">
        <f>'Dmd Share'!L55</f>
        <v>0.82512905894708544</v>
      </c>
      <c r="C33" s="22">
        <f>'Dmd Share'!M55</f>
        <v>0.17487094105291456</v>
      </c>
      <c r="D33" s="22">
        <f>'Dmd Share'!N55</f>
        <v>0</v>
      </c>
      <c r="E33" s="22">
        <f>'Dmd Share'!O55</f>
        <v>0</v>
      </c>
      <c r="F33" s="22">
        <f>'Dmd Share'!P55</f>
        <v>0</v>
      </c>
      <c r="G33" s="22">
        <f>'Dmd Share'!Q55</f>
        <v>0</v>
      </c>
      <c r="H33" s="22">
        <v>0</v>
      </c>
      <c r="I33" s="22">
        <f t="shared" si="14"/>
        <v>1</v>
      </c>
      <c r="K33" s="22" t="s">
        <v>2405</v>
      </c>
      <c r="L33" s="573">
        <f t="shared" si="15"/>
        <v>9.2514198738096294</v>
      </c>
      <c r="M33" s="22">
        <f t="shared" si="16"/>
        <v>7.633615374400903</v>
      </c>
      <c r="N33" s="22">
        <f t="shared" si="9"/>
        <v>1.6178044994087259</v>
      </c>
      <c r="O33" s="22">
        <f t="shared" si="9"/>
        <v>0</v>
      </c>
      <c r="P33" s="22">
        <f t="shared" si="9"/>
        <v>0</v>
      </c>
      <c r="Q33" s="22">
        <f t="shared" si="9"/>
        <v>0</v>
      </c>
      <c r="R33" s="22">
        <f t="shared" si="9"/>
        <v>0</v>
      </c>
      <c r="S33" s="22">
        <f t="shared" si="9"/>
        <v>0</v>
      </c>
      <c r="T33" s="570">
        <f t="shared" si="17"/>
        <v>0</v>
      </c>
      <c r="U33" s="22" t="s">
        <v>2405</v>
      </c>
      <c r="V33" s="573">
        <f>L26*$C$8/$G$8</f>
        <v>2.9084202054969164</v>
      </c>
      <c r="W33" s="22">
        <f t="shared" si="18"/>
        <v>2.3998220271843596</v>
      </c>
      <c r="X33" s="22">
        <f t="shared" si="10"/>
        <v>0.50859817831255694</v>
      </c>
      <c r="Y33" s="22">
        <f t="shared" si="10"/>
        <v>0</v>
      </c>
      <c r="Z33" s="22">
        <f t="shared" si="10"/>
        <v>0</v>
      </c>
      <c r="AA33" s="22">
        <f t="shared" si="10"/>
        <v>0</v>
      </c>
      <c r="AB33" s="22">
        <f t="shared" si="10"/>
        <v>0</v>
      </c>
      <c r="AC33" s="22">
        <f t="shared" si="10"/>
        <v>0</v>
      </c>
      <c r="AD33" s="570">
        <f t="shared" si="19"/>
        <v>0</v>
      </c>
      <c r="AE33" s="570"/>
      <c r="AF33" s="22" t="s">
        <v>2405</v>
      </c>
      <c r="AG33" s="573">
        <f>L26*$D$8/$G$8</f>
        <v>0.61911320585589835</v>
      </c>
      <c r="AH33" s="22">
        <f t="shared" si="11"/>
        <v>0.51084829692959055</v>
      </c>
      <c r="AI33" s="22">
        <f t="shared" si="11"/>
        <v>0.10826490892630776</v>
      </c>
      <c r="AJ33" s="22">
        <f t="shared" si="11"/>
        <v>0</v>
      </c>
      <c r="AK33" s="22">
        <f t="shared" si="11"/>
        <v>0</v>
      </c>
      <c r="AL33" s="22">
        <f t="shared" si="11"/>
        <v>0</v>
      </c>
      <c r="AM33" s="22">
        <f t="shared" si="11"/>
        <v>0</v>
      </c>
      <c r="AN33" s="22">
        <f t="shared" si="11"/>
        <v>0</v>
      </c>
      <c r="AO33" s="570">
        <f t="shared" si="20"/>
        <v>0</v>
      </c>
      <c r="AP33" s="570"/>
      <c r="AQ33" s="22" t="s">
        <v>2405</v>
      </c>
      <c r="AR33" s="573">
        <f>L26*$E$8/$G$8</f>
        <v>4.9392805153905064</v>
      </c>
      <c r="AS33" s="22">
        <f t="shared" si="12"/>
        <v>4.0755438835398436</v>
      </c>
      <c r="AT33" s="22">
        <f t="shared" si="12"/>
        <v>0.86373663185066274</v>
      </c>
      <c r="AU33" s="22">
        <f t="shared" si="12"/>
        <v>0</v>
      </c>
      <c r="AV33" s="22">
        <f t="shared" si="12"/>
        <v>0</v>
      </c>
      <c r="AW33" s="22">
        <f t="shared" si="12"/>
        <v>0</v>
      </c>
      <c r="AX33" s="22">
        <f t="shared" si="12"/>
        <v>0</v>
      </c>
      <c r="AY33" s="22">
        <f t="shared" si="12"/>
        <v>0</v>
      </c>
      <c r="AZ33" s="570">
        <f t="shared" si="21"/>
        <v>0</v>
      </c>
      <c r="BA33" s="570"/>
      <c r="BB33" s="22" t="s">
        <v>2405</v>
      </c>
      <c r="BC33" s="573">
        <f>L26*$F$8/$G$8</f>
        <v>3.8732053338146333</v>
      </c>
      <c r="BD33" s="22">
        <f t="shared" si="13"/>
        <v>3.1958942721993004</v>
      </c>
      <c r="BE33" s="22">
        <f t="shared" si="13"/>
        <v>0.67731106161533305</v>
      </c>
      <c r="BF33" s="22">
        <f t="shared" si="13"/>
        <v>0</v>
      </c>
      <c r="BG33" s="22">
        <f t="shared" si="13"/>
        <v>0</v>
      </c>
      <c r="BH33" s="22">
        <f t="shared" si="13"/>
        <v>0</v>
      </c>
      <c r="BI33" s="22">
        <f t="shared" si="13"/>
        <v>0</v>
      </c>
      <c r="BJ33" s="22">
        <f t="shared" si="13"/>
        <v>0</v>
      </c>
      <c r="BK33" s="570">
        <f t="shared" si="22"/>
        <v>0</v>
      </c>
    </row>
    <row r="34" spans="1:63" s="22" customFormat="1">
      <c r="A34" s="572"/>
    </row>
    <row r="35" spans="1:63" s="22" customFormat="1">
      <c r="A35" s="572"/>
    </row>
    <row r="36" spans="1:63" s="22" customFormat="1">
      <c r="A36" s="572"/>
    </row>
    <row r="37" spans="1:63" s="26" customFormat="1" ht="25.5">
      <c r="A37" s="574" t="s">
        <v>2617</v>
      </c>
      <c r="B37" s="26" t="s">
        <v>2391</v>
      </c>
      <c r="C37" s="26" t="s">
        <v>2392</v>
      </c>
      <c r="D37" s="26" t="s">
        <v>2393</v>
      </c>
      <c r="E37" s="26" t="s">
        <v>855</v>
      </c>
      <c r="F37" s="26" t="s">
        <v>2568</v>
      </c>
      <c r="G37" s="26" t="s">
        <v>2570</v>
      </c>
      <c r="H37" s="26" t="s">
        <v>2569</v>
      </c>
      <c r="I37" s="26" t="s">
        <v>497</v>
      </c>
      <c r="L37" s="577" t="s">
        <v>2345</v>
      </c>
      <c r="M37" s="26" t="s">
        <v>2391</v>
      </c>
      <c r="N37" s="26" t="s">
        <v>2392</v>
      </c>
      <c r="O37" s="26" t="s">
        <v>2393</v>
      </c>
      <c r="P37" s="26" t="s">
        <v>855</v>
      </c>
      <c r="Q37" s="26" t="s">
        <v>2568</v>
      </c>
      <c r="R37" s="26" t="s">
        <v>2570</v>
      </c>
      <c r="S37" s="26" t="s">
        <v>2569</v>
      </c>
      <c r="V37" s="577" t="s">
        <v>2346</v>
      </c>
      <c r="W37" s="26" t="s">
        <v>2391</v>
      </c>
      <c r="X37" s="26" t="s">
        <v>2392</v>
      </c>
      <c r="Y37" s="26" t="s">
        <v>2393</v>
      </c>
      <c r="Z37" s="26" t="s">
        <v>855</v>
      </c>
      <c r="AA37" s="26" t="s">
        <v>2568</v>
      </c>
      <c r="AB37" s="26" t="s">
        <v>2570</v>
      </c>
      <c r="AC37" s="26" t="s">
        <v>2569</v>
      </c>
      <c r="AG37" s="577" t="s">
        <v>2347</v>
      </c>
      <c r="AH37" s="26" t="s">
        <v>2391</v>
      </c>
      <c r="AI37" s="26" t="s">
        <v>2392</v>
      </c>
      <c r="AJ37" s="26" t="s">
        <v>2393</v>
      </c>
      <c r="AK37" s="26" t="s">
        <v>855</v>
      </c>
      <c r="AL37" s="26" t="s">
        <v>2568</v>
      </c>
      <c r="AM37" s="26" t="s">
        <v>2570</v>
      </c>
      <c r="AN37" s="26" t="s">
        <v>2569</v>
      </c>
      <c r="AR37" s="577" t="s">
        <v>2349</v>
      </c>
      <c r="AS37" s="26" t="s">
        <v>2391</v>
      </c>
      <c r="AT37" s="26" t="s">
        <v>2392</v>
      </c>
      <c r="AU37" s="26" t="s">
        <v>2393</v>
      </c>
      <c r="AV37" s="26" t="s">
        <v>855</v>
      </c>
      <c r="AW37" s="26" t="s">
        <v>2568</v>
      </c>
      <c r="AX37" s="26" t="s">
        <v>2570</v>
      </c>
      <c r="AY37" s="26" t="s">
        <v>2569</v>
      </c>
      <c r="BC37" s="577" t="s">
        <v>2348</v>
      </c>
      <c r="BD37" s="26" t="s">
        <v>2391</v>
      </c>
      <c r="BE37" s="26" t="s">
        <v>2392</v>
      </c>
      <c r="BF37" s="26" t="s">
        <v>2393</v>
      </c>
      <c r="BG37" s="26" t="s">
        <v>855</v>
      </c>
      <c r="BH37" s="26" t="s">
        <v>2568</v>
      </c>
      <c r="BI37" s="26" t="s">
        <v>2570</v>
      </c>
      <c r="BJ37" s="26" t="s">
        <v>2569</v>
      </c>
    </row>
    <row r="38" spans="1:63" s="22" customFormat="1" ht="15">
      <c r="A38" s="572" t="s">
        <v>346</v>
      </c>
      <c r="B38" s="22">
        <f>'Dmd Share'!L60</f>
        <v>7.4748038029163535E-2</v>
      </c>
      <c r="C38" s="22">
        <f>'Dmd Share'!M60</f>
        <v>2.04769949876057E-2</v>
      </c>
      <c r="D38" s="22">
        <f>'Dmd Share'!N60</f>
        <v>0.15335844345926397</v>
      </c>
      <c r="E38" s="22">
        <f>'Dmd Share'!O60</f>
        <v>0.29200981820216398</v>
      </c>
      <c r="F38" s="22">
        <f>'Dmd Share'!P60</f>
        <v>0.45940670532180278</v>
      </c>
      <c r="G38" s="22">
        <f>'Dmd Share'!Q60</f>
        <v>0</v>
      </c>
      <c r="H38" s="22">
        <f>'Dmd Share'!R60</f>
        <v>0</v>
      </c>
      <c r="I38" s="22">
        <f>SUM(B38:H38)</f>
        <v>1</v>
      </c>
      <c r="K38" s="22" t="s">
        <v>346</v>
      </c>
      <c r="L38" s="573">
        <f>M24*$B$9/$G$9</f>
        <v>9.0909707606180135</v>
      </c>
      <c r="M38" s="22">
        <f>$L$38*B38</f>
        <v>0.67953222813668901</v>
      </c>
      <c r="N38" s="22">
        <f t="shared" ref="N38:S38" si="23">$L$38*C38</f>
        <v>0.18615576269764506</v>
      </c>
      <c r="O38" s="22">
        <f t="shared" si="23"/>
        <v>1.3941771253820596</v>
      </c>
      <c r="P38" s="22">
        <f t="shared" si="23"/>
        <v>2.6546527190892544</v>
      </c>
      <c r="Q38" s="22">
        <f t="shared" si="23"/>
        <v>4.1764529253123648</v>
      </c>
      <c r="R38" s="22">
        <f t="shared" si="23"/>
        <v>0</v>
      </c>
      <c r="S38" s="22">
        <f t="shared" si="23"/>
        <v>0</v>
      </c>
      <c r="T38" s="570">
        <f>L38-SUM(M38:S38)</f>
        <v>0</v>
      </c>
      <c r="U38" s="22" t="s">
        <v>346</v>
      </c>
      <c r="V38" s="573">
        <f>M24*$C$9/$G$9</f>
        <v>6.8159151260268116</v>
      </c>
      <c r="W38" s="22">
        <f>$V$38*B38</f>
        <v>0.5094762830438031</v>
      </c>
      <c r="X38" s="22">
        <f t="shared" ref="X38:AC38" si="24">$V$38*C38</f>
        <v>0.13956945987159688</v>
      </c>
      <c r="Y38" s="22">
        <f t="shared" si="24"/>
        <v>1.0452781344779249</v>
      </c>
      <c r="Z38" s="22">
        <f t="shared" si="24"/>
        <v>1.9903141368324688</v>
      </c>
      <c r="AA38" s="22">
        <f t="shared" si="24"/>
        <v>3.1312771118010176</v>
      </c>
      <c r="AB38" s="22">
        <f t="shared" si="24"/>
        <v>0</v>
      </c>
      <c r="AC38" s="22">
        <f t="shared" si="24"/>
        <v>0</v>
      </c>
      <c r="AD38" s="570">
        <f>V38-SUM(W38:AC38)</f>
        <v>0</v>
      </c>
      <c r="AF38" s="22" t="s">
        <v>346</v>
      </c>
      <c r="AG38" s="573">
        <f>M24*$D$9/$G$9</f>
        <v>13.851833085262138</v>
      </c>
      <c r="AH38" s="22">
        <f t="shared" ref="AH38:AN38" si="25">$AG$38*B38</f>
        <v>1.0353973462307999</v>
      </c>
      <c r="AI38" s="22">
        <f t="shared" si="25"/>
        <v>0.28364391665606359</v>
      </c>
      <c r="AJ38" s="22">
        <f t="shared" si="25"/>
        <v>2.1242955610133354</v>
      </c>
      <c r="AK38" s="22">
        <f t="shared" si="25"/>
        <v>4.0448712609941175</v>
      </c>
      <c r="AL38" s="22">
        <f t="shared" si="25"/>
        <v>6.3636250003678212</v>
      </c>
      <c r="AM38" s="22">
        <f t="shared" si="25"/>
        <v>0</v>
      </c>
      <c r="AN38" s="22">
        <f t="shared" si="25"/>
        <v>0</v>
      </c>
      <c r="AO38" s="570">
        <f>AG38-SUM(AH38:AN38)</f>
        <v>0</v>
      </c>
      <c r="AP38" s="570"/>
      <c r="AQ38" s="22" t="s">
        <v>346</v>
      </c>
      <c r="AR38" s="573">
        <f>M24*$E$9/$G$9</f>
        <v>4.3868171973073782</v>
      </c>
      <c r="AS38" s="22">
        <f t="shared" ref="AS38:AY38" si="26">$AR$38*B38</f>
        <v>0.32790597869132049</v>
      </c>
      <c r="AT38" s="22">
        <f t="shared" si="26"/>
        <v>8.9828833760805665E-2</v>
      </c>
      <c r="AU38" s="22">
        <f t="shared" si="26"/>
        <v>0.67275545711939044</v>
      </c>
      <c r="AV38" s="22">
        <f t="shared" si="26"/>
        <v>1.2809936922718541</v>
      </c>
      <c r="AW38" s="22">
        <f t="shared" si="26"/>
        <v>2.0153332354640074</v>
      </c>
      <c r="AX38" s="22">
        <f t="shared" si="26"/>
        <v>0</v>
      </c>
      <c r="AY38" s="22">
        <f t="shared" si="26"/>
        <v>0</v>
      </c>
      <c r="AZ38" s="570">
        <f>AR38-SUM(AS38:AY38)</f>
        <v>0</v>
      </c>
      <c r="BA38" s="570"/>
      <c r="BB38" s="22" t="s">
        <v>346</v>
      </c>
      <c r="BC38" s="573">
        <f>M24*$F$9/$G$9</f>
        <v>0.38435474444069623</v>
      </c>
      <c r="BD38" s="22">
        <f>$BC$38*B38</f>
        <v>2.8729763054142595E-2</v>
      </c>
      <c r="BE38" s="22">
        <f t="shared" ref="BE38:BJ38" si="27">$BC$38*C38</f>
        <v>7.8704301753746066E-3</v>
      </c>
      <c r="BF38" s="22">
        <f t="shared" si="27"/>
        <v>5.8944045343608364E-2</v>
      </c>
      <c r="BG38" s="22">
        <f t="shared" si="27"/>
        <v>0.1122353590492669</v>
      </c>
      <c r="BH38" s="22">
        <f t="shared" si="27"/>
        <v>0.17657514681830375</v>
      </c>
      <c r="BI38" s="22">
        <f t="shared" si="27"/>
        <v>0</v>
      </c>
      <c r="BJ38" s="22">
        <f t="shared" si="27"/>
        <v>0</v>
      </c>
      <c r="BK38" s="570">
        <f>BC38-SUM(BD38:BJ38)</f>
        <v>0</v>
      </c>
    </row>
    <row r="39" spans="1:63" s="22" customFormat="1" ht="15">
      <c r="A39" s="572" t="s">
        <v>2404</v>
      </c>
      <c r="B39" s="22">
        <f>'Dmd Share'!L61</f>
        <v>0.65304609815200565</v>
      </c>
      <c r="C39" s="22">
        <f>'Dmd Share'!M61</f>
        <v>0.31373139477858397</v>
      </c>
      <c r="D39" s="22">
        <f>'Dmd Share'!N61</f>
        <v>1.0806445391344524E-2</v>
      </c>
      <c r="E39" s="22">
        <f>'Dmd Share'!O61</f>
        <v>0</v>
      </c>
      <c r="F39" s="22">
        <f>'Dmd Share'!P61</f>
        <v>0</v>
      </c>
      <c r="G39" s="22">
        <f>'Dmd Share'!Q61</f>
        <v>0</v>
      </c>
      <c r="H39" s="22">
        <f>'Dmd Share'!R61</f>
        <v>2.2416061678065903E-2</v>
      </c>
      <c r="I39" s="22">
        <f t="shared" ref="I39:I40" si="28">SUM(B39:H39)</f>
        <v>1.0000000000000002</v>
      </c>
      <c r="K39" s="22" t="s">
        <v>2404</v>
      </c>
      <c r="L39" s="573">
        <f t="shared" ref="L39:L40" si="29">M25*$B$9/$G$9</f>
        <v>29.199680006738113</v>
      </c>
      <c r="M39" s="22">
        <f>$L$39*B39</f>
        <v>19.068737095687453</v>
      </c>
      <c r="N39" s="22">
        <f t="shared" ref="N39:S39" si="30">$L$39*C39</f>
        <v>9.160856335602281</v>
      </c>
      <c r="O39" s="22">
        <f t="shared" si="30"/>
        <v>0.3155447474375499</v>
      </c>
      <c r="P39" s="22">
        <f t="shared" si="30"/>
        <v>0</v>
      </c>
      <c r="Q39" s="22">
        <f t="shared" si="30"/>
        <v>0</v>
      </c>
      <c r="R39" s="22">
        <f t="shared" si="30"/>
        <v>0</v>
      </c>
      <c r="S39" s="22">
        <f t="shared" si="30"/>
        <v>0.65454182801082939</v>
      </c>
      <c r="T39" s="570">
        <f t="shared" ref="T39:T40" si="31">L39-SUM(M39:S39)</f>
        <v>0</v>
      </c>
      <c r="U39" s="22" t="s">
        <v>2404</v>
      </c>
      <c r="V39" s="573">
        <f t="shared" ref="V39:V40" si="32">M25*$C$9/$G$9</f>
        <v>21.892330959333016</v>
      </c>
      <c r="W39" s="22">
        <f>$V$39*B39</f>
        <v>14.29670131244478</v>
      </c>
      <c r="X39" s="22">
        <f t="shared" ref="X39:AC39" si="33">$V$39*C39</f>
        <v>6.8683115268259227</v>
      </c>
      <c r="Y39" s="22">
        <f t="shared" si="33"/>
        <v>0.23657827900127332</v>
      </c>
      <c r="Z39" s="22">
        <f t="shared" si="33"/>
        <v>0</v>
      </c>
      <c r="AA39" s="22">
        <f t="shared" si="33"/>
        <v>0</v>
      </c>
      <c r="AB39" s="22">
        <f t="shared" si="33"/>
        <v>0</v>
      </c>
      <c r="AC39" s="22">
        <f t="shared" si="33"/>
        <v>0.49073984106104057</v>
      </c>
      <c r="AD39" s="570">
        <f t="shared" ref="AD39:AD40" si="34">V39-SUM(W39:AC39)</f>
        <v>0</v>
      </c>
      <c r="AF39" s="22" t="s">
        <v>2404</v>
      </c>
      <c r="AG39" s="573">
        <f t="shared" ref="AG39:AG40" si="35">M25*$D$9/$G$9</f>
        <v>44.491298481407298</v>
      </c>
      <c r="AH39" s="22">
        <f t="shared" ref="AH39:AN39" si="36">$AG$39*B39</f>
        <v>29.05486887499929</v>
      </c>
      <c r="AI39" s="22">
        <f t="shared" si="36"/>
        <v>13.958317128082207</v>
      </c>
      <c r="AJ39" s="22">
        <f t="shared" si="36"/>
        <v>0.48079278742933751</v>
      </c>
      <c r="AK39" s="22">
        <f t="shared" si="36"/>
        <v>0</v>
      </c>
      <c r="AL39" s="22">
        <f t="shared" si="36"/>
        <v>0</v>
      </c>
      <c r="AM39" s="22">
        <f t="shared" si="36"/>
        <v>0</v>
      </c>
      <c r="AN39" s="22">
        <f t="shared" si="36"/>
        <v>0.99731969089646588</v>
      </c>
      <c r="AO39" s="570">
        <f t="shared" ref="AO39:AO40" si="37">AG39-SUM(AH39:AN39)</f>
        <v>0</v>
      </c>
      <c r="AP39" s="570"/>
      <c r="AQ39" s="22" t="s">
        <v>2404</v>
      </c>
      <c r="AR39" s="573">
        <f t="shared" ref="AR39:AR40" si="38">M25*$E$9/$G$9</f>
        <v>14.090206841752424</v>
      </c>
      <c r="AS39" s="22">
        <f t="shared" ref="AS39:AY39" si="39">$AR$39*B39</f>
        <v>9.2015546001611153</v>
      </c>
      <c r="AT39" s="22">
        <f t="shared" si="39"/>
        <v>4.4205402451817344</v>
      </c>
      <c r="AU39" s="22">
        <f t="shared" si="39"/>
        <v>0.15226505078814656</v>
      </c>
      <c r="AV39" s="22">
        <f t="shared" si="39"/>
        <v>0</v>
      </c>
      <c r="AW39" s="22">
        <f t="shared" si="39"/>
        <v>0</v>
      </c>
      <c r="AX39" s="22">
        <f t="shared" si="39"/>
        <v>0</v>
      </c>
      <c r="AY39" s="22">
        <f t="shared" si="39"/>
        <v>0.31584694562142851</v>
      </c>
      <c r="AZ39" s="570">
        <f t="shared" ref="AZ39:AZ40" si="40">AR39-SUM(AS39:AY39)</f>
        <v>0</v>
      </c>
      <c r="BA39" s="570"/>
      <c r="BB39" s="22" t="s">
        <v>2404</v>
      </c>
      <c r="BC39" s="573">
        <f t="shared" ref="BC39:BC40" si="41">M25*$F$9/$G$9</f>
        <v>1.2345255355300453</v>
      </c>
      <c r="BD39" s="22">
        <f>$BC$39*B39</f>
        <v>0.80620208404691129</v>
      </c>
      <c r="BE39" s="22">
        <f t="shared" ref="BE39:BJ39" si="42">$BC$39*C39</f>
        <v>0.38730941815161946</v>
      </c>
      <c r="BF39" s="22">
        <f t="shared" si="42"/>
        <v>1.3340832783925789E-2</v>
      </c>
      <c r="BG39" s="22">
        <f t="shared" si="42"/>
        <v>0</v>
      </c>
      <c r="BH39" s="22">
        <f t="shared" si="42"/>
        <v>0</v>
      </c>
      <c r="BI39" s="22">
        <f t="shared" si="42"/>
        <v>0</v>
      </c>
      <c r="BJ39" s="22">
        <f t="shared" si="42"/>
        <v>2.7673200547588834E-2</v>
      </c>
      <c r="BK39" s="570">
        <f t="shared" ref="BK39:BK40" si="43">BC39-SUM(BD39:BJ39)</f>
        <v>0</v>
      </c>
    </row>
    <row r="40" spans="1:63" s="22" customFormat="1" ht="15">
      <c r="A40" s="572" t="s">
        <v>2405</v>
      </c>
      <c r="B40" s="22">
        <f>'Dmd Share'!L62</f>
        <v>0.72947883706561245</v>
      </c>
      <c r="C40" s="22">
        <f>'Dmd Share'!M62</f>
        <v>0.26472305670086194</v>
      </c>
      <c r="D40" s="22">
        <f>'Dmd Share'!N62</f>
        <v>5.79760579182486E-3</v>
      </c>
      <c r="E40" s="22">
        <f>'Dmd Share'!O62</f>
        <v>0</v>
      </c>
      <c r="F40" s="22">
        <f>'Dmd Share'!P62</f>
        <v>0</v>
      </c>
      <c r="G40" s="22">
        <f>'Dmd Share'!Q62</f>
        <v>5.0044170079205836E-7</v>
      </c>
      <c r="H40" s="22">
        <f>'Dmd Share'!R62</f>
        <v>0</v>
      </c>
      <c r="I40" s="22">
        <f t="shared" si="28"/>
        <v>1</v>
      </c>
      <c r="K40" s="22" t="s">
        <v>2405</v>
      </c>
      <c r="L40" s="573">
        <f t="shared" si="29"/>
        <v>19.61060818933198</v>
      </c>
      <c r="M40" s="22">
        <f>$L$40*B40</f>
        <v>14.305523656103269</v>
      </c>
      <c r="N40" s="22">
        <f t="shared" ref="N40:S40" si="44">$L$40*C40</f>
        <v>5.1913801436429177</v>
      </c>
      <c r="O40" s="22">
        <f t="shared" si="44"/>
        <v>0.11369457561967912</v>
      </c>
      <c r="P40" s="22">
        <f t="shared" si="44"/>
        <v>0</v>
      </c>
      <c r="Q40" s="22">
        <f t="shared" si="44"/>
        <v>0</v>
      </c>
      <c r="R40" s="22">
        <f t="shared" si="44"/>
        <v>9.8139661158359652E-6</v>
      </c>
      <c r="S40" s="22">
        <f t="shared" si="44"/>
        <v>0</v>
      </c>
      <c r="T40" s="570">
        <f t="shared" si="31"/>
        <v>0</v>
      </c>
      <c r="U40" s="22" t="s">
        <v>2405</v>
      </c>
      <c r="V40" s="573">
        <f t="shared" si="32"/>
        <v>14.70296676866294</v>
      </c>
      <c r="W40" s="22">
        <f>$V$40*B40</f>
        <v>10.725503099818587</v>
      </c>
      <c r="X40" s="22">
        <f t="shared" ref="X40:AC40" si="45">$V$40*C40</f>
        <v>3.892214305571648</v>
      </c>
      <c r="Y40" s="22">
        <f t="shared" si="45"/>
        <v>8.5242005295008708E-2</v>
      </c>
      <c r="Z40" s="22">
        <f t="shared" si="45"/>
        <v>0</v>
      </c>
      <c r="AA40" s="22">
        <f t="shared" si="45"/>
        <v>0</v>
      </c>
      <c r="AB40" s="22">
        <f t="shared" si="45"/>
        <v>7.3579776963987959E-6</v>
      </c>
      <c r="AC40" s="22">
        <f t="shared" si="45"/>
        <v>0</v>
      </c>
      <c r="AD40" s="570">
        <f t="shared" si="34"/>
        <v>0</v>
      </c>
      <c r="AF40" s="22" t="s">
        <v>2405</v>
      </c>
      <c r="AG40" s="573">
        <f t="shared" si="35"/>
        <v>29.880513147820835</v>
      </c>
      <c r="AH40" s="22">
        <f t="shared" ref="AH40:AN40" si="46">$AG$40*B40</f>
        <v>21.797201981996086</v>
      </c>
      <c r="AI40" s="22">
        <f t="shared" si="46"/>
        <v>7.9100607762814255</v>
      </c>
      <c r="AJ40" s="22">
        <f t="shared" si="46"/>
        <v>0.17323543608850495</v>
      </c>
      <c r="AK40" s="22">
        <f t="shared" si="46"/>
        <v>0</v>
      </c>
      <c r="AL40" s="22">
        <f t="shared" si="46"/>
        <v>0</v>
      </c>
      <c r="AM40" s="22">
        <f t="shared" si="46"/>
        <v>1.4953454820234921E-5</v>
      </c>
      <c r="AN40" s="22">
        <f t="shared" si="46"/>
        <v>0</v>
      </c>
      <c r="AO40" s="570">
        <f t="shared" si="37"/>
        <v>0</v>
      </c>
      <c r="AP40" s="570"/>
      <c r="AQ40" s="22" t="s">
        <v>2405</v>
      </c>
      <c r="AR40" s="573">
        <f t="shared" si="38"/>
        <v>9.4630326639363371</v>
      </c>
      <c r="AS40" s="22">
        <f t="shared" ref="AS40:AY40" si="47">$AR$40*B40</f>
        <v>6.9030820628021834</v>
      </c>
      <c r="AT40" s="22">
        <f t="shared" si="47"/>
        <v>2.5050829324573276</v>
      </c>
      <c r="AU40" s="22">
        <f t="shared" si="47"/>
        <v>5.4862932980665143E-2</v>
      </c>
      <c r="AV40" s="22">
        <f t="shared" si="47"/>
        <v>0</v>
      </c>
      <c r="AW40" s="22">
        <f t="shared" si="47"/>
        <v>0</v>
      </c>
      <c r="AX40" s="22">
        <f t="shared" si="47"/>
        <v>4.7356961609911038E-6</v>
      </c>
      <c r="AY40" s="22">
        <f t="shared" si="47"/>
        <v>0</v>
      </c>
      <c r="AZ40" s="570">
        <f t="shared" si="40"/>
        <v>0</v>
      </c>
      <c r="BA40" s="570"/>
      <c r="BB40" s="22" t="s">
        <v>2405</v>
      </c>
      <c r="BC40" s="573">
        <f t="shared" si="41"/>
        <v>0.82911170846455517</v>
      </c>
      <c r="BD40" s="22">
        <f>$BC$40*B40</f>
        <v>0.60481944488820683</v>
      </c>
      <c r="BE40" s="22">
        <f t="shared" ref="BE40:BJ40" si="48">$BC$40*C40</f>
        <v>0.21948498581121095</v>
      </c>
      <c r="BF40" s="22">
        <f t="shared" si="48"/>
        <v>4.8068628430639098E-3</v>
      </c>
      <c r="BG40" s="22">
        <f t="shared" si="48"/>
        <v>0</v>
      </c>
      <c r="BH40" s="22">
        <f t="shared" si="48"/>
        <v>0</v>
      </c>
      <c r="BI40" s="22">
        <f t="shared" si="48"/>
        <v>4.1492207353061126E-7</v>
      </c>
      <c r="BJ40" s="22">
        <f t="shared" si="48"/>
        <v>0</v>
      </c>
      <c r="BK40" s="570">
        <f t="shared" si="43"/>
        <v>0</v>
      </c>
    </row>
    <row r="41" spans="1:63" s="22" customFormat="1">
      <c r="A41" s="572"/>
    </row>
    <row r="42" spans="1:63">
      <c r="A42" s="575"/>
    </row>
    <row r="43" spans="1:63">
      <c r="F43" s="22"/>
    </row>
    <row r="44" spans="1:63">
      <c r="J44" s="576"/>
    </row>
    <row r="45" spans="1:63">
      <c r="B45" s="22">
        <f>B47+B52+B57+B62+B67+B72</f>
        <v>112.16391908175</v>
      </c>
      <c r="J45" s="576"/>
      <c r="Q45" s="480" t="s">
        <v>2480</v>
      </c>
      <c r="R45" s="480" t="s">
        <v>2481</v>
      </c>
      <c r="S45" s="480" t="s">
        <v>2482</v>
      </c>
      <c r="T45" s="480" t="s">
        <v>2484</v>
      </c>
      <c r="U45" s="480" t="s">
        <v>2483</v>
      </c>
    </row>
    <row r="46" spans="1:63">
      <c r="A46" s="480"/>
      <c r="B46" s="577" t="s">
        <v>2345</v>
      </c>
      <c r="C46" s="480" t="s">
        <v>2391</v>
      </c>
      <c r="D46" s="26" t="s">
        <v>2392</v>
      </c>
      <c r="E46" s="26" t="s">
        <v>2393</v>
      </c>
      <c r="F46" s="26" t="s">
        <v>855</v>
      </c>
      <c r="G46" s="26" t="s">
        <v>2568</v>
      </c>
      <c r="H46" s="26" t="s">
        <v>2570</v>
      </c>
      <c r="I46" s="480" t="s">
        <v>2569</v>
      </c>
      <c r="J46" s="576"/>
      <c r="O46" s="22"/>
      <c r="P46" s="182" t="s">
        <v>2626</v>
      </c>
      <c r="Q46" s="275">
        <f>F47/$F$72</f>
        <v>0.31099095060811899</v>
      </c>
      <c r="R46" s="275">
        <f>F52/$F$72</f>
        <v>0.17928575837549171</v>
      </c>
      <c r="S46" s="275">
        <f>F57/$F$72</f>
        <v>0.29357454924647758</v>
      </c>
      <c r="T46" s="275">
        <f>F62/$F$72</f>
        <v>0.15642206173162224</v>
      </c>
      <c r="U46" s="275">
        <f>F67/$F$72</f>
        <v>5.9726680038289542E-2</v>
      </c>
      <c r="V46" s="182"/>
    </row>
    <row r="47" spans="1:63" ht="15">
      <c r="A47" s="479" t="s">
        <v>346</v>
      </c>
      <c r="B47" s="643">
        <f>SUM(C47:I47)</f>
        <v>18.325521305338423</v>
      </c>
      <c r="C47" s="643">
        <f>M31+M38</f>
        <v>0.86422323903109721</v>
      </c>
      <c r="D47" s="643">
        <f t="shared" ref="D47:I49" si="49">N31+N38</f>
        <v>0.46319227903925736</v>
      </c>
      <c r="E47" s="643">
        <f t="shared" si="49"/>
        <v>2.9640507179845299</v>
      </c>
      <c r="F47" s="643">
        <f t="shared" si="49"/>
        <v>4.409217322586132</v>
      </c>
      <c r="G47" s="643">
        <f t="shared" si="49"/>
        <v>9.6248377466974055</v>
      </c>
      <c r="H47" s="643">
        <f t="shared" si="49"/>
        <v>0</v>
      </c>
      <c r="I47" s="643">
        <f t="shared" si="49"/>
        <v>0</v>
      </c>
      <c r="J47" s="570">
        <f>B47+B52+B57+B62+B67-L24-M24</f>
        <v>0</v>
      </c>
      <c r="N47" s="456"/>
      <c r="O47" s="22"/>
      <c r="P47" s="182" t="s">
        <v>2625</v>
      </c>
      <c r="Q47" s="275">
        <f>ResCalc!E67/ResCalc!$E$75</f>
        <v>0.30972066662266767</v>
      </c>
      <c r="R47" s="275">
        <f>ResCalc!E68/ResCalc!E75</f>
        <v>0.1680421186263015</v>
      </c>
      <c r="S47" s="275">
        <f>ResCalc!E69/ResCalc!E75</f>
        <v>0.19239904671133851</v>
      </c>
      <c r="T47" s="275">
        <f>ResCalc!E71/ResCalc!E75</f>
        <v>0.27297156827728641</v>
      </c>
      <c r="U47" s="275">
        <f>ResCalc!E70/ResCalc!E75</f>
        <v>5.6866599762405753E-2</v>
      </c>
      <c r="V47" s="182"/>
    </row>
    <row r="48" spans="1:63" ht="15">
      <c r="A48" s="479" t="s">
        <v>2404</v>
      </c>
      <c r="B48" s="643">
        <f t="shared" ref="B48:B49" si="50">SUM(C48:I48)</f>
        <v>48.360539661687788</v>
      </c>
      <c r="C48" s="643">
        <f t="shared" ref="C48:C49" si="51">M32+M39</f>
        <v>32.78364633829753</v>
      </c>
      <c r="D48" s="643">
        <f t="shared" si="49"/>
        <v>14.60680674794188</v>
      </c>
      <c r="E48" s="643">
        <f t="shared" si="49"/>
        <v>0.3155447474375499</v>
      </c>
      <c r="F48" s="643">
        <f t="shared" si="49"/>
        <v>0</v>
      </c>
      <c r="G48" s="643">
        <f t="shared" si="49"/>
        <v>0</v>
      </c>
      <c r="H48" s="643">
        <f t="shared" si="49"/>
        <v>0</v>
      </c>
      <c r="I48" s="643">
        <f t="shared" si="49"/>
        <v>0.65454182801082939</v>
      </c>
      <c r="J48" s="570">
        <f>B48+B53+B58+B63+B68-L25-M25</f>
        <v>0</v>
      </c>
      <c r="K48" s="22"/>
      <c r="M48" s="23"/>
      <c r="N48" s="23"/>
      <c r="Q48" s="22">
        <f>Q46/Q47</f>
        <v>1.0041013859336643</v>
      </c>
      <c r="R48" s="22">
        <f t="shared" ref="R48:U48" si="52">R46/R47</f>
        <v>1.0669096524199047</v>
      </c>
      <c r="S48" s="22">
        <f t="shared" si="52"/>
        <v>1.5258628057910049</v>
      </c>
      <c r="T48" s="22">
        <f t="shared" si="52"/>
        <v>0.57303426404001023</v>
      </c>
      <c r="U48" s="22">
        <f t="shared" si="52"/>
        <v>1.0502945540586828</v>
      </c>
      <c r="V48" s="444">
        <f>SUM(Q48:U48)</f>
        <v>5.220202662243266</v>
      </c>
    </row>
    <row r="49" spans="1:22" ht="15">
      <c r="A49" s="479" t="s">
        <v>2405</v>
      </c>
      <c r="B49" s="643">
        <f t="shared" si="50"/>
        <v>28.862028063141612</v>
      </c>
      <c r="C49" s="643">
        <f t="shared" si="51"/>
        <v>21.939139030504172</v>
      </c>
      <c r="D49" s="643">
        <f t="shared" si="49"/>
        <v>6.8091846430516441</v>
      </c>
      <c r="E49" s="643">
        <f t="shared" si="49"/>
        <v>0.11369457561967912</v>
      </c>
      <c r="F49" s="643">
        <f t="shared" si="49"/>
        <v>0</v>
      </c>
      <c r="G49" s="643">
        <f t="shared" si="49"/>
        <v>0</v>
      </c>
      <c r="H49" s="643">
        <f t="shared" si="49"/>
        <v>9.8139661158359652E-6</v>
      </c>
      <c r="I49" s="643">
        <f t="shared" si="49"/>
        <v>0</v>
      </c>
      <c r="J49" s="570">
        <f>B49+B54+B59+B64+B69-L26-M26</f>
        <v>0</v>
      </c>
      <c r="K49" s="22"/>
      <c r="M49" s="23"/>
      <c r="N49" s="23"/>
      <c r="P49" s="579" t="s">
        <v>2624</v>
      </c>
      <c r="Q49" s="275">
        <f>Q48</f>
        <v>1.0041013859336643</v>
      </c>
      <c r="R49" s="275">
        <f t="shared" ref="R49:U49" si="53">R48</f>
        <v>1.0669096524199047</v>
      </c>
      <c r="S49" s="275">
        <f t="shared" si="53"/>
        <v>1.5258628057910049</v>
      </c>
      <c r="T49" s="275">
        <f t="shared" si="53"/>
        <v>0.57303426404001023</v>
      </c>
      <c r="U49" s="275">
        <f t="shared" si="53"/>
        <v>1.0502945540586828</v>
      </c>
      <c r="V49" s="182"/>
    </row>
    <row r="50" spans="1:22">
      <c r="B50" s="22"/>
      <c r="C50" s="22">
        <f>SUM(C47:C49)</f>
        <v>55.5870086078328</v>
      </c>
      <c r="D50" s="22">
        <f t="shared" ref="D50:I50" si="54">SUM(D47:D49)</f>
        <v>21.879183670032781</v>
      </c>
      <c r="E50" s="22">
        <f t="shared" si="54"/>
        <v>3.3932900410417592</v>
      </c>
      <c r="F50" s="22">
        <f t="shared" si="54"/>
        <v>4.409217322586132</v>
      </c>
      <c r="G50" s="22">
        <f t="shared" si="54"/>
        <v>9.6248377466974055</v>
      </c>
      <c r="H50" s="22">
        <f t="shared" si="54"/>
        <v>9.8139661158359652E-6</v>
      </c>
      <c r="I50" s="22">
        <f t="shared" si="54"/>
        <v>0.65454182801082939</v>
      </c>
      <c r="J50" s="22"/>
      <c r="K50" s="22"/>
      <c r="M50" s="23"/>
      <c r="N50" s="23"/>
      <c r="O50" s="23"/>
      <c r="P50" s="23"/>
      <c r="Q50" s="182"/>
      <c r="R50" s="182"/>
      <c r="S50" s="182"/>
      <c r="T50" s="182"/>
      <c r="U50" s="182"/>
      <c r="V50" s="182"/>
    </row>
    <row r="51" spans="1:22">
      <c r="A51" s="480"/>
      <c r="B51" s="577" t="s">
        <v>2346</v>
      </c>
      <c r="C51" s="26" t="s">
        <v>2391</v>
      </c>
      <c r="D51" s="26" t="s">
        <v>2392</v>
      </c>
      <c r="E51" s="26" t="s">
        <v>2393</v>
      </c>
      <c r="F51" s="26" t="s">
        <v>855</v>
      </c>
      <c r="G51" s="26" t="s">
        <v>2568</v>
      </c>
      <c r="H51" s="26" t="s">
        <v>2570</v>
      </c>
      <c r="I51" s="26" t="s">
        <v>2569</v>
      </c>
      <c r="J51" s="22"/>
      <c r="K51" s="22"/>
      <c r="M51" s="23"/>
      <c r="N51" s="23"/>
      <c r="O51" s="23"/>
      <c r="Q51" s="280" t="s">
        <v>2480</v>
      </c>
      <c r="R51" s="280" t="s">
        <v>2481</v>
      </c>
      <c r="S51" s="280" t="s">
        <v>2482</v>
      </c>
      <c r="T51" s="280" t="s">
        <v>2484</v>
      </c>
      <c r="U51" s="280" t="s">
        <v>2483</v>
      </c>
      <c r="V51" s="182"/>
    </row>
    <row r="52" spans="1:22">
      <c r="A52" s="479" t="s">
        <v>346</v>
      </c>
      <c r="B52" s="643">
        <f>SUM(C52:I52)</f>
        <v>9.7190320269234078</v>
      </c>
      <c r="C52" s="643">
        <f>W31+W38</f>
        <v>0.56753862106173503</v>
      </c>
      <c r="D52" s="643">
        <f t="shared" ref="D52:I54" si="55">X31+X38</f>
        <v>0.2266629668984948</v>
      </c>
      <c r="E52" s="643">
        <f t="shared" si="55"/>
        <v>1.5388080076303465</v>
      </c>
      <c r="F52" s="643">
        <f t="shared" si="55"/>
        <v>2.5419063480028221</v>
      </c>
      <c r="G52" s="643">
        <f t="shared" si="55"/>
        <v>4.8441160833300101</v>
      </c>
      <c r="H52" s="643">
        <f t="shared" si="55"/>
        <v>0</v>
      </c>
      <c r="I52" s="643">
        <f>AC31+AC38</f>
        <v>0</v>
      </c>
      <c r="J52" s="22"/>
      <c r="N52" s="23"/>
      <c r="O52" s="23"/>
      <c r="P52" s="182" t="s">
        <v>2626</v>
      </c>
      <c r="Q52" s="275">
        <f>G47/$G$72</f>
        <v>0.33678026402433137</v>
      </c>
      <c r="R52" s="275">
        <f>G52/$G$72</f>
        <v>0.16949924107221215</v>
      </c>
      <c r="S52" s="275">
        <f>G57/$G$72</f>
        <v>0.23542599540618503</v>
      </c>
      <c r="T52" s="275">
        <f>G62/$G$72</f>
        <v>0.17230126011791549</v>
      </c>
      <c r="U52" s="275">
        <f>G67/$G$72</f>
        <v>8.5993239379355976E-2</v>
      </c>
      <c r="V52" s="182"/>
    </row>
    <row r="53" spans="1:22">
      <c r="A53" s="479" t="s">
        <v>2404</v>
      </c>
      <c r="B53" s="643">
        <f t="shared" ref="B53:B54" si="56">SUM(C53:I53)</f>
        <v>27.916036740205566</v>
      </c>
      <c r="C53" s="643">
        <f t="shared" ref="C53:C54" si="57">W32+W39</f>
        <v>18.608333440469451</v>
      </c>
      <c r="D53" s="643">
        <f t="shared" si="55"/>
        <v>8.5803851796738062</v>
      </c>
      <c r="E53" s="643">
        <f t="shared" si="55"/>
        <v>0.23657827900127332</v>
      </c>
      <c r="F53" s="643">
        <f t="shared" si="55"/>
        <v>0</v>
      </c>
      <c r="G53" s="643">
        <f t="shared" si="55"/>
        <v>0</v>
      </c>
      <c r="H53" s="643">
        <f t="shared" si="55"/>
        <v>0</v>
      </c>
      <c r="I53" s="643">
        <f t="shared" si="55"/>
        <v>0.49073984106104057</v>
      </c>
      <c r="J53" s="22"/>
      <c r="K53" s="22"/>
      <c r="M53" s="23"/>
      <c r="N53" s="23"/>
      <c r="O53" s="23"/>
      <c r="P53" s="182" t="s">
        <v>2625</v>
      </c>
      <c r="Q53" s="275">
        <f>Q47</f>
        <v>0.30972066662266767</v>
      </c>
      <c r="R53" s="275">
        <f t="shared" ref="R53:U53" si="58">R47</f>
        <v>0.1680421186263015</v>
      </c>
      <c r="S53" s="275">
        <f t="shared" si="58"/>
        <v>0.19239904671133851</v>
      </c>
      <c r="T53" s="275">
        <f t="shared" si="58"/>
        <v>0.27297156827728641</v>
      </c>
      <c r="U53" s="275">
        <f t="shared" si="58"/>
        <v>5.6866599762405753E-2</v>
      </c>
      <c r="V53" s="182"/>
    </row>
    <row r="54" spans="1:22">
      <c r="A54" s="479" t="s">
        <v>2405</v>
      </c>
      <c r="B54" s="643">
        <f t="shared" si="56"/>
        <v>17.611386974159856</v>
      </c>
      <c r="C54" s="643">
        <f t="shared" si="57"/>
        <v>13.125325127002947</v>
      </c>
      <c r="D54" s="643">
        <f t="shared" si="55"/>
        <v>4.4008124838842049</v>
      </c>
      <c r="E54" s="643">
        <f t="shared" si="55"/>
        <v>8.5242005295008708E-2</v>
      </c>
      <c r="F54" s="643">
        <f t="shared" si="55"/>
        <v>0</v>
      </c>
      <c r="G54" s="643">
        <f t="shared" si="55"/>
        <v>0</v>
      </c>
      <c r="H54" s="643">
        <f t="shared" si="55"/>
        <v>7.3579776963987959E-6</v>
      </c>
      <c r="I54" s="643">
        <f t="shared" si="55"/>
        <v>0</v>
      </c>
      <c r="J54" s="22"/>
      <c r="K54" s="22"/>
      <c r="L54" s="22"/>
      <c r="M54" s="22"/>
      <c r="N54" s="22"/>
      <c r="O54" s="22"/>
      <c r="Q54" s="275">
        <f>Q52/Q53</f>
        <v>1.0873677488064766</v>
      </c>
      <c r="R54" s="275">
        <f t="shared" ref="R54:U54" si="59">R52/R53</f>
        <v>1.0086711739760379</v>
      </c>
      <c r="S54" s="275">
        <f t="shared" si="59"/>
        <v>1.223633897518219</v>
      </c>
      <c r="T54" s="275">
        <f t="shared" si="59"/>
        <v>0.63120588420729107</v>
      </c>
      <c r="U54" s="275">
        <f t="shared" si="59"/>
        <v>1.5121923895334728</v>
      </c>
      <c r="V54" s="444">
        <f>SUM(Q54:U54)</f>
        <v>5.4630710940414975</v>
      </c>
    </row>
    <row r="55" spans="1:22" ht="15">
      <c r="B55" s="22"/>
      <c r="C55" s="22">
        <f>SUM(C52:C54)</f>
        <v>32.301197188534132</v>
      </c>
      <c r="D55" s="22">
        <f t="shared" ref="D55" si="60">SUM(D52:D54)</f>
        <v>13.207860630456505</v>
      </c>
      <c r="E55" s="22">
        <f t="shared" ref="E55" si="61">SUM(E52:E54)</f>
        <v>1.8606282919266286</v>
      </c>
      <c r="F55" s="22">
        <f t="shared" ref="F55" si="62">SUM(F52:F54)</f>
        <v>2.5419063480028221</v>
      </c>
      <c r="G55" s="22">
        <f t="shared" ref="G55" si="63">SUM(G52:G54)</f>
        <v>4.8441160833300101</v>
      </c>
      <c r="H55" s="22">
        <f t="shared" ref="H55" si="64">SUM(H52:H54)</f>
        <v>7.3579776963987959E-6</v>
      </c>
      <c r="I55" s="22">
        <f t="shared" ref="I55" si="65">SUM(I52:I54)</f>
        <v>0.49073984106104057</v>
      </c>
      <c r="J55" s="22"/>
      <c r="K55" s="22"/>
      <c r="M55" s="22"/>
      <c r="P55" s="579" t="s">
        <v>2627</v>
      </c>
      <c r="Q55" s="275">
        <f>Q54</f>
        <v>1.0873677488064766</v>
      </c>
      <c r="R55" s="275">
        <f t="shared" ref="R55:U55" si="66">R54</f>
        <v>1.0086711739760379</v>
      </c>
      <c r="S55" s="275">
        <f t="shared" si="66"/>
        <v>1.223633897518219</v>
      </c>
      <c r="T55" s="275">
        <f t="shared" si="66"/>
        <v>0.63120588420729107</v>
      </c>
      <c r="U55" s="275">
        <f t="shared" si="66"/>
        <v>1.5121923895334728</v>
      </c>
    </row>
    <row r="56" spans="1:22">
      <c r="A56" s="480"/>
      <c r="B56" s="577" t="s">
        <v>2347</v>
      </c>
      <c r="C56" s="26" t="s">
        <v>2391</v>
      </c>
      <c r="D56" s="26" t="s">
        <v>2392</v>
      </c>
      <c r="E56" s="26" t="s">
        <v>2393</v>
      </c>
      <c r="F56" s="26" t="s">
        <v>855</v>
      </c>
      <c r="G56" s="26" t="s">
        <v>2568</v>
      </c>
      <c r="H56" s="26" t="s">
        <v>2570</v>
      </c>
      <c r="I56" s="26" t="s">
        <v>2569</v>
      </c>
      <c r="J56" s="22"/>
      <c r="K56" s="22"/>
      <c r="M56" s="22"/>
    </row>
    <row r="57" spans="1:22">
      <c r="A57" s="479" t="s">
        <v>346</v>
      </c>
      <c r="B57" s="643">
        <f t="shared" ref="B57:B59" si="67">SUM(C57:I57)</f>
        <v>14.469817380685312</v>
      </c>
      <c r="C57" s="643">
        <f>AH31+AH38</f>
        <v>1.0477570321392633</v>
      </c>
      <c r="D57" s="643">
        <f t="shared" ref="D57:I59" si="68">AI31+AI38</f>
        <v>0.30218344551875881</v>
      </c>
      <c r="E57" s="643">
        <f t="shared" si="68"/>
        <v>2.2293528912352749</v>
      </c>
      <c r="F57" s="643">
        <f t="shared" si="68"/>
        <v>4.1622882771245209</v>
      </c>
      <c r="G57" s="643">
        <f t="shared" si="68"/>
        <v>6.7282357346674937</v>
      </c>
      <c r="H57" s="643">
        <f t="shared" si="68"/>
        <v>0</v>
      </c>
      <c r="I57" s="643">
        <f t="shared" si="68"/>
        <v>0</v>
      </c>
      <c r="J57" s="22"/>
      <c r="Q57" s="280" t="s">
        <v>2480</v>
      </c>
      <c r="R57" s="280" t="s">
        <v>2481</v>
      </c>
      <c r="S57" s="280" t="s">
        <v>2482</v>
      </c>
      <c r="T57" s="280" t="s">
        <v>2484</v>
      </c>
      <c r="U57" s="280" t="s">
        <v>2483</v>
      </c>
    </row>
    <row r="58" spans="1:22">
      <c r="A58" s="479" t="s">
        <v>2404</v>
      </c>
      <c r="B58" s="643">
        <f t="shared" si="67"/>
        <v>45.77356016769329</v>
      </c>
      <c r="C58" s="643">
        <f t="shared" ref="C58:C59" si="69">AH32+AH39</f>
        <v>29.972682739793484</v>
      </c>
      <c r="D58" s="643">
        <f t="shared" si="68"/>
        <v>14.322764949574003</v>
      </c>
      <c r="E58" s="643">
        <f t="shared" si="68"/>
        <v>0.48079278742933751</v>
      </c>
      <c r="F58" s="643">
        <f t="shared" si="68"/>
        <v>0</v>
      </c>
      <c r="G58" s="643">
        <f t="shared" si="68"/>
        <v>0</v>
      </c>
      <c r="H58" s="643">
        <f t="shared" si="68"/>
        <v>0</v>
      </c>
      <c r="I58" s="643">
        <f t="shared" si="68"/>
        <v>0.99731969089646588</v>
      </c>
      <c r="J58" s="22"/>
      <c r="K58" s="22"/>
      <c r="M58" s="22"/>
      <c r="P58" s="182" t="s">
        <v>2626</v>
      </c>
      <c r="Q58" s="275">
        <f>I48/$I$73</f>
        <v>0.26327829367752037</v>
      </c>
      <c r="R58" s="275">
        <f>I53/$I$73</f>
        <v>0.19739173642542321</v>
      </c>
      <c r="S58" s="275">
        <f>I58/$I$73</f>
        <v>0.40115484638801319</v>
      </c>
      <c r="T58" s="275">
        <f>I63/$I$73</f>
        <v>0.12704405027739565</v>
      </c>
      <c r="U58" s="275">
        <f>I68/$I$73</f>
        <v>1.1131073231647571E-2</v>
      </c>
    </row>
    <row r="59" spans="1:22">
      <c r="A59" s="479" t="s">
        <v>2405</v>
      </c>
      <c r="B59" s="643">
        <f t="shared" si="67"/>
        <v>30.499626353676735</v>
      </c>
      <c r="C59" s="643">
        <f t="shared" si="69"/>
        <v>22.308050278925677</v>
      </c>
      <c r="D59" s="643">
        <f t="shared" si="68"/>
        <v>8.0183256852077331</v>
      </c>
      <c r="E59" s="643">
        <f t="shared" si="68"/>
        <v>0.17323543608850495</v>
      </c>
      <c r="F59" s="643">
        <f t="shared" si="68"/>
        <v>0</v>
      </c>
      <c r="G59" s="643">
        <f t="shared" si="68"/>
        <v>0</v>
      </c>
      <c r="H59" s="643">
        <f t="shared" si="68"/>
        <v>1.4953454820234921E-5</v>
      </c>
      <c r="I59" s="643">
        <f t="shared" si="68"/>
        <v>0</v>
      </c>
      <c r="J59" s="22"/>
      <c r="K59" s="22"/>
      <c r="M59" s="22"/>
      <c r="P59" s="182" t="s">
        <v>2625</v>
      </c>
      <c r="Q59" s="275">
        <f>Q53</f>
        <v>0.30972066662266767</v>
      </c>
      <c r="R59" s="275">
        <f t="shared" ref="R59:U59" si="70">R53</f>
        <v>0.1680421186263015</v>
      </c>
      <c r="S59" s="275">
        <f t="shared" si="70"/>
        <v>0.19239904671133851</v>
      </c>
      <c r="T59" s="275">
        <f t="shared" si="70"/>
        <v>0.27297156827728641</v>
      </c>
      <c r="U59" s="275">
        <f t="shared" si="70"/>
        <v>5.6866599762405753E-2</v>
      </c>
    </row>
    <row r="60" spans="1:22">
      <c r="B60" s="22"/>
      <c r="C60" s="22">
        <f>SUM(C57:C59)</f>
        <v>53.32849005085842</v>
      </c>
      <c r="D60" s="22">
        <f t="shared" ref="D60" si="71">SUM(D57:D59)</f>
        <v>22.643274080300493</v>
      </c>
      <c r="E60" s="22">
        <f t="shared" ref="E60" si="72">SUM(E57:E59)</f>
        <v>2.8833811147531172</v>
      </c>
      <c r="F60" s="22">
        <f t="shared" ref="F60" si="73">SUM(F57:F59)</f>
        <v>4.1622882771245209</v>
      </c>
      <c r="G60" s="22">
        <f t="shared" ref="G60" si="74">SUM(G57:G59)</f>
        <v>6.7282357346674937</v>
      </c>
      <c r="H60" s="22">
        <f t="shared" ref="H60" si="75">SUM(H57:H59)</f>
        <v>1.4953454820234921E-5</v>
      </c>
      <c r="I60" s="22">
        <f t="shared" ref="I60" si="76">SUM(I57:I59)</f>
        <v>0.99731969089646588</v>
      </c>
      <c r="J60" s="22"/>
      <c r="K60" s="22"/>
      <c r="M60" s="22"/>
      <c r="Q60" s="22">
        <f>Q58/Q59</f>
        <v>0.85005077816867802</v>
      </c>
      <c r="R60" s="22">
        <f t="shared" ref="R60:U60" si="77">R58/R59</f>
        <v>1.1746563185411303</v>
      </c>
      <c r="S60" s="22">
        <f t="shared" si="77"/>
        <v>2.0850147297760611</v>
      </c>
      <c r="T60" s="22">
        <f t="shared" si="77"/>
        <v>0.46541129202270409</v>
      </c>
      <c r="U60" s="22">
        <f t="shared" si="77"/>
        <v>0.19574008782227686</v>
      </c>
      <c r="V60" s="444">
        <f>SUM(Q60:U60)</f>
        <v>4.770873206330851</v>
      </c>
    </row>
    <row r="61" spans="1:22" ht="15">
      <c r="A61" s="480"/>
      <c r="B61" s="577" t="s">
        <v>2349</v>
      </c>
      <c r="C61" s="26" t="s">
        <v>2391</v>
      </c>
      <c r="D61" s="26" t="s">
        <v>2392</v>
      </c>
      <c r="E61" s="26" t="s">
        <v>2393</v>
      </c>
      <c r="F61" s="26" t="s">
        <v>855</v>
      </c>
      <c r="G61" s="26" t="s">
        <v>2568</v>
      </c>
      <c r="H61" s="26" t="s">
        <v>2570</v>
      </c>
      <c r="I61" s="26" t="s">
        <v>2569</v>
      </c>
      <c r="J61" s="22"/>
      <c r="K61" s="22"/>
      <c r="M61" s="22"/>
      <c r="P61" s="579" t="s">
        <v>2628</v>
      </c>
      <c r="Q61" s="275">
        <f>Q60</f>
        <v>0.85005077816867802</v>
      </c>
      <c r="R61" s="275">
        <f t="shared" ref="R61:U61" si="78">R60</f>
        <v>1.1746563185411303</v>
      </c>
      <c r="S61" s="275">
        <f t="shared" si="78"/>
        <v>2.0850147297760611</v>
      </c>
      <c r="T61" s="275">
        <f t="shared" si="78"/>
        <v>0.46541129202270409</v>
      </c>
      <c r="U61" s="275">
        <f t="shared" si="78"/>
        <v>0.19574008782227686</v>
      </c>
    </row>
    <row r="62" spans="1:22">
      <c r="A62" s="479" t="s">
        <v>346</v>
      </c>
      <c r="B62" s="643">
        <f t="shared" ref="B62:B64" si="79">SUM(C62:I62)</f>
        <v>9.3170912737280176</v>
      </c>
      <c r="C62" s="643">
        <f>AS31+AS38</f>
        <v>0.4265114602197333</v>
      </c>
      <c r="D62" s="643">
        <f t="shared" ref="D62:I64" si="80">AT31+AT38</f>
        <v>0.23773705605342485</v>
      </c>
      <c r="E62" s="643">
        <f t="shared" si="80"/>
        <v>1.5109020501108992</v>
      </c>
      <c r="F62" s="643">
        <f t="shared" si="80"/>
        <v>2.2177457667917757</v>
      </c>
      <c r="G62" s="643">
        <f t="shared" si="80"/>
        <v>4.9241949405521845</v>
      </c>
      <c r="H62" s="643">
        <f t="shared" si="80"/>
        <v>0</v>
      </c>
      <c r="I62" s="643">
        <f t="shared" si="80"/>
        <v>0</v>
      </c>
      <c r="J62" s="22"/>
    </row>
    <row r="63" spans="1:22">
      <c r="A63" s="479" t="s">
        <v>2404</v>
      </c>
      <c r="B63" s="643">
        <f t="shared" si="79"/>
        <v>24.320080962993988</v>
      </c>
      <c r="C63" s="643">
        <f t="shared" ref="C63:C64" si="81">AS32+AS39</f>
        <v>16.523866733474534</v>
      </c>
      <c r="D63" s="643">
        <f t="shared" si="80"/>
        <v>7.3281022331098802</v>
      </c>
      <c r="E63" s="643">
        <f t="shared" si="80"/>
        <v>0.15226505078814656</v>
      </c>
      <c r="F63" s="643">
        <f t="shared" si="80"/>
        <v>0</v>
      </c>
      <c r="G63" s="643">
        <f t="shared" si="80"/>
        <v>0</v>
      </c>
      <c r="H63" s="643">
        <f t="shared" si="80"/>
        <v>0</v>
      </c>
      <c r="I63" s="643">
        <f t="shared" si="80"/>
        <v>0.31584694562142851</v>
      </c>
      <c r="J63" s="22"/>
      <c r="K63" s="22"/>
      <c r="M63" s="22"/>
      <c r="Q63" s="280" t="s">
        <v>2480</v>
      </c>
      <c r="R63" s="280" t="s">
        <v>2481</v>
      </c>
      <c r="S63" s="280" t="s">
        <v>2482</v>
      </c>
      <c r="T63" s="280" t="s">
        <v>2484</v>
      </c>
      <c r="U63" s="280" t="s">
        <v>2483</v>
      </c>
    </row>
    <row r="64" spans="1:22">
      <c r="A64" s="479" t="s">
        <v>2405</v>
      </c>
      <c r="B64" s="643">
        <f t="shared" si="79"/>
        <v>14.402313179326844</v>
      </c>
      <c r="C64" s="643">
        <f t="shared" si="81"/>
        <v>10.978625946342028</v>
      </c>
      <c r="D64" s="643">
        <f t="shared" si="80"/>
        <v>3.3688195643079903</v>
      </c>
      <c r="E64" s="643">
        <f t="shared" si="80"/>
        <v>5.4862932980665143E-2</v>
      </c>
      <c r="F64" s="643">
        <f t="shared" si="80"/>
        <v>0</v>
      </c>
      <c r="G64" s="643">
        <f t="shared" si="80"/>
        <v>0</v>
      </c>
      <c r="H64" s="643">
        <f t="shared" si="80"/>
        <v>4.7356961609911038E-6</v>
      </c>
      <c r="I64" s="643">
        <f t="shared" si="80"/>
        <v>0</v>
      </c>
      <c r="J64" s="22"/>
      <c r="K64" s="22"/>
      <c r="M64" s="22"/>
      <c r="P64" s="182" t="s">
        <v>2626</v>
      </c>
      <c r="Q64" s="275">
        <f>D50/$D$75</f>
        <v>0.30239521600426045</v>
      </c>
      <c r="R64" s="275">
        <f>D55/$D$75</f>
        <v>0.18254766395930522</v>
      </c>
      <c r="S64" s="275">
        <f>D60/$D$75</f>
        <v>0.31295581498017933</v>
      </c>
      <c r="T64" s="275">
        <f>D65/$D$75</f>
        <v>0.1511294285836304</v>
      </c>
      <c r="U64" s="275">
        <f>D70/$D$75</f>
        <v>5.0971876472624522E-2</v>
      </c>
    </row>
    <row r="65" spans="1:22">
      <c r="B65" s="22"/>
      <c r="C65" s="22">
        <f>SUM(C62:C64)</f>
        <v>27.929004140036295</v>
      </c>
      <c r="D65" s="22">
        <f t="shared" ref="D65" si="82">SUM(D62:D64)</f>
        <v>10.934658853471296</v>
      </c>
      <c r="E65" s="22">
        <f t="shared" ref="E65" si="83">SUM(E62:E64)</f>
        <v>1.7180300338797108</v>
      </c>
      <c r="F65" s="22">
        <f t="shared" ref="F65" si="84">SUM(F62:F64)</f>
        <v>2.2177457667917757</v>
      </c>
      <c r="G65" s="22">
        <f t="shared" ref="G65" si="85">SUM(G62:G64)</f>
        <v>4.9241949405521845</v>
      </c>
      <c r="H65" s="22">
        <f t="shared" ref="H65" si="86">SUM(H62:H64)</f>
        <v>4.7356961609911038E-6</v>
      </c>
      <c r="I65" s="22">
        <f t="shared" ref="I65" si="87">SUM(I62:I64)</f>
        <v>0.31584694562142851</v>
      </c>
      <c r="J65" s="22"/>
      <c r="K65" s="22"/>
      <c r="M65" s="22"/>
      <c r="P65" s="182" t="s">
        <v>2625</v>
      </c>
      <c r="Q65" s="275">
        <f>Q59</f>
        <v>0.30972066662266767</v>
      </c>
      <c r="R65" s="275">
        <f t="shared" ref="R65:U65" si="88">R59</f>
        <v>0.1680421186263015</v>
      </c>
      <c r="S65" s="275">
        <f t="shared" si="88"/>
        <v>0.19239904671133851</v>
      </c>
      <c r="T65" s="275">
        <f t="shared" si="88"/>
        <v>0.27297156827728641</v>
      </c>
      <c r="U65" s="275">
        <f t="shared" si="88"/>
        <v>5.6866599762405753E-2</v>
      </c>
    </row>
    <row r="66" spans="1:22">
      <c r="A66" s="480"/>
      <c r="B66" s="578" t="s">
        <v>2623</v>
      </c>
      <c r="C66" s="26" t="s">
        <v>2391</v>
      </c>
      <c r="D66" s="26" t="s">
        <v>2392</v>
      </c>
      <c r="E66" s="26" t="s">
        <v>2393</v>
      </c>
      <c r="F66" s="26" t="s">
        <v>855</v>
      </c>
      <c r="G66" s="26" t="s">
        <v>2568</v>
      </c>
      <c r="H66" s="26" t="s">
        <v>2570</v>
      </c>
      <c r="I66" s="26" t="s">
        <v>2569</v>
      </c>
      <c r="J66" s="22"/>
      <c r="K66" s="22"/>
      <c r="M66" s="22"/>
      <c r="Q66" s="22">
        <f>Q64/Q65</f>
        <v>0.9763482020806451</v>
      </c>
      <c r="R66" s="22">
        <f t="shared" ref="R66" si="89">R64/R65</f>
        <v>1.086320890569475</v>
      </c>
      <c r="S66" s="22">
        <f t="shared" ref="S66" si="90">S64/S65</f>
        <v>1.6265975342888024</v>
      </c>
      <c r="T66" s="22">
        <f t="shared" ref="T66" si="91">T64/T65</f>
        <v>0.55364531015959906</v>
      </c>
      <c r="U66" s="22">
        <f t="shared" ref="U66" si="92">U64/U65</f>
        <v>0.89634120354637059</v>
      </c>
      <c r="V66" s="444">
        <f>SUM(Q66:U66)</f>
        <v>5.1392531406448922</v>
      </c>
    </row>
    <row r="67" spans="1:22" ht="15">
      <c r="A67" s="479" t="s">
        <v>346</v>
      </c>
      <c r="B67" s="643">
        <f t="shared" ref="B67:B69" si="93">SUM(C67:I67)</f>
        <v>4.2504975541998373</v>
      </c>
      <c r="C67" s="643">
        <f>BD31+BD38</f>
        <v>0.10605261924932545</v>
      </c>
      <c r="D67" s="643">
        <f t="shared" ref="D67:I69" si="94">BE31+BE38</f>
        <v>0.12385471446814886</v>
      </c>
      <c r="E67" s="643">
        <f t="shared" si="94"/>
        <v>0.71618832300266266</v>
      </c>
      <c r="F67" s="643">
        <f t="shared" si="94"/>
        <v>0.84680249290350385</v>
      </c>
      <c r="G67" s="643">
        <f t="shared" si="94"/>
        <v>2.4575994045761971</v>
      </c>
      <c r="H67" s="643">
        <f t="shared" si="94"/>
        <v>0</v>
      </c>
      <c r="I67" s="643">
        <f t="shared" si="94"/>
        <v>0</v>
      </c>
      <c r="J67" s="22"/>
      <c r="P67" s="579" t="s">
        <v>2629</v>
      </c>
      <c r="Q67" s="275">
        <f>Q66</f>
        <v>0.9763482020806451</v>
      </c>
      <c r="R67" s="275">
        <f t="shared" ref="R67:U67" si="95">R66</f>
        <v>1.086320890569475</v>
      </c>
      <c r="S67" s="275">
        <f t="shared" si="95"/>
        <v>1.6265975342888024</v>
      </c>
      <c r="T67" s="275">
        <f t="shared" si="95"/>
        <v>0.55364531015959906</v>
      </c>
      <c r="U67" s="275">
        <f t="shared" si="95"/>
        <v>0.89634120354637059</v>
      </c>
    </row>
    <row r="68" spans="1:22">
      <c r="A68" s="479" t="s">
        <v>2404</v>
      </c>
      <c r="B68" s="643">
        <f t="shared" si="93"/>
        <v>9.2564232364571417</v>
      </c>
      <c r="C68" s="643">
        <f t="shared" ref="C68:C69" si="96">BD32+BD39</f>
        <v>6.548094718456821</v>
      </c>
      <c r="D68" s="643">
        <f t="shared" si="94"/>
        <v>2.6673144846688048</v>
      </c>
      <c r="E68" s="643">
        <f t="shared" si="94"/>
        <v>1.3340832783925789E-2</v>
      </c>
      <c r="F68" s="643">
        <f t="shared" si="94"/>
        <v>0</v>
      </c>
      <c r="G68" s="643">
        <f t="shared" si="94"/>
        <v>0</v>
      </c>
      <c r="H68" s="643">
        <f t="shared" si="94"/>
        <v>0</v>
      </c>
      <c r="I68" s="643">
        <f t="shared" si="94"/>
        <v>2.7673200547588834E-2</v>
      </c>
      <c r="J68" s="22"/>
      <c r="K68" s="22"/>
    </row>
    <row r="69" spans="1:22">
      <c r="A69" s="479" t="s">
        <v>2405</v>
      </c>
      <c r="B69" s="643">
        <f t="shared" si="93"/>
        <v>4.7023170422791889</v>
      </c>
      <c r="C69" s="643">
        <f t="shared" si="96"/>
        <v>3.8007137170875072</v>
      </c>
      <c r="D69" s="643">
        <f t="shared" si="94"/>
        <v>0.89679604742654395</v>
      </c>
      <c r="E69" s="643">
        <f t="shared" si="94"/>
        <v>4.8068628430639098E-3</v>
      </c>
      <c r="F69" s="643">
        <f t="shared" si="94"/>
        <v>0</v>
      </c>
      <c r="G69" s="643">
        <f t="shared" si="94"/>
        <v>0</v>
      </c>
      <c r="H69" s="643">
        <f t="shared" si="94"/>
        <v>4.1492207353061126E-7</v>
      </c>
      <c r="I69" s="643">
        <f t="shared" si="94"/>
        <v>0</v>
      </c>
      <c r="J69" s="22"/>
      <c r="K69" s="22"/>
      <c r="Q69" s="280" t="s">
        <v>2480</v>
      </c>
      <c r="R69" s="280" t="s">
        <v>2481</v>
      </c>
      <c r="S69" s="280" t="s">
        <v>2482</v>
      </c>
      <c r="T69" s="280" t="s">
        <v>2484</v>
      </c>
      <c r="U69" s="280" t="s">
        <v>2483</v>
      </c>
    </row>
    <row r="70" spans="1:22">
      <c r="B70" s="22"/>
      <c r="C70" s="22">
        <f>SUM(C67:C69)</f>
        <v>10.454861054793653</v>
      </c>
      <c r="D70" s="22">
        <f t="shared" ref="D70" si="97">SUM(D67:D69)</f>
        <v>3.6879652465634978</v>
      </c>
      <c r="E70" s="22">
        <f t="shared" ref="E70" si="98">SUM(E67:E69)</f>
        <v>0.73433601862965237</v>
      </c>
      <c r="F70" s="22">
        <f t="shared" ref="F70" si="99">SUM(F67:F69)</f>
        <v>0.84680249290350385</v>
      </c>
      <c r="G70" s="22">
        <f t="shared" ref="G70" si="100">SUM(G67:G69)</f>
        <v>2.4575994045761971</v>
      </c>
      <c r="H70" s="22">
        <f t="shared" ref="H70" si="101">SUM(H67:H69)</f>
        <v>4.1492207353061126E-7</v>
      </c>
      <c r="I70" s="22">
        <f t="shared" ref="I70" si="102">SUM(I67:I69)</f>
        <v>2.7673200547588834E-2</v>
      </c>
      <c r="J70" s="22"/>
      <c r="K70" s="22"/>
      <c r="P70" s="182" t="s">
        <v>2626</v>
      </c>
      <c r="Q70" s="275">
        <f>C50/$C$75</f>
        <v>0.30950353543058556</v>
      </c>
      <c r="R70" s="275">
        <f>C55/$C$75</f>
        <v>0.17985020203233373</v>
      </c>
      <c r="S70" s="275">
        <f>C60/$C$75</f>
        <v>0.29692830435185008</v>
      </c>
      <c r="T70" s="275">
        <f>C65/$C$75</f>
        <v>0.15550621878901835</v>
      </c>
      <c r="U70" s="275">
        <f>C70/$C$75</f>
        <v>5.8211739396212367E-2</v>
      </c>
    </row>
    <row r="71" spans="1:22">
      <c r="A71" s="480"/>
      <c r="B71" s="435" t="s">
        <v>2350</v>
      </c>
      <c r="C71" s="26" t="s">
        <v>2391</v>
      </c>
      <c r="D71" s="26" t="s">
        <v>2392</v>
      </c>
      <c r="E71" s="26" t="s">
        <v>2393</v>
      </c>
      <c r="F71" s="26" t="s">
        <v>855</v>
      </c>
      <c r="G71" s="26" t="s">
        <v>2568</v>
      </c>
      <c r="H71" s="26" t="s">
        <v>2570</v>
      </c>
      <c r="I71" s="26" t="s">
        <v>2569</v>
      </c>
      <c r="J71" s="22"/>
      <c r="K71" s="22"/>
      <c r="P71" s="182" t="s">
        <v>2625</v>
      </c>
      <c r="Q71" s="275">
        <f>Q65</f>
        <v>0.30972066662266767</v>
      </c>
      <c r="R71" s="275">
        <f t="shared" ref="R71:U71" si="103">R65</f>
        <v>0.1680421186263015</v>
      </c>
      <c r="S71" s="275">
        <f t="shared" si="103"/>
        <v>0.19239904671133851</v>
      </c>
      <c r="T71" s="275">
        <f t="shared" si="103"/>
        <v>0.27297156827728641</v>
      </c>
      <c r="U71" s="275">
        <f t="shared" si="103"/>
        <v>5.6866599762405753E-2</v>
      </c>
    </row>
    <row r="72" spans="1:22">
      <c r="A72" s="479" t="s">
        <v>346</v>
      </c>
      <c r="B72" s="643">
        <f>B47+B52+B57+B62+B67</f>
        <v>56.081959540874998</v>
      </c>
      <c r="C72" s="643">
        <f t="shared" ref="C72:I72" si="104">C47+C52+C57+C62+C67</f>
        <v>3.0120829717011546</v>
      </c>
      <c r="D72" s="643">
        <f t="shared" si="104"/>
        <v>1.3536304619780846</v>
      </c>
      <c r="E72" s="643">
        <f t="shared" si="104"/>
        <v>8.9593019899637127</v>
      </c>
      <c r="F72" s="643">
        <f t="shared" si="104"/>
        <v>14.177960207408754</v>
      </c>
      <c r="G72" s="643">
        <f t="shared" si="104"/>
        <v>28.57898390982329</v>
      </c>
      <c r="H72" s="643">
        <f t="shared" si="104"/>
        <v>0</v>
      </c>
      <c r="I72" s="643">
        <f t="shared" si="104"/>
        <v>0</v>
      </c>
      <c r="J72" s="22"/>
      <c r="K72" s="22"/>
      <c r="Q72" s="22">
        <f>Q70/Q71</f>
        <v>0.99929894509639994</v>
      </c>
      <c r="R72" s="22">
        <f t="shared" ref="R72" si="105">R70/R71</f>
        <v>1.0702685939844134</v>
      </c>
      <c r="S72" s="22">
        <f t="shared" ref="S72" si="106">S70/S71</f>
        <v>1.5432940517493294</v>
      </c>
      <c r="T72" s="22">
        <f t="shared" ref="T72" si="107">T70/T71</f>
        <v>0.56967917856944739</v>
      </c>
      <c r="U72" s="22">
        <f t="shared" ref="U72" si="108">U70/U71</f>
        <v>1.0236543004052772</v>
      </c>
      <c r="V72" s="444">
        <f>SUM(Q72:U72)</f>
        <v>5.2061950698048669</v>
      </c>
    </row>
    <row r="73" spans="1:22" ht="15">
      <c r="A73" s="479" t="s">
        <v>2404</v>
      </c>
      <c r="B73" s="643">
        <f t="shared" ref="B73:I74" si="109">B48+B53+B58+B63+B68</f>
        <v>155.62664076903778</v>
      </c>
      <c r="C73" s="643">
        <f t="shared" si="109"/>
        <v>104.43662397049182</v>
      </c>
      <c r="D73" s="643">
        <f t="shared" si="109"/>
        <v>47.505373594968376</v>
      </c>
      <c r="E73" s="643">
        <f t="shared" si="109"/>
        <v>1.1985216974402331</v>
      </c>
      <c r="F73" s="643">
        <f t="shared" si="109"/>
        <v>0</v>
      </c>
      <c r="G73" s="643">
        <f t="shared" si="109"/>
        <v>0</v>
      </c>
      <c r="H73" s="643">
        <f t="shared" si="109"/>
        <v>0</v>
      </c>
      <c r="I73" s="643">
        <f t="shared" si="109"/>
        <v>2.4861215061373532</v>
      </c>
      <c r="J73" s="22"/>
      <c r="K73" s="22"/>
      <c r="P73" s="579" t="s">
        <v>2630</v>
      </c>
      <c r="Q73" s="275">
        <f>Q72</f>
        <v>0.99929894509639994</v>
      </c>
      <c r="R73" s="275">
        <f t="shared" ref="R73:U73" si="110">R72</f>
        <v>1.0702685939844134</v>
      </c>
      <c r="S73" s="275">
        <f t="shared" si="110"/>
        <v>1.5432940517493294</v>
      </c>
      <c r="T73" s="275">
        <f t="shared" si="110"/>
        <v>0.56967917856944739</v>
      </c>
      <c r="U73" s="275">
        <f t="shared" si="110"/>
        <v>1.0236543004052772</v>
      </c>
    </row>
    <row r="74" spans="1:22">
      <c r="A74" s="479" t="s">
        <v>2405</v>
      </c>
      <c r="B74" s="643">
        <f t="shared" si="109"/>
        <v>96.077671612584226</v>
      </c>
      <c r="C74" s="643">
        <f t="shared" si="109"/>
        <v>72.151854099862319</v>
      </c>
      <c r="D74" s="643">
        <f t="shared" si="109"/>
        <v>23.493938423878117</v>
      </c>
      <c r="E74" s="643">
        <f t="shared" si="109"/>
        <v>0.43184181282692186</v>
      </c>
      <c r="F74" s="643">
        <f t="shared" si="109"/>
        <v>0</v>
      </c>
      <c r="G74" s="643">
        <f t="shared" si="109"/>
        <v>0</v>
      </c>
      <c r="H74" s="643">
        <f t="shared" si="109"/>
        <v>3.7276016866991399E-5</v>
      </c>
      <c r="I74" s="643">
        <f t="shared" si="109"/>
        <v>0</v>
      </c>
      <c r="J74" s="22"/>
      <c r="K74" s="22"/>
    </row>
    <row r="75" spans="1:22">
      <c r="B75" s="22"/>
      <c r="C75" s="22">
        <f>SUM(C72:C74)</f>
        <v>179.60056104205529</v>
      </c>
      <c r="D75" s="22">
        <f t="shared" ref="D75" si="111">SUM(D72:D74)</f>
        <v>72.352942480824581</v>
      </c>
      <c r="E75" s="22">
        <f t="shared" ref="E75" si="112">SUM(E72:E74)</f>
        <v>10.589665500230868</v>
      </c>
      <c r="F75" s="22">
        <f t="shared" ref="F75" si="113">SUM(F72:F74)</f>
        <v>14.177960207408754</v>
      </c>
      <c r="G75" s="22">
        <f t="shared" ref="G75" si="114">SUM(G72:G74)</f>
        <v>28.57898390982329</v>
      </c>
      <c r="H75" s="22">
        <f t="shared" ref="H75" si="115">SUM(H72:H74)</f>
        <v>3.7276016866991399E-5</v>
      </c>
      <c r="I75" s="22">
        <f t="shared" ref="I75" si="116">SUM(I72:I74)</f>
        <v>2.4861215061373532</v>
      </c>
      <c r="J75" s="22"/>
      <c r="K75" s="22"/>
    </row>
    <row r="76" spans="1:22">
      <c r="B76" s="22"/>
      <c r="C76" s="22"/>
      <c r="D76" s="22"/>
      <c r="E76" s="22"/>
      <c r="F76" s="22"/>
      <c r="G76" s="22"/>
      <c r="H76" s="22"/>
      <c r="I76" s="22"/>
      <c r="J76" s="22"/>
      <c r="K76" s="22"/>
    </row>
    <row r="77" spans="1:22">
      <c r="B77" s="22"/>
      <c r="C77" s="22"/>
      <c r="D77" s="22"/>
      <c r="E77" s="22"/>
      <c r="F77" s="22"/>
      <c r="G77" s="22"/>
      <c r="H77" s="22"/>
      <c r="I77" s="22"/>
      <c r="J77" s="22"/>
      <c r="K77" s="22"/>
    </row>
    <row r="78" spans="1:22">
      <c r="B78" s="22"/>
      <c r="C78" s="22"/>
      <c r="D78" s="22"/>
      <c r="E78" s="22"/>
      <c r="F78" s="22"/>
      <c r="G78" s="22"/>
      <c r="H78" s="22"/>
      <c r="I78" s="22"/>
      <c r="J78" s="22"/>
      <c r="K78" s="22"/>
    </row>
    <row r="79" spans="1:22">
      <c r="B79" s="22"/>
      <c r="C79" s="22"/>
      <c r="D79" s="22"/>
      <c r="E79" s="22"/>
      <c r="F79" s="22"/>
      <c r="G79" s="22"/>
      <c r="H79" s="22"/>
      <c r="I79" s="22"/>
      <c r="J79" s="22"/>
      <c r="K79" s="22"/>
    </row>
    <row r="80" spans="1:22">
      <c r="B80" s="22"/>
      <c r="C80" s="22"/>
      <c r="D80" s="22"/>
      <c r="E80" s="22"/>
      <c r="F80" s="22"/>
      <c r="G80" s="22"/>
      <c r="H80" s="22"/>
      <c r="I80" s="22"/>
      <c r="J80" s="22"/>
      <c r="K80" s="22"/>
    </row>
    <row r="81" spans="2:11">
      <c r="B81" s="22"/>
      <c r="C81" s="22"/>
      <c r="D81" s="22"/>
      <c r="E81" s="22"/>
      <c r="F81" s="22"/>
      <c r="G81" s="22"/>
      <c r="H81" s="22"/>
      <c r="I81" s="22"/>
      <c r="J81" s="22"/>
      <c r="K81" s="22"/>
    </row>
    <row r="82" spans="2:11">
      <c r="B82" s="22"/>
      <c r="C82" s="22"/>
      <c r="D82" s="22"/>
      <c r="E82" s="22"/>
      <c r="F82" s="22"/>
      <c r="G82" s="22"/>
      <c r="H82" s="22"/>
      <c r="I82" s="22"/>
      <c r="J82" s="22"/>
      <c r="K82" s="22"/>
    </row>
    <row r="83" spans="2:11">
      <c r="B83" s="22"/>
      <c r="C83" s="22"/>
      <c r="D83" s="22"/>
      <c r="E83" s="22"/>
      <c r="F83" s="22"/>
      <c r="G83" s="22"/>
      <c r="H83" s="22"/>
      <c r="I83" s="22"/>
      <c r="J83" s="22"/>
      <c r="K83" s="22"/>
    </row>
    <row r="84" spans="2:11">
      <c r="B84" s="22"/>
      <c r="C84" s="22"/>
      <c r="D84" s="22"/>
      <c r="E84" s="22"/>
      <c r="F84" s="22"/>
      <c r="G84" s="22"/>
      <c r="H84" s="22"/>
      <c r="I84" s="22"/>
      <c r="J84" s="22"/>
      <c r="K84" s="22"/>
    </row>
    <row r="85" spans="2:11">
      <c r="B85" s="22"/>
      <c r="C85" s="22"/>
      <c r="D85" s="22"/>
      <c r="E85" s="22"/>
      <c r="F85" s="22"/>
      <c r="G85" s="22"/>
      <c r="H85" s="22"/>
      <c r="I85" s="22"/>
      <c r="J85" s="22"/>
      <c r="K85" s="22"/>
    </row>
    <row r="104" spans="1:9" ht="25.5">
      <c r="A104" s="575" t="s">
        <v>2618</v>
      </c>
      <c r="B104" s="479" t="s">
        <v>2391</v>
      </c>
      <c r="C104" s="479" t="s">
        <v>2392</v>
      </c>
      <c r="D104" s="479" t="s">
        <v>2393</v>
      </c>
      <c r="E104" s="479" t="s">
        <v>855</v>
      </c>
      <c r="F104" s="479" t="s">
        <v>2568</v>
      </c>
      <c r="G104" s="479" t="s">
        <v>2570</v>
      </c>
      <c r="H104" s="479" t="s">
        <v>2569</v>
      </c>
      <c r="I104" s="479" t="s">
        <v>497</v>
      </c>
    </row>
    <row r="105" spans="1:9">
      <c r="A105" s="575" t="s">
        <v>346</v>
      </c>
      <c r="B105" s="576">
        <f>'Dmd Share'!L66</f>
        <v>3.0154552803936079E-2</v>
      </c>
      <c r="C105" s="576">
        <f>'Dmd Share'!M66</f>
        <v>8.1536079353858818E-3</v>
      </c>
      <c r="D105" s="576">
        <f>'Dmd Share'!N66</f>
        <v>0.1690390181738694</v>
      </c>
      <c r="E105" s="576">
        <f>'Dmd Share'!O66</f>
        <v>0.24231938336197503</v>
      </c>
      <c r="F105" s="576">
        <f>'Dmd Share'!P66</f>
        <v>0.55033343772483367</v>
      </c>
      <c r="G105" s="576">
        <f>'Dmd Share'!Q66</f>
        <v>0</v>
      </c>
      <c r="H105" s="576">
        <f>'Dmd Share'!R66</f>
        <v>0</v>
      </c>
      <c r="I105" s="576">
        <f>SUM(B105:H105)</f>
        <v>1</v>
      </c>
    </row>
    <row r="106" spans="1:9">
      <c r="A106" s="575" t="s">
        <v>2404</v>
      </c>
      <c r="B106" s="576">
        <f>'Dmd Share'!L67</f>
        <v>0.61785240168181488</v>
      </c>
      <c r="C106" s="576">
        <f>'Dmd Share'!M67</f>
        <v>0.19959392970755438</v>
      </c>
      <c r="D106" s="576">
        <f>'Dmd Share'!N67</f>
        <v>0.12594823567982066</v>
      </c>
      <c r="E106" s="576">
        <f>'Dmd Share'!O67</f>
        <v>0</v>
      </c>
      <c r="F106" s="576">
        <f>'Dmd Share'!P67</f>
        <v>0</v>
      </c>
      <c r="G106" s="576">
        <f>'Dmd Share'!Q67</f>
        <v>0</v>
      </c>
      <c r="H106" s="576">
        <f>'Dmd Share'!R67</f>
        <v>5.6605432930810017E-2</v>
      </c>
      <c r="I106" s="576">
        <f t="shared" ref="I106:I107" si="117">SUM(B106:H106)</f>
        <v>0.99999999999999989</v>
      </c>
    </row>
    <row r="107" spans="1:9">
      <c r="A107" s="575" t="s">
        <v>2405</v>
      </c>
      <c r="B107" s="576">
        <f>'Dmd Share'!L68</f>
        <v>0.86877173040282651</v>
      </c>
      <c r="C107" s="576">
        <f>'Dmd Share'!M68</f>
        <v>0.1300971990195158</v>
      </c>
      <c r="D107" s="576">
        <f>'Dmd Share'!N68</f>
        <v>1.1180759804963511E-3</v>
      </c>
      <c r="E107" s="576">
        <f>'Dmd Share'!O68</f>
        <v>0</v>
      </c>
      <c r="F107" s="576">
        <f>'Dmd Share'!P68</f>
        <v>0</v>
      </c>
      <c r="G107" s="576">
        <f>'Dmd Share'!Q68</f>
        <v>1.2994597161259685E-5</v>
      </c>
      <c r="H107" s="576">
        <f>'Dmd Share'!R68</f>
        <v>0</v>
      </c>
      <c r="I107" s="576">
        <f t="shared" si="117"/>
        <v>1</v>
      </c>
    </row>
    <row r="108" spans="1:9">
      <c r="A108" s="575"/>
    </row>
    <row r="109" spans="1:9" ht="25.5">
      <c r="A109" s="575" t="s">
        <v>2619</v>
      </c>
      <c r="B109" s="479" t="s">
        <v>2391</v>
      </c>
      <c r="C109" s="479" t="s">
        <v>2392</v>
      </c>
      <c r="D109" s="479" t="s">
        <v>2393</v>
      </c>
      <c r="E109" s="479" t="s">
        <v>855</v>
      </c>
      <c r="F109" s="479" t="s">
        <v>2568</v>
      </c>
      <c r="G109" s="479" t="s">
        <v>2570</v>
      </c>
      <c r="H109" s="479" t="s">
        <v>2569</v>
      </c>
      <c r="I109" s="479" t="s">
        <v>497</v>
      </c>
    </row>
    <row r="110" spans="1:9">
      <c r="A110" s="575" t="s">
        <v>346</v>
      </c>
      <c r="B110" s="576">
        <f>'Dmd Share'!L71</f>
        <v>1.8100992321231232E-2</v>
      </c>
      <c r="C110" s="576">
        <f>'Dmd Share'!M71</f>
        <v>8.1809631266721531E-3</v>
      </c>
      <c r="D110" s="576">
        <f>'Dmd Share'!N71</f>
        <v>0.15671146417284634</v>
      </c>
      <c r="E110" s="576">
        <f>'Dmd Share'!O71</f>
        <v>0.31772602887064699</v>
      </c>
      <c r="F110" s="576">
        <f>'Dmd Share'!P71</f>
        <v>0.49928055150860323</v>
      </c>
      <c r="G110" s="576">
        <f>'Dmd Share'!Q71</f>
        <v>0</v>
      </c>
      <c r="H110" s="576">
        <f>'Dmd Share'!R71</f>
        <v>0</v>
      </c>
      <c r="I110" s="576">
        <f>SUM(B110:H110)</f>
        <v>1</v>
      </c>
    </row>
    <row r="111" spans="1:9">
      <c r="A111" s="575" t="s">
        <v>2404</v>
      </c>
      <c r="B111" s="576">
        <f>'Dmd Share'!L72</f>
        <v>0.74191848994227139</v>
      </c>
      <c r="C111" s="576">
        <f>'Dmd Share'!M72</f>
        <v>0.14216301987730587</v>
      </c>
      <c r="D111" s="576">
        <f>'Dmd Share'!N72</f>
        <v>8.3372677922483429E-2</v>
      </c>
      <c r="E111" s="576">
        <f>'Dmd Share'!O72</f>
        <v>8.803413042585316E-5</v>
      </c>
      <c r="F111" s="576">
        <f>'Dmd Share'!P72</f>
        <v>0</v>
      </c>
      <c r="G111" s="576">
        <f>'Dmd Share'!Q72</f>
        <v>0</v>
      </c>
      <c r="H111" s="576">
        <f>'Dmd Share'!R72</f>
        <v>3.2457778127513555E-2</v>
      </c>
      <c r="I111" s="576">
        <f t="shared" ref="I111" si="118">SUM(B111:H111)</f>
        <v>1</v>
      </c>
    </row>
    <row r="112" spans="1:9">
      <c r="A112" s="575" t="s">
        <v>2405</v>
      </c>
      <c r="B112" s="576">
        <f>'Dmd Share'!L73</f>
        <v>0.78696565663955109</v>
      </c>
      <c r="C112" s="576">
        <f>'Dmd Share'!M73</f>
        <v>0.17524365341163553</v>
      </c>
      <c r="D112" s="576">
        <f>'Dmd Share'!N73</f>
        <v>1.8444499852274712E-2</v>
      </c>
      <c r="E112" s="576">
        <f>'Dmd Share'!O73</f>
        <v>0</v>
      </c>
      <c r="F112" s="576">
        <f>'Dmd Share'!P73</f>
        <v>0</v>
      </c>
      <c r="G112" s="576">
        <f>'Dmd Share'!Q73</f>
        <v>1.934619009653862E-2</v>
      </c>
      <c r="H112" s="576">
        <f>'Dmd Share'!R73</f>
        <v>0</v>
      </c>
      <c r="I112" s="576">
        <f>SUM(B112:H112)</f>
        <v>0.99999999999999989</v>
      </c>
    </row>
  </sheetData>
  <conditionalFormatting sqref="C34:G36">
    <cfRule type="colorScale" priority="1">
      <colorScale>
        <cfvo type="min"/>
        <cfvo type="max"/>
        <color rgb="FFFFEF9C"/>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E932-507A-4C44-AB60-06FFA1C09624}">
  <dimension ref="A1:L155"/>
  <sheetViews>
    <sheetView zoomScale="120" zoomScaleNormal="120" workbookViewId="0">
      <selection activeCell="E4" sqref="E4"/>
    </sheetView>
  </sheetViews>
  <sheetFormatPr defaultRowHeight="12.75"/>
  <cols>
    <col min="1" max="1" width="38.28515625" customWidth="1"/>
    <col min="6" max="8" width="0" hidden="1" customWidth="1"/>
    <col min="10" max="10" width="38.85546875" bestFit="1" customWidth="1"/>
    <col min="11" max="11" width="28.7109375" customWidth="1"/>
  </cols>
  <sheetData>
    <row r="1" spans="1:12" ht="13.5" thickBot="1">
      <c r="A1" s="816" t="s">
        <v>3234</v>
      </c>
      <c r="B1" s="816"/>
      <c r="C1" s="816"/>
      <c r="D1" s="816"/>
      <c r="E1" s="816"/>
      <c r="F1" s="816"/>
      <c r="G1" s="816"/>
      <c r="K1" t="s">
        <v>2845</v>
      </c>
      <c r="L1" s="791" t="s">
        <v>2846</v>
      </c>
    </row>
    <row r="2" spans="1:12" ht="16.5" thickTop="1">
      <c r="A2" s="646"/>
      <c r="B2" s="645"/>
      <c r="C2" s="817" t="s">
        <v>523</v>
      </c>
      <c r="D2" s="818"/>
      <c r="E2" s="819"/>
      <c r="F2" s="820" t="s">
        <v>524</v>
      </c>
      <c r="G2" s="821"/>
      <c r="H2" s="822"/>
      <c r="K2" t="s">
        <v>2845</v>
      </c>
      <c r="L2" t="s">
        <v>2861</v>
      </c>
    </row>
    <row r="3" spans="1:12" ht="51.75" thickBot="1">
      <c r="A3" s="648"/>
      <c r="B3" s="649" t="s">
        <v>2763</v>
      </c>
      <c r="C3" s="649" t="s">
        <v>2764</v>
      </c>
      <c r="D3" s="649" t="s">
        <v>500</v>
      </c>
      <c r="E3" s="657" t="s">
        <v>3269</v>
      </c>
      <c r="F3" s="649" t="s">
        <v>600</v>
      </c>
      <c r="G3" s="649" t="s">
        <v>568</v>
      </c>
      <c r="H3" s="649" t="s">
        <v>569</v>
      </c>
      <c r="I3" s="802" t="s">
        <v>3268</v>
      </c>
      <c r="L3" t="s">
        <v>2862</v>
      </c>
    </row>
    <row r="4" spans="1:12" ht="13.5" thickTop="1">
      <c r="A4" s="650" t="s">
        <v>2765</v>
      </c>
      <c r="B4" s="651">
        <v>118.2</v>
      </c>
      <c r="C4" s="651">
        <v>21</v>
      </c>
      <c r="D4" s="651">
        <v>5.6</v>
      </c>
      <c r="E4" s="658">
        <v>15.4</v>
      </c>
      <c r="F4" s="651">
        <v>26.4</v>
      </c>
      <c r="G4" s="651">
        <v>18.100000000000001</v>
      </c>
      <c r="H4" s="651">
        <v>8.3000000000000007</v>
      </c>
      <c r="I4">
        <v>16.04</v>
      </c>
      <c r="J4" s="792" t="s">
        <v>2765</v>
      </c>
      <c r="K4" t="s">
        <v>2845</v>
      </c>
      <c r="L4" t="s">
        <v>2863</v>
      </c>
    </row>
    <row r="5" spans="1:12">
      <c r="A5" s="647" t="s">
        <v>2766</v>
      </c>
      <c r="B5" s="652"/>
      <c r="C5" s="652"/>
      <c r="D5" s="652"/>
      <c r="E5" s="659"/>
      <c r="F5" s="652"/>
      <c r="G5" s="652"/>
      <c r="H5" s="652"/>
      <c r="I5" t="s">
        <v>729</v>
      </c>
      <c r="J5" s="793" t="s">
        <v>2766</v>
      </c>
    </row>
    <row r="6" spans="1:12">
      <c r="A6" s="653" t="s">
        <v>2767</v>
      </c>
      <c r="B6" s="651">
        <v>113.1</v>
      </c>
      <c r="C6" s="651">
        <v>21</v>
      </c>
      <c r="D6" s="651">
        <v>5.6</v>
      </c>
      <c r="E6" s="658">
        <v>15.4</v>
      </c>
      <c r="F6" s="651">
        <v>26.4</v>
      </c>
      <c r="G6" s="651">
        <v>18.100000000000001</v>
      </c>
      <c r="H6" s="651">
        <v>8.3000000000000007</v>
      </c>
      <c r="I6">
        <v>15.94</v>
      </c>
      <c r="J6" s="794" t="s">
        <v>3235</v>
      </c>
    </row>
    <row r="7" spans="1:12" ht="25.5">
      <c r="A7" s="653" t="s">
        <v>2768</v>
      </c>
      <c r="B7" s="651">
        <v>3.6</v>
      </c>
      <c r="C7" s="651" t="s">
        <v>574</v>
      </c>
      <c r="D7" s="651" t="s">
        <v>574</v>
      </c>
      <c r="E7" s="658" t="s">
        <v>575</v>
      </c>
      <c r="F7" s="651" t="s">
        <v>575</v>
      </c>
      <c r="G7" s="651" t="s">
        <v>575</v>
      </c>
      <c r="H7" s="651" t="s">
        <v>575</v>
      </c>
      <c r="I7" t="s">
        <v>574</v>
      </c>
      <c r="J7" s="795" t="s">
        <v>3236</v>
      </c>
    </row>
    <row r="8" spans="1:12">
      <c r="A8" s="653" t="s">
        <v>2769</v>
      </c>
      <c r="B8" s="651">
        <v>1.6</v>
      </c>
      <c r="C8" s="651" t="s">
        <v>575</v>
      </c>
      <c r="D8" s="651" t="s">
        <v>575</v>
      </c>
      <c r="E8" s="658" t="s">
        <v>575</v>
      </c>
      <c r="F8" s="651" t="s">
        <v>575</v>
      </c>
      <c r="G8" s="651" t="s">
        <v>575</v>
      </c>
      <c r="H8" s="651" t="s">
        <v>575</v>
      </c>
      <c r="I8" t="s">
        <v>574</v>
      </c>
      <c r="J8" s="795" t="s">
        <v>3237</v>
      </c>
    </row>
    <row r="9" spans="1:12">
      <c r="A9" s="647" t="s">
        <v>2770</v>
      </c>
      <c r="B9" s="652"/>
      <c r="C9" s="652"/>
      <c r="D9" s="652"/>
      <c r="E9" s="659"/>
      <c r="F9" s="652"/>
      <c r="G9" s="652"/>
      <c r="H9" s="652"/>
      <c r="I9" t="s">
        <v>729</v>
      </c>
      <c r="J9" s="796" t="s">
        <v>2770</v>
      </c>
    </row>
    <row r="10" spans="1:12">
      <c r="A10" s="653" t="s">
        <v>870</v>
      </c>
      <c r="B10" s="651">
        <v>57.7</v>
      </c>
      <c r="C10" s="651">
        <v>11.4</v>
      </c>
      <c r="D10" s="651">
        <v>2.1</v>
      </c>
      <c r="E10" s="658">
        <v>9.3000000000000007</v>
      </c>
      <c r="F10" s="651">
        <v>18.7</v>
      </c>
      <c r="G10" s="651">
        <v>13.2</v>
      </c>
      <c r="H10" s="651">
        <v>5.5</v>
      </c>
      <c r="I10">
        <v>9.76</v>
      </c>
      <c r="J10" s="795" t="s">
        <v>870</v>
      </c>
    </row>
    <row r="11" spans="1:12">
      <c r="A11" s="654" t="s">
        <v>2771</v>
      </c>
      <c r="B11" s="651">
        <v>46.5</v>
      </c>
      <c r="C11" s="651">
        <v>6.8</v>
      </c>
      <c r="D11" s="651">
        <v>1.2</v>
      </c>
      <c r="E11" s="658">
        <v>5.6</v>
      </c>
      <c r="F11" s="651">
        <v>16.600000000000001</v>
      </c>
      <c r="G11" s="651">
        <v>11.9</v>
      </c>
      <c r="H11" s="651">
        <v>4.7</v>
      </c>
      <c r="I11">
        <v>5.96</v>
      </c>
      <c r="J11" s="797" t="s">
        <v>2771</v>
      </c>
    </row>
    <row r="12" spans="1:12">
      <c r="A12" s="654" t="s">
        <v>2772</v>
      </c>
      <c r="B12" s="651">
        <v>6.6</v>
      </c>
      <c r="C12" s="651">
        <v>3.9</v>
      </c>
      <c r="D12" s="651">
        <v>0.6</v>
      </c>
      <c r="E12" s="658">
        <v>3.2</v>
      </c>
      <c r="F12" s="651">
        <v>1.5</v>
      </c>
      <c r="G12" s="651">
        <v>1</v>
      </c>
      <c r="H12" s="651">
        <v>0.5</v>
      </c>
      <c r="I12">
        <v>3.41</v>
      </c>
      <c r="J12" s="797" t="s">
        <v>2772</v>
      </c>
    </row>
    <row r="13" spans="1:12">
      <c r="A13" s="654" t="s">
        <v>2773</v>
      </c>
      <c r="B13" s="651">
        <v>2.2000000000000002</v>
      </c>
      <c r="C13" s="651">
        <v>0.5</v>
      </c>
      <c r="D13" s="651" t="s">
        <v>574</v>
      </c>
      <c r="E13" s="658">
        <v>0.3</v>
      </c>
      <c r="F13" s="651">
        <v>0.2</v>
      </c>
      <c r="G13" s="651" t="s">
        <v>574</v>
      </c>
      <c r="H13" s="651" t="s">
        <v>574</v>
      </c>
      <c r="I13">
        <v>0.37</v>
      </c>
      <c r="J13" s="797" t="s">
        <v>2773</v>
      </c>
    </row>
    <row r="14" spans="1:12">
      <c r="A14" s="654" t="s">
        <v>2774</v>
      </c>
      <c r="B14" s="651">
        <v>2.4</v>
      </c>
      <c r="C14" s="651">
        <v>0.3</v>
      </c>
      <c r="D14" s="651" t="s">
        <v>574</v>
      </c>
      <c r="E14" s="658" t="s">
        <v>574</v>
      </c>
      <c r="F14" s="651">
        <v>0.3</v>
      </c>
      <c r="G14" s="651" t="s">
        <v>574</v>
      </c>
      <c r="H14" s="651" t="s">
        <v>574</v>
      </c>
      <c r="I14" t="s">
        <v>574</v>
      </c>
      <c r="J14" s="797" t="s">
        <v>2774</v>
      </c>
    </row>
    <row r="15" spans="1:12">
      <c r="A15" s="653" t="s">
        <v>347</v>
      </c>
      <c r="B15" s="651">
        <v>40.9</v>
      </c>
      <c r="C15" s="651">
        <v>2.8</v>
      </c>
      <c r="D15" s="651">
        <v>0.5</v>
      </c>
      <c r="E15" s="658">
        <v>2.2999999999999998</v>
      </c>
      <c r="F15" s="651">
        <v>5.4</v>
      </c>
      <c r="G15" s="651">
        <v>3.6</v>
      </c>
      <c r="H15" s="651">
        <v>1.8</v>
      </c>
      <c r="I15">
        <v>3.08</v>
      </c>
      <c r="J15" s="795" t="s">
        <v>347</v>
      </c>
    </row>
    <row r="16" spans="1:12">
      <c r="A16" s="654" t="s">
        <v>2771</v>
      </c>
      <c r="B16" s="651">
        <v>16.100000000000001</v>
      </c>
      <c r="C16" s="651">
        <v>0.4</v>
      </c>
      <c r="D16" s="651" t="s">
        <v>574</v>
      </c>
      <c r="E16" s="658">
        <v>0.3</v>
      </c>
      <c r="F16" s="651">
        <v>2</v>
      </c>
      <c r="G16" s="651">
        <v>1.2</v>
      </c>
      <c r="H16" s="651">
        <v>0.8</v>
      </c>
      <c r="I16">
        <v>0.51</v>
      </c>
      <c r="J16" s="797" t="s">
        <v>2771</v>
      </c>
    </row>
    <row r="17" spans="1:12">
      <c r="A17" s="654" t="s">
        <v>871</v>
      </c>
      <c r="B17" s="651">
        <v>11.8</v>
      </c>
      <c r="C17" s="651">
        <v>0.6</v>
      </c>
      <c r="D17" s="651" t="s">
        <v>574</v>
      </c>
      <c r="E17" s="658">
        <v>0.6</v>
      </c>
      <c r="F17" s="651">
        <v>0.9</v>
      </c>
      <c r="G17" s="651">
        <v>0.6</v>
      </c>
      <c r="H17" s="651">
        <v>0.3</v>
      </c>
      <c r="I17">
        <v>0.68</v>
      </c>
      <c r="J17" s="797" t="s">
        <v>871</v>
      </c>
    </row>
    <row r="18" spans="1:12">
      <c r="A18" s="654" t="s">
        <v>2775</v>
      </c>
      <c r="B18" s="651">
        <v>9.1999999999999993</v>
      </c>
      <c r="C18" s="651">
        <v>1.4</v>
      </c>
      <c r="D18" s="651" t="s">
        <v>574</v>
      </c>
      <c r="E18" s="658">
        <v>1.2</v>
      </c>
      <c r="F18" s="651">
        <v>2.1</v>
      </c>
      <c r="G18" s="651">
        <v>1.6</v>
      </c>
      <c r="H18" s="651">
        <v>0.5</v>
      </c>
      <c r="I18">
        <v>1.38</v>
      </c>
      <c r="J18" s="797" t="s">
        <v>2775</v>
      </c>
    </row>
    <row r="19" spans="1:12">
      <c r="A19" s="654" t="s">
        <v>2776</v>
      </c>
      <c r="B19" s="651">
        <v>3</v>
      </c>
      <c r="C19" s="651" t="s">
        <v>574</v>
      </c>
      <c r="D19" s="651" t="s">
        <v>574</v>
      </c>
      <c r="E19" s="658" t="s">
        <v>574</v>
      </c>
      <c r="F19" s="651" t="s">
        <v>574</v>
      </c>
      <c r="G19" s="651" t="s">
        <v>574</v>
      </c>
      <c r="H19" s="651" t="s">
        <v>574</v>
      </c>
      <c r="I19">
        <f>0.19+0.17</f>
        <v>0.36</v>
      </c>
      <c r="J19" s="797" t="s">
        <v>2776</v>
      </c>
    </row>
    <row r="20" spans="1:12" ht="25.5">
      <c r="A20" s="654" t="s">
        <v>3266</v>
      </c>
      <c r="B20" s="651">
        <v>0.8</v>
      </c>
      <c r="C20" s="651" t="s">
        <v>574</v>
      </c>
      <c r="D20" s="651" t="s">
        <v>575</v>
      </c>
      <c r="E20" s="658" t="s">
        <v>574</v>
      </c>
      <c r="F20" s="651">
        <v>0.2</v>
      </c>
      <c r="G20" s="651" t="s">
        <v>574</v>
      </c>
      <c r="H20" s="651" t="s">
        <v>574</v>
      </c>
      <c r="I20">
        <v>0.16</v>
      </c>
      <c r="J20" s="797" t="s">
        <v>2774</v>
      </c>
    </row>
    <row r="21" spans="1:12">
      <c r="A21" s="653" t="s">
        <v>2777</v>
      </c>
      <c r="B21" s="651">
        <v>5.8</v>
      </c>
      <c r="C21" s="651">
        <v>4.8</v>
      </c>
      <c r="D21" s="651">
        <v>2.2000000000000002</v>
      </c>
      <c r="E21" s="658">
        <v>2.6</v>
      </c>
      <c r="F21" s="651" t="s">
        <v>574</v>
      </c>
      <c r="G21" s="651" t="s">
        <v>574</v>
      </c>
      <c r="H21" s="651" t="s">
        <v>574</v>
      </c>
      <c r="I21">
        <v>2.12</v>
      </c>
      <c r="J21" s="795" t="s">
        <v>3239</v>
      </c>
    </row>
    <row r="22" spans="1:12">
      <c r="A22" s="661" t="s">
        <v>2771</v>
      </c>
      <c r="B22" s="651">
        <v>3.5</v>
      </c>
      <c r="C22" s="651">
        <v>2.8</v>
      </c>
      <c r="D22" s="651">
        <v>1.5</v>
      </c>
      <c r="E22" s="658">
        <v>1.3</v>
      </c>
      <c r="F22" s="651" t="s">
        <v>574</v>
      </c>
      <c r="G22" s="651" t="s">
        <v>574</v>
      </c>
      <c r="H22" s="651" t="s">
        <v>574</v>
      </c>
      <c r="I22">
        <v>1.21</v>
      </c>
      <c r="J22" s="797" t="s">
        <v>2771</v>
      </c>
    </row>
    <row r="23" spans="1:12">
      <c r="A23" s="654" t="s">
        <v>2772</v>
      </c>
      <c r="B23" s="651">
        <v>1.7</v>
      </c>
      <c r="C23" s="651">
        <v>1.6</v>
      </c>
      <c r="D23" s="651">
        <v>0.6</v>
      </c>
      <c r="E23" s="658">
        <v>1</v>
      </c>
      <c r="F23" s="651" t="s">
        <v>574</v>
      </c>
      <c r="G23" s="651" t="s">
        <v>575</v>
      </c>
      <c r="H23" s="651" t="s">
        <v>574</v>
      </c>
      <c r="I23">
        <v>0.85</v>
      </c>
      <c r="J23" s="797" t="s">
        <v>2772</v>
      </c>
      <c r="K23" s="665" t="s">
        <v>2845</v>
      </c>
      <c r="L23" t="s">
        <v>2864</v>
      </c>
    </row>
    <row r="24" spans="1:12">
      <c r="A24" s="654" t="s">
        <v>2774</v>
      </c>
      <c r="B24" s="651">
        <v>0.7</v>
      </c>
      <c r="C24" s="651">
        <v>0.4</v>
      </c>
      <c r="D24" s="651" t="s">
        <v>574</v>
      </c>
      <c r="E24" s="658" t="s">
        <v>574</v>
      </c>
      <c r="F24" s="651" t="s">
        <v>574</v>
      </c>
      <c r="G24" s="651" t="s">
        <v>575</v>
      </c>
      <c r="H24" s="651" t="s">
        <v>574</v>
      </c>
      <c r="I24" t="s">
        <v>574</v>
      </c>
      <c r="J24" s="797" t="s">
        <v>2774</v>
      </c>
    </row>
    <row r="25" spans="1:12">
      <c r="A25" s="653" t="s">
        <v>2778</v>
      </c>
      <c r="B25" s="651">
        <v>5</v>
      </c>
      <c r="C25" s="651">
        <v>0.9</v>
      </c>
      <c r="D25" s="651">
        <v>0.4</v>
      </c>
      <c r="E25" s="658">
        <v>0.4</v>
      </c>
      <c r="F25" s="651">
        <v>1.5</v>
      </c>
      <c r="G25" s="651">
        <v>0.9</v>
      </c>
      <c r="H25" s="651">
        <v>0.7</v>
      </c>
      <c r="I25">
        <v>0.64</v>
      </c>
      <c r="J25" s="795" t="s">
        <v>2778</v>
      </c>
    </row>
    <row r="26" spans="1:12">
      <c r="A26" s="654" t="s">
        <v>2771</v>
      </c>
      <c r="B26" s="651">
        <v>3.8</v>
      </c>
      <c r="C26" s="651">
        <v>0.7</v>
      </c>
      <c r="D26" s="651">
        <v>0.3</v>
      </c>
      <c r="E26" s="658">
        <v>0.4</v>
      </c>
      <c r="F26" s="651">
        <v>1.3</v>
      </c>
      <c r="G26" s="651">
        <v>0.8</v>
      </c>
      <c r="H26" s="651">
        <v>0.6</v>
      </c>
      <c r="I26">
        <v>0.52</v>
      </c>
      <c r="J26" s="797" t="s">
        <v>2771</v>
      </c>
    </row>
    <row r="27" spans="1:12">
      <c r="A27" s="654" t="s">
        <v>2774</v>
      </c>
      <c r="B27" s="651">
        <v>1.2</v>
      </c>
      <c r="C27" s="651" t="s">
        <v>574</v>
      </c>
      <c r="D27" s="651" t="s">
        <v>574</v>
      </c>
      <c r="E27" s="658" t="s">
        <v>574</v>
      </c>
      <c r="F27" s="651">
        <v>0.2</v>
      </c>
      <c r="G27" s="651" t="s">
        <v>574</v>
      </c>
      <c r="H27" s="651" t="s">
        <v>574</v>
      </c>
      <c r="I27">
        <v>0.12</v>
      </c>
      <c r="J27" s="797" t="s">
        <v>2774</v>
      </c>
    </row>
    <row r="28" spans="1:12">
      <c r="A28" s="653" t="s">
        <v>543</v>
      </c>
      <c r="B28" s="651">
        <v>3.5</v>
      </c>
      <c r="C28" s="651">
        <v>1</v>
      </c>
      <c r="D28" s="651">
        <v>0.4</v>
      </c>
      <c r="E28" s="658">
        <v>0.6</v>
      </c>
      <c r="F28" s="651">
        <v>0.6</v>
      </c>
      <c r="G28" s="651">
        <v>0.3</v>
      </c>
      <c r="H28" s="651">
        <v>0.3</v>
      </c>
      <c r="I28">
        <v>0.27</v>
      </c>
      <c r="J28" s="795" t="s">
        <v>543</v>
      </c>
    </row>
    <row r="29" spans="1:12">
      <c r="A29" s="654" t="s">
        <v>2779</v>
      </c>
      <c r="B29" s="651">
        <v>2.7</v>
      </c>
      <c r="C29" s="651">
        <v>0.8</v>
      </c>
      <c r="D29" s="651">
        <v>0.3</v>
      </c>
      <c r="E29" s="658">
        <v>0.4</v>
      </c>
      <c r="F29" s="651">
        <v>0.5</v>
      </c>
      <c r="G29" s="651">
        <v>0.2</v>
      </c>
      <c r="H29" s="651">
        <v>0.3</v>
      </c>
      <c r="I29">
        <v>0.24</v>
      </c>
      <c r="J29" s="797" t="s">
        <v>2779</v>
      </c>
    </row>
    <row r="30" spans="1:12">
      <c r="A30" s="654" t="s">
        <v>2774</v>
      </c>
      <c r="B30" s="651">
        <v>0.8</v>
      </c>
      <c r="C30" s="651">
        <v>0.2</v>
      </c>
      <c r="D30" s="651" t="s">
        <v>574</v>
      </c>
      <c r="E30" s="658" t="s">
        <v>574</v>
      </c>
      <c r="F30" s="651" t="s">
        <v>574</v>
      </c>
      <c r="G30" s="651" t="s">
        <v>574</v>
      </c>
      <c r="H30" s="651" t="s">
        <v>574</v>
      </c>
      <c r="I30" t="s">
        <v>574</v>
      </c>
      <c r="J30" s="797" t="s">
        <v>2774</v>
      </c>
    </row>
    <row r="31" spans="1:12" ht="15">
      <c r="A31" s="653" t="s">
        <v>2780</v>
      </c>
      <c r="B31" s="651" t="s">
        <v>574</v>
      </c>
      <c r="C31" s="651" t="s">
        <v>574</v>
      </c>
      <c r="D31" s="651" t="s">
        <v>575</v>
      </c>
      <c r="E31" s="658" t="s">
        <v>574</v>
      </c>
      <c r="F31" s="651" t="s">
        <v>574</v>
      </c>
      <c r="G31" s="651" t="s">
        <v>575</v>
      </c>
      <c r="H31" s="651" t="s">
        <v>574</v>
      </c>
      <c r="I31" t="s">
        <v>574</v>
      </c>
      <c r="J31" s="795" t="s">
        <v>3240</v>
      </c>
    </row>
    <row r="32" spans="1:12">
      <c r="A32" s="653" t="s">
        <v>2781</v>
      </c>
      <c r="B32" s="651">
        <v>5.0999999999999996</v>
      </c>
      <c r="C32" s="651" t="s">
        <v>574</v>
      </c>
      <c r="D32" s="651" t="s">
        <v>574</v>
      </c>
      <c r="E32" s="658" t="s">
        <v>575</v>
      </c>
      <c r="F32" s="651" t="s">
        <v>575</v>
      </c>
      <c r="G32" s="651" t="s">
        <v>575</v>
      </c>
      <c r="H32" s="651" t="s">
        <v>575</v>
      </c>
      <c r="I32">
        <v>0.11</v>
      </c>
      <c r="J32" s="795" t="s">
        <v>3241</v>
      </c>
    </row>
    <row r="33" spans="1:11">
      <c r="A33" s="647" t="s">
        <v>2782</v>
      </c>
      <c r="B33" s="652"/>
      <c r="C33" s="652"/>
      <c r="D33" s="652"/>
      <c r="E33" s="659"/>
      <c r="F33" s="652"/>
      <c r="G33" s="652"/>
      <c r="H33" s="652"/>
      <c r="I33" t="s">
        <v>729</v>
      </c>
      <c r="J33" s="796" t="s">
        <v>2782</v>
      </c>
    </row>
    <row r="34" spans="1:11">
      <c r="A34" s="653" t="s">
        <v>2771</v>
      </c>
      <c r="B34" s="651">
        <v>70.099999999999994</v>
      </c>
      <c r="C34" s="651">
        <v>10.8</v>
      </c>
      <c r="D34" s="651">
        <v>3.2</v>
      </c>
      <c r="E34" s="658">
        <v>7.5</v>
      </c>
      <c r="F34" s="651">
        <v>20.100000000000001</v>
      </c>
      <c r="G34" s="651">
        <v>14</v>
      </c>
      <c r="H34" s="651">
        <v>6.1</v>
      </c>
      <c r="I34">
        <v>8.24</v>
      </c>
      <c r="J34" s="795" t="s">
        <v>2771</v>
      </c>
      <c r="K34">
        <f>E16/E34</f>
        <v>0.04</v>
      </c>
    </row>
    <row r="35" spans="1:11">
      <c r="A35" s="653" t="s">
        <v>871</v>
      </c>
      <c r="B35" s="651">
        <v>13.4</v>
      </c>
      <c r="C35" s="651">
        <v>0.8</v>
      </c>
      <c r="D35" s="651" t="s">
        <v>574</v>
      </c>
      <c r="E35" s="658">
        <v>0.7</v>
      </c>
      <c r="F35" s="651">
        <v>1</v>
      </c>
      <c r="G35" s="651">
        <v>0.7</v>
      </c>
      <c r="H35" s="651">
        <v>0.4</v>
      </c>
      <c r="I35">
        <v>0.68</v>
      </c>
      <c r="J35" s="795" t="s">
        <v>871</v>
      </c>
    </row>
    <row r="36" spans="1:11">
      <c r="A36" s="653" t="s">
        <v>2772</v>
      </c>
      <c r="B36" s="651">
        <v>9.1</v>
      </c>
      <c r="C36" s="651">
        <v>5.8</v>
      </c>
      <c r="D36" s="651">
        <v>1.3</v>
      </c>
      <c r="E36" s="658">
        <v>4.5</v>
      </c>
      <c r="F36" s="651">
        <v>1.9</v>
      </c>
      <c r="G36" s="651">
        <v>1.1000000000000001</v>
      </c>
      <c r="H36" s="651">
        <v>0.7</v>
      </c>
      <c r="I36">
        <v>4.4800000000000004</v>
      </c>
      <c r="J36" s="795" t="s">
        <v>2772</v>
      </c>
    </row>
    <row r="37" spans="1:11">
      <c r="A37" s="653" t="s">
        <v>2775</v>
      </c>
      <c r="B37" s="651">
        <v>9.1999999999999993</v>
      </c>
      <c r="C37" s="651">
        <v>1.4</v>
      </c>
      <c r="D37" s="651" t="s">
        <v>574</v>
      </c>
      <c r="E37" s="658">
        <v>1.2</v>
      </c>
      <c r="F37" s="651">
        <v>2.1</v>
      </c>
      <c r="G37" s="651">
        <v>1.6</v>
      </c>
      <c r="H37" s="651">
        <v>0.5</v>
      </c>
      <c r="I37">
        <v>1.38</v>
      </c>
      <c r="J37" s="795" t="s">
        <v>2775</v>
      </c>
    </row>
    <row r="38" spans="1:11">
      <c r="A38" s="653" t="s">
        <v>2783</v>
      </c>
      <c r="B38" s="651">
        <v>3.1</v>
      </c>
      <c r="C38" s="651">
        <v>0.8</v>
      </c>
      <c r="D38" s="651">
        <v>0.3</v>
      </c>
      <c r="E38" s="658">
        <v>0.5</v>
      </c>
      <c r="F38" s="651">
        <v>0.3</v>
      </c>
      <c r="G38" s="651" t="s">
        <v>574</v>
      </c>
      <c r="H38" s="651" t="s">
        <v>574</v>
      </c>
      <c r="I38">
        <v>0.5</v>
      </c>
      <c r="J38" s="795" t="s">
        <v>2783</v>
      </c>
    </row>
    <row r="39" spans="1:11">
      <c r="A39" s="653" t="s">
        <v>2776</v>
      </c>
      <c r="B39" s="651">
        <v>3</v>
      </c>
      <c r="C39" s="651" t="s">
        <v>574</v>
      </c>
      <c r="D39" s="651" t="s">
        <v>574</v>
      </c>
      <c r="E39" s="658" t="s">
        <v>574</v>
      </c>
      <c r="F39" s="651" t="s">
        <v>574</v>
      </c>
      <c r="G39" s="651" t="s">
        <v>574</v>
      </c>
      <c r="H39" s="651" t="s">
        <v>574</v>
      </c>
      <c r="I39">
        <v>0.19</v>
      </c>
      <c r="J39" s="795" t="s">
        <v>2776</v>
      </c>
    </row>
    <row r="40" spans="1:11">
      <c r="A40" s="653" t="s">
        <v>2784</v>
      </c>
      <c r="B40" s="651">
        <v>2.7</v>
      </c>
      <c r="C40" s="651">
        <v>0.8</v>
      </c>
      <c r="D40" s="651">
        <v>0.3</v>
      </c>
      <c r="E40" s="658">
        <v>0.4</v>
      </c>
      <c r="F40" s="651">
        <v>0.5</v>
      </c>
      <c r="G40" s="651">
        <v>0.2</v>
      </c>
      <c r="H40" s="651">
        <v>0.3</v>
      </c>
      <c r="I40">
        <v>0.24</v>
      </c>
      <c r="J40" s="795" t="s">
        <v>2784</v>
      </c>
    </row>
    <row r="41" spans="1:11">
      <c r="A41" s="653" t="s">
        <v>2785</v>
      </c>
      <c r="B41" s="651">
        <v>1.1000000000000001</v>
      </c>
      <c r="C41" s="651" t="s">
        <v>574</v>
      </c>
      <c r="D41" s="651" t="s">
        <v>574</v>
      </c>
      <c r="E41" s="658" t="s">
        <v>574</v>
      </c>
      <c r="F41" s="651" t="s">
        <v>574</v>
      </c>
      <c r="G41" s="651" t="s">
        <v>574</v>
      </c>
      <c r="H41" s="651" t="s">
        <v>574</v>
      </c>
      <c r="J41" s="795"/>
    </row>
    <row r="42" spans="1:11">
      <c r="A42" s="653" t="s">
        <v>2786</v>
      </c>
      <c r="B42" s="651">
        <v>0.8</v>
      </c>
      <c r="C42" s="651" t="s">
        <v>574</v>
      </c>
      <c r="D42" s="651" t="s">
        <v>574</v>
      </c>
      <c r="E42" s="658" t="s">
        <v>574</v>
      </c>
      <c r="F42" s="651" t="s">
        <v>574</v>
      </c>
      <c r="G42" s="651" t="s">
        <v>574</v>
      </c>
      <c r="H42" s="651" t="s">
        <v>575</v>
      </c>
      <c r="J42" s="795"/>
    </row>
    <row r="43" spans="1:11">
      <c r="A43" s="653" t="s">
        <v>2774</v>
      </c>
      <c r="B43" s="651">
        <v>0.6</v>
      </c>
      <c r="C43" s="651" t="s">
        <v>574</v>
      </c>
      <c r="D43" s="651" t="s">
        <v>574</v>
      </c>
      <c r="E43" s="658" t="s">
        <v>574</v>
      </c>
      <c r="F43" s="651" t="s">
        <v>574</v>
      </c>
      <c r="G43" s="651" t="s">
        <v>574</v>
      </c>
      <c r="H43" s="651" t="s">
        <v>574</v>
      </c>
      <c r="I43">
        <v>0.17</v>
      </c>
      <c r="J43" s="794" t="s">
        <v>3238</v>
      </c>
    </row>
    <row r="44" spans="1:11">
      <c r="A44" s="653" t="s">
        <v>2781</v>
      </c>
      <c r="B44" s="651">
        <v>5.0999999999999996</v>
      </c>
      <c r="C44" s="651" t="s">
        <v>574</v>
      </c>
      <c r="D44" s="651" t="s">
        <v>574</v>
      </c>
      <c r="E44" s="658" t="s">
        <v>575</v>
      </c>
      <c r="F44" s="651" t="s">
        <v>575</v>
      </c>
      <c r="G44" s="651" t="s">
        <v>575</v>
      </c>
      <c r="H44" s="651" t="s">
        <v>575</v>
      </c>
      <c r="I44">
        <v>0.11</v>
      </c>
      <c r="J44" s="795" t="s">
        <v>3241</v>
      </c>
    </row>
    <row r="45" spans="1:11">
      <c r="A45" s="647" t="s">
        <v>2787</v>
      </c>
      <c r="B45" s="652"/>
      <c r="C45" s="652"/>
      <c r="D45" s="652"/>
      <c r="E45" s="659"/>
      <c r="F45" s="652"/>
      <c r="G45" s="652"/>
      <c r="H45" s="652"/>
      <c r="I45" t="s">
        <v>729</v>
      </c>
      <c r="J45" s="796" t="s">
        <v>2787</v>
      </c>
    </row>
    <row r="46" spans="1:11">
      <c r="A46" s="653" t="s">
        <v>2788</v>
      </c>
      <c r="B46" s="651">
        <v>11.2</v>
      </c>
      <c r="C46" s="651">
        <v>1.7</v>
      </c>
      <c r="D46" s="651">
        <v>0.4</v>
      </c>
      <c r="E46" s="658">
        <v>1.3</v>
      </c>
      <c r="F46" s="651">
        <v>2.1</v>
      </c>
      <c r="G46" s="651">
        <v>1.4</v>
      </c>
      <c r="H46" s="651">
        <v>0.7</v>
      </c>
      <c r="I46">
        <v>0.95</v>
      </c>
      <c r="J46" s="795" t="s">
        <v>2788</v>
      </c>
    </row>
    <row r="47" spans="1:11">
      <c r="A47" s="653" t="s">
        <v>2789</v>
      </c>
      <c r="B47" s="651">
        <v>16.3</v>
      </c>
      <c r="C47" s="651">
        <v>2.8</v>
      </c>
      <c r="D47" s="651">
        <v>1</v>
      </c>
      <c r="E47" s="658">
        <v>1.8</v>
      </c>
      <c r="F47" s="651">
        <v>3.6</v>
      </c>
      <c r="G47" s="651">
        <v>2.5</v>
      </c>
      <c r="H47" s="651">
        <v>1.1000000000000001</v>
      </c>
      <c r="I47">
        <v>1.86</v>
      </c>
      <c r="J47" s="795" t="s">
        <v>2789</v>
      </c>
    </row>
    <row r="48" spans="1:11">
      <c r="A48" s="653" t="s">
        <v>2790</v>
      </c>
      <c r="B48" s="651">
        <v>28.4</v>
      </c>
      <c r="C48" s="651">
        <v>4.8</v>
      </c>
      <c r="D48" s="651">
        <v>1</v>
      </c>
      <c r="E48" s="658">
        <v>3.8</v>
      </c>
      <c r="F48" s="651">
        <v>6.4</v>
      </c>
      <c r="G48" s="651">
        <v>4.3</v>
      </c>
      <c r="H48" s="651">
        <v>2.1</v>
      </c>
      <c r="I48">
        <v>2.95</v>
      </c>
      <c r="J48" s="795" t="s">
        <v>2790</v>
      </c>
    </row>
    <row r="49" spans="1:10">
      <c r="A49" s="653" t="s">
        <v>2791</v>
      </c>
      <c r="B49" s="651">
        <v>23.4</v>
      </c>
      <c r="C49" s="651">
        <v>3.9</v>
      </c>
      <c r="D49" s="651">
        <v>1.2</v>
      </c>
      <c r="E49" s="658">
        <v>2.6</v>
      </c>
      <c r="F49" s="651">
        <v>6</v>
      </c>
      <c r="G49" s="651">
        <v>4.0999999999999996</v>
      </c>
      <c r="H49" s="651">
        <v>1.9</v>
      </c>
      <c r="I49">
        <v>3.04</v>
      </c>
      <c r="J49" s="795" t="s">
        <v>2791</v>
      </c>
    </row>
    <row r="50" spans="1:10">
      <c r="A50" s="653" t="s">
        <v>2792</v>
      </c>
      <c r="B50" s="651">
        <v>13.6</v>
      </c>
      <c r="C50" s="651">
        <v>2.7</v>
      </c>
      <c r="D50" s="651">
        <v>0.8</v>
      </c>
      <c r="E50" s="658">
        <v>1.9</v>
      </c>
      <c r="F50" s="651">
        <v>3.2</v>
      </c>
      <c r="G50" s="651">
        <v>2.2000000000000002</v>
      </c>
      <c r="H50" s="651">
        <v>1</v>
      </c>
      <c r="I50">
        <v>2.14</v>
      </c>
      <c r="J50" s="795" t="s">
        <v>2792</v>
      </c>
    </row>
    <row r="51" spans="1:10">
      <c r="A51" s="653" t="s">
        <v>2793</v>
      </c>
      <c r="B51" s="651">
        <v>20.100000000000001</v>
      </c>
      <c r="C51" s="651">
        <v>5.2</v>
      </c>
      <c r="D51" s="651">
        <v>1.2</v>
      </c>
      <c r="E51" s="658">
        <v>4</v>
      </c>
      <c r="F51" s="651">
        <v>5.0999999999999996</v>
      </c>
      <c r="G51" s="651">
        <v>3.6</v>
      </c>
      <c r="H51" s="651">
        <v>1.5</v>
      </c>
      <c r="I51">
        <v>4.99</v>
      </c>
      <c r="J51" s="795" t="s">
        <v>2793</v>
      </c>
    </row>
    <row r="52" spans="1:10">
      <c r="A52" s="653" t="s">
        <v>2781</v>
      </c>
      <c r="B52" s="651">
        <v>5.0999999999999996</v>
      </c>
      <c r="C52" s="651" t="s">
        <v>574</v>
      </c>
      <c r="D52" s="651" t="s">
        <v>574</v>
      </c>
      <c r="E52" s="658" t="s">
        <v>575</v>
      </c>
      <c r="F52" s="651" t="s">
        <v>575</v>
      </c>
      <c r="G52" s="651" t="s">
        <v>575</v>
      </c>
      <c r="H52" s="651" t="s">
        <v>575</v>
      </c>
      <c r="I52">
        <v>0.11</v>
      </c>
      <c r="J52" s="795" t="s">
        <v>3241</v>
      </c>
    </row>
    <row r="53" spans="1:10">
      <c r="A53" s="647" t="s">
        <v>2794</v>
      </c>
      <c r="B53" s="652"/>
      <c r="C53" s="652"/>
      <c r="D53" s="652"/>
      <c r="E53" s="659"/>
      <c r="F53" s="652"/>
      <c r="G53" s="652"/>
      <c r="H53" s="652"/>
      <c r="I53" t="s">
        <v>729</v>
      </c>
      <c r="J53" s="793" t="s">
        <v>3242</v>
      </c>
    </row>
    <row r="54" spans="1:10">
      <c r="A54" s="653" t="s">
        <v>2795</v>
      </c>
      <c r="B54" s="651">
        <v>100.3</v>
      </c>
      <c r="C54" s="651">
        <v>16.8</v>
      </c>
      <c r="D54" s="651">
        <v>5</v>
      </c>
      <c r="E54" s="658">
        <v>11.7</v>
      </c>
      <c r="F54" s="651">
        <v>25</v>
      </c>
      <c r="G54" s="651">
        <v>17.100000000000001</v>
      </c>
      <c r="H54" s="651">
        <v>7.9</v>
      </c>
      <c r="I54">
        <v>13.15</v>
      </c>
      <c r="J54" s="794" t="s">
        <v>2795</v>
      </c>
    </row>
    <row r="55" spans="1:10" ht="25.5">
      <c r="A55" s="654" t="s">
        <v>2796</v>
      </c>
      <c r="B55" s="651">
        <v>58.9</v>
      </c>
      <c r="C55" s="651">
        <v>9.6999999999999993</v>
      </c>
      <c r="D55" s="651">
        <v>2.6</v>
      </c>
      <c r="E55" s="658">
        <v>7.1</v>
      </c>
      <c r="F55" s="651">
        <v>13.6</v>
      </c>
      <c r="G55" s="651">
        <v>9.4</v>
      </c>
      <c r="H55" s="651">
        <v>4.0999999999999996</v>
      </c>
      <c r="I55">
        <f>6.17+1.25</f>
        <v>7.42</v>
      </c>
      <c r="J55" s="797" t="s">
        <v>3267</v>
      </c>
    </row>
    <row r="56" spans="1:10">
      <c r="A56" s="654" t="s">
        <v>2797</v>
      </c>
      <c r="B56" s="651">
        <v>41.4</v>
      </c>
      <c r="C56" s="651">
        <v>7.1</v>
      </c>
      <c r="D56" s="651">
        <v>2.5</v>
      </c>
      <c r="E56" s="658">
        <v>4.7</v>
      </c>
      <c r="F56" s="651">
        <v>11.4</v>
      </c>
      <c r="G56" s="651">
        <v>7.6</v>
      </c>
      <c r="H56" s="651">
        <v>3.8</v>
      </c>
      <c r="I56">
        <v>5.73</v>
      </c>
      <c r="J56" s="797" t="s">
        <v>2797</v>
      </c>
    </row>
    <row r="57" spans="1:10">
      <c r="A57" s="653" t="s">
        <v>2798</v>
      </c>
      <c r="B57" s="651">
        <v>12.8</v>
      </c>
      <c r="C57" s="651">
        <v>4.2</v>
      </c>
      <c r="D57" s="651">
        <v>0.6</v>
      </c>
      <c r="E57" s="658">
        <v>3.6</v>
      </c>
      <c r="F57" s="651">
        <v>1.4</v>
      </c>
      <c r="G57" s="651">
        <v>1</v>
      </c>
      <c r="H57" s="651">
        <v>0.4</v>
      </c>
      <c r="I57">
        <v>2.86</v>
      </c>
      <c r="J57" s="794" t="s">
        <v>2798</v>
      </c>
    </row>
    <row r="58" spans="1:10" ht="25.5">
      <c r="A58" s="653" t="s">
        <v>2781</v>
      </c>
      <c r="B58" s="651">
        <v>5.0999999999999996</v>
      </c>
      <c r="C58" s="651" t="s">
        <v>574</v>
      </c>
      <c r="D58" s="651" t="s">
        <v>574</v>
      </c>
      <c r="E58" s="658" t="s">
        <v>575</v>
      </c>
      <c r="F58" s="651" t="s">
        <v>575</v>
      </c>
      <c r="G58" s="651" t="s">
        <v>575</v>
      </c>
      <c r="H58" s="651" t="s">
        <v>575</v>
      </c>
      <c r="I58" t="s">
        <v>574</v>
      </c>
      <c r="J58" s="795" t="s">
        <v>3243</v>
      </c>
    </row>
    <row r="59" spans="1:10">
      <c r="A59" s="647" t="s">
        <v>2799</v>
      </c>
      <c r="B59" s="652"/>
      <c r="C59" s="652"/>
      <c r="D59" s="652"/>
      <c r="E59" s="659"/>
      <c r="F59" s="652"/>
      <c r="G59" s="652"/>
      <c r="H59" s="652"/>
      <c r="J59" s="795"/>
    </row>
    <row r="60" spans="1:10">
      <c r="A60" s="653" t="s">
        <v>2795</v>
      </c>
      <c r="B60" s="651">
        <v>4</v>
      </c>
      <c r="C60" s="651">
        <v>0.7</v>
      </c>
      <c r="D60" s="651" t="s">
        <v>574</v>
      </c>
      <c r="E60" s="658">
        <v>0.5</v>
      </c>
      <c r="F60" s="651">
        <v>0.6</v>
      </c>
      <c r="G60" s="651">
        <v>0.4</v>
      </c>
      <c r="H60" s="651">
        <v>0.3</v>
      </c>
    </row>
    <row r="61" spans="1:10">
      <c r="A61" s="653" t="s">
        <v>2798</v>
      </c>
      <c r="B61" s="651">
        <v>93.4</v>
      </c>
      <c r="C61" s="651">
        <v>14.8</v>
      </c>
      <c r="D61" s="651">
        <v>4.5</v>
      </c>
      <c r="E61" s="658">
        <v>10.3</v>
      </c>
      <c r="F61" s="651">
        <v>23.2</v>
      </c>
      <c r="G61" s="651">
        <v>15.9</v>
      </c>
      <c r="H61" s="651">
        <v>7.3</v>
      </c>
    </row>
    <row r="62" spans="1:10">
      <c r="A62" s="653" t="s">
        <v>2800</v>
      </c>
      <c r="B62" s="651">
        <v>6.1</v>
      </c>
      <c r="C62" s="651">
        <v>1.4</v>
      </c>
      <c r="D62" s="651">
        <v>0.4</v>
      </c>
      <c r="E62" s="658">
        <v>1</v>
      </c>
      <c r="F62" s="651">
        <v>1.3</v>
      </c>
      <c r="G62" s="651">
        <v>0.9</v>
      </c>
      <c r="H62" s="651">
        <v>0.3</v>
      </c>
    </row>
    <row r="63" spans="1:10" ht="25.5">
      <c r="A63" s="653" t="s">
        <v>2801</v>
      </c>
      <c r="B63" s="651">
        <v>14.7</v>
      </c>
      <c r="C63" s="651">
        <v>4.0999999999999996</v>
      </c>
      <c r="D63" s="651">
        <v>0.6</v>
      </c>
      <c r="E63" s="658">
        <v>3.5</v>
      </c>
      <c r="F63" s="651">
        <v>1.3</v>
      </c>
      <c r="G63" s="651">
        <v>0.9</v>
      </c>
      <c r="H63" s="651">
        <v>0.3</v>
      </c>
    </row>
    <row r="64" spans="1:10">
      <c r="A64" s="647" t="s">
        <v>2802</v>
      </c>
      <c r="B64" s="652"/>
      <c r="C64" s="652"/>
      <c r="D64" s="652"/>
      <c r="E64" s="659"/>
      <c r="F64" s="652"/>
      <c r="G64" s="652"/>
      <c r="H64" s="652"/>
      <c r="I64" t="s">
        <v>729</v>
      </c>
      <c r="J64" s="796" t="s">
        <v>2802</v>
      </c>
    </row>
    <row r="65" spans="1:10" ht="25.5">
      <c r="A65" s="653" t="s">
        <v>2803</v>
      </c>
      <c r="B65" s="651">
        <v>44.8</v>
      </c>
      <c r="C65" s="651">
        <v>7.1</v>
      </c>
      <c r="D65" s="651">
        <v>1.8</v>
      </c>
      <c r="E65" s="658">
        <v>5.3</v>
      </c>
      <c r="F65" s="651">
        <v>12.6</v>
      </c>
      <c r="G65" s="651">
        <v>8.5</v>
      </c>
      <c r="H65" s="651">
        <v>4.0999999999999996</v>
      </c>
      <c r="I65">
        <v>6.01</v>
      </c>
      <c r="J65" s="795" t="s">
        <v>3244</v>
      </c>
    </row>
    <row r="66" spans="1:10" ht="25.5">
      <c r="A66" s="653" t="s">
        <v>2804</v>
      </c>
      <c r="B66" s="651">
        <v>29.2</v>
      </c>
      <c r="C66" s="651">
        <v>5</v>
      </c>
      <c r="D66" s="651">
        <v>1.8</v>
      </c>
      <c r="E66" s="658">
        <v>3.2</v>
      </c>
      <c r="F66" s="651">
        <v>6.7</v>
      </c>
      <c r="G66" s="651">
        <v>4.7</v>
      </c>
      <c r="H66" s="651">
        <v>2</v>
      </c>
      <c r="I66">
        <v>4.04</v>
      </c>
      <c r="J66" s="795" t="s">
        <v>3245</v>
      </c>
    </row>
    <row r="67" spans="1:10" ht="38.25">
      <c r="A67" s="653" t="s">
        <v>2805</v>
      </c>
      <c r="B67" s="651">
        <v>19</v>
      </c>
      <c r="C67" s="651">
        <v>4</v>
      </c>
      <c r="D67" s="651">
        <v>0.9</v>
      </c>
      <c r="E67" s="658">
        <v>3</v>
      </c>
      <c r="F67" s="651">
        <v>5</v>
      </c>
      <c r="G67" s="651">
        <v>3.4</v>
      </c>
      <c r="H67" s="651">
        <v>1.6</v>
      </c>
      <c r="I67">
        <v>2.74</v>
      </c>
      <c r="J67" s="795" t="s">
        <v>3246</v>
      </c>
    </row>
    <row r="68" spans="1:10">
      <c r="A68" s="653" t="s">
        <v>2806</v>
      </c>
      <c r="B68" s="651">
        <v>16.600000000000001</v>
      </c>
      <c r="C68" s="651">
        <v>2.8</v>
      </c>
      <c r="D68" s="651">
        <v>0.7</v>
      </c>
      <c r="E68" s="658">
        <v>2.1</v>
      </c>
      <c r="F68" s="651">
        <v>1.7</v>
      </c>
      <c r="G68" s="651">
        <v>1.2</v>
      </c>
      <c r="H68" s="651">
        <v>0.4</v>
      </c>
      <c r="I68">
        <v>1.45</v>
      </c>
      <c r="J68" s="795" t="s">
        <v>3247</v>
      </c>
    </row>
    <row r="69" spans="1:10" ht="25.5">
      <c r="A69" s="653" t="s">
        <v>2807</v>
      </c>
      <c r="B69" s="651">
        <v>3.2</v>
      </c>
      <c r="C69" s="651">
        <v>2</v>
      </c>
      <c r="D69" s="651">
        <v>0.3</v>
      </c>
      <c r="E69" s="658">
        <v>1.7</v>
      </c>
      <c r="F69" s="651">
        <v>0.4</v>
      </c>
      <c r="G69" s="651">
        <v>0.3</v>
      </c>
      <c r="H69" s="651" t="s">
        <v>574</v>
      </c>
      <c r="I69">
        <v>1.66</v>
      </c>
      <c r="J69" s="795" t="s">
        <v>2807</v>
      </c>
    </row>
    <row r="70" spans="1:10">
      <c r="A70" s="653" t="s">
        <v>2781</v>
      </c>
      <c r="B70" s="651">
        <v>5.0999999999999996</v>
      </c>
      <c r="C70" s="651" t="s">
        <v>574</v>
      </c>
      <c r="D70" s="651" t="s">
        <v>574</v>
      </c>
      <c r="E70" s="658" t="s">
        <v>575</v>
      </c>
      <c r="F70" s="651" t="s">
        <v>575</v>
      </c>
      <c r="G70" s="651" t="s">
        <v>575</v>
      </c>
      <c r="H70" s="651" t="s">
        <v>575</v>
      </c>
      <c r="I70" t="s">
        <v>574</v>
      </c>
      <c r="J70" s="795" t="s">
        <v>3248</v>
      </c>
    </row>
    <row r="71" spans="1:10">
      <c r="A71" s="799"/>
      <c r="B71" s="800"/>
      <c r="C71" s="800"/>
      <c r="D71" s="800"/>
      <c r="E71" s="801"/>
      <c r="F71" s="800"/>
      <c r="G71" s="800"/>
      <c r="H71" s="800"/>
      <c r="I71">
        <v>0.11</v>
      </c>
      <c r="J71" s="795" t="s">
        <v>3241</v>
      </c>
    </row>
    <row r="72" spans="1:10">
      <c r="A72" s="647" t="s">
        <v>2808</v>
      </c>
      <c r="B72" s="652"/>
      <c r="C72" s="652"/>
      <c r="D72" s="652"/>
      <c r="E72" s="659"/>
      <c r="F72" s="652"/>
      <c r="G72" s="652"/>
      <c r="H72" s="652"/>
      <c r="I72" t="s">
        <v>729</v>
      </c>
      <c r="J72" s="793" t="s">
        <v>2808</v>
      </c>
    </row>
    <row r="73" spans="1:10">
      <c r="A73" s="653" t="s">
        <v>2809</v>
      </c>
      <c r="B73" s="651">
        <v>43.5</v>
      </c>
      <c r="C73" s="651">
        <v>8.5</v>
      </c>
      <c r="D73" s="651">
        <v>2.7</v>
      </c>
      <c r="E73" s="658">
        <v>5.9</v>
      </c>
      <c r="F73" s="651">
        <v>10.3</v>
      </c>
      <c r="G73" s="651">
        <v>6.7</v>
      </c>
      <c r="H73" s="651">
        <v>3.6</v>
      </c>
      <c r="I73">
        <v>6.73</v>
      </c>
      <c r="J73" s="794" t="s">
        <v>3249</v>
      </c>
    </row>
    <row r="74" spans="1:10">
      <c r="A74" s="654" t="s">
        <v>870</v>
      </c>
      <c r="B74" s="651">
        <v>7.5</v>
      </c>
      <c r="C74" s="651">
        <v>1.2</v>
      </c>
      <c r="D74" s="651" t="s">
        <v>574</v>
      </c>
      <c r="E74" s="658">
        <v>1</v>
      </c>
      <c r="F74" s="651">
        <v>2.1</v>
      </c>
      <c r="G74" s="651">
        <v>1.3</v>
      </c>
      <c r="H74" s="651">
        <v>0.8</v>
      </c>
      <c r="I74">
        <v>0.85</v>
      </c>
      <c r="J74" s="797" t="s">
        <v>870</v>
      </c>
    </row>
    <row r="75" spans="1:10">
      <c r="A75" s="655" t="s">
        <v>2786</v>
      </c>
      <c r="B75" s="651">
        <v>6.2</v>
      </c>
      <c r="C75" s="651">
        <v>1</v>
      </c>
      <c r="D75" s="651" t="s">
        <v>574</v>
      </c>
      <c r="E75" s="658">
        <v>0.8</v>
      </c>
      <c r="F75" s="651">
        <v>1.7</v>
      </c>
      <c r="G75" s="651">
        <v>0.9</v>
      </c>
      <c r="H75" s="651">
        <v>0.8</v>
      </c>
      <c r="I75">
        <v>0.69</v>
      </c>
      <c r="J75" s="798" t="s">
        <v>2786</v>
      </c>
    </row>
    <row r="76" spans="1:10">
      <c r="A76" s="655" t="s">
        <v>2774</v>
      </c>
      <c r="B76" s="651">
        <v>1.3</v>
      </c>
      <c r="C76" s="651" t="s">
        <v>574</v>
      </c>
      <c r="D76" s="651" t="s">
        <v>574</v>
      </c>
      <c r="E76" s="658" t="s">
        <v>574</v>
      </c>
      <c r="F76" s="651">
        <v>0.5</v>
      </c>
      <c r="G76" s="651">
        <v>0.4</v>
      </c>
      <c r="H76" s="651" t="s">
        <v>574</v>
      </c>
      <c r="I76">
        <v>0.16</v>
      </c>
      <c r="J76" s="798" t="s">
        <v>2774</v>
      </c>
    </row>
    <row r="77" spans="1:10">
      <c r="A77" s="654" t="s">
        <v>347</v>
      </c>
      <c r="B77" s="651">
        <v>23</v>
      </c>
      <c r="C77" s="651">
        <v>4.5</v>
      </c>
      <c r="D77" s="651">
        <v>1.3</v>
      </c>
      <c r="E77" s="658">
        <v>3.3</v>
      </c>
      <c r="F77" s="651">
        <v>5.8</v>
      </c>
      <c r="G77" s="651">
        <v>3.7</v>
      </c>
      <c r="H77" s="651">
        <v>2.1</v>
      </c>
      <c r="I77">
        <v>4.34</v>
      </c>
      <c r="J77" s="797" t="s">
        <v>347</v>
      </c>
    </row>
    <row r="78" spans="1:10">
      <c r="A78" s="655" t="s">
        <v>2776</v>
      </c>
      <c r="B78" s="651">
        <v>20.100000000000001</v>
      </c>
      <c r="C78" s="651">
        <v>3.8</v>
      </c>
      <c r="D78" s="651">
        <v>1</v>
      </c>
      <c r="E78" s="658">
        <v>2.8</v>
      </c>
      <c r="F78" s="651">
        <v>5.2</v>
      </c>
      <c r="G78" s="651">
        <v>3.4</v>
      </c>
      <c r="H78" s="651">
        <v>1.7</v>
      </c>
      <c r="I78">
        <v>3.34</v>
      </c>
      <c r="J78" s="798" t="s">
        <v>2776</v>
      </c>
    </row>
    <row r="79" spans="1:10">
      <c r="A79" s="655" t="s">
        <v>2774</v>
      </c>
      <c r="B79" s="651">
        <v>2.9</v>
      </c>
      <c r="C79" s="651">
        <v>0.7</v>
      </c>
      <c r="D79" s="651">
        <v>0.2</v>
      </c>
      <c r="E79" s="658">
        <v>0.5</v>
      </c>
      <c r="F79" s="651">
        <v>0.7</v>
      </c>
      <c r="G79" s="651">
        <v>0.3</v>
      </c>
      <c r="H79" s="651">
        <v>0.4</v>
      </c>
      <c r="I79">
        <v>0.22</v>
      </c>
      <c r="J79" s="798" t="s">
        <v>3238</v>
      </c>
    </row>
    <row r="80" spans="1:10">
      <c r="A80" s="654" t="s">
        <v>543</v>
      </c>
      <c r="B80" s="651">
        <v>9.1999999999999993</v>
      </c>
      <c r="C80" s="651">
        <v>1.7</v>
      </c>
      <c r="D80" s="651">
        <v>0.8</v>
      </c>
      <c r="E80" s="658">
        <v>0.8</v>
      </c>
      <c r="F80" s="651">
        <v>1.8</v>
      </c>
      <c r="G80" s="651">
        <v>1.3</v>
      </c>
      <c r="H80" s="651">
        <v>0.5</v>
      </c>
      <c r="I80">
        <v>0.61</v>
      </c>
      <c r="J80" s="798" t="s">
        <v>2775</v>
      </c>
    </row>
    <row r="81" spans="1:10">
      <c r="A81" s="655" t="s">
        <v>2779</v>
      </c>
      <c r="B81" s="651">
        <v>3.7</v>
      </c>
      <c r="C81" s="651">
        <v>1</v>
      </c>
      <c r="D81" s="651">
        <v>0.6</v>
      </c>
      <c r="E81" s="658">
        <v>0.4</v>
      </c>
      <c r="F81" s="651">
        <v>0.7</v>
      </c>
      <c r="G81" s="651">
        <v>0.5</v>
      </c>
      <c r="H81" s="651">
        <v>0.2</v>
      </c>
      <c r="I81">
        <v>0.14000000000000001</v>
      </c>
      <c r="J81" s="798" t="s">
        <v>2786</v>
      </c>
    </row>
    <row r="82" spans="1:10">
      <c r="A82" s="655" t="s">
        <v>2786</v>
      </c>
      <c r="B82" s="651">
        <v>5.4</v>
      </c>
      <c r="C82" s="651">
        <v>0.6</v>
      </c>
      <c r="D82" s="651">
        <v>0.2</v>
      </c>
      <c r="E82" s="658">
        <v>0.4</v>
      </c>
      <c r="F82" s="651">
        <v>1.1000000000000001</v>
      </c>
      <c r="G82" s="651">
        <v>0.8</v>
      </c>
      <c r="H82" s="651">
        <v>0.3</v>
      </c>
      <c r="I82" t="s">
        <v>574</v>
      </c>
      <c r="J82" s="798" t="s">
        <v>2774</v>
      </c>
    </row>
    <row r="83" spans="1:10">
      <c r="A83" s="655" t="s">
        <v>2774</v>
      </c>
      <c r="B83" s="651" t="s">
        <v>574</v>
      </c>
      <c r="C83" s="651" t="s">
        <v>574</v>
      </c>
      <c r="D83" s="651" t="s">
        <v>575</v>
      </c>
      <c r="E83" s="658" t="s">
        <v>574</v>
      </c>
      <c r="F83" s="651" t="s">
        <v>574</v>
      </c>
      <c r="G83" s="651" t="s">
        <v>574</v>
      </c>
      <c r="H83" s="651" t="s">
        <v>575</v>
      </c>
      <c r="I83">
        <v>1.02</v>
      </c>
      <c r="J83" s="797" t="s">
        <v>543</v>
      </c>
    </row>
    <row r="84" spans="1:10">
      <c r="A84" s="654" t="s">
        <v>2810</v>
      </c>
      <c r="B84" s="651">
        <v>3.8</v>
      </c>
      <c r="C84" s="651">
        <v>1.1000000000000001</v>
      </c>
      <c r="D84" s="651">
        <v>0.3</v>
      </c>
      <c r="E84" s="658">
        <v>0.8</v>
      </c>
      <c r="F84" s="651">
        <v>0.5</v>
      </c>
      <c r="G84" s="651">
        <v>0.3</v>
      </c>
      <c r="H84" s="651">
        <v>0.2</v>
      </c>
      <c r="I84">
        <v>0.54</v>
      </c>
      <c r="J84" s="798" t="s">
        <v>2779</v>
      </c>
    </row>
    <row r="85" spans="1:10">
      <c r="A85" s="653" t="s">
        <v>2811</v>
      </c>
      <c r="B85" s="651">
        <v>69.599999999999994</v>
      </c>
      <c r="C85" s="651">
        <v>12.4</v>
      </c>
      <c r="D85" s="651">
        <v>3</v>
      </c>
      <c r="E85" s="658">
        <v>9.5</v>
      </c>
      <c r="F85" s="651">
        <v>16</v>
      </c>
      <c r="G85" s="651">
        <v>11.4</v>
      </c>
      <c r="H85" s="651">
        <v>4.5999999999999996</v>
      </c>
      <c r="I85">
        <v>0.48</v>
      </c>
      <c r="J85" s="798" t="s">
        <v>2786</v>
      </c>
    </row>
    <row r="86" spans="1:10">
      <c r="A86" s="653" t="s">
        <v>2812</v>
      </c>
      <c r="B86" s="651">
        <v>5.0999999999999996</v>
      </c>
      <c r="C86" s="651" t="s">
        <v>574</v>
      </c>
      <c r="D86" s="651" t="s">
        <v>574</v>
      </c>
      <c r="E86" s="658" t="s">
        <v>575</v>
      </c>
      <c r="F86" s="651" t="s">
        <v>575</v>
      </c>
      <c r="G86" s="651" t="s">
        <v>575</v>
      </c>
      <c r="H86" s="651" t="s">
        <v>575</v>
      </c>
      <c r="I86" t="s">
        <v>575</v>
      </c>
      <c r="J86" s="798" t="s">
        <v>2774</v>
      </c>
    </row>
    <row r="87" spans="1:10" ht="25.5">
      <c r="A87" s="647" t="s">
        <v>2813</v>
      </c>
      <c r="B87" s="652"/>
      <c r="C87" s="652"/>
      <c r="D87" s="652"/>
      <c r="E87" s="659"/>
      <c r="F87" s="652"/>
      <c r="G87" s="652"/>
      <c r="H87" s="652"/>
      <c r="I87">
        <v>0.53</v>
      </c>
      <c r="J87" s="797" t="s">
        <v>3240</v>
      </c>
    </row>
    <row r="88" spans="1:10">
      <c r="A88" s="653" t="s">
        <v>2814</v>
      </c>
      <c r="B88" s="651">
        <v>4.5999999999999996</v>
      </c>
      <c r="C88" s="651">
        <v>1.3</v>
      </c>
      <c r="D88" s="651">
        <v>0.4</v>
      </c>
      <c r="E88" s="658">
        <v>0.9</v>
      </c>
      <c r="F88" s="651">
        <v>0.9</v>
      </c>
      <c r="G88" s="651">
        <v>0.6</v>
      </c>
      <c r="H88" s="651">
        <v>0.3</v>
      </c>
      <c r="I88">
        <v>9.1999999999999993</v>
      </c>
      <c r="J88" s="795" t="s">
        <v>3250</v>
      </c>
    </row>
    <row r="89" spans="1:10">
      <c r="A89" s="653" t="s">
        <v>2815</v>
      </c>
      <c r="B89" s="651">
        <v>10.6</v>
      </c>
      <c r="C89" s="651">
        <v>2.6</v>
      </c>
      <c r="D89" s="651">
        <v>1</v>
      </c>
      <c r="E89" s="658">
        <v>1.6</v>
      </c>
      <c r="F89" s="651">
        <v>2.4</v>
      </c>
      <c r="G89" s="651">
        <v>1.6</v>
      </c>
      <c r="H89" s="651">
        <v>0.8</v>
      </c>
      <c r="I89">
        <v>0.11</v>
      </c>
      <c r="J89" s="795" t="s">
        <v>3251</v>
      </c>
    </row>
    <row r="90" spans="1:10">
      <c r="A90" s="653" t="s">
        <v>2816</v>
      </c>
      <c r="B90" s="651">
        <v>31.5</v>
      </c>
      <c r="C90" s="651">
        <v>6.5</v>
      </c>
      <c r="D90" s="651">
        <v>2.1</v>
      </c>
      <c r="E90" s="658">
        <v>4.4000000000000004</v>
      </c>
      <c r="F90" s="651">
        <v>8.6</v>
      </c>
      <c r="G90" s="651">
        <v>6.1</v>
      </c>
      <c r="H90" s="651">
        <v>2.6</v>
      </c>
      <c r="I90" t="s">
        <v>729</v>
      </c>
      <c r="J90" s="793" t="s">
        <v>3252</v>
      </c>
    </row>
    <row r="91" spans="1:10">
      <c r="A91" s="653" t="s">
        <v>2817</v>
      </c>
      <c r="B91" s="651">
        <v>25.9</v>
      </c>
      <c r="C91" s="651">
        <v>5.5</v>
      </c>
      <c r="D91" s="651">
        <v>1.3</v>
      </c>
      <c r="E91" s="658">
        <v>4.2</v>
      </c>
      <c r="F91" s="651">
        <v>6</v>
      </c>
      <c r="G91" s="651">
        <v>4.3</v>
      </c>
      <c r="H91" s="651">
        <v>1.7</v>
      </c>
      <c r="I91">
        <v>1.67</v>
      </c>
      <c r="J91" s="795" t="s">
        <v>3253</v>
      </c>
    </row>
    <row r="92" spans="1:10">
      <c r="A92" s="653" t="s">
        <v>2818</v>
      </c>
      <c r="B92" s="651">
        <v>20.7</v>
      </c>
      <c r="C92" s="651">
        <v>3.2</v>
      </c>
      <c r="D92" s="651">
        <v>0.4</v>
      </c>
      <c r="E92" s="658">
        <v>2.7</v>
      </c>
      <c r="F92" s="651">
        <v>5.5</v>
      </c>
      <c r="G92" s="651">
        <v>3.7</v>
      </c>
      <c r="H92" s="651">
        <v>1.8</v>
      </c>
      <c r="I92">
        <v>1.1200000000000001</v>
      </c>
      <c r="J92" s="795" t="s">
        <v>3254</v>
      </c>
    </row>
    <row r="93" spans="1:10">
      <c r="A93" s="653" t="s">
        <v>2819</v>
      </c>
      <c r="B93" s="651">
        <v>19.8</v>
      </c>
      <c r="C93" s="651">
        <v>2</v>
      </c>
      <c r="D93" s="651">
        <v>0.4</v>
      </c>
      <c r="E93" s="658">
        <v>1.6</v>
      </c>
      <c r="F93" s="651">
        <v>2.8</v>
      </c>
      <c r="G93" s="651">
        <v>1.8</v>
      </c>
      <c r="H93" s="651">
        <v>1</v>
      </c>
      <c r="I93">
        <v>0.59</v>
      </c>
      <c r="J93" s="795" t="s">
        <v>3255</v>
      </c>
    </row>
    <row r="94" spans="1:10">
      <c r="A94" s="653" t="s">
        <v>2781</v>
      </c>
      <c r="B94" s="651">
        <v>5.0999999999999996</v>
      </c>
      <c r="C94" s="651" t="s">
        <v>574</v>
      </c>
      <c r="D94" s="651" t="s">
        <v>574</v>
      </c>
      <c r="E94" s="658" t="s">
        <v>575</v>
      </c>
      <c r="F94" s="651" t="s">
        <v>575</v>
      </c>
      <c r="G94" s="651" t="s">
        <v>575</v>
      </c>
      <c r="H94" s="651" t="s">
        <v>575</v>
      </c>
      <c r="I94">
        <v>2.4900000000000002</v>
      </c>
      <c r="J94" s="795" t="s">
        <v>3256</v>
      </c>
    </row>
    <row r="95" spans="1:10" ht="25.5">
      <c r="A95" s="799"/>
      <c r="B95" s="800"/>
      <c r="C95" s="800"/>
      <c r="D95" s="800"/>
      <c r="E95" s="801"/>
      <c r="F95" s="800"/>
      <c r="G95" s="800"/>
      <c r="H95" s="800"/>
      <c r="I95">
        <v>0.86</v>
      </c>
      <c r="J95" s="795" t="s">
        <v>3257</v>
      </c>
    </row>
    <row r="96" spans="1:10">
      <c r="A96" s="799"/>
      <c r="B96" s="800"/>
      <c r="C96" s="800"/>
      <c r="D96" s="800"/>
      <c r="E96" s="801"/>
      <c r="F96" s="800"/>
      <c r="G96" s="800"/>
      <c r="H96" s="800"/>
      <c r="I96">
        <v>9.1999999999999993</v>
      </c>
      <c r="J96" s="795" t="s">
        <v>3250</v>
      </c>
    </row>
    <row r="97" spans="1:10">
      <c r="A97" s="799"/>
      <c r="B97" s="800"/>
      <c r="C97" s="800"/>
      <c r="D97" s="800"/>
      <c r="E97" s="801"/>
      <c r="F97" s="800"/>
      <c r="G97" s="800"/>
      <c r="H97" s="800"/>
      <c r="I97">
        <v>0.11</v>
      </c>
      <c r="J97" s="795" t="s">
        <v>3251</v>
      </c>
    </row>
    <row r="98" spans="1:10" ht="25.5">
      <c r="A98" s="647" t="s">
        <v>2820</v>
      </c>
      <c r="B98" s="652"/>
      <c r="C98" s="652"/>
      <c r="D98" s="652"/>
      <c r="E98" s="659"/>
      <c r="F98" s="652"/>
      <c r="G98" s="652"/>
      <c r="H98" s="652"/>
      <c r="I98" t="s">
        <v>729</v>
      </c>
      <c r="J98" s="793" t="s">
        <v>2813</v>
      </c>
    </row>
    <row r="99" spans="1:10">
      <c r="A99" s="653" t="s">
        <v>2814</v>
      </c>
      <c r="B99" s="651">
        <v>22.2</v>
      </c>
      <c r="C99" s="651">
        <v>5.2</v>
      </c>
      <c r="D99" s="651">
        <v>2</v>
      </c>
      <c r="E99" s="658">
        <v>3.2</v>
      </c>
      <c r="F99" s="651">
        <v>4.8</v>
      </c>
      <c r="G99" s="651">
        <v>3.3</v>
      </c>
      <c r="H99" s="651">
        <v>1.5</v>
      </c>
      <c r="I99">
        <v>0.81</v>
      </c>
      <c r="J99" s="794" t="s">
        <v>2814</v>
      </c>
    </row>
    <row r="100" spans="1:10">
      <c r="A100" s="653" t="s">
        <v>2815</v>
      </c>
      <c r="B100" s="651">
        <v>24.9</v>
      </c>
      <c r="C100" s="651">
        <v>5</v>
      </c>
      <c r="D100" s="651">
        <v>1.5</v>
      </c>
      <c r="E100" s="658">
        <v>3.5</v>
      </c>
      <c r="F100" s="651">
        <v>6.3</v>
      </c>
      <c r="G100" s="651">
        <v>4.4000000000000004</v>
      </c>
      <c r="H100" s="651">
        <v>1.9</v>
      </c>
      <c r="I100">
        <v>1.72</v>
      </c>
      <c r="J100" s="795" t="s">
        <v>2815</v>
      </c>
    </row>
    <row r="101" spans="1:10">
      <c r="A101" s="653" t="s">
        <v>2816</v>
      </c>
      <c r="B101" s="651">
        <v>26.4</v>
      </c>
      <c r="C101" s="651">
        <v>4.7</v>
      </c>
      <c r="D101" s="651">
        <v>1.1000000000000001</v>
      </c>
      <c r="E101" s="658">
        <v>3.6</v>
      </c>
      <c r="F101" s="651">
        <v>7.2</v>
      </c>
      <c r="G101" s="651">
        <v>5.0999999999999996</v>
      </c>
      <c r="H101" s="651">
        <v>2.1</v>
      </c>
      <c r="I101">
        <v>5.07</v>
      </c>
      <c r="J101" s="795" t="s">
        <v>2816</v>
      </c>
    </row>
    <row r="102" spans="1:10">
      <c r="A102" s="653" t="s">
        <v>2817</v>
      </c>
      <c r="B102" s="651">
        <v>16.8</v>
      </c>
      <c r="C102" s="651">
        <v>3.6</v>
      </c>
      <c r="D102" s="651">
        <v>0.7</v>
      </c>
      <c r="E102" s="658">
        <v>2.9</v>
      </c>
      <c r="F102" s="651">
        <v>3.8</v>
      </c>
      <c r="G102" s="651">
        <v>2.7</v>
      </c>
      <c r="H102" s="651">
        <v>1.1000000000000001</v>
      </c>
      <c r="I102">
        <v>4</v>
      </c>
      <c r="J102" s="795" t="s">
        <v>2817</v>
      </c>
    </row>
    <row r="103" spans="1:10">
      <c r="A103" s="653" t="s">
        <v>2818</v>
      </c>
      <c r="B103" s="651">
        <v>11</v>
      </c>
      <c r="C103" s="651">
        <v>1.4</v>
      </c>
      <c r="D103" s="651" t="s">
        <v>574</v>
      </c>
      <c r="E103" s="658">
        <v>1.2</v>
      </c>
      <c r="F103" s="651">
        <v>2.7</v>
      </c>
      <c r="G103" s="651">
        <v>1.6</v>
      </c>
      <c r="H103" s="651">
        <v>1.1000000000000001</v>
      </c>
      <c r="I103">
        <v>2.88</v>
      </c>
      <c r="J103" s="795" t="s">
        <v>2818</v>
      </c>
    </row>
    <row r="104" spans="1:10">
      <c r="A104" s="653" t="s">
        <v>2819</v>
      </c>
      <c r="B104" s="651">
        <v>11.8</v>
      </c>
      <c r="C104" s="651">
        <v>1.1000000000000001</v>
      </c>
      <c r="D104" s="651" t="s">
        <v>574</v>
      </c>
      <c r="E104" s="658">
        <v>0.9</v>
      </c>
      <c r="F104" s="651">
        <v>1.6</v>
      </c>
      <c r="G104" s="651">
        <v>0.9</v>
      </c>
      <c r="H104" s="651">
        <v>0.7</v>
      </c>
      <c r="I104">
        <v>1.45</v>
      </c>
      <c r="J104" s="795" t="s">
        <v>2819</v>
      </c>
    </row>
    <row r="105" spans="1:10">
      <c r="A105" s="653" t="s">
        <v>2781</v>
      </c>
      <c r="B105" s="651">
        <v>5.0999999999999996</v>
      </c>
      <c r="C105" s="651" t="s">
        <v>574</v>
      </c>
      <c r="D105" s="651" t="s">
        <v>574</v>
      </c>
      <c r="E105" s="658" t="s">
        <v>575</v>
      </c>
      <c r="F105" s="651" t="s">
        <v>575</v>
      </c>
      <c r="G105" s="651" t="s">
        <v>575</v>
      </c>
      <c r="H105" s="651" t="s">
        <v>575</v>
      </c>
      <c r="I105">
        <v>0.11</v>
      </c>
      <c r="J105" s="794" t="s">
        <v>3241</v>
      </c>
    </row>
    <row r="106" spans="1:10" ht="25.5">
      <c r="A106" s="647" t="s">
        <v>2821</v>
      </c>
      <c r="B106" s="652"/>
      <c r="C106" s="652"/>
      <c r="D106" s="652"/>
      <c r="E106" s="659"/>
      <c r="F106" s="652"/>
      <c r="G106" s="652"/>
      <c r="H106" s="652"/>
      <c r="I106" t="s">
        <v>729</v>
      </c>
      <c r="J106" s="796" t="s">
        <v>2820</v>
      </c>
    </row>
    <row r="107" spans="1:10">
      <c r="A107" s="653" t="s">
        <v>2814</v>
      </c>
      <c r="B107" s="651">
        <v>16.2</v>
      </c>
      <c r="C107" s="651">
        <v>4.2</v>
      </c>
      <c r="D107" s="651">
        <v>1.6</v>
      </c>
      <c r="E107" s="658">
        <v>2.5</v>
      </c>
      <c r="F107" s="651">
        <v>3.3</v>
      </c>
      <c r="G107" s="651">
        <v>2.4</v>
      </c>
      <c r="H107" s="651">
        <v>1</v>
      </c>
      <c r="I107">
        <v>3.01</v>
      </c>
      <c r="J107" s="794" t="s">
        <v>2814</v>
      </c>
    </row>
    <row r="108" spans="1:10">
      <c r="A108" s="653" t="s">
        <v>2815</v>
      </c>
      <c r="B108" s="651">
        <v>20.3</v>
      </c>
      <c r="C108" s="651">
        <v>4.4000000000000004</v>
      </c>
      <c r="D108" s="651">
        <v>1.4</v>
      </c>
      <c r="E108" s="658">
        <v>3</v>
      </c>
      <c r="F108" s="651">
        <v>5.4</v>
      </c>
      <c r="G108" s="651">
        <v>3.8</v>
      </c>
      <c r="H108" s="651">
        <v>1.6</v>
      </c>
      <c r="I108">
        <v>3.42</v>
      </c>
      <c r="J108" s="795" t="s">
        <v>2815</v>
      </c>
    </row>
    <row r="109" spans="1:10">
      <c r="A109" s="653" t="s">
        <v>2816</v>
      </c>
      <c r="B109" s="651">
        <v>29</v>
      </c>
      <c r="C109" s="651">
        <v>5</v>
      </c>
      <c r="D109" s="651">
        <v>1.4</v>
      </c>
      <c r="E109" s="658">
        <v>3.7</v>
      </c>
      <c r="F109" s="651">
        <v>7.7</v>
      </c>
      <c r="G109" s="651">
        <v>5.3</v>
      </c>
      <c r="H109" s="651">
        <v>2.4</v>
      </c>
      <c r="I109">
        <v>4.38</v>
      </c>
      <c r="J109" s="795" t="s">
        <v>2816</v>
      </c>
    </row>
    <row r="110" spans="1:10">
      <c r="A110" s="653" t="s">
        <v>2817</v>
      </c>
      <c r="B110" s="651">
        <v>20</v>
      </c>
      <c r="C110" s="651">
        <v>4.3</v>
      </c>
      <c r="D110" s="651">
        <v>0.7</v>
      </c>
      <c r="E110" s="658">
        <v>3.6</v>
      </c>
      <c r="F110" s="651">
        <v>4.5</v>
      </c>
      <c r="G110" s="651">
        <v>3.2</v>
      </c>
      <c r="H110" s="651">
        <v>1.3</v>
      </c>
      <c r="I110">
        <v>2.5499999999999998</v>
      </c>
      <c r="J110" s="795" t="s">
        <v>2817</v>
      </c>
    </row>
    <row r="111" spans="1:10">
      <c r="A111" s="653" t="s">
        <v>2818</v>
      </c>
      <c r="B111" s="651">
        <v>13.8</v>
      </c>
      <c r="C111" s="651">
        <v>1.7</v>
      </c>
      <c r="D111" s="651" t="s">
        <v>574</v>
      </c>
      <c r="E111" s="658">
        <v>1.5</v>
      </c>
      <c r="F111" s="651">
        <v>3.2</v>
      </c>
      <c r="G111" s="651">
        <v>2</v>
      </c>
      <c r="H111" s="651">
        <v>1.2</v>
      </c>
      <c r="I111">
        <v>1.66</v>
      </c>
      <c r="J111" s="795" t="s">
        <v>2818</v>
      </c>
    </row>
    <row r="112" spans="1:10">
      <c r="A112" s="653" t="s">
        <v>2819</v>
      </c>
      <c r="B112" s="651">
        <v>13.9</v>
      </c>
      <c r="C112" s="651">
        <v>1.4</v>
      </c>
      <c r="D112" s="651">
        <v>0.3</v>
      </c>
      <c r="E112" s="658">
        <v>1.1000000000000001</v>
      </c>
      <c r="F112" s="651">
        <v>2.2000000000000002</v>
      </c>
      <c r="G112" s="651">
        <v>1.5</v>
      </c>
      <c r="H112" s="651">
        <v>0.8</v>
      </c>
      <c r="I112">
        <v>0.92</v>
      </c>
      <c r="J112" s="795" t="s">
        <v>2819</v>
      </c>
    </row>
    <row r="113" spans="1:10">
      <c r="A113" s="653" t="s">
        <v>2781</v>
      </c>
      <c r="B113" s="651">
        <v>5.0999999999999996</v>
      </c>
      <c r="C113" s="651" t="s">
        <v>574</v>
      </c>
      <c r="D113" s="651" t="s">
        <v>574</v>
      </c>
      <c r="E113" s="658" t="s">
        <v>575</v>
      </c>
      <c r="F113" s="651" t="s">
        <v>575</v>
      </c>
      <c r="G113" s="651" t="s">
        <v>575</v>
      </c>
      <c r="H113" s="651" t="s">
        <v>575</v>
      </c>
      <c r="I113">
        <v>0.11</v>
      </c>
      <c r="J113" s="794" t="s">
        <v>3241</v>
      </c>
    </row>
    <row r="114" spans="1:10">
      <c r="A114" s="799"/>
      <c r="B114" s="800"/>
      <c r="C114" s="800"/>
      <c r="D114" s="800"/>
      <c r="E114" s="801"/>
      <c r="F114" s="800"/>
      <c r="G114" s="800"/>
      <c r="H114" s="800"/>
      <c r="I114" t="s">
        <v>729</v>
      </c>
      <c r="J114" s="796" t="s">
        <v>2821</v>
      </c>
    </row>
    <row r="115" spans="1:10">
      <c r="A115" s="799"/>
      <c r="B115" s="800"/>
      <c r="C115" s="800"/>
      <c r="D115" s="800"/>
      <c r="E115" s="801"/>
      <c r="F115" s="800"/>
      <c r="G115" s="800"/>
      <c r="H115" s="800"/>
      <c r="I115">
        <v>2.37</v>
      </c>
      <c r="J115" s="794" t="s">
        <v>2814</v>
      </c>
    </row>
    <row r="116" spans="1:10">
      <c r="A116" s="799"/>
      <c r="B116" s="800"/>
      <c r="C116" s="800"/>
      <c r="D116" s="800"/>
      <c r="E116" s="801"/>
      <c r="F116" s="800"/>
      <c r="G116" s="800"/>
      <c r="H116" s="800"/>
      <c r="I116">
        <v>3.05</v>
      </c>
      <c r="J116" s="795" t="s">
        <v>2815</v>
      </c>
    </row>
    <row r="117" spans="1:10">
      <c r="A117" s="799"/>
      <c r="B117" s="800"/>
      <c r="C117" s="800"/>
      <c r="D117" s="800"/>
      <c r="E117" s="801"/>
      <c r="F117" s="800"/>
      <c r="G117" s="800"/>
      <c r="H117" s="800"/>
      <c r="I117">
        <v>4.43</v>
      </c>
      <c r="J117" s="795" t="s">
        <v>2816</v>
      </c>
    </row>
    <row r="118" spans="1:10">
      <c r="A118" s="799"/>
      <c r="B118" s="800"/>
      <c r="C118" s="800"/>
      <c r="D118" s="800"/>
      <c r="E118" s="801"/>
      <c r="F118" s="800"/>
      <c r="G118" s="800"/>
      <c r="H118" s="800"/>
      <c r="I118">
        <v>3.07</v>
      </c>
      <c r="J118" s="795" t="s">
        <v>2817</v>
      </c>
    </row>
    <row r="119" spans="1:10">
      <c r="A119" s="799"/>
      <c r="B119" s="800"/>
      <c r="C119" s="800"/>
      <c r="D119" s="800"/>
      <c r="E119" s="801"/>
      <c r="F119" s="800"/>
      <c r="G119" s="800"/>
      <c r="H119" s="800"/>
      <c r="I119">
        <v>1.84</v>
      </c>
      <c r="J119" s="795" t="s">
        <v>2818</v>
      </c>
    </row>
    <row r="120" spans="1:10">
      <c r="A120" s="799"/>
      <c r="B120" s="800"/>
      <c r="C120" s="800"/>
      <c r="D120" s="800"/>
      <c r="E120" s="801"/>
      <c r="F120" s="800"/>
      <c r="G120" s="800"/>
      <c r="H120" s="800"/>
      <c r="I120">
        <v>1.17</v>
      </c>
      <c r="J120" s="795" t="s">
        <v>2819</v>
      </c>
    </row>
    <row r="121" spans="1:10">
      <c r="A121" s="799"/>
      <c r="B121" s="800"/>
      <c r="C121" s="800"/>
      <c r="D121" s="800"/>
      <c r="E121" s="801"/>
      <c r="F121" s="800"/>
      <c r="G121" s="800"/>
      <c r="H121" s="800"/>
      <c r="I121">
        <v>0.11</v>
      </c>
      <c r="J121" s="794" t="s">
        <v>3241</v>
      </c>
    </row>
    <row r="122" spans="1:10">
      <c r="A122" s="647" t="s">
        <v>2822</v>
      </c>
      <c r="B122" s="652"/>
      <c r="C122" s="652"/>
      <c r="D122" s="652"/>
      <c r="E122" s="659"/>
      <c r="F122" s="652"/>
      <c r="G122" s="652"/>
      <c r="H122" s="652"/>
      <c r="I122" t="s">
        <v>729</v>
      </c>
      <c r="J122" s="793" t="s">
        <v>2822</v>
      </c>
    </row>
    <row r="123" spans="1:10">
      <c r="A123" s="653" t="s">
        <v>2795</v>
      </c>
      <c r="B123" s="651">
        <v>22.9</v>
      </c>
      <c r="C123" s="651">
        <v>5.9</v>
      </c>
      <c r="D123" s="651">
        <v>1.5</v>
      </c>
      <c r="E123" s="658">
        <v>4.4000000000000004</v>
      </c>
      <c r="F123" s="651">
        <v>11.7</v>
      </c>
      <c r="G123" s="651">
        <v>7.6</v>
      </c>
      <c r="H123" s="651">
        <v>4</v>
      </c>
      <c r="I123">
        <v>4.46</v>
      </c>
      <c r="J123" s="795" t="s">
        <v>2795</v>
      </c>
    </row>
    <row r="124" spans="1:10">
      <c r="A124" s="653" t="s">
        <v>2798</v>
      </c>
      <c r="B124" s="651">
        <v>12.3</v>
      </c>
      <c r="C124" s="651">
        <v>4.8</v>
      </c>
      <c r="D124" s="651">
        <v>1.5</v>
      </c>
      <c r="E124" s="658">
        <v>3.4</v>
      </c>
      <c r="F124" s="651">
        <v>3.6</v>
      </c>
      <c r="G124" s="651">
        <v>2.4</v>
      </c>
      <c r="H124" s="651">
        <v>1.3</v>
      </c>
      <c r="I124">
        <v>3.42</v>
      </c>
      <c r="J124" s="795" t="s">
        <v>2798</v>
      </c>
    </row>
    <row r="125" spans="1:10">
      <c r="A125" s="653" t="s">
        <v>2823</v>
      </c>
      <c r="B125" s="651">
        <v>43.7</v>
      </c>
      <c r="C125" s="651">
        <v>2</v>
      </c>
      <c r="D125" s="651">
        <v>0.6</v>
      </c>
      <c r="E125" s="658">
        <v>1.4</v>
      </c>
      <c r="F125" s="651">
        <v>4.0999999999999996</v>
      </c>
      <c r="G125" s="651">
        <v>3.2</v>
      </c>
      <c r="H125" s="651">
        <v>1</v>
      </c>
      <c r="I125">
        <v>1.65</v>
      </c>
      <c r="J125" s="795" t="s">
        <v>2823</v>
      </c>
    </row>
    <row r="126" spans="1:10" ht="25.5">
      <c r="A126" s="653" t="s">
        <v>2824</v>
      </c>
      <c r="B126" s="651">
        <v>39.4</v>
      </c>
      <c r="C126" s="651">
        <v>8.3000000000000007</v>
      </c>
      <c r="D126" s="651">
        <v>2.1</v>
      </c>
      <c r="E126" s="658">
        <v>6.2</v>
      </c>
      <c r="F126" s="651">
        <v>6.9</v>
      </c>
      <c r="G126" s="651">
        <v>4.9000000000000004</v>
      </c>
      <c r="H126" s="651">
        <v>2</v>
      </c>
      <c r="I126">
        <v>6.51</v>
      </c>
      <c r="J126" s="795" t="s">
        <v>2824</v>
      </c>
    </row>
    <row r="127" spans="1:10">
      <c r="A127" s="647" t="s">
        <v>2825</v>
      </c>
      <c r="B127" s="656"/>
      <c r="C127" s="656"/>
      <c r="D127" s="656"/>
      <c r="E127" s="660"/>
      <c r="F127" s="656"/>
      <c r="G127" s="656"/>
      <c r="H127" s="656"/>
      <c r="I127" t="s">
        <v>729</v>
      </c>
      <c r="J127" s="793" t="s">
        <v>2825</v>
      </c>
    </row>
    <row r="128" spans="1:10">
      <c r="A128" s="653" t="s">
        <v>2795</v>
      </c>
      <c r="B128" s="651">
        <v>2.5</v>
      </c>
      <c r="C128" s="651">
        <v>0.7</v>
      </c>
      <c r="D128" s="651" t="s">
        <v>574</v>
      </c>
      <c r="E128" s="658">
        <v>0.5</v>
      </c>
      <c r="F128" s="651">
        <v>0.7</v>
      </c>
      <c r="G128" s="651">
        <v>0.5</v>
      </c>
      <c r="H128" s="651" t="s">
        <v>574</v>
      </c>
      <c r="I128">
        <v>0.67</v>
      </c>
      <c r="J128" s="795" t="s">
        <v>2795</v>
      </c>
    </row>
    <row r="129" spans="1:10">
      <c r="A129" s="653" t="s">
        <v>2798</v>
      </c>
      <c r="B129" s="651">
        <v>41.9</v>
      </c>
      <c r="C129" s="651">
        <v>6.6</v>
      </c>
      <c r="D129" s="651">
        <v>1.8</v>
      </c>
      <c r="E129" s="658">
        <v>4.8</v>
      </c>
      <c r="F129" s="651">
        <v>9.9</v>
      </c>
      <c r="G129" s="651">
        <v>6.7</v>
      </c>
      <c r="H129" s="651">
        <v>3.2</v>
      </c>
      <c r="I129">
        <v>5.36</v>
      </c>
      <c r="J129" s="795" t="s">
        <v>2798</v>
      </c>
    </row>
    <row r="130" spans="1:10">
      <c r="A130" s="653" t="s">
        <v>2826</v>
      </c>
      <c r="B130" s="651">
        <v>34.5</v>
      </c>
      <c r="C130" s="651">
        <v>5.4</v>
      </c>
      <c r="D130" s="651">
        <v>1.5</v>
      </c>
      <c r="E130" s="658">
        <v>3.9</v>
      </c>
      <c r="F130" s="651">
        <v>8.8000000000000007</v>
      </c>
      <c r="G130" s="651">
        <v>5.9</v>
      </c>
      <c r="H130" s="651">
        <v>2.9</v>
      </c>
      <c r="I130">
        <v>3.51</v>
      </c>
      <c r="J130" s="795" t="s">
        <v>2826</v>
      </c>
    </row>
    <row r="131" spans="1:10" ht="25.5">
      <c r="A131" s="653" t="s">
        <v>2824</v>
      </c>
      <c r="B131" s="651">
        <v>39.4</v>
      </c>
      <c r="C131" s="651">
        <v>8.3000000000000007</v>
      </c>
      <c r="D131" s="651">
        <v>2.1</v>
      </c>
      <c r="E131" s="658">
        <v>6.2</v>
      </c>
      <c r="F131" s="651">
        <v>6.9</v>
      </c>
      <c r="G131" s="651">
        <v>4.9000000000000004</v>
      </c>
      <c r="H131" s="651">
        <v>2</v>
      </c>
      <c r="I131">
        <v>6.51</v>
      </c>
      <c r="J131" s="795" t="s">
        <v>2824</v>
      </c>
    </row>
    <row r="132" spans="1:10">
      <c r="A132" s="647" t="s">
        <v>2827</v>
      </c>
      <c r="B132" s="652"/>
      <c r="C132" s="652"/>
      <c r="D132" s="652"/>
      <c r="E132" s="659"/>
      <c r="F132" s="652"/>
      <c r="G132" s="652"/>
      <c r="H132" s="652"/>
      <c r="I132" t="s">
        <v>729</v>
      </c>
      <c r="J132" s="793" t="s">
        <v>3258</v>
      </c>
    </row>
    <row r="133" spans="1:10">
      <c r="A133" s="653" t="s">
        <v>2795</v>
      </c>
      <c r="B133" s="651">
        <v>2.9</v>
      </c>
      <c r="C133" s="651">
        <v>0.6</v>
      </c>
      <c r="D133" s="651" t="s">
        <v>574</v>
      </c>
      <c r="E133" s="658">
        <v>0.4</v>
      </c>
      <c r="F133" s="651">
        <v>1</v>
      </c>
      <c r="G133" s="651">
        <v>0.5</v>
      </c>
      <c r="H133" s="651">
        <v>0.5</v>
      </c>
      <c r="I133">
        <v>0.4</v>
      </c>
      <c r="J133" s="795" t="s">
        <v>2795</v>
      </c>
    </row>
    <row r="134" spans="1:10">
      <c r="A134" s="653" t="s">
        <v>2798</v>
      </c>
      <c r="B134" s="651">
        <v>42.8</v>
      </c>
      <c r="C134" s="651">
        <v>5.9</v>
      </c>
      <c r="D134" s="651">
        <v>1.4</v>
      </c>
      <c r="E134" s="658">
        <v>4.5</v>
      </c>
      <c r="F134" s="651">
        <v>10.5</v>
      </c>
      <c r="G134" s="651">
        <v>7.3</v>
      </c>
      <c r="H134" s="651">
        <v>3.3</v>
      </c>
      <c r="I134">
        <v>4.6900000000000004</v>
      </c>
      <c r="J134" s="795" t="s">
        <v>2798</v>
      </c>
    </row>
    <row r="135" spans="1:10" ht="25.5">
      <c r="A135" s="653" t="s">
        <v>2828</v>
      </c>
      <c r="B135" s="651">
        <v>33.200000000000003</v>
      </c>
      <c r="C135" s="651">
        <v>6.2</v>
      </c>
      <c r="D135" s="651">
        <v>1.9</v>
      </c>
      <c r="E135" s="658">
        <v>4.2</v>
      </c>
      <c r="F135" s="651">
        <v>7.9</v>
      </c>
      <c r="G135" s="651">
        <v>5.4</v>
      </c>
      <c r="H135" s="651">
        <v>2.5</v>
      </c>
      <c r="I135">
        <v>4.4400000000000004</v>
      </c>
      <c r="J135" s="795" t="s">
        <v>2828</v>
      </c>
    </row>
    <row r="136" spans="1:10" ht="25.5">
      <c r="A136" s="653" t="s">
        <v>2824</v>
      </c>
      <c r="B136" s="651">
        <v>39.4</v>
      </c>
      <c r="C136" s="651">
        <v>8.3000000000000007</v>
      </c>
      <c r="D136" s="651">
        <v>2.1</v>
      </c>
      <c r="E136" s="658">
        <v>6.2</v>
      </c>
      <c r="F136" s="651">
        <v>6.9</v>
      </c>
      <c r="G136" s="651">
        <v>4.9000000000000004</v>
      </c>
      <c r="H136" s="651">
        <v>2</v>
      </c>
      <c r="I136">
        <v>6.51</v>
      </c>
      <c r="J136" s="795" t="s">
        <v>2824</v>
      </c>
    </row>
    <row r="137" spans="1:10">
      <c r="A137" s="647" t="s">
        <v>2829</v>
      </c>
      <c r="B137" s="652"/>
      <c r="C137" s="652"/>
      <c r="D137" s="652"/>
      <c r="E137" s="659"/>
      <c r="F137" s="652"/>
      <c r="G137" s="652"/>
      <c r="H137" s="652"/>
      <c r="I137" t="s">
        <v>729</v>
      </c>
      <c r="J137" s="796" t="s">
        <v>3259</v>
      </c>
    </row>
    <row r="138" spans="1:10">
      <c r="A138" s="653" t="s">
        <v>2830</v>
      </c>
      <c r="B138" s="651">
        <v>24</v>
      </c>
      <c r="C138" s="651">
        <v>5.7</v>
      </c>
      <c r="D138" s="651">
        <v>1.7</v>
      </c>
      <c r="E138" s="658">
        <v>4.0999999999999996</v>
      </c>
      <c r="F138" s="651">
        <v>9.3000000000000007</v>
      </c>
      <c r="G138" s="651">
        <v>6.4</v>
      </c>
      <c r="H138" s="651">
        <v>2.9</v>
      </c>
      <c r="I138">
        <v>4.6500000000000004</v>
      </c>
      <c r="J138" s="795" t="s">
        <v>3260</v>
      </c>
    </row>
    <row r="139" spans="1:10">
      <c r="A139" s="654" t="s">
        <v>2831</v>
      </c>
      <c r="B139" s="651">
        <v>0.8</v>
      </c>
      <c r="C139" s="651" t="s">
        <v>574</v>
      </c>
      <c r="D139" s="651" t="s">
        <v>575</v>
      </c>
      <c r="E139" s="658" t="s">
        <v>574</v>
      </c>
      <c r="F139" s="651">
        <v>0.2</v>
      </c>
      <c r="G139" s="651" t="s">
        <v>574</v>
      </c>
      <c r="H139" s="651" t="s">
        <v>574</v>
      </c>
      <c r="I139">
        <v>0.93</v>
      </c>
      <c r="J139" s="797" t="s">
        <v>3261</v>
      </c>
    </row>
    <row r="140" spans="1:10">
      <c r="A140" s="654" t="s">
        <v>2832</v>
      </c>
      <c r="B140" s="651">
        <v>10</v>
      </c>
      <c r="C140" s="651">
        <v>2.2999999999999998</v>
      </c>
      <c r="D140" s="651">
        <v>0.8</v>
      </c>
      <c r="E140" s="658">
        <v>1.5</v>
      </c>
      <c r="F140" s="651">
        <v>3.2</v>
      </c>
      <c r="G140" s="651">
        <v>2.4</v>
      </c>
      <c r="H140" s="651">
        <v>0.8</v>
      </c>
      <c r="I140">
        <v>2.78</v>
      </c>
      <c r="J140" s="797" t="s">
        <v>3262</v>
      </c>
    </row>
    <row r="141" spans="1:10">
      <c r="A141" s="654" t="s">
        <v>2833</v>
      </c>
      <c r="B141" s="651">
        <v>10.1</v>
      </c>
      <c r="C141" s="651">
        <v>2.5</v>
      </c>
      <c r="D141" s="651">
        <v>0.7</v>
      </c>
      <c r="E141" s="658">
        <v>1.8</v>
      </c>
      <c r="F141" s="651">
        <v>4.9000000000000004</v>
      </c>
      <c r="G141" s="651">
        <v>3.2</v>
      </c>
      <c r="H141" s="651">
        <v>1.7</v>
      </c>
    </row>
    <row r="142" spans="1:10">
      <c r="A142" s="654" t="s">
        <v>2834</v>
      </c>
      <c r="B142" s="651">
        <v>1.3</v>
      </c>
      <c r="C142" s="651">
        <v>0.3</v>
      </c>
      <c r="D142" s="651" t="s">
        <v>574</v>
      </c>
      <c r="E142" s="658">
        <v>0.2</v>
      </c>
      <c r="F142" s="651">
        <v>0.5</v>
      </c>
      <c r="G142" s="651">
        <v>0.3</v>
      </c>
      <c r="H142" s="651">
        <v>0.2</v>
      </c>
      <c r="I142">
        <v>0.36</v>
      </c>
      <c r="J142" s="797" t="s">
        <v>3263</v>
      </c>
    </row>
    <row r="143" spans="1:10">
      <c r="A143" s="654" t="s">
        <v>2835</v>
      </c>
      <c r="B143" s="651" t="s">
        <v>574</v>
      </c>
      <c r="C143" s="651" t="s">
        <v>574</v>
      </c>
      <c r="D143" s="651" t="s">
        <v>575</v>
      </c>
      <c r="E143" s="658" t="s">
        <v>574</v>
      </c>
      <c r="F143" s="651" t="s">
        <v>575</v>
      </c>
      <c r="G143" s="651" t="s">
        <v>575</v>
      </c>
      <c r="H143" s="651" t="s">
        <v>575</v>
      </c>
    </row>
    <row r="144" spans="1:10">
      <c r="A144" s="654" t="s">
        <v>2836</v>
      </c>
      <c r="B144" s="651">
        <v>1.6</v>
      </c>
      <c r="C144" s="651">
        <v>0.5</v>
      </c>
      <c r="D144" s="651" t="s">
        <v>574</v>
      </c>
      <c r="E144" s="658">
        <v>0.3</v>
      </c>
      <c r="F144" s="651">
        <v>0.5</v>
      </c>
      <c r="G144" s="651">
        <v>0.3</v>
      </c>
      <c r="H144" s="651" t="s">
        <v>574</v>
      </c>
      <c r="I144">
        <v>0.57999999999999996</v>
      </c>
      <c r="J144" s="797" t="s">
        <v>3264</v>
      </c>
    </row>
    <row r="145" spans="1:10" ht="13.5" thickBot="1">
      <c r="A145" s="653" t="s">
        <v>2837</v>
      </c>
      <c r="B145" s="651">
        <v>94.2</v>
      </c>
      <c r="C145" s="651">
        <v>15.3</v>
      </c>
      <c r="D145" s="651">
        <v>3.9</v>
      </c>
      <c r="E145" s="658">
        <v>11.3</v>
      </c>
      <c r="F145" s="651">
        <v>17.100000000000001</v>
      </c>
      <c r="G145" s="651">
        <v>11.7</v>
      </c>
      <c r="H145" s="651">
        <v>5.4</v>
      </c>
      <c r="I145">
        <v>11.39</v>
      </c>
      <c r="J145" s="795" t="s">
        <v>3265</v>
      </c>
    </row>
    <row r="146" spans="1:10" ht="14.25">
      <c r="A146" s="823" t="s">
        <v>2838</v>
      </c>
      <c r="B146" s="823"/>
      <c r="C146" s="823"/>
      <c r="D146" s="823"/>
      <c r="E146" s="823"/>
      <c r="F146" s="823"/>
      <c r="G146" s="823"/>
      <c r="H146" s="823"/>
    </row>
    <row r="147" spans="1:10" ht="14.25">
      <c r="A147" s="815" t="s">
        <v>2839</v>
      </c>
      <c r="B147" s="815"/>
      <c r="C147" s="815"/>
      <c r="D147" s="815"/>
      <c r="E147" s="815"/>
      <c r="F147" s="815"/>
      <c r="G147" s="815"/>
      <c r="H147" s="815"/>
    </row>
    <row r="148" spans="1:10" ht="14.25">
      <c r="A148" s="815" t="s">
        <v>2840</v>
      </c>
      <c r="B148" s="815"/>
      <c r="C148" s="815"/>
      <c r="D148" s="815"/>
      <c r="E148" s="815"/>
      <c r="F148" s="815"/>
      <c r="G148" s="815"/>
      <c r="H148" s="815"/>
    </row>
    <row r="149" spans="1:10">
      <c r="A149" s="825"/>
      <c r="B149" s="825"/>
      <c r="C149" s="825"/>
      <c r="D149" s="825"/>
      <c r="E149" s="825"/>
      <c r="F149" s="825"/>
      <c r="G149" s="825"/>
      <c r="H149" s="825"/>
    </row>
    <row r="150" spans="1:10">
      <c r="A150" s="826" t="s">
        <v>2841</v>
      </c>
      <c r="B150" s="826"/>
      <c r="C150" s="826"/>
      <c r="D150" s="826"/>
      <c r="E150" s="826"/>
      <c r="F150" s="826"/>
      <c r="G150" s="826"/>
      <c r="H150" s="826"/>
    </row>
    <row r="151" spans="1:10">
      <c r="A151" s="826" t="s">
        <v>2842</v>
      </c>
      <c r="B151" s="826"/>
      <c r="C151" s="826"/>
      <c r="D151" s="826"/>
      <c r="E151" s="826"/>
      <c r="F151" s="826"/>
      <c r="G151" s="826"/>
      <c r="H151" s="826"/>
    </row>
    <row r="152" spans="1:10">
      <c r="A152" s="825"/>
      <c r="B152" s="825"/>
      <c r="C152" s="825"/>
      <c r="D152" s="825"/>
      <c r="E152" s="825"/>
      <c r="F152" s="825"/>
      <c r="G152" s="825"/>
      <c r="H152" s="825"/>
    </row>
    <row r="153" spans="1:10">
      <c r="A153" s="824" t="s">
        <v>2843</v>
      </c>
      <c r="B153" s="824"/>
      <c r="C153" s="824"/>
      <c r="D153" s="824"/>
      <c r="E153" s="824"/>
      <c r="F153" s="824"/>
      <c r="G153" s="824"/>
      <c r="H153" s="824"/>
    </row>
    <row r="154" spans="1:10">
      <c r="A154" s="825"/>
      <c r="B154" s="825"/>
      <c r="C154" s="825"/>
      <c r="D154" s="825"/>
      <c r="E154" s="825"/>
      <c r="F154" s="825"/>
      <c r="G154" s="825"/>
      <c r="H154" s="825"/>
    </row>
    <row r="155" spans="1:10">
      <c r="A155" s="824" t="s">
        <v>2844</v>
      </c>
      <c r="B155" s="824"/>
      <c r="C155" s="824"/>
      <c r="D155" s="824"/>
      <c r="E155" s="824"/>
      <c r="F155" s="824"/>
      <c r="G155" s="824"/>
      <c r="H155" s="824"/>
    </row>
  </sheetData>
  <mergeCells count="13">
    <mergeCell ref="A155:H155"/>
    <mergeCell ref="A149:H149"/>
    <mergeCell ref="A150:H150"/>
    <mergeCell ref="A151:H151"/>
    <mergeCell ref="A152:H152"/>
    <mergeCell ref="A153:H153"/>
    <mergeCell ref="A154:H154"/>
    <mergeCell ref="A148:H148"/>
    <mergeCell ref="A1:G1"/>
    <mergeCell ref="C2:E2"/>
    <mergeCell ref="F2:H2"/>
    <mergeCell ref="A146:H146"/>
    <mergeCell ref="A147:H147"/>
  </mergeCells>
  <hyperlinks>
    <hyperlink ref="A153" r:id="rId1" display="https://www.eia.gov/consumption/residential/terminology.php" xr:uid="{C5C06BDD-CF3B-4862-AC40-3007F5945035}"/>
    <hyperlink ref="A155" r:id="rId2" location="eia-457" display="https://www.eia.gov/survey/ - eia-457" xr:uid="{B3CD6695-4472-41B5-B785-94D3B67F5AA8}"/>
    <hyperlink ref="L1" r:id="rId3" xr:uid="{2107F244-AFCC-4B9D-A3A1-AB4A0C608790}"/>
  </hyperlinks>
  <pageMargins left="0.7" right="0.7" top="0.75" bottom="0.75" header="0.3" footer="0.3"/>
  <pageSetup orientation="portrait" r:id="rId4"/>
  <drawing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T60"/>
  <sheetViews>
    <sheetView workbookViewId="0">
      <selection activeCell="G18" sqref="A13:G19"/>
    </sheetView>
  </sheetViews>
  <sheetFormatPr defaultColWidth="9.28515625" defaultRowHeight="12.75"/>
  <cols>
    <col min="1" max="1" width="12" style="17" customWidth="1"/>
    <col min="2" max="2" width="57.28515625" style="17" customWidth="1"/>
    <col min="3" max="12" width="13.42578125" style="17" customWidth="1"/>
    <col min="13" max="43" width="12" style="17" customWidth="1"/>
    <col min="44" max="44" width="14.7109375" style="17" customWidth="1"/>
    <col min="45" max="45" width="16.7109375" style="17" customWidth="1"/>
    <col min="46" max="47" width="15" style="17" customWidth="1"/>
    <col min="48" max="48" width="12" style="17" customWidth="1"/>
    <col min="49" max="49" width="13.7109375" style="17" customWidth="1"/>
    <col min="50" max="51" width="12" style="17" customWidth="1"/>
    <col min="52" max="52" width="13.7109375" style="17" customWidth="1"/>
    <col min="53" max="53" width="16.42578125" style="17" customWidth="1"/>
    <col min="54" max="16384" width="9.28515625" style="17"/>
  </cols>
  <sheetData>
    <row r="1" spans="1:72">
      <c r="C1" s="830" t="s">
        <v>2406</v>
      </c>
      <c r="D1" s="831"/>
      <c r="E1" s="832"/>
      <c r="F1" s="833" t="s">
        <v>2407</v>
      </c>
      <c r="G1" s="834"/>
      <c r="H1" s="834"/>
      <c r="I1" s="834"/>
      <c r="J1" s="834"/>
      <c r="K1" s="834"/>
      <c r="L1" s="834"/>
      <c r="M1" s="835" t="s">
        <v>589</v>
      </c>
      <c r="N1" s="836"/>
      <c r="O1" s="836"/>
      <c r="P1" s="836"/>
      <c r="Q1" s="836"/>
      <c r="R1" s="836"/>
      <c r="S1" s="836"/>
      <c r="T1" s="837"/>
      <c r="U1" s="835" t="s">
        <v>347</v>
      </c>
      <c r="V1" s="836"/>
      <c r="W1" s="836"/>
      <c r="X1" s="836"/>
      <c r="Y1" s="836"/>
      <c r="Z1" s="836"/>
      <c r="AA1" s="836"/>
      <c r="AB1" s="837"/>
      <c r="AC1" s="835" t="s">
        <v>580</v>
      </c>
      <c r="AD1" s="836"/>
      <c r="AE1" s="836"/>
      <c r="AF1" s="836"/>
      <c r="AG1" s="836"/>
      <c r="AH1" s="836"/>
      <c r="AI1" s="836"/>
      <c r="AJ1" s="837"/>
      <c r="AK1" s="835" t="s">
        <v>2408</v>
      </c>
      <c r="AL1" s="836"/>
      <c r="AM1" s="836"/>
      <c r="AN1" s="836"/>
      <c r="AO1" s="836"/>
      <c r="AP1" s="836"/>
      <c r="AQ1" s="836"/>
      <c r="AR1" s="837"/>
      <c r="AS1" s="838" t="s">
        <v>2409</v>
      </c>
      <c r="AT1" s="838"/>
      <c r="AU1" s="838"/>
      <c r="AV1" s="838"/>
      <c r="AW1" s="838"/>
      <c r="AX1" s="838"/>
      <c r="AY1" s="838"/>
      <c r="AZ1" s="838"/>
      <c r="BA1" s="362"/>
    </row>
    <row r="2" spans="1:72" ht="51">
      <c r="A2" s="48"/>
      <c r="B2" s="48" t="s">
        <v>2410</v>
      </c>
      <c r="C2" s="363" t="s">
        <v>2411</v>
      </c>
      <c r="D2" s="364" t="s">
        <v>2412</v>
      </c>
      <c r="E2" s="365" t="s">
        <v>2413</v>
      </c>
      <c r="F2" s="366" t="s">
        <v>2414</v>
      </c>
      <c r="G2" s="367" t="s">
        <v>2415</v>
      </c>
      <c r="H2" s="367" t="s">
        <v>2416</v>
      </c>
      <c r="I2" s="367" t="s">
        <v>883</v>
      </c>
      <c r="J2" s="367" t="s">
        <v>347</v>
      </c>
      <c r="K2" s="367" t="s">
        <v>870</v>
      </c>
      <c r="L2" s="367" t="s">
        <v>2408</v>
      </c>
      <c r="M2" s="536" t="s">
        <v>2417</v>
      </c>
      <c r="N2" s="535" t="s">
        <v>2418</v>
      </c>
      <c r="O2" s="535" t="s">
        <v>2419</v>
      </c>
      <c r="P2" s="535" t="s">
        <v>2420</v>
      </c>
      <c r="Q2" s="535" t="s">
        <v>2421</v>
      </c>
      <c r="R2" s="535" t="s">
        <v>2422</v>
      </c>
      <c r="S2" s="535" t="s">
        <v>2423</v>
      </c>
      <c r="T2" s="537" t="s">
        <v>2424</v>
      </c>
      <c r="U2" s="536" t="s">
        <v>2425</v>
      </c>
      <c r="V2" s="535" t="s">
        <v>2426</v>
      </c>
      <c r="W2" s="535" t="s">
        <v>2427</v>
      </c>
      <c r="X2" s="535" t="s">
        <v>2428</v>
      </c>
      <c r="Y2" s="535" t="s">
        <v>2429</v>
      </c>
      <c r="Z2" s="535" t="s">
        <v>2430</v>
      </c>
      <c r="AA2" s="535" t="s">
        <v>2431</v>
      </c>
      <c r="AB2" s="537" t="s">
        <v>2432</v>
      </c>
      <c r="AC2" s="536" t="s">
        <v>2433</v>
      </c>
      <c r="AD2" s="535" t="s">
        <v>2434</v>
      </c>
      <c r="AE2" s="535" t="s">
        <v>2435</v>
      </c>
      <c r="AF2" s="535" t="s">
        <v>2436</v>
      </c>
      <c r="AG2" s="535" t="s">
        <v>2437</v>
      </c>
      <c r="AH2" s="535" t="s">
        <v>2438</v>
      </c>
      <c r="AI2" s="535" t="s">
        <v>2439</v>
      </c>
      <c r="AJ2" s="537" t="s">
        <v>2440</v>
      </c>
      <c r="AK2" s="536" t="s">
        <v>2441</v>
      </c>
      <c r="AL2" s="535" t="s">
        <v>2442</v>
      </c>
      <c r="AM2" s="535" t="s">
        <v>2443</v>
      </c>
      <c r="AN2" s="535" t="s">
        <v>2444</v>
      </c>
      <c r="AO2" s="535" t="s">
        <v>2445</v>
      </c>
      <c r="AP2" s="535" t="s">
        <v>2446</v>
      </c>
      <c r="AQ2" s="535" t="s">
        <v>2447</v>
      </c>
      <c r="AR2" s="537" t="s">
        <v>2448</v>
      </c>
      <c r="AS2" s="538" t="s">
        <v>2391</v>
      </c>
      <c r="AT2" s="539" t="s">
        <v>2392</v>
      </c>
      <c r="AU2" s="539" t="s">
        <v>2393</v>
      </c>
      <c r="AV2" s="539" t="s">
        <v>2394</v>
      </c>
      <c r="AW2" s="539" t="s">
        <v>222</v>
      </c>
      <c r="AX2" s="539" t="s">
        <v>2395</v>
      </c>
      <c r="AY2" s="539" t="s">
        <v>2396</v>
      </c>
      <c r="AZ2" s="540" t="s">
        <v>2397</v>
      </c>
      <c r="BA2" s="362"/>
    </row>
    <row r="3" spans="1:72">
      <c r="A3" s="827" t="s">
        <v>2398</v>
      </c>
      <c r="B3" s="611" t="s">
        <v>2449</v>
      </c>
      <c r="C3" s="368">
        <v>34397279.617698602</v>
      </c>
      <c r="D3" s="369">
        <f>C3/C$30</f>
        <v>6.2632292502352305E-2</v>
      </c>
      <c r="E3" s="370">
        <v>55.38356966714651</v>
      </c>
      <c r="F3" s="612">
        <v>3139269.7531758077</v>
      </c>
      <c r="G3" s="613">
        <v>373088.3616361348</v>
      </c>
      <c r="H3" s="613">
        <v>93126.849293603183</v>
      </c>
      <c r="I3" s="613">
        <v>61486.808703047362</v>
      </c>
      <c r="J3" s="613">
        <v>8619051.6034933645</v>
      </c>
      <c r="K3" s="613">
        <v>22111256.241396647</v>
      </c>
      <c r="L3" s="614">
        <v>0</v>
      </c>
      <c r="M3" s="615">
        <v>3060305.6636657752</v>
      </c>
      <c r="N3" s="616">
        <v>606666.10914281721</v>
      </c>
      <c r="O3" s="616">
        <v>0</v>
      </c>
      <c r="P3" s="616">
        <v>0</v>
      </c>
      <c r="Q3" s="616">
        <v>0</v>
      </c>
      <c r="R3" s="616">
        <v>0</v>
      </c>
      <c r="S3" s="616">
        <v>0</v>
      </c>
      <c r="T3" s="617">
        <v>0</v>
      </c>
      <c r="U3" s="615">
        <v>172381.0320698673</v>
      </c>
      <c r="V3" s="616">
        <v>258571.54810480092</v>
      </c>
      <c r="W3" s="616">
        <v>1465238.7725938722</v>
      </c>
      <c r="X3" s="616">
        <v>0</v>
      </c>
      <c r="Y3" s="616">
        <v>1637619.8046637392</v>
      </c>
      <c r="Z3" s="616">
        <v>0</v>
      </c>
      <c r="AA3" s="616">
        <v>0</v>
      </c>
      <c r="AB3" s="617">
        <v>5085240.446061085</v>
      </c>
      <c r="AC3" s="615">
        <v>15829244.599615162</v>
      </c>
      <c r="AD3" s="616">
        <v>6282011.6417814801</v>
      </c>
      <c r="AE3" s="616">
        <v>0</v>
      </c>
      <c r="AF3" s="616">
        <v>0</v>
      </c>
      <c r="AG3" s="616">
        <v>0</v>
      </c>
      <c r="AH3" s="616">
        <v>0</v>
      </c>
      <c r="AI3" s="616">
        <v>0</v>
      </c>
      <c r="AJ3" s="617">
        <v>0</v>
      </c>
      <c r="AK3" s="615">
        <v>0</v>
      </c>
      <c r="AL3" s="616">
        <v>0</v>
      </c>
      <c r="AM3" s="616">
        <v>0</v>
      </c>
      <c r="AN3" s="616">
        <v>0</v>
      </c>
      <c r="AO3" s="616">
        <v>0</v>
      </c>
      <c r="AP3" s="616">
        <v>0</v>
      </c>
      <c r="AQ3" s="616">
        <v>0</v>
      </c>
      <c r="AR3" s="618"/>
      <c r="AS3" s="373">
        <f t="shared" ref="AS3:AZ28" si="0">M3+U3+AC3+AK3</f>
        <v>19061931.295350805</v>
      </c>
      <c r="AT3" s="373">
        <f t="shared" si="0"/>
        <v>7147249.2990290979</v>
      </c>
      <c r="AU3" s="373">
        <f t="shared" si="0"/>
        <v>1465238.7725938722</v>
      </c>
      <c r="AV3" s="373">
        <f t="shared" si="0"/>
        <v>0</v>
      </c>
      <c r="AW3" s="373">
        <f t="shared" si="0"/>
        <v>1637619.8046637392</v>
      </c>
      <c r="AX3" s="373">
        <f t="shared" si="0"/>
        <v>0</v>
      </c>
      <c r="AY3" s="373">
        <f t="shared" si="0"/>
        <v>0</v>
      </c>
      <c r="AZ3" s="373">
        <f t="shared" si="0"/>
        <v>5085240.446061085</v>
      </c>
      <c r="BA3" s="619">
        <f>SUM(AS3:AZ3)</f>
        <v>34397279.617698595</v>
      </c>
      <c r="BB3" s="618"/>
      <c r="BC3" s="618"/>
      <c r="BD3" s="618"/>
      <c r="BE3" s="618"/>
      <c r="BF3" s="618"/>
      <c r="BG3" s="618"/>
      <c r="BH3" s="618"/>
      <c r="BI3" s="618"/>
      <c r="BJ3" s="618"/>
      <c r="BK3" s="618"/>
      <c r="BL3" s="618"/>
      <c r="BM3" s="618"/>
      <c r="BN3" s="618"/>
      <c r="BO3" s="618"/>
      <c r="BP3" s="618"/>
      <c r="BQ3" s="618"/>
      <c r="BR3" s="618"/>
      <c r="BS3" s="618"/>
      <c r="BT3" s="620"/>
    </row>
    <row r="4" spans="1:72" ht="19.5" customHeight="1" thickBot="1">
      <c r="A4" s="829"/>
      <c r="B4" s="621" t="s">
        <v>2450</v>
      </c>
      <c r="C4" s="368">
        <v>44962795.526013903</v>
      </c>
      <c r="D4" s="369">
        <f t="shared" ref="D4:D28" si="1">C4/C$30</f>
        <v>8.1870513959475061E-2</v>
      </c>
      <c r="E4" s="370">
        <v>55.383569667146503</v>
      </c>
      <c r="F4" s="622">
        <v>4103532.1857376532</v>
      </c>
      <c r="G4" s="623">
        <v>487686.69801287673</v>
      </c>
      <c r="H4" s="623">
        <v>121731.82092620224</v>
      </c>
      <c r="I4" s="623">
        <v>80373.181774519093</v>
      </c>
      <c r="J4" s="623">
        <v>11266491.396506637</v>
      </c>
      <c r="K4" s="623">
        <v>28902980.243056018</v>
      </c>
      <c r="L4" s="624">
        <v>0</v>
      </c>
      <c r="M4" s="625">
        <v>3920530.1320734117</v>
      </c>
      <c r="N4" s="626">
        <v>872793.75437784009</v>
      </c>
      <c r="O4" s="626">
        <v>0</v>
      </c>
      <c r="P4" s="626">
        <v>0</v>
      </c>
      <c r="Q4" s="626">
        <v>0</v>
      </c>
      <c r="R4" s="626">
        <v>0</v>
      </c>
      <c r="S4" s="626">
        <v>0</v>
      </c>
      <c r="T4" s="627">
        <v>0</v>
      </c>
      <c r="U4" s="625">
        <v>225329.82793013274</v>
      </c>
      <c r="V4" s="626">
        <v>337994.74189519911</v>
      </c>
      <c r="W4" s="626">
        <v>1915303.5374061286</v>
      </c>
      <c r="X4" s="626">
        <v>0</v>
      </c>
      <c r="Y4" s="626">
        <v>2140633.3653362612</v>
      </c>
      <c r="Z4" s="626">
        <v>0</v>
      </c>
      <c r="AA4" s="626">
        <v>0</v>
      </c>
      <c r="AB4" s="627">
        <v>6647229.9239389161</v>
      </c>
      <c r="AC4" s="625">
        <v>20685590.124127481</v>
      </c>
      <c r="AD4" s="626">
        <v>8217390.1189285321</v>
      </c>
      <c r="AE4" s="626">
        <v>0</v>
      </c>
      <c r="AF4" s="626">
        <v>0</v>
      </c>
      <c r="AG4" s="626">
        <v>0</v>
      </c>
      <c r="AH4" s="626">
        <v>0</v>
      </c>
      <c r="AI4" s="626">
        <v>0</v>
      </c>
      <c r="AJ4" s="627">
        <v>0</v>
      </c>
      <c r="AK4" s="625">
        <v>0</v>
      </c>
      <c r="AL4" s="626">
        <v>0</v>
      </c>
      <c r="AM4" s="626">
        <v>0</v>
      </c>
      <c r="AN4" s="626">
        <v>0</v>
      </c>
      <c r="AO4" s="626">
        <v>0</v>
      </c>
      <c r="AP4" s="626">
        <v>0</v>
      </c>
      <c r="AQ4" s="626">
        <v>0</v>
      </c>
      <c r="AR4" s="627">
        <v>0</v>
      </c>
      <c r="AS4" s="628">
        <f t="shared" si="0"/>
        <v>24831450.084131025</v>
      </c>
      <c r="AT4" s="628">
        <f t="shared" si="0"/>
        <v>9428178.615201572</v>
      </c>
      <c r="AU4" s="628">
        <f t="shared" si="0"/>
        <v>1915303.5374061286</v>
      </c>
      <c r="AV4" s="628">
        <f t="shared" si="0"/>
        <v>0</v>
      </c>
      <c r="AW4" s="628">
        <f t="shared" si="0"/>
        <v>2140633.3653362612</v>
      </c>
      <c r="AX4" s="628">
        <f t="shared" si="0"/>
        <v>0</v>
      </c>
      <c r="AY4" s="628">
        <f t="shared" si="0"/>
        <v>0</v>
      </c>
      <c r="AZ4" s="628">
        <f t="shared" si="0"/>
        <v>6647229.9239389161</v>
      </c>
      <c r="BA4" s="629">
        <f t="shared" ref="BA4:BA31" si="2">SUM(AS4:AZ4)</f>
        <v>44962795.526013903</v>
      </c>
      <c r="BB4" s="630"/>
      <c r="BC4" s="630"/>
      <c r="BD4" s="630"/>
      <c r="BE4" s="630"/>
      <c r="BF4" s="630"/>
      <c r="BG4" s="630"/>
      <c r="BH4" s="630"/>
      <c r="BI4" s="630"/>
      <c r="BJ4" s="630"/>
      <c r="BK4" s="630"/>
      <c r="BL4" s="630"/>
      <c r="BM4" s="630"/>
      <c r="BN4" s="630"/>
      <c r="BO4" s="630"/>
      <c r="BP4" s="630"/>
      <c r="BQ4" s="630"/>
      <c r="BR4" s="630"/>
      <c r="BS4" s="630"/>
      <c r="BT4" s="631"/>
    </row>
    <row r="5" spans="1:72" s="637" customFormat="1">
      <c r="A5" s="839" t="s">
        <v>2400</v>
      </c>
      <c r="B5" s="632" t="s">
        <v>2451</v>
      </c>
      <c r="C5" s="633">
        <v>0</v>
      </c>
      <c r="D5" s="634">
        <f t="shared" si="1"/>
        <v>0</v>
      </c>
      <c r="E5" s="635">
        <v>0</v>
      </c>
      <c r="F5" s="622">
        <v>0</v>
      </c>
      <c r="G5" s="623">
        <v>0</v>
      </c>
      <c r="H5" s="623">
        <v>0</v>
      </c>
      <c r="I5" s="623">
        <v>0</v>
      </c>
      <c r="J5" s="623">
        <v>0</v>
      </c>
      <c r="K5" s="623">
        <v>0</v>
      </c>
      <c r="L5" s="623">
        <v>0</v>
      </c>
      <c r="M5" s="625">
        <v>0</v>
      </c>
      <c r="N5" s="626">
        <v>0</v>
      </c>
      <c r="O5" s="626">
        <v>0</v>
      </c>
      <c r="P5" s="626">
        <v>0</v>
      </c>
      <c r="Q5" s="626">
        <v>0</v>
      </c>
      <c r="R5" s="626">
        <v>0</v>
      </c>
      <c r="S5" s="626">
        <v>0</v>
      </c>
      <c r="T5" s="627">
        <v>0</v>
      </c>
      <c r="U5" s="625">
        <v>0</v>
      </c>
      <c r="V5" s="626">
        <v>0</v>
      </c>
      <c r="W5" s="626">
        <v>0</v>
      </c>
      <c r="X5" s="626">
        <v>0</v>
      </c>
      <c r="Y5" s="626">
        <v>0</v>
      </c>
      <c r="Z5" s="626">
        <v>0</v>
      </c>
      <c r="AA5" s="626">
        <v>0</v>
      </c>
      <c r="AB5" s="627">
        <v>0</v>
      </c>
      <c r="AC5" s="625">
        <v>0</v>
      </c>
      <c r="AD5" s="626">
        <v>0</v>
      </c>
      <c r="AE5" s="626">
        <v>0</v>
      </c>
      <c r="AF5" s="626">
        <v>0</v>
      </c>
      <c r="AG5" s="626">
        <v>0</v>
      </c>
      <c r="AH5" s="626">
        <v>0</v>
      </c>
      <c r="AI5" s="626">
        <v>0</v>
      </c>
      <c r="AJ5" s="627">
        <v>0</v>
      </c>
      <c r="AK5" s="625">
        <v>0</v>
      </c>
      <c r="AL5" s="626">
        <v>0</v>
      </c>
      <c r="AM5" s="626">
        <v>0</v>
      </c>
      <c r="AN5" s="626">
        <v>0</v>
      </c>
      <c r="AO5" s="626">
        <v>0</v>
      </c>
      <c r="AP5" s="626">
        <v>0</v>
      </c>
      <c r="AQ5" s="626">
        <v>0</v>
      </c>
      <c r="AR5" s="627">
        <v>0</v>
      </c>
      <c r="AS5" s="636">
        <f t="shared" si="0"/>
        <v>0</v>
      </c>
      <c r="AT5" s="636">
        <f t="shared" si="0"/>
        <v>0</v>
      </c>
      <c r="AU5" s="636">
        <f t="shared" si="0"/>
        <v>0</v>
      </c>
      <c r="AV5" s="636">
        <f t="shared" si="0"/>
        <v>0</v>
      </c>
      <c r="AW5" s="636">
        <f t="shared" si="0"/>
        <v>0</v>
      </c>
      <c r="AX5" s="636">
        <f t="shared" si="0"/>
        <v>0</v>
      </c>
      <c r="AY5" s="636">
        <f t="shared" si="0"/>
        <v>0</v>
      </c>
      <c r="AZ5" s="636">
        <f t="shared" si="0"/>
        <v>0</v>
      </c>
      <c r="BA5" s="629">
        <f t="shared" si="2"/>
        <v>0</v>
      </c>
      <c r="BB5" s="630"/>
      <c r="BC5" s="630"/>
      <c r="BD5" s="630"/>
      <c r="BE5" s="630"/>
      <c r="BF5" s="630"/>
      <c r="BG5" s="630"/>
      <c r="BH5" s="630"/>
      <c r="BI5" s="630"/>
      <c r="BJ5" s="630"/>
      <c r="BK5" s="630"/>
      <c r="BL5" s="630"/>
      <c r="BM5" s="630"/>
      <c r="BN5" s="630"/>
      <c r="BO5" s="630"/>
      <c r="BP5" s="630"/>
      <c r="BQ5" s="630"/>
      <c r="BR5" s="630"/>
      <c r="BS5" s="630"/>
      <c r="BT5" s="630"/>
    </row>
    <row r="6" spans="1:72">
      <c r="A6" s="840"/>
      <c r="B6" s="621" t="s">
        <v>2452</v>
      </c>
      <c r="C6" s="638">
        <v>15347555.11749785</v>
      </c>
      <c r="D6" s="369">
        <f t="shared" si="1"/>
        <v>2.794559837285799E-2</v>
      </c>
      <c r="E6" s="370">
        <v>92.325096950615716</v>
      </c>
      <c r="F6" s="639">
        <v>894733.86049749935</v>
      </c>
      <c r="G6" s="542">
        <v>727824.03106786753</v>
      </c>
      <c r="H6" s="542">
        <v>618523.40654032386</v>
      </c>
      <c r="I6" s="542">
        <v>73567.567150399409</v>
      </c>
      <c r="J6" s="542">
        <v>2526671.94755285</v>
      </c>
      <c r="K6" s="542">
        <v>10033937.678923406</v>
      </c>
      <c r="L6" s="542">
        <v>472296.62576550397</v>
      </c>
      <c r="M6" s="375">
        <v>1674553.9025025198</v>
      </c>
      <c r="N6" s="376">
        <v>640094.96275357017</v>
      </c>
      <c r="O6" s="376">
        <v>0</v>
      </c>
      <c r="P6" s="376">
        <v>0</v>
      </c>
      <c r="Q6" s="376">
        <v>0</v>
      </c>
      <c r="R6" s="376">
        <v>0</v>
      </c>
      <c r="S6" s="376">
        <v>0</v>
      </c>
      <c r="T6" s="377">
        <v>0</v>
      </c>
      <c r="U6" s="375">
        <v>101687.83633791166</v>
      </c>
      <c r="V6" s="376">
        <v>15651.09262169853</v>
      </c>
      <c r="W6" s="376">
        <v>510031.84203062457</v>
      </c>
      <c r="X6" s="376">
        <v>219597.21043935098</v>
      </c>
      <c r="Y6" s="376">
        <v>560848.0719143491</v>
      </c>
      <c r="Z6" s="376">
        <v>220104.12692545314</v>
      </c>
      <c r="AA6" s="376">
        <v>80459.316654335707</v>
      </c>
      <c r="AB6" s="377">
        <v>818292.45062912616</v>
      </c>
      <c r="AC6" s="375">
        <v>6621879.412535945</v>
      </c>
      <c r="AD6" s="376">
        <v>2990361.2979181465</v>
      </c>
      <c r="AE6" s="376">
        <v>146714.12176358575</v>
      </c>
      <c r="AF6" s="376">
        <v>0</v>
      </c>
      <c r="AG6" s="376">
        <v>0</v>
      </c>
      <c r="AH6" s="376">
        <v>0</v>
      </c>
      <c r="AI6" s="376">
        <v>59878.807191540611</v>
      </c>
      <c r="AJ6" s="377">
        <v>215104.03951418691</v>
      </c>
      <c r="AK6" s="375">
        <v>335837.66814836051</v>
      </c>
      <c r="AL6" s="376">
        <v>136458.95761714349</v>
      </c>
      <c r="AM6" s="376">
        <v>0</v>
      </c>
      <c r="AN6" s="376">
        <v>0</v>
      </c>
      <c r="AO6" s="376">
        <v>0</v>
      </c>
      <c r="AP6" s="376">
        <v>0</v>
      </c>
      <c r="AQ6" s="376">
        <v>0</v>
      </c>
      <c r="AR6" s="377">
        <v>0</v>
      </c>
      <c r="AS6" s="378">
        <f t="shared" si="0"/>
        <v>8733958.8195247371</v>
      </c>
      <c r="AT6" s="378">
        <f t="shared" si="0"/>
        <v>3782566.3109105588</v>
      </c>
      <c r="AU6" s="378">
        <f t="shared" si="0"/>
        <v>656745.96379421034</v>
      </c>
      <c r="AV6" s="378">
        <f t="shared" si="0"/>
        <v>219597.21043935098</v>
      </c>
      <c r="AW6" s="378">
        <f t="shared" si="0"/>
        <v>560848.0719143491</v>
      </c>
      <c r="AX6" s="378">
        <f t="shared" si="0"/>
        <v>220104.12692545314</v>
      </c>
      <c r="AY6" s="378">
        <f t="shared" si="0"/>
        <v>140338.12384587631</v>
      </c>
      <c r="AZ6" s="378">
        <f t="shared" si="0"/>
        <v>1033396.4901433131</v>
      </c>
      <c r="BA6" s="374">
        <f t="shared" si="2"/>
        <v>15347555.11749785</v>
      </c>
    </row>
    <row r="7" spans="1:72">
      <c r="A7" s="840"/>
      <c r="B7" s="621" t="s">
        <v>2453</v>
      </c>
      <c r="C7" s="638">
        <v>9775689.723280102</v>
      </c>
      <c r="D7" s="369">
        <f t="shared" si="1"/>
        <v>1.7800066312386009E-2</v>
      </c>
      <c r="E7" s="370">
        <v>92.325096950615688</v>
      </c>
      <c r="F7" s="371">
        <v>569904.49216005963</v>
      </c>
      <c r="G7" s="372">
        <v>463590.57494145189</v>
      </c>
      <c r="H7" s="372">
        <v>393971.08286197303</v>
      </c>
      <c r="I7" s="372">
        <v>46859.171031022634</v>
      </c>
      <c r="J7" s="372">
        <v>1609374.3141949642</v>
      </c>
      <c r="K7" s="372">
        <v>6391158.7676953841</v>
      </c>
      <c r="L7" s="372">
        <v>300831.32039524679</v>
      </c>
      <c r="M7" s="375">
        <v>1087319.1817228743</v>
      </c>
      <c r="N7" s="376">
        <v>387006.139271633</v>
      </c>
      <c r="O7" s="376">
        <v>0</v>
      </c>
      <c r="P7" s="376">
        <v>0</v>
      </c>
      <c r="Q7" s="376">
        <v>0</v>
      </c>
      <c r="R7" s="376">
        <v>0</v>
      </c>
      <c r="S7" s="376">
        <v>0</v>
      </c>
      <c r="T7" s="377">
        <v>0</v>
      </c>
      <c r="U7" s="375">
        <v>52744.268481620151</v>
      </c>
      <c r="V7" s="376">
        <v>7833.6524910942162</v>
      </c>
      <c r="W7" s="376">
        <v>189737.63971004327</v>
      </c>
      <c r="X7" s="376">
        <v>112144.01593266016</v>
      </c>
      <c r="Y7" s="376">
        <v>490099.47150866076</v>
      </c>
      <c r="Z7" s="376">
        <v>69103.167302520902</v>
      </c>
      <c r="AA7" s="376">
        <v>44811.899700335183</v>
      </c>
      <c r="AB7" s="377">
        <v>642900.19906802976</v>
      </c>
      <c r="AC7" s="375">
        <v>4162711.5007776478</v>
      </c>
      <c r="AD7" s="376">
        <v>2001773.4880817742</v>
      </c>
      <c r="AE7" s="376">
        <v>0</v>
      </c>
      <c r="AF7" s="376">
        <v>0</v>
      </c>
      <c r="AG7" s="376">
        <v>0</v>
      </c>
      <c r="AH7" s="376">
        <v>0</v>
      </c>
      <c r="AI7" s="376">
        <v>0</v>
      </c>
      <c r="AJ7" s="377">
        <v>226673.7788359616</v>
      </c>
      <c r="AK7" s="375">
        <v>300831.32039524679</v>
      </c>
      <c r="AL7" s="376">
        <v>0</v>
      </c>
      <c r="AM7" s="376">
        <v>0</v>
      </c>
      <c r="AN7" s="376">
        <v>0</v>
      </c>
      <c r="AO7" s="376">
        <v>0</v>
      </c>
      <c r="AP7" s="376">
        <v>0</v>
      </c>
      <c r="AQ7" s="376">
        <v>0</v>
      </c>
      <c r="AR7" s="377">
        <v>0</v>
      </c>
      <c r="AS7" s="373">
        <f t="shared" si="0"/>
        <v>5603606.2713773893</v>
      </c>
      <c r="AT7" s="373">
        <f t="shared" si="0"/>
        <v>2396613.2798445015</v>
      </c>
      <c r="AU7" s="373">
        <f t="shared" si="0"/>
        <v>189737.63971004327</v>
      </c>
      <c r="AV7" s="373">
        <f t="shared" si="0"/>
        <v>112144.01593266016</v>
      </c>
      <c r="AW7" s="373">
        <f t="shared" si="0"/>
        <v>490099.47150866076</v>
      </c>
      <c r="AX7" s="373">
        <f t="shared" si="0"/>
        <v>69103.167302520902</v>
      </c>
      <c r="AY7" s="373">
        <f t="shared" si="0"/>
        <v>44811.899700335183</v>
      </c>
      <c r="AZ7" s="373">
        <f t="shared" si="0"/>
        <v>869573.97790399136</v>
      </c>
      <c r="BA7" s="374">
        <f t="shared" si="2"/>
        <v>9775689.723280102</v>
      </c>
    </row>
    <row r="8" spans="1:72">
      <c r="A8" s="840"/>
      <c r="B8" s="621" t="s">
        <v>2454</v>
      </c>
      <c r="C8" s="638">
        <v>29488103.896492932</v>
      </c>
      <c r="D8" s="369">
        <f t="shared" si="1"/>
        <v>5.3693419046853971E-2</v>
      </c>
      <c r="E8" s="370">
        <v>92.325096950615702</v>
      </c>
      <c r="F8" s="371">
        <v>1719101.5009276555</v>
      </c>
      <c r="G8" s="372">
        <v>1398408.4423990396</v>
      </c>
      <c r="H8" s="372">
        <v>1188403.1257642661</v>
      </c>
      <c r="I8" s="372">
        <v>141349.42321007777</v>
      </c>
      <c r="J8" s="372">
        <v>4854634.1310641011</v>
      </c>
      <c r="K8" s="372">
        <v>19278757.724068489</v>
      </c>
      <c r="L8" s="372">
        <v>907449.5490593029</v>
      </c>
      <c r="M8" s="375">
        <v>3367038.5104097067</v>
      </c>
      <c r="N8" s="376">
        <v>961497.24186536227</v>
      </c>
      <c r="O8" s="376">
        <v>118726.74002596918</v>
      </c>
      <c r="P8" s="376">
        <v>0</v>
      </c>
      <c r="Q8" s="376">
        <v>0</v>
      </c>
      <c r="R8" s="376">
        <v>0</v>
      </c>
      <c r="S8" s="376">
        <v>0</v>
      </c>
      <c r="T8" s="377">
        <v>0</v>
      </c>
      <c r="U8" s="375">
        <v>458100.47299010138</v>
      </c>
      <c r="V8" s="376">
        <v>90534.00245193622</v>
      </c>
      <c r="W8" s="376">
        <v>997559.45935597096</v>
      </c>
      <c r="X8" s="376">
        <v>343545.64152403577</v>
      </c>
      <c r="Y8" s="376">
        <v>1044313.7465681074</v>
      </c>
      <c r="Z8" s="376">
        <v>411164.98442470666</v>
      </c>
      <c r="AA8" s="376">
        <v>157665.95797598618</v>
      </c>
      <c r="AB8" s="377">
        <v>1351749.8657732559</v>
      </c>
      <c r="AC8" s="375">
        <v>11716275.511208959</v>
      </c>
      <c r="AD8" s="376">
        <v>6415268.9985720925</v>
      </c>
      <c r="AE8" s="376">
        <v>525550.57127979188</v>
      </c>
      <c r="AF8" s="376">
        <v>0</v>
      </c>
      <c r="AG8" s="376">
        <v>0</v>
      </c>
      <c r="AH8" s="376">
        <v>0</v>
      </c>
      <c r="AI8" s="376">
        <v>91338.902922091656</v>
      </c>
      <c r="AJ8" s="377">
        <v>530323.74008555943</v>
      </c>
      <c r="AK8" s="375">
        <v>515834.88510496251</v>
      </c>
      <c r="AL8" s="376">
        <v>251675.41333271962</v>
      </c>
      <c r="AM8" s="376">
        <v>139939.25062162083</v>
      </c>
      <c r="AN8" s="376">
        <v>0</v>
      </c>
      <c r="AO8" s="376">
        <v>0</v>
      </c>
      <c r="AP8" s="376">
        <v>0</v>
      </c>
      <c r="AQ8" s="376">
        <v>0</v>
      </c>
      <c r="AR8" s="377">
        <v>0</v>
      </c>
      <c r="AS8" s="373">
        <f t="shared" si="0"/>
        <v>16057249.379713729</v>
      </c>
      <c r="AT8" s="373">
        <f t="shared" si="0"/>
        <v>7718975.6562221106</v>
      </c>
      <c r="AU8" s="373">
        <f t="shared" si="0"/>
        <v>1781776.0212833527</v>
      </c>
      <c r="AV8" s="373">
        <f t="shared" si="0"/>
        <v>343545.64152403577</v>
      </c>
      <c r="AW8" s="373">
        <f t="shared" si="0"/>
        <v>1044313.7465681074</v>
      </c>
      <c r="AX8" s="373">
        <f t="shared" si="0"/>
        <v>411164.98442470666</v>
      </c>
      <c r="AY8" s="373">
        <f t="shared" si="0"/>
        <v>249004.86089807784</v>
      </c>
      <c r="AZ8" s="373">
        <f t="shared" si="0"/>
        <v>1882073.6058588154</v>
      </c>
      <c r="BA8" s="374">
        <f t="shared" si="2"/>
        <v>29488103.896492932</v>
      </c>
    </row>
    <row r="9" spans="1:72">
      <c r="A9" s="840"/>
      <c r="B9" s="621" t="s">
        <v>2455</v>
      </c>
      <c r="C9" s="638">
        <v>23935005.240082145</v>
      </c>
      <c r="D9" s="369">
        <f t="shared" si="1"/>
        <v>4.3582058404142476E-2</v>
      </c>
      <c r="E9" s="370">
        <v>92.325096950615716</v>
      </c>
      <c r="F9" s="371">
        <v>1395366.1984292641</v>
      </c>
      <c r="G9" s="372">
        <v>1135064.9575192549</v>
      </c>
      <c r="H9" s="372">
        <v>964607.12232774834</v>
      </c>
      <c r="I9" s="372">
        <v>114730.98430103433</v>
      </c>
      <c r="J9" s="372">
        <v>3940426.0705796089</v>
      </c>
      <c r="K9" s="372">
        <v>15648248.14669528</v>
      </c>
      <c r="L9" s="372">
        <v>736561.7602299538</v>
      </c>
      <c r="M9" s="375">
        <v>2624514.1567053339</v>
      </c>
      <c r="N9" s="376">
        <v>934770.82703948882</v>
      </c>
      <c r="O9" s="376">
        <v>50484.27883247898</v>
      </c>
      <c r="P9" s="376">
        <v>0</v>
      </c>
      <c r="Q9" s="376">
        <v>0</v>
      </c>
      <c r="R9" s="376">
        <v>0</v>
      </c>
      <c r="S9" s="376">
        <v>0</v>
      </c>
      <c r="T9" s="377">
        <v>0</v>
      </c>
      <c r="U9" s="375">
        <v>169716.87899562062</v>
      </c>
      <c r="V9" s="376">
        <v>48736.791878293101</v>
      </c>
      <c r="W9" s="376">
        <v>531778.82693040872</v>
      </c>
      <c r="X9" s="376">
        <v>192001.24017173125</v>
      </c>
      <c r="Y9" s="376">
        <v>1294596.4116856148</v>
      </c>
      <c r="Z9" s="376">
        <v>357113.48479489156</v>
      </c>
      <c r="AA9" s="376">
        <v>143757.11261244744</v>
      </c>
      <c r="AB9" s="377">
        <v>1202725.3235106007</v>
      </c>
      <c r="AC9" s="375">
        <v>10789896.878575906</v>
      </c>
      <c r="AD9" s="376">
        <v>4659798.3434358919</v>
      </c>
      <c r="AE9" s="376">
        <v>16694.191843506916</v>
      </c>
      <c r="AF9" s="376">
        <v>0</v>
      </c>
      <c r="AG9" s="376">
        <v>0</v>
      </c>
      <c r="AH9" s="376">
        <v>0</v>
      </c>
      <c r="AI9" s="376">
        <v>19414.921934670536</v>
      </c>
      <c r="AJ9" s="377">
        <v>162443.81090530622</v>
      </c>
      <c r="AK9" s="375">
        <v>504583.62257053575</v>
      </c>
      <c r="AL9" s="376">
        <v>231978.13765941796</v>
      </c>
      <c r="AM9" s="376">
        <v>0</v>
      </c>
      <c r="AN9" s="376">
        <v>0</v>
      </c>
      <c r="AO9" s="376">
        <v>0</v>
      </c>
      <c r="AP9" s="376">
        <v>0</v>
      </c>
      <c r="AQ9" s="376">
        <v>0</v>
      </c>
      <c r="AR9" s="377">
        <v>0</v>
      </c>
      <c r="AS9" s="373">
        <f t="shared" si="0"/>
        <v>14088711.536847396</v>
      </c>
      <c r="AT9" s="373">
        <f t="shared" si="0"/>
        <v>5875284.1000130922</v>
      </c>
      <c r="AU9" s="373">
        <f t="shared" si="0"/>
        <v>598957.29760639463</v>
      </c>
      <c r="AV9" s="373">
        <f t="shared" si="0"/>
        <v>192001.24017173125</v>
      </c>
      <c r="AW9" s="373">
        <f t="shared" si="0"/>
        <v>1294596.4116856148</v>
      </c>
      <c r="AX9" s="373">
        <f t="shared" si="0"/>
        <v>357113.48479489156</v>
      </c>
      <c r="AY9" s="373">
        <f t="shared" si="0"/>
        <v>163172.03454711798</v>
      </c>
      <c r="AZ9" s="373">
        <f t="shared" si="0"/>
        <v>1365169.1344159069</v>
      </c>
      <c r="BA9" s="374">
        <f t="shared" si="2"/>
        <v>23935005.240082145</v>
      </c>
    </row>
    <row r="10" spans="1:72">
      <c r="A10" s="840"/>
      <c r="B10" s="621" t="s">
        <v>2456</v>
      </c>
      <c r="C10" s="638">
        <v>16610568.537238672</v>
      </c>
      <c r="D10" s="369">
        <f t="shared" si="1"/>
        <v>3.0245356575215973E-2</v>
      </c>
      <c r="E10" s="370">
        <v>92.325096950615716</v>
      </c>
      <c r="F10" s="371">
        <v>968365.18902203196</v>
      </c>
      <c r="G10" s="372">
        <v>787719.66339568584</v>
      </c>
      <c r="H10" s="372">
        <v>669424.24103177851</v>
      </c>
      <c r="I10" s="372">
        <v>79621.744760923422</v>
      </c>
      <c r="J10" s="372">
        <v>2734602.171787953</v>
      </c>
      <c r="K10" s="372">
        <v>10859671.670057589</v>
      </c>
      <c r="L10" s="372">
        <v>511163.85718271171</v>
      </c>
      <c r="M10" s="375">
        <v>1879371.1136497634</v>
      </c>
      <c r="N10" s="376">
        <v>625745.11848823749</v>
      </c>
      <c r="O10" s="376">
        <v>0</v>
      </c>
      <c r="P10" s="376">
        <v>0</v>
      </c>
      <c r="Q10" s="376">
        <v>0</v>
      </c>
      <c r="R10" s="376">
        <v>0</v>
      </c>
      <c r="S10" s="376">
        <v>0</v>
      </c>
      <c r="T10" s="377">
        <v>14.606072418693502</v>
      </c>
      <c r="U10" s="375">
        <v>56223.717307023922</v>
      </c>
      <c r="V10" s="376">
        <v>127817.40295091413</v>
      </c>
      <c r="W10" s="376">
        <v>373327.47584755335</v>
      </c>
      <c r="X10" s="376">
        <v>78583.143372521707</v>
      </c>
      <c r="Y10" s="376">
        <v>796593.03951106395</v>
      </c>
      <c r="Z10" s="376">
        <v>315192.95581559453</v>
      </c>
      <c r="AA10" s="376">
        <v>84312.192576945221</v>
      </c>
      <c r="AB10" s="377">
        <v>902552.2444063361</v>
      </c>
      <c r="AC10" s="375">
        <v>7049694.2243986726</v>
      </c>
      <c r="AD10" s="376">
        <v>3316152.785815795</v>
      </c>
      <c r="AE10" s="376">
        <v>0</v>
      </c>
      <c r="AF10" s="376">
        <v>0</v>
      </c>
      <c r="AG10" s="376">
        <v>0</v>
      </c>
      <c r="AH10" s="376">
        <v>0</v>
      </c>
      <c r="AI10" s="376">
        <v>90424.789541529521</v>
      </c>
      <c r="AJ10" s="377">
        <v>403399.87030159082</v>
      </c>
      <c r="AK10" s="375">
        <v>342864.0435004913</v>
      </c>
      <c r="AL10" s="376">
        <v>168299.81368222041</v>
      </c>
      <c r="AM10" s="376">
        <v>0</v>
      </c>
      <c r="AN10" s="376">
        <v>0</v>
      </c>
      <c r="AO10" s="376">
        <v>0</v>
      </c>
      <c r="AP10" s="376">
        <v>0</v>
      </c>
      <c r="AQ10" s="376">
        <v>0</v>
      </c>
      <c r="AR10" s="377">
        <v>0</v>
      </c>
      <c r="AS10" s="373">
        <f t="shared" si="0"/>
        <v>9328153.0988559499</v>
      </c>
      <c r="AT10" s="373">
        <f t="shared" si="0"/>
        <v>4238015.1209371667</v>
      </c>
      <c r="AU10" s="373">
        <f t="shared" si="0"/>
        <v>373327.47584755335</v>
      </c>
      <c r="AV10" s="373">
        <f t="shared" si="0"/>
        <v>78583.143372521707</v>
      </c>
      <c r="AW10" s="373">
        <f t="shared" si="0"/>
        <v>796593.03951106395</v>
      </c>
      <c r="AX10" s="373">
        <f t="shared" si="0"/>
        <v>315192.95581559453</v>
      </c>
      <c r="AY10" s="373">
        <f t="shared" si="0"/>
        <v>174736.98211847473</v>
      </c>
      <c r="AZ10" s="373">
        <f t="shared" si="0"/>
        <v>1305966.7207803456</v>
      </c>
      <c r="BA10" s="374">
        <f t="shared" si="2"/>
        <v>16610568.537238669</v>
      </c>
    </row>
    <row r="11" spans="1:72">
      <c r="A11" s="840"/>
      <c r="B11" s="621" t="s">
        <v>2457</v>
      </c>
      <c r="C11" s="638">
        <v>78375533.713674605</v>
      </c>
      <c r="D11" s="369">
        <f t="shared" si="1"/>
        <v>0.14271010402976964</v>
      </c>
      <c r="E11" s="370">
        <v>92.325096950615702</v>
      </c>
      <c r="F11" s="371">
        <v>4569147.5489954576</v>
      </c>
      <c r="G11" s="372">
        <v>3716787.2307913341</v>
      </c>
      <c r="H11" s="372">
        <v>3158620.4923759447</v>
      </c>
      <c r="I11" s="372">
        <v>375688.32920205069</v>
      </c>
      <c r="J11" s="372">
        <v>12902984.279434174</v>
      </c>
      <c r="K11" s="372">
        <v>51240423.299654685</v>
      </c>
      <c r="L11" s="372">
        <v>2411882.5332209594</v>
      </c>
      <c r="M11" s="375">
        <v>8652265.4779239111</v>
      </c>
      <c r="N11" s="376">
        <v>3167978.1234408752</v>
      </c>
      <c r="O11" s="376">
        <v>0</v>
      </c>
      <c r="P11" s="376">
        <v>0</v>
      </c>
      <c r="Q11" s="376">
        <v>0</v>
      </c>
      <c r="R11" s="376">
        <v>0</v>
      </c>
      <c r="S11" s="376">
        <v>0</v>
      </c>
      <c r="T11" s="377">
        <v>0</v>
      </c>
      <c r="U11" s="375">
        <v>895064.58898701216</v>
      </c>
      <c r="V11" s="376">
        <v>210870.66491157387</v>
      </c>
      <c r="W11" s="376">
        <v>1757502.0345002031</v>
      </c>
      <c r="X11" s="376">
        <v>203770.52842316352</v>
      </c>
      <c r="Y11" s="376">
        <v>4372867.9796338566</v>
      </c>
      <c r="Z11" s="376">
        <v>1094017.3979818092</v>
      </c>
      <c r="AA11" s="376">
        <v>290102.83154979203</v>
      </c>
      <c r="AB11" s="377">
        <v>4078788.2534467643</v>
      </c>
      <c r="AC11" s="375">
        <v>35329320.871670403</v>
      </c>
      <c r="AD11" s="376">
        <v>15261320.868300993</v>
      </c>
      <c r="AE11" s="376">
        <v>135.73654066432192</v>
      </c>
      <c r="AF11" s="376">
        <v>0</v>
      </c>
      <c r="AG11" s="376">
        <v>0</v>
      </c>
      <c r="AH11" s="376">
        <v>0</v>
      </c>
      <c r="AI11" s="376">
        <v>63110.874252552305</v>
      </c>
      <c r="AJ11" s="377">
        <v>586534.94889008068</v>
      </c>
      <c r="AK11" s="375">
        <v>1631033.893329449</v>
      </c>
      <c r="AL11" s="376">
        <v>780848.63989151036</v>
      </c>
      <c r="AM11" s="376">
        <v>0</v>
      </c>
      <c r="AN11" s="376">
        <v>0</v>
      </c>
      <c r="AO11" s="376">
        <v>0</v>
      </c>
      <c r="AP11" s="376">
        <v>0</v>
      </c>
      <c r="AQ11" s="376">
        <v>0</v>
      </c>
      <c r="AR11" s="377">
        <v>0</v>
      </c>
      <c r="AS11" s="373">
        <f t="shared" si="0"/>
        <v>46507684.831910774</v>
      </c>
      <c r="AT11" s="373">
        <f t="shared" si="0"/>
        <v>19421018.29654495</v>
      </c>
      <c r="AU11" s="373">
        <f t="shared" si="0"/>
        <v>1757637.7710408673</v>
      </c>
      <c r="AV11" s="373">
        <f t="shared" si="0"/>
        <v>203770.52842316352</v>
      </c>
      <c r="AW11" s="373">
        <f t="shared" si="0"/>
        <v>4372867.9796338566</v>
      </c>
      <c r="AX11" s="373">
        <f t="shared" si="0"/>
        <v>1094017.3979818092</v>
      </c>
      <c r="AY11" s="373">
        <f t="shared" si="0"/>
        <v>353213.70580234431</v>
      </c>
      <c r="AZ11" s="373">
        <f t="shared" si="0"/>
        <v>4665323.202336845</v>
      </c>
      <c r="BA11" s="374">
        <f t="shared" si="2"/>
        <v>78375533.71367462</v>
      </c>
    </row>
    <row r="12" spans="1:72" s="253" customFormat="1" ht="13.5" thickBot="1">
      <c r="A12" s="841"/>
      <c r="B12" s="640" t="s">
        <v>2458</v>
      </c>
      <c r="C12" s="641">
        <v>19991192.019257538</v>
      </c>
      <c r="D12" s="379">
        <f t="shared" si="1"/>
        <v>3.6400965423340717E-2</v>
      </c>
      <c r="E12" s="380">
        <v>92.325096950615702</v>
      </c>
      <c r="F12" s="381">
        <v>1165449.2376407394</v>
      </c>
      <c r="G12" s="382">
        <v>948038.29339040269</v>
      </c>
      <c r="H12" s="382">
        <v>805667.09771613497</v>
      </c>
      <c r="I12" s="382">
        <v>95826.556740395681</v>
      </c>
      <c r="J12" s="382">
        <v>3291155.0853863554</v>
      </c>
      <c r="K12" s="382">
        <v>13069858.574407509</v>
      </c>
      <c r="L12" s="382">
        <v>615197.17397600214</v>
      </c>
      <c r="M12" s="383">
        <v>2005770.7505679845</v>
      </c>
      <c r="N12" s="384">
        <v>1009210.4349196877</v>
      </c>
      <c r="O12" s="384">
        <v>0</v>
      </c>
      <c r="P12" s="384">
        <v>0</v>
      </c>
      <c r="Q12" s="384">
        <v>0</v>
      </c>
      <c r="R12" s="384">
        <v>0</v>
      </c>
      <c r="S12" s="384">
        <v>0</v>
      </c>
      <c r="T12" s="385">
        <v>0</v>
      </c>
      <c r="U12" s="383">
        <v>647923.36680807953</v>
      </c>
      <c r="V12" s="384">
        <v>150950.34049636943</v>
      </c>
      <c r="W12" s="384">
        <v>526039.41975393961</v>
      </c>
      <c r="X12" s="384">
        <v>134887.83931300163</v>
      </c>
      <c r="Y12" s="384">
        <v>744069.70160692558</v>
      </c>
      <c r="Z12" s="384">
        <v>203339.30652170378</v>
      </c>
      <c r="AA12" s="384">
        <v>87693.058411811988</v>
      </c>
      <c r="AB12" s="385">
        <v>796252.05247452366</v>
      </c>
      <c r="AC12" s="383">
        <v>6954956.5113566583</v>
      </c>
      <c r="AD12" s="384">
        <v>5049265.2735583549</v>
      </c>
      <c r="AE12" s="384">
        <v>678159.06604041741</v>
      </c>
      <c r="AF12" s="384">
        <v>0</v>
      </c>
      <c r="AG12" s="384">
        <v>0</v>
      </c>
      <c r="AH12" s="384">
        <v>0</v>
      </c>
      <c r="AI12" s="384">
        <v>17382.150455331401</v>
      </c>
      <c r="AJ12" s="385">
        <v>370095.57299674809</v>
      </c>
      <c r="AK12" s="383">
        <v>408924.59011785145</v>
      </c>
      <c r="AL12" s="384">
        <v>203791.36496143378</v>
      </c>
      <c r="AM12" s="384">
        <v>2481.2188967169814</v>
      </c>
      <c r="AN12" s="384">
        <v>0</v>
      </c>
      <c r="AO12" s="384">
        <v>0</v>
      </c>
      <c r="AP12" s="384">
        <v>0</v>
      </c>
      <c r="AQ12" s="384">
        <v>0</v>
      </c>
      <c r="AR12" s="385">
        <v>0</v>
      </c>
      <c r="AS12" s="386">
        <f t="shared" si="0"/>
        <v>10017575.218850574</v>
      </c>
      <c r="AT12" s="386">
        <f t="shared" si="0"/>
        <v>6413217.4139358457</v>
      </c>
      <c r="AU12" s="386">
        <f t="shared" si="0"/>
        <v>1206679.7046910741</v>
      </c>
      <c r="AV12" s="386">
        <f t="shared" si="0"/>
        <v>134887.83931300163</v>
      </c>
      <c r="AW12" s="386">
        <f t="shared" si="0"/>
        <v>744069.70160692558</v>
      </c>
      <c r="AX12" s="386">
        <f t="shared" si="0"/>
        <v>203339.30652170378</v>
      </c>
      <c r="AY12" s="386">
        <f t="shared" si="0"/>
        <v>105075.20886714339</v>
      </c>
      <c r="AZ12" s="386">
        <f t="shared" si="0"/>
        <v>1166347.6254712718</v>
      </c>
      <c r="BA12" s="387">
        <f t="shared" si="2"/>
        <v>19991192.019257538</v>
      </c>
    </row>
    <row r="13" spans="1:72">
      <c r="A13" s="827" t="s">
        <v>492</v>
      </c>
      <c r="B13" s="388" t="s">
        <v>2459</v>
      </c>
      <c r="C13" s="368">
        <v>4442987.8062184351</v>
      </c>
      <c r="D13" s="369">
        <f t="shared" si="1"/>
        <v>8.0900151103890094E-3</v>
      </c>
      <c r="E13" s="370">
        <v>141.604614679127</v>
      </c>
      <c r="F13" s="371">
        <v>169259.17517266417</v>
      </c>
      <c r="G13" s="372">
        <v>39183.843101471008</v>
      </c>
      <c r="H13" s="372">
        <v>21859.0988477215</v>
      </c>
      <c r="I13" s="372">
        <v>4909.2263456678638</v>
      </c>
      <c r="J13" s="372">
        <v>1858111.8173282866</v>
      </c>
      <c r="K13" s="372">
        <v>2144566.6444759206</v>
      </c>
      <c r="L13" s="389">
        <v>205098.00094670246</v>
      </c>
      <c r="M13" s="375">
        <v>137934.02680676509</v>
      </c>
      <c r="N13" s="376">
        <v>97277.31666075949</v>
      </c>
      <c r="O13" s="376">
        <v>0</v>
      </c>
      <c r="P13" s="376">
        <v>0</v>
      </c>
      <c r="Q13" s="376">
        <v>0</v>
      </c>
      <c r="R13" s="376">
        <v>0</v>
      </c>
      <c r="S13" s="376">
        <v>0</v>
      </c>
      <c r="T13" s="377">
        <v>0</v>
      </c>
      <c r="U13" s="375">
        <v>140576.72146277488</v>
      </c>
      <c r="V13" s="376">
        <v>12443.728007353993</v>
      </c>
      <c r="W13" s="376">
        <v>373753.5530040476</v>
      </c>
      <c r="X13" s="376">
        <v>359660.22444605251</v>
      </c>
      <c r="Y13" s="376">
        <v>401941.42184487538</v>
      </c>
      <c r="Z13" s="376">
        <v>70590.525001990201</v>
      </c>
      <c r="AA13" s="376">
        <v>116825.66934066512</v>
      </c>
      <c r="AB13" s="377">
        <v>382319.97422052693</v>
      </c>
      <c r="AC13" s="375">
        <v>1100353.0825032438</v>
      </c>
      <c r="AD13" s="376">
        <v>1010626.7032852992</v>
      </c>
      <c r="AE13" s="376">
        <v>0</v>
      </c>
      <c r="AF13" s="376">
        <v>0</v>
      </c>
      <c r="AG13" s="376">
        <v>0</v>
      </c>
      <c r="AH13" s="376">
        <v>0</v>
      </c>
      <c r="AI13" s="376">
        <v>17302.888919636429</v>
      </c>
      <c r="AJ13" s="377">
        <v>16283.96976774107</v>
      </c>
      <c r="AK13" s="375">
        <v>132025.25969283318</v>
      </c>
      <c r="AL13" s="376">
        <v>54804.647697949513</v>
      </c>
      <c r="AM13" s="376">
        <v>0</v>
      </c>
      <c r="AN13" s="376">
        <v>0</v>
      </c>
      <c r="AO13" s="376">
        <v>0</v>
      </c>
      <c r="AP13" s="376">
        <v>0</v>
      </c>
      <c r="AQ13" s="376">
        <v>18268.093555919786</v>
      </c>
      <c r="AR13" s="377">
        <v>0</v>
      </c>
      <c r="AS13" s="378">
        <f t="shared" si="0"/>
        <v>1510889.0904656169</v>
      </c>
      <c r="AT13" s="378">
        <f t="shared" si="0"/>
        <v>1175152.3956513624</v>
      </c>
      <c r="AU13" s="378">
        <f t="shared" si="0"/>
        <v>373753.5530040476</v>
      </c>
      <c r="AV13" s="378">
        <f t="shared" si="0"/>
        <v>359660.22444605251</v>
      </c>
      <c r="AW13" s="378">
        <f t="shared" si="0"/>
        <v>401941.42184487538</v>
      </c>
      <c r="AX13" s="378">
        <f t="shared" si="0"/>
        <v>70590.525001990201</v>
      </c>
      <c r="AY13" s="378">
        <f>S13+AA13+AI13+AQ13</f>
        <v>152396.65181622133</v>
      </c>
      <c r="AZ13" s="378">
        <f t="shared" si="0"/>
        <v>398603.94398826797</v>
      </c>
      <c r="BA13" s="374">
        <f t="shared" si="2"/>
        <v>4442987.8062184351</v>
      </c>
    </row>
    <row r="14" spans="1:72">
      <c r="A14" s="828"/>
      <c r="B14" s="388" t="s">
        <v>2460</v>
      </c>
      <c r="C14" s="368">
        <v>8169233.5181015972</v>
      </c>
      <c r="D14" s="369">
        <f t="shared" si="1"/>
        <v>1.4874950255150236E-2</v>
      </c>
      <c r="E14" s="370">
        <v>141.604614679127</v>
      </c>
      <c r="F14" s="371">
        <v>311213.48681882425</v>
      </c>
      <c r="G14" s="372">
        <v>72046.554794625859</v>
      </c>
      <c r="H14" s="372">
        <v>40191.89130619981</v>
      </c>
      <c r="I14" s="372">
        <v>9026.4970691224134</v>
      </c>
      <c r="J14" s="372">
        <v>3416473.3284331309</v>
      </c>
      <c r="K14" s="372">
        <v>3943172.1350517781</v>
      </c>
      <c r="L14" s="389">
        <v>377109.6246279144</v>
      </c>
      <c r="M14" s="375">
        <v>432478.42998877232</v>
      </c>
      <c r="N14" s="376">
        <v>0</v>
      </c>
      <c r="O14" s="376">
        <v>0</v>
      </c>
      <c r="P14" s="376">
        <v>0</v>
      </c>
      <c r="Q14" s="376">
        <v>0</v>
      </c>
      <c r="R14" s="376">
        <v>0</v>
      </c>
      <c r="S14" s="376">
        <v>0</v>
      </c>
      <c r="T14" s="377">
        <v>0</v>
      </c>
      <c r="U14" s="375">
        <v>104084.03433983016</v>
      </c>
      <c r="V14" s="376">
        <v>26391.464520370548</v>
      </c>
      <c r="W14" s="376">
        <v>614021.9580951453</v>
      </c>
      <c r="X14" s="376">
        <v>462107.20497227821</v>
      </c>
      <c r="Y14" s="376">
        <v>833042.08265726699</v>
      </c>
      <c r="Z14" s="376">
        <v>152820.74599377968</v>
      </c>
      <c r="AA14" s="376">
        <v>150115.93636314021</v>
      </c>
      <c r="AB14" s="377">
        <v>1073889.9014913195</v>
      </c>
      <c r="AC14" s="375">
        <v>3519474.5995497908</v>
      </c>
      <c r="AD14" s="376">
        <v>402798.30001233454</v>
      </c>
      <c r="AE14" s="376">
        <v>0</v>
      </c>
      <c r="AF14" s="376">
        <v>0</v>
      </c>
      <c r="AG14" s="376">
        <v>0</v>
      </c>
      <c r="AH14" s="376">
        <v>0</v>
      </c>
      <c r="AI14" s="376">
        <v>20899.235489652616</v>
      </c>
      <c r="AJ14" s="377">
        <v>0</v>
      </c>
      <c r="AK14" s="375">
        <v>186238.18526236436</v>
      </c>
      <c r="AL14" s="376">
        <v>190871.43936555003</v>
      </c>
      <c r="AM14" s="376">
        <v>0</v>
      </c>
      <c r="AN14" s="376">
        <v>0</v>
      </c>
      <c r="AO14" s="376">
        <v>0</v>
      </c>
      <c r="AP14" s="376">
        <v>0</v>
      </c>
      <c r="AQ14" s="376">
        <v>0</v>
      </c>
      <c r="AR14" s="377">
        <v>0</v>
      </c>
      <c r="AS14" s="373">
        <f t="shared" si="0"/>
        <v>4242275.2491407581</v>
      </c>
      <c r="AT14" s="373">
        <f t="shared" si="0"/>
        <v>620061.20389825513</v>
      </c>
      <c r="AU14" s="373">
        <f t="shared" si="0"/>
        <v>614021.9580951453</v>
      </c>
      <c r="AV14" s="373">
        <f t="shared" si="0"/>
        <v>462107.20497227821</v>
      </c>
      <c r="AW14" s="373">
        <f t="shared" si="0"/>
        <v>833042.08265726699</v>
      </c>
      <c r="AX14" s="373">
        <f t="shared" si="0"/>
        <v>152820.74599377968</v>
      </c>
      <c r="AY14" s="373">
        <f t="shared" si="0"/>
        <v>171015.17185279282</v>
      </c>
      <c r="AZ14" s="373">
        <f t="shared" si="0"/>
        <v>1073889.9014913195</v>
      </c>
      <c r="BA14" s="374">
        <f t="shared" si="2"/>
        <v>8169233.5181015963</v>
      </c>
    </row>
    <row r="15" spans="1:72">
      <c r="A15" s="828"/>
      <c r="B15" s="388" t="s">
        <v>2461</v>
      </c>
      <c r="C15" s="368">
        <v>5880425.3125215936</v>
      </c>
      <c r="D15" s="369">
        <f t="shared" si="1"/>
        <v>1.070737344073522E-2</v>
      </c>
      <c r="E15" s="370">
        <v>141.60461467912702</v>
      </c>
      <c r="F15" s="371">
        <v>224019.50702381178</v>
      </c>
      <c r="G15" s="372">
        <v>51860.971235003315</v>
      </c>
      <c r="H15" s="372">
        <v>28931.161592013952</v>
      </c>
      <c r="I15" s="372">
        <v>6497.5057612264591</v>
      </c>
      <c r="J15" s="372">
        <v>2459265.755539543</v>
      </c>
      <c r="K15" s="372">
        <v>2838397.1621338488</v>
      </c>
      <c r="L15" s="389">
        <v>271453.24923614523</v>
      </c>
      <c r="M15" s="375">
        <v>216126.20932023617</v>
      </c>
      <c r="N15" s="376">
        <v>95182.936291819351</v>
      </c>
      <c r="O15" s="376">
        <v>0</v>
      </c>
      <c r="P15" s="376">
        <v>0</v>
      </c>
      <c r="Q15" s="376">
        <v>0</v>
      </c>
      <c r="R15" s="376">
        <v>0</v>
      </c>
      <c r="S15" s="376">
        <v>0</v>
      </c>
      <c r="T15" s="377">
        <v>0</v>
      </c>
      <c r="U15" s="375">
        <v>85249.57085675378</v>
      </c>
      <c r="V15" s="376">
        <v>11895.311941975517</v>
      </c>
      <c r="W15" s="376">
        <v>358786.66264350328</v>
      </c>
      <c r="X15" s="376">
        <v>316930.84850593837</v>
      </c>
      <c r="Y15" s="376">
        <v>581493.72094460123</v>
      </c>
      <c r="Z15" s="376">
        <v>142879.84662692071</v>
      </c>
      <c r="AA15" s="376">
        <v>74215.264505747691</v>
      </c>
      <c r="AB15" s="377">
        <v>887814.52951410215</v>
      </c>
      <c r="AC15" s="375">
        <v>1596893.548270162</v>
      </c>
      <c r="AD15" s="376">
        <v>570827.27466090699</v>
      </c>
      <c r="AE15" s="376">
        <v>622123.38334269868</v>
      </c>
      <c r="AF15" s="376">
        <v>0</v>
      </c>
      <c r="AG15" s="376">
        <v>0</v>
      </c>
      <c r="AH15" s="376">
        <v>0</v>
      </c>
      <c r="AI15" s="376">
        <v>973.69799759660907</v>
      </c>
      <c r="AJ15" s="377">
        <v>47579.25786248425</v>
      </c>
      <c r="AK15" s="375">
        <v>158181.08845915002</v>
      </c>
      <c r="AL15" s="376">
        <v>24894.61496090658</v>
      </c>
      <c r="AM15" s="376">
        <v>88377.545816088648</v>
      </c>
      <c r="AN15" s="376">
        <v>0</v>
      </c>
      <c r="AO15" s="376">
        <v>0</v>
      </c>
      <c r="AP15" s="376">
        <v>0</v>
      </c>
      <c r="AQ15" s="376">
        <v>0</v>
      </c>
      <c r="AR15" s="377">
        <v>0</v>
      </c>
      <c r="AS15" s="373">
        <f t="shared" si="0"/>
        <v>2056450.4169063019</v>
      </c>
      <c r="AT15" s="373">
        <f t="shared" si="0"/>
        <v>702800.13785560848</v>
      </c>
      <c r="AU15" s="373">
        <f t="shared" si="0"/>
        <v>1069287.5918022906</v>
      </c>
      <c r="AV15" s="373">
        <f t="shared" si="0"/>
        <v>316930.84850593837</v>
      </c>
      <c r="AW15" s="373">
        <f t="shared" si="0"/>
        <v>581493.72094460123</v>
      </c>
      <c r="AX15" s="373">
        <f t="shared" si="0"/>
        <v>142879.84662692071</v>
      </c>
      <c r="AY15" s="373">
        <f t="shared" si="0"/>
        <v>75188.962503344301</v>
      </c>
      <c r="AZ15" s="373">
        <f t="shared" si="0"/>
        <v>935393.78737658635</v>
      </c>
      <c r="BA15" s="374">
        <f t="shared" si="2"/>
        <v>5880425.3125215927</v>
      </c>
    </row>
    <row r="16" spans="1:72">
      <c r="A16" s="828"/>
      <c r="B16" s="388" t="s">
        <v>2462</v>
      </c>
      <c r="C16" s="368">
        <v>8936194.1313820612</v>
      </c>
      <c r="D16" s="369">
        <f t="shared" si="1"/>
        <v>1.6271470619628393E-2</v>
      </c>
      <c r="E16" s="370">
        <v>141.604614679127</v>
      </c>
      <c r="F16" s="371">
        <v>340431.46500280255</v>
      </c>
      <c r="G16" s="372">
        <v>78810.576134888834</v>
      </c>
      <c r="H16" s="372">
        <v>43965.268274406262</v>
      </c>
      <c r="I16" s="372">
        <v>9873.9410444437653</v>
      </c>
      <c r="J16" s="372">
        <v>3737225.6332148821</v>
      </c>
      <c r="K16" s="372">
        <v>4313373.0495278444</v>
      </c>
      <c r="L16" s="389">
        <v>412514.19818279095</v>
      </c>
      <c r="M16" s="375">
        <v>395618.39019616606</v>
      </c>
      <c r="N16" s="376">
        <v>77462.860260375324</v>
      </c>
      <c r="O16" s="376">
        <v>0</v>
      </c>
      <c r="P16" s="376">
        <v>0</v>
      </c>
      <c r="Q16" s="376">
        <v>0</v>
      </c>
      <c r="R16" s="376">
        <v>0</v>
      </c>
      <c r="S16" s="376">
        <v>0</v>
      </c>
      <c r="T16" s="377">
        <v>0</v>
      </c>
      <c r="U16" s="375">
        <v>97028.533506760898</v>
      </c>
      <c r="V16" s="376">
        <v>30831.703077630831</v>
      </c>
      <c r="W16" s="376">
        <v>509509.23251453118</v>
      </c>
      <c r="X16" s="376">
        <v>213033.68001914676</v>
      </c>
      <c r="Y16" s="376">
        <v>828961.98933947331</v>
      </c>
      <c r="Z16" s="376">
        <v>52957.669691063398</v>
      </c>
      <c r="AA16" s="376">
        <v>89973.057853865161</v>
      </c>
      <c r="AB16" s="377">
        <v>1914929.7672124102</v>
      </c>
      <c r="AC16" s="375">
        <v>3197591.1269872924</v>
      </c>
      <c r="AD16" s="376">
        <v>528926.294971711</v>
      </c>
      <c r="AE16" s="376">
        <v>244655.98685666162</v>
      </c>
      <c r="AF16" s="376">
        <v>0</v>
      </c>
      <c r="AG16" s="376">
        <v>0</v>
      </c>
      <c r="AH16" s="376">
        <v>0</v>
      </c>
      <c r="AI16" s="376">
        <v>107566.57105345896</v>
      </c>
      <c r="AJ16" s="377">
        <v>234633.06965872055</v>
      </c>
      <c r="AK16" s="375">
        <v>192682.22125335669</v>
      </c>
      <c r="AL16" s="376">
        <v>5875.6933925839576</v>
      </c>
      <c r="AM16" s="376">
        <v>213956.2835368503</v>
      </c>
      <c r="AN16" s="376">
        <v>0</v>
      </c>
      <c r="AO16" s="376">
        <v>0</v>
      </c>
      <c r="AP16" s="376">
        <v>0</v>
      </c>
      <c r="AQ16" s="376">
        <v>0</v>
      </c>
      <c r="AR16" s="377">
        <v>0</v>
      </c>
      <c r="AS16" s="373">
        <f t="shared" si="0"/>
        <v>3882920.2719435762</v>
      </c>
      <c r="AT16" s="373">
        <f t="shared" si="0"/>
        <v>643096.55170230113</v>
      </c>
      <c r="AU16" s="373">
        <f t="shared" si="0"/>
        <v>968121.5029080431</v>
      </c>
      <c r="AV16" s="373">
        <f t="shared" si="0"/>
        <v>213033.68001914676</v>
      </c>
      <c r="AW16" s="373">
        <f t="shared" si="0"/>
        <v>828961.98933947331</v>
      </c>
      <c r="AX16" s="373">
        <f t="shared" si="0"/>
        <v>52957.669691063398</v>
      </c>
      <c r="AY16" s="373">
        <f t="shared" si="0"/>
        <v>197539.62890732411</v>
      </c>
      <c r="AZ16" s="373">
        <f t="shared" si="0"/>
        <v>2149562.8368711309</v>
      </c>
      <c r="BA16" s="374">
        <f t="shared" si="2"/>
        <v>8936194.1313820593</v>
      </c>
    </row>
    <row r="17" spans="1:53">
      <c r="A17" s="828"/>
      <c r="B17" s="388" t="s">
        <v>2463</v>
      </c>
      <c r="C17" s="368">
        <v>24011211.693687584</v>
      </c>
      <c r="D17" s="369">
        <f t="shared" si="1"/>
        <v>4.3720818938284452E-2</v>
      </c>
      <c r="E17" s="370">
        <v>141.60461467912702</v>
      </c>
      <c r="F17" s="371">
        <v>914726.3200861417</v>
      </c>
      <c r="G17" s="372">
        <v>211761.0024418339</v>
      </c>
      <c r="H17" s="372">
        <v>118132.99355251009</v>
      </c>
      <c r="I17" s="372">
        <v>26530.901766842278</v>
      </c>
      <c r="J17" s="372">
        <v>10041782.274074188</v>
      </c>
      <c r="K17" s="372">
        <v>11589868.335821612</v>
      </c>
      <c r="L17" s="389">
        <v>1108409.8659444519</v>
      </c>
      <c r="M17" s="375">
        <v>1131949.9174419632</v>
      </c>
      <c r="N17" s="376">
        <v>139098.57423374013</v>
      </c>
      <c r="O17" s="376">
        <v>0</v>
      </c>
      <c r="P17" s="376">
        <v>0</v>
      </c>
      <c r="Q17" s="376">
        <v>0</v>
      </c>
      <c r="R17" s="376">
        <v>0</v>
      </c>
      <c r="S17" s="376">
        <v>0</v>
      </c>
      <c r="T17" s="377">
        <v>102.726171624389</v>
      </c>
      <c r="U17" s="375">
        <v>153017.35659252276</v>
      </c>
      <c r="V17" s="376">
        <v>120172.06843548569</v>
      </c>
      <c r="W17" s="376">
        <v>2012264.5992783674</v>
      </c>
      <c r="X17" s="376">
        <v>994494.46517966921</v>
      </c>
      <c r="Y17" s="376">
        <v>2503680.4403422363</v>
      </c>
      <c r="Z17" s="376">
        <v>839592.88373312552</v>
      </c>
      <c r="AA17" s="376">
        <v>352019.11322522914</v>
      </c>
      <c r="AB17" s="377">
        <v>3066541.3472875524</v>
      </c>
      <c r="AC17" s="375">
        <v>7344800.4364121938</v>
      </c>
      <c r="AD17" s="376">
        <v>2260162.9561243011</v>
      </c>
      <c r="AE17" s="376">
        <v>749953.92732611531</v>
      </c>
      <c r="AF17" s="376">
        <v>0</v>
      </c>
      <c r="AG17" s="376">
        <v>0</v>
      </c>
      <c r="AH17" s="376">
        <v>0</v>
      </c>
      <c r="AI17" s="376">
        <v>596568.05628693546</v>
      </c>
      <c r="AJ17" s="377">
        <v>638382.95967206685</v>
      </c>
      <c r="AK17" s="375">
        <v>999014.47815479594</v>
      </c>
      <c r="AL17" s="376">
        <v>104814.57861344973</v>
      </c>
      <c r="AM17" s="376">
        <v>0</v>
      </c>
      <c r="AN17" s="376">
        <v>0</v>
      </c>
      <c r="AO17" s="376">
        <v>0</v>
      </c>
      <c r="AP17" s="376">
        <v>0</v>
      </c>
      <c r="AQ17" s="376">
        <v>4558.5028501050792</v>
      </c>
      <c r="AR17" s="377">
        <v>22.30632610119752</v>
      </c>
      <c r="AS17" s="373">
        <f t="shared" si="0"/>
        <v>9628782.1886014752</v>
      </c>
      <c r="AT17" s="373">
        <f t="shared" si="0"/>
        <v>2624248.1774069769</v>
      </c>
      <c r="AU17" s="373">
        <f t="shared" si="0"/>
        <v>2762218.5266044829</v>
      </c>
      <c r="AV17" s="373">
        <f t="shared" si="0"/>
        <v>994494.46517966921</v>
      </c>
      <c r="AW17" s="373">
        <f t="shared" si="0"/>
        <v>2503680.4403422363</v>
      </c>
      <c r="AX17" s="373">
        <f t="shared" si="0"/>
        <v>839592.88373312552</v>
      </c>
      <c r="AY17" s="373">
        <f t="shared" si="0"/>
        <v>953145.6723622696</v>
      </c>
      <c r="AZ17" s="373">
        <f t="shared" si="0"/>
        <v>3705049.3394573447</v>
      </c>
      <c r="BA17" s="374">
        <f t="shared" si="2"/>
        <v>24011211.693687581</v>
      </c>
    </row>
    <row r="18" spans="1:53">
      <c r="A18" s="828"/>
      <c r="B18" s="388" t="s">
        <v>2464</v>
      </c>
      <c r="C18" s="368">
        <v>23497676.752764527</v>
      </c>
      <c r="D18" s="369">
        <f t="shared" si="1"/>
        <v>4.2785748752864276E-2</v>
      </c>
      <c r="E18" s="370">
        <v>141.604614679127</v>
      </c>
      <c r="F18" s="371">
        <v>895162.79564852675</v>
      </c>
      <c r="G18" s="372">
        <v>207232.00676822683</v>
      </c>
      <c r="H18" s="372">
        <v>115606.44801041231</v>
      </c>
      <c r="I18" s="372">
        <v>25963.477463342733</v>
      </c>
      <c r="J18" s="372">
        <v>9827015.6836719811</v>
      </c>
      <c r="K18" s="372">
        <v>11341992.36741695</v>
      </c>
      <c r="L18" s="389">
        <v>1084703.9737850837</v>
      </c>
      <c r="M18" s="375">
        <v>1158807.005191087</v>
      </c>
      <c r="N18" s="376">
        <v>85157.722699421298</v>
      </c>
      <c r="O18" s="376">
        <v>0</v>
      </c>
      <c r="P18" s="376">
        <v>0</v>
      </c>
      <c r="Q18" s="376">
        <v>0</v>
      </c>
      <c r="R18" s="376">
        <v>0</v>
      </c>
      <c r="S18" s="376">
        <v>0</v>
      </c>
      <c r="T18" s="377">
        <v>0</v>
      </c>
      <c r="U18" s="375">
        <v>291635.70589098346</v>
      </c>
      <c r="V18" s="376">
        <v>164970.00243939218</v>
      </c>
      <c r="W18" s="376">
        <v>1759308.9043014972</v>
      </c>
      <c r="X18" s="376">
        <v>1019206.0227526488</v>
      </c>
      <c r="Y18" s="376">
        <v>2460315.9204310863</v>
      </c>
      <c r="Z18" s="376">
        <v>245311.52104428606</v>
      </c>
      <c r="AA18" s="376">
        <v>422349.8673212463</v>
      </c>
      <c r="AB18" s="377">
        <v>3463917.7394908406</v>
      </c>
      <c r="AC18" s="375">
        <v>8039578.3763451269</v>
      </c>
      <c r="AD18" s="376">
        <v>2185836.3867615601</v>
      </c>
      <c r="AE18" s="376">
        <v>582131.69165127375</v>
      </c>
      <c r="AF18" s="376">
        <v>0</v>
      </c>
      <c r="AG18" s="376">
        <v>0</v>
      </c>
      <c r="AH18" s="376">
        <v>0</v>
      </c>
      <c r="AI18" s="376">
        <v>157972.42303074256</v>
      </c>
      <c r="AJ18" s="377">
        <v>376473.48962824699</v>
      </c>
      <c r="AK18" s="375">
        <v>1084703.9737850837</v>
      </c>
      <c r="AL18" s="376">
        <v>0</v>
      </c>
      <c r="AM18" s="376">
        <v>0</v>
      </c>
      <c r="AN18" s="376">
        <v>0</v>
      </c>
      <c r="AO18" s="376">
        <v>0</v>
      </c>
      <c r="AP18" s="376">
        <v>0</v>
      </c>
      <c r="AQ18" s="376">
        <v>0</v>
      </c>
      <c r="AR18" s="377">
        <v>0</v>
      </c>
      <c r="AS18" s="373">
        <f t="shared" si="0"/>
        <v>10574725.061212281</v>
      </c>
      <c r="AT18" s="373">
        <f t="shared" si="0"/>
        <v>2435964.1119003734</v>
      </c>
      <c r="AU18" s="373">
        <f t="shared" si="0"/>
        <v>2341440.5959527707</v>
      </c>
      <c r="AV18" s="373">
        <f t="shared" si="0"/>
        <v>1019206.0227526488</v>
      </c>
      <c r="AW18" s="373">
        <f t="shared" si="0"/>
        <v>2460315.9204310863</v>
      </c>
      <c r="AX18" s="373">
        <f t="shared" si="0"/>
        <v>245311.52104428606</v>
      </c>
      <c r="AY18" s="373">
        <f t="shared" si="0"/>
        <v>580322.29035198886</v>
      </c>
      <c r="AZ18" s="373">
        <f t="shared" si="0"/>
        <v>3840391.2291190876</v>
      </c>
      <c r="BA18" s="374">
        <f t="shared" si="2"/>
        <v>23497676.752764527</v>
      </c>
    </row>
    <row r="19" spans="1:53">
      <c r="A19" s="828"/>
      <c r="B19" s="388" t="s">
        <v>2465</v>
      </c>
      <c r="C19" s="368">
        <v>51321318.408548974</v>
      </c>
      <c r="D19" s="369">
        <f t="shared" si="1"/>
        <v>9.3448431442720567E-2</v>
      </c>
      <c r="E19" s="370">
        <v>141.60461467912702</v>
      </c>
      <c r="F19" s="371">
        <v>1955126.6853460269</v>
      </c>
      <c r="G19" s="372">
        <v>452615.80179595738</v>
      </c>
      <c r="H19" s="372">
        <v>252496.25275084699</v>
      </c>
      <c r="I19" s="372">
        <v>56706.87821223135</v>
      </c>
      <c r="J19" s="372">
        <v>21463202.77591693</v>
      </c>
      <c r="K19" s="372">
        <v>24772066.098281585</v>
      </c>
      <c r="L19" s="389">
        <v>2369103.9162453874</v>
      </c>
      <c r="M19" s="375">
        <v>2506828.8750806861</v>
      </c>
      <c r="N19" s="376">
        <v>210116.74302437637</v>
      </c>
      <c r="O19" s="376">
        <v>0</v>
      </c>
      <c r="P19" s="376">
        <v>0</v>
      </c>
      <c r="Q19" s="376">
        <v>0</v>
      </c>
      <c r="R19" s="376">
        <v>0</v>
      </c>
      <c r="S19" s="376">
        <v>0</v>
      </c>
      <c r="T19" s="377">
        <v>0</v>
      </c>
      <c r="U19" s="375">
        <v>673084.28741643659</v>
      </c>
      <c r="V19" s="376">
        <v>60820.114048518102</v>
      </c>
      <c r="W19" s="376">
        <v>3280161.1701495843</v>
      </c>
      <c r="X19" s="376">
        <v>3604871.3886736045</v>
      </c>
      <c r="Y19" s="376">
        <v>5236646.1461449815</v>
      </c>
      <c r="Z19" s="376">
        <v>725372.90503117221</v>
      </c>
      <c r="AA19" s="376">
        <v>1584772.7835169109</v>
      </c>
      <c r="AB19" s="377">
        <v>6297473.9809357198</v>
      </c>
      <c r="AC19" s="375">
        <v>12373881.452501521</v>
      </c>
      <c r="AD19" s="376">
        <v>3906258.9550083899</v>
      </c>
      <c r="AE19" s="376">
        <v>6906360.6437796028</v>
      </c>
      <c r="AF19" s="376">
        <v>294677.93651885045</v>
      </c>
      <c r="AG19" s="376">
        <v>0</v>
      </c>
      <c r="AH19" s="376">
        <v>0</v>
      </c>
      <c r="AI19" s="376">
        <v>0</v>
      </c>
      <c r="AJ19" s="377">
        <v>1290887.1104732179</v>
      </c>
      <c r="AK19" s="375">
        <v>1475986.3081733049</v>
      </c>
      <c r="AL19" s="376">
        <v>244963.4416785709</v>
      </c>
      <c r="AM19" s="376">
        <v>632755.26061532926</v>
      </c>
      <c r="AN19" s="376">
        <v>12282.438374665608</v>
      </c>
      <c r="AO19" s="376">
        <v>49.074364351369518</v>
      </c>
      <c r="AP19" s="376">
        <v>0</v>
      </c>
      <c r="AQ19" s="376">
        <v>28.040307127497094</v>
      </c>
      <c r="AR19" s="377">
        <v>3039.352732038014</v>
      </c>
      <c r="AS19" s="373">
        <f t="shared" si="0"/>
        <v>17029780.923171949</v>
      </c>
      <c r="AT19" s="373">
        <f t="shared" si="0"/>
        <v>4422159.2537598554</v>
      </c>
      <c r="AU19" s="373">
        <f t="shared" si="0"/>
        <v>10819277.074544515</v>
      </c>
      <c r="AV19" s="373">
        <f t="shared" si="0"/>
        <v>3911831.7635671203</v>
      </c>
      <c r="AW19" s="373">
        <f t="shared" si="0"/>
        <v>5236695.2205093326</v>
      </c>
      <c r="AX19" s="373">
        <f t="shared" si="0"/>
        <v>725372.90503117221</v>
      </c>
      <c r="AY19" s="373">
        <f t="shared" si="0"/>
        <v>1584800.8238240383</v>
      </c>
      <c r="AZ19" s="373">
        <f t="shared" si="0"/>
        <v>7591400.4441409763</v>
      </c>
      <c r="BA19" s="374">
        <f t="shared" si="2"/>
        <v>51321318.408548974</v>
      </c>
    </row>
    <row r="20" spans="1:53" ht="13.5" thickBot="1">
      <c r="A20" s="608"/>
      <c r="B20" s="388" t="s">
        <v>2466</v>
      </c>
      <c r="C20" s="368">
        <v>24931224.521907061</v>
      </c>
      <c r="D20" s="369">
        <f t="shared" si="1"/>
        <v>4.5396024454633192E-2</v>
      </c>
      <c r="E20" s="370">
        <v>141.604614679127</v>
      </c>
      <c r="F20" s="371">
        <v>949774.94485048414</v>
      </c>
      <c r="G20" s="372">
        <v>219874.83031726431</v>
      </c>
      <c r="H20" s="372">
        <v>122659.37359908018</v>
      </c>
      <c r="I20" s="372">
        <v>27547.458960252996</v>
      </c>
      <c r="J20" s="372">
        <v>10426542.88624954</v>
      </c>
      <c r="K20" s="372">
        <v>12033945.364601204</v>
      </c>
      <c r="L20" s="389">
        <v>1150879.6633292299</v>
      </c>
      <c r="M20" s="375">
        <v>973904.63490867044</v>
      </c>
      <c r="N20" s="376">
        <v>337001.61196280218</v>
      </c>
      <c r="O20" s="376">
        <v>8949.0782931108188</v>
      </c>
      <c r="P20" s="376">
        <v>0</v>
      </c>
      <c r="Q20" s="376">
        <v>0</v>
      </c>
      <c r="R20" s="376">
        <v>0</v>
      </c>
      <c r="S20" s="376">
        <v>0</v>
      </c>
      <c r="T20" s="377">
        <v>1.2825624980479653</v>
      </c>
      <c r="U20" s="375">
        <v>361984.7096534723</v>
      </c>
      <c r="V20" s="376">
        <v>88025.140171856328</v>
      </c>
      <c r="W20" s="376">
        <v>1780466.8304246203</v>
      </c>
      <c r="X20" s="376">
        <v>1318812.1591436421</v>
      </c>
      <c r="Y20" s="376">
        <v>2475680.8443285008</v>
      </c>
      <c r="Z20" s="376">
        <v>442917.97398342739</v>
      </c>
      <c r="AA20" s="376">
        <v>466119.26334511384</v>
      </c>
      <c r="AB20" s="377">
        <v>3492535.9651989071</v>
      </c>
      <c r="AC20" s="375">
        <v>7916677.5939243371</v>
      </c>
      <c r="AD20" s="376">
        <v>3700405.4141291804</v>
      </c>
      <c r="AE20" s="376">
        <v>86146.768340725757</v>
      </c>
      <c r="AF20" s="376">
        <v>0</v>
      </c>
      <c r="AG20" s="376">
        <v>0</v>
      </c>
      <c r="AH20" s="376">
        <v>0</v>
      </c>
      <c r="AI20" s="376">
        <v>43130.580079103951</v>
      </c>
      <c r="AJ20" s="377">
        <v>287585.00812785729</v>
      </c>
      <c r="AK20" s="375">
        <v>827016.76545657613</v>
      </c>
      <c r="AL20" s="376">
        <v>294283.06470012647</v>
      </c>
      <c r="AM20" s="376">
        <v>29579.833172527276</v>
      </c>
      <c r="AN20" s="376">
        <v>0</v>
      </c>
      <c r="AO20" s="376">
        <v>0</v>
      </c>
      <c r="AP20" s="376">
        <v>0</v>
      </c>
      <c r="AQ20" s="376">
        <v>0</v>
      </c>
      <c r="AR20" s="377">
        <v>0</v>
      </c>
      <c r="AS20" s="373">
        <f t="shared" si="0"/>
        <v>10079583.703943055</v>
      </c>
      <c r="AT20" s="373">
        <f t="shared" si="0"/>
        <v>4419715.2309639649</v>
      </c>
      <c r="AU20" s="373">
        <f t="shared" si="0"/>
        <v>1905142.5102309841</v>
      </c>
      <c r="AV20" s="373">
        <f t="shared" si="0"/>
        <v>1318812.1591436421</v>
      </c>
      <c r="AW20" s="373">
        <f t="shared" si="0"/>
        <v>2475680.8443285008</v>
      </c>
      <c r="AX20" s="373">
        <f t="shared" si="0"/>
        <v>442917.97398342739</v>
      </c>
      <c r="AY20" s="373">
        <f t="shared" si="0"/>
        <v>509249.84342421778</v>
      </c>
      <c r="AZ20" s="373">
        <f t="shared" si="0"/>
        <v>3780122.2558892625</v>
      </c>
      <c r="BA20" s="374">
        <f t="shared" si="2"/>
        <v>24931224.52190705</v>
      </c>
    </row>
    <row r="21" spans="1:53" s="252" customFormat="1">
      <c r="A21" s="839" t="s">
        <v>493</v>
      </c>
      <c r="B21" s="390" t="s">
        <v>2467</v>
      </c>
      <c r="C21" s="391">
        <v>9902317.5423552338</v>
      </c>
      <c r="D21" s="392">
        <f t="shared" si="1"/>
        <v>1.8030636598507351E-2</v>
      </c>
      <c r="E21" s="393">
        <v>199.94947393904599</v>
      </c>
      <c r="F21" s="394">
        <v>385851.85027860606</v>
      </c>
      <c r="G21" s="395">
        <v>61543.993272008738</v>
      </c>
      <c r="H21" s="395">
        <v>12107.143179009014</v>
      </c>
      <c r="I21" s="395">
        <v>7619.98388694809</v>
      </c>
      <c r="J21" s="395">
        <v>4840100.3851558315</v>
      </c>
      <c r="K21" s="395">
        <v>4060971.9174332097</v>
      </c>
      <c r="L21" s="395">
        <v>534122.26914962009</v>
      </c>
      <c r="M21" s="396">
        <v>441131.4379183859</v>
      </c>
      <c r="N21" s="397">
        <v>25991.532698185954</v>
      </c>
      <c r="O21" s="398">
        <v>0</v>
      </c>
      <c r="P21" s="398">
        <v>0</v>
      </c>
      <c r="Q21" s="398">
        <v>0</v>
      </c>
      <c r="R21" s="398">
        <v>0</v>
      </c>
      <c r="S21" s="398">
        <v>0</v>
      </c>
      <c r="T21" s="399">
        <v>0</v>
      </c>
      <c r="U21" s="396">
        <v>194622.37668465578</v>
      </c>
      <c r="V21" s="398">
        <v>109952.30535100697</v>
      </c>
      <c r="W21" s="398">
        <v>631958.44573241775</v>
      </c>
      <c r="X21" s="398">
        <v>561009.82386927679</v>
      </c>
      <c r="Y21" s="398">
        <v>2312431.8372348463</v>
      </c>
      <c r="Z21" s="398">
        <v>401398.73698881723</v>
      </c>
      <c r="AA21" s="398">
        <v>75495.738740693938</v>
      </c>
      <c r="AB21" s="399">
        <v>553231.12055411609</v>
      </c>
      <c r="AC21" s="396">
        <v>3975291.4974163952</v>
      </c>
      <c r="AD21" s="398">
        <v>68576.890584375215</v>
      </c>
      <c r="AE21" s="398">
        <v>0</v>
      </c>
      <c r="AF21" s="398">
        <v>0</v>
      </c>
      <c r="AG21" s="398">
        <v>0</v>
      </c>
      <c r="AH21" s="398">
        <v>0</v>
      </c>
      <c r="AI21" s="398">
        <v>16990.025580756006</v>
      </c>
      <c r="AJ21" s="399">
        <v>113.50385168295416</v>
      </c>
      <c r="AK21" s="396">
        <v>357859.94429521344</v>
      </c>
      <c r="AL21" s="398">
        <v>176262.32485440664</v>
      </c>
      <c r="AM21" s="398">
        <v>0</v>
      </c>
      <c r="AN21" s="398">
        <v>0</v>
      </c>
      <c r="AO21" s="398">
        <v>0</v>
      </c>
      <c r="AP21" s="398">
        <v>0</v>
      </c>
      <c r="AQ21" s="398">
        <v>0</v>
      </c>
      <c r="AR21" s="399">
        <v>0</v>
      </c>
      <c r="AS21" s="400">
        <f t="shared" si="0"/>
        <v>4968905.2563146502</v>
      </c>
      <c r="AT21" s="400">
        <f t="shared" si="0"/>
        <v>380783.0534879748</v>
      </c>
      <c r="AU21" s="400">
        <f t="shared" si="0"/>
        <v>631958.44573241775</v>
      </c>
      <c r="AV21" s="400">
        <f t="shared" si="0"/>
        <v>561009.82386927679</v>
      </c>
      <c r="AW21" s="400">
        <f t="shared" si="0"/>
        <v>2312431.8372348463</v>
      </c>
      <c r="AX21" s="400">
        <f t="shared" si="0"/>
        <v>401398.73698881723</v>
      </c>
      <c r="AY21" s="400">
        <f t="shared" si="0"/>
        <v>92485.76432144994</v>
      </c>
      <c r="AZ21" s="400">
        <f t="shared" si="0"/>
        <v>553344.62440579908</v>
      </c>
      <c r="BA21" s="401">
        <f t="shared" si="2"/>
        <v>9902317.5423552319</v>
      </c>
    </row>
    <row r="22" spans="1:53">
      <c r="A22" s="840"/>
      <c r="B22" s="30" t="s">
        <v>2468</v>
      </c>
      <c r="C22" s="368">
        <v>30432882.188917208</v>
      </c>
      <c r="D22" s="369">
        <f t="shared" si="1"/>
        <v>5.5413718762955456E-2</v>
      </c>
      <c r="E22" s="370">
        <v>199.94947393904596</v>
      </c>
      <c r="F22" s="371">
        <v>1185841.9861489926</v>
      </c>
      <c r="G22" s="372">
        <v>189143.71193120489</v>
      </c>
      <c r="H22" s="372">
        <v>37208.992787308453</v>
      </c>
      <c r="I22" s="372">
        <v>23418.56549449559</v>
      </c>
      <c r="J22" s="372">
        <v>14875124.350834122</v>
      </c>
      <c r="K22" s="372">
        <v>12480621.774360036</v>
      </c>
      <c r="L22" s="372">
        <v>1641522.8073610479</v>
      </c>
      <c r="M22" s="375">
        <v>1372869.00646488</v>
      </c>
      <c r="N22" s="376">
        <v>62744.249897121837</v>
      </c>
      <c r="O22" s="376">
        <v>0</v>
      </c>
      <c r="P22" s="376">
        <v>0</v>
      </c>
      <c r="Q22" s="376">
        <v>0</v>
      </c>
      <c r="R22" s="376">
        <v>0</v>
      </c>
      <c r="S22" s="376">
        <v>0</v>
      </c>
      <c r="T22" s="377">
        <v>0</v>
      </c>
      <c r="U22" s="375">
        <v>637653.94901640469</v>
      </c>
      <c r="V22" s="376">
        <v>409501.20531961956</v>
      </c>
      <c r="W22" s="376">
        <v>2286383.1696376358</v>
      </c>
      <c r="X22" s="376">
        <v>671721.33131731697</v>
      </c>
      <c r="Y22" s="376">
        <v>6293049.2566817803</v>
      </c>
      <c r="Z22" s="376">
        <v>583677.15450777567</v>
      </c>
      <c r="AA22" s="376">
        <v>2136992.0714683286</v>
      </c>
      <c r="AB22" s="377">
        <v>1856146.2128852627</v>
      </c>
      <c r="AC22" s="375">
        <v>11750552.236565653</v>
      </c>
      <c r="AD22" s="376">
        <v>364440.32317241572</v>
      </c>
      <c r="AE22" s="376">
        <v>0</v>
      </c>
      <c r="AF22" s="376">
        <v>0</v>
      </c>
      <c r="AG22" s="376">
        <v>0</v>
      </c>
      <c r="AH22" s="376">
        <v>0</v>
      </c>
      <c r="AI22" s="376">
        <v>280955.02391743526</v>
      </c>
      <c r="AJ22" s="377">
        <v>84674.190704532695</v>
      </c>
      <c r="AK22" s="375">
        <v>1099812.1699734535</v>
      </c>
      <c r="AL22" s="376">
        <v>541710.63738759444</v>
      </c>
      <c r="AM22" s="376">
        <v>0</v>
      </c>
      <c r="AN22" s="376">
        <v>0</v>
      </c>
      <c r="AO22" s="376">
        <v>0</v>
      </c>
      <c r="AP22" s="376">
        <v>0</v>
      </c>
      <c r="AQ22" s="376">
        <v>0</v>
      </c>
      <c r="AR22" s="377">
        <v>0</v>
      </c>
      <c r="AS22" s="373">
        <f t="shared" si="0"/>
        <v>14860887.362020392</v>
      </c>
      <c r="AT22" s="373">
        <f t="shared" si="0"/>
        <v>1378396.4157767515</v>
      </c>
      <c r="AU22" s="373">
        <f t="shared" si="0"/>
        <v>2286383.1696376358</v>
      </c>
      <c r="AV22" s="373">
        <f t="shared" si="0"/>
        <v>671721.33131731697</v>
      </c>
      <c r="AW22" s="373">
        <f t="shared" si="0"/>
        <v>6293049.2566817803</v>
      </c>
      <c r="AX22" s="373">
        <f t="shared" si="0"/>
        <v>583677.15450777567</v>
      </c>
      <c r="AY22" s="373">
        <f t="shared" si="0"/>
        <v>2417947.0953857638</v>
      </c>
      <c r="AZ22" s="373">
        <f t="shared" si="0"/>
        <v>1940820.4035897953</v>
      </c>
      <c r="BA22" s="374">
        <f t="shared" si="2"/>
        <v>30432882.188917212</v>
      </c>
    </row>
    <row r="23" spans="1:53" s="253" customFormat="1" ht="13.5" thickBot="1">
      <c r="A23" s="841"/>
      <c r="B23" s="402" t="s">
        <v>2469</v>
      </c>
      <c r="C23" s="403">
        <v>21772801.940473631</v>
      </c>
      <c r="D23" s="379">
        <f t="shared" si="1"/>
        <v>3.9645010154520099E-2</v>
      </c>
      <c r="E23" s="380">
        <v>199.94947393904599</v>
      </c>
      <c r="F23" s="381">
        <v>848394.92154714395</v>
      </c>
      <c r="G23" s="382">
        <v>135320.36014859777</v>
      </c>
      <c r="H23" s="382">
        <v>26620.68039870408</v>
      </c>
      <c r="I23" s="382">
        <v>16754.502090089551</v>
      </c>
      <c r="J23" s="382">
        <v>10642210.432785532</v>
      </c>
      <c r="K23" s="382">
        <v>8929095.3219693061</v>
      </c>
      <c r="L23" s="382">
        <v>1174405.7215342568</v>
      </c>
      <c r="M23" s="383">
        <v>836881.06564445246</v>
      </c>
      <c r="N23" s="384">
        <v>190209.39854008288</v>
      </c>
      <c r="O23" s="384">
        <v>0</v>
      </c>
      <c r="P23" s="384">
        <v>0</v>
      </c>
      <c r="Q23" s="384">
        <v>0</v>
      </c>
      <c r="R23" s="384">
        <v>0</v>
      </c>
      <c r="S23" s="384">
        <v>0</v>
      </c>
      <c r="T23" s="385">
        <v>0</v>
      </c>
      <c r="U23" s="383">
        <v>461930.86564221</v>
      </c>
      <c r="V23" s="384">
        <v>49996.448962243769</v>
      </c>
      <c r="W23" s="384">
        <v>1004531.2533015115</v>
      </c>
      <c r="X23" s="384">
        <v>1365548.5754430369</v>
      </c>
      <c r="Y23" s="384">
        <v>3640490.8666728758</v>
      </c>
      <c r="Z23" s="384">
        <v>862352.60792440909</v>
      </c>
      <c r="AA23" s="384">
        <v>1842260.5997807912</v>
      </c>
      <c r="AB23" s="385">
        <v>1415099.2150584534</v>
      </c>
      <c r="AC23" s="383">
        <v>8557564.0909695569</v>
      </c>
      <c r="AD23" s="384">
        <v>371531.23099974816</v>
      </c>
      <c r="AE23" s="384">
        <v>0</v>
      </c>
      <c r="AF23" s="384">
        <v>0</v>
      </c>
      <c r="AG23" s="384">
        <v>0</v>
      </c>
      <c r="AH23" s="384">
        <v>0</v>
      </c>
      <c r="AI23" s="384">
        <v>0</v>
      </c>
      <c r="AJ23" s="385">
        <v>0</v>
      </c>
      <c r="AK23" s="383">
        <v>1116028.8289433727</v>
      </c>
      <c r="AL23" s="384">
        <v>58376.892590884105</v>
      </c>
      <c r="AM23" s="384">
        <v>0</v>
      </c>
      <c r="AN23" s="384">
        <v>0</v>
      </c>
      <c r="AO23" s="384">
        <v>0</v>
      </c>
      <c r="AP23" s="384">
        <v>0</v>
      </c>
      <c r="AQ23" s="384">
        <v>0</v>
      </c>
      <c r="AR23" s="385">
        <v>0</v>
      </c>
      <c r="AS23" s="386">
        <f t="shared" si="0"/>
        <v>10972404.851199593</v>
      </c>
      <c r="AT23" s="386">
        <f t="shared" si="0"/>
        <v>670113.97109295893</v>
      </c>
      <c r="AU23" s="386">
        <f t="shared" si="0"/>
        <v>1004531.2533015115</v>
      </c>
      <c r="AV23" s="386">
        <f t="shared" si="0"/>
        <v>1365548.5754430369</v>
      </c>
      <c r="AW23" s="386">
        <f t="shared" si="0"/>
        <v>3640490.8666728758</v>
      </c>
      <c r="AX23" s="386">
        <f t="shared" si="0"/>
        <v>862352.60792440909</v>
      </c>
      <c r="AY23" s="386">
        <f t="shared" si="0"/>
        <v>1842260.5997807912</v>
      </c>
      <c r="AZ23" s="386">
        <f t="shared" si="0"/>
        <v>1415099.2150584534</v>
      </c>
      <c r="BA23" s="387">
        <f t="shared" si="2"/>
        <v>21772801.940473631</v>
      </c>
    </row>
    <row r="24" spans="1:53">
      <c r="A24" s="827" t="s">
        <v>2401</v>
      </c>
      <c r="B24" s="30" t="s">
        <v>2470</v>
      </c>
      <c r="C24" s="368">
        <v>16652838.725563886</v>
      </c>
      <c r="D24" s="369">
        <f t="shared" si="1"/>
        <v>3.03223242548912E-2</v>
      </c>
      <c r="E24" s="370">
        <v>117.9471648922992</v>
      </c>
      <c r="F24" s="371">
        <v>1252079.6222221514</v>
      </c>
      <c r="G24" s="372">
        <v>121098.82930076309</v>
      </c>
      <c r="H24" s="372">
        <v>63312.224735448239</v>
      </c>
      <c r="I24" s="372">
        <v>27001.096381752486</v>
      </c>
      <c r="J24" s="372">
        <v>5017909.5320062079</v>
      </c>
      <c r="K24" s="372">
        <v>9064746.4765921067</v>
      </c>
      <c r="L24" s="372">
        <v>1106690.9443254548</v>
      </c>
      <c r="M24" s="375">
        <v>1137241.6208800573</v>
      </c>
      <c r="N24" s="376">
        <v>326250.15176005766</v>
      </c>
      <c r="O24" s="376">
        <v>0</v>
      </c>
      <c r="P24" s="376">
        <v>0</v>
      </c>
      <c r="Q24" s="376">
        <v>0</v>
      </c>
      <c r="R24" s="376">
        <v>0</v>
      </c>
      <c r="S24" s="376">
        <v>0</v>
      </c>
      <c r="T24" s="377">
        <v>0</v>
      </c>
      <c r="U24" s="375">
        <v>97764.144303326044</v>
      </c>
      <c r="V24" s="376">
        <v>727.51236846662766</v>
      </c>
      <c r="W24" s="376">
        <v>963798.38238488883</v>
      </c>
      <c r="X24" s="376">
        <v>1022049.909877732</v>
      </c>
      <c r="Y24" s="376">
        <v>1538782.5607703717</v>
      </c>
      <c r="Z24" s="376">
        <v>140870.35090923795</v>
      </c>
      <c r="AA24" s="376">
        <v>242865.22076120335</v>
      </c>
      <c r="AB24" s="377">
        <v>1011051.4506309817</v>
      </c>
      <c r="AC24" s="375">
        <v>6885020.5946795009</v>
      </c>
      <c r="AD24" s="376">
        <v>1707030.8180027376</v>
      </c>
      <c r="AE24" s="376">
        <v>208611.30601009287</v>
      </c>
      <c r="AF24" s="376">
        <v>0</v>
      </c>
      <c r="AG24" s="376">
        <v>0</v>
      </c>
      <c r="AH24" s="376">
        <v>0</v>
      </c>
      <c r="AI24" s="376">
        <v>0</v>
      </c>
      <c r="AJ24" s="377">
        <v>264083.75789977412</v>
      </c>
      <c r="AK24" s="375">
        <v>1034927.2914073681</v>
      </c>
      <c r="AL24" s="376">
        <v>71763.652918086576</v>
      </c>
      <c r="AM24" s="376">
        <v>0</v>
      </c>
      <c r="AN24" s="376">
        <v>0</v>
      </c>
      <c r="AO24" s="376">
        <v>0</v>
      </c>
      <c r="AP24" s="376">
        <v>0</v>
      </c>
      <c r="AQ24" s="376">
        <v>0</v>
      </c>
      <c r="AR24" s="377">
        <v>0</v>
      </c>
      <c r="AS24" s="378">
        <f t="shared" si="0"/>
        <v>9154953.6512702517</v>
      </c>
      <c r="AT24" s="378">
        <f t="shared" si="0"/>
        <v>2105772.1350493482</v>
      </c>
      <c r="AU24" s="378">
        <f t="shared" si="0"/>
        <v>1172409.6883949817</v>
      </c>
      <c r="AV24" s="378">
        <f t="shared" si="0"/>
        <v>1022049.909877732</v>
      </c>
      <c r="AW24" s="378">
        <f t="shared" si="0"/>
        <v>1538782.5607703717</v>
      </c>
      <c r="AX24" s="378">
        <f t="shared" si="0"/>
        <v>140870.35090923795</v>
      </c>
      <c r="AY24" s="378">
        <f t="shared" si="0"/>
        <v>242865.22076120335</v>
      </c>
      <c r="AZ24" s="378">
        <f t="shared" si="0"/>
        <v>1275135.2085307557</v>
      </c>
      <c r="BA24" s="374">
        <f t="shared" si="2"/>
        <v>16652838.725563886</v>
      </c>
    </row>
    <row r="25" spans="1:53">
      <c r="A25" s="828"/>
      <c r="B25" s="30" t="s">
        <v>2471</v>
      </c>
      <c r="C25" s="368">
        <v>12860737.708922133</v>
      </c>
      <c r="D25" s="369">
        <f t="shared" si="1"/>
        <v>2.3417476467144413E-2</v>
      </c>
      <c r="E25" s="370">
        <v>117.94716489229921</v>
      </c>
      <c r="F25" s="371">
        <v>966962.32260786183</v>
      </c>
      <c r="G25" s="372">
        <v>93522.810504604349</v>
      </c>
      <c r="H25" s="372">
        <v>48895.082064356</v>
      </c>
      <c r="I25" s="372">
        <v>20852.541968473706</v>
      </c>
      <c r="J25" s="372">
        <v>3875256.3092540759</v>
      </c>
      <c r="K25" s="372">
        <v>7000567.8163666734</v>
      </c>
      <c r="L25" s="372">
        <v>854680.8261560871</v>
      </c>
      <c r="M25" s="375">
        <v>688004.54177935363</v>
      </c>
      <c r="N25" s="376">
        <v>322722.6532152376</v>
      </c>
      <c r="O25" s="376">
        <v>33417.193536069739</v>
      </c>
      <c r="P25" s="376">
        <v>0</v>
      </c>
      <c r="Q25" s="376">
        <v>0</v>
      </c>
      <c r="R25" s="376">
        <v>0</v>
      </c>
      <c r="S25" s="376">
        <v>86088.368614634906</v>
      </c>
      <c r="T25" s="377">
        <v>0</v>
      </c>
      <c r="U25" s="375">
        <v>65064.754581072957</v>
      </c>
      <c r="V25" s="376">
        <v>9318.8608945401884</v>
      </c>
      <c r="W25" s="376">
        <v>581162.77136905363</v>
      </c>
      <c r="X25" s="376">
        <v>1268168.8604259379</v>
      </c>
      <c r="Y25" s="376">
        <v>773271.25068903773</v>
      </c>
      <c r="Z25" s="376">
        <v>98967.806109928933</v>
      </c>
      <c r="AA25" s="376">
        <v>141230.18782565679</v>
      </c>
      <c r="AB25" s="377">
        <v>938071.81735884701</v>
      </c>
      <c r="AC25" s="375">
        <v>5068799.7868632264</v>
      </c>
      <c r="AD25" s="376">
        <v>723209.57331364043</v>
      </c>
      <c r="AE25" s="376">
        <v>996808.51241349487</v>
      </c>
      <c r="AF25" s="376">
        <v>1314.391032362227</v>
      </c>
      <c r="AG25" s="376">
        <v>3019.5469662375485</v>
      </c>
      <c r="AH25" s="376">
        <v>0</v>
      </c>
      <c r="AI25" s="376">
        <v>31302.586931957627</v>
      </c>
      <c r="AJ25" s="377">
        <v>176113.41884575546</v>
      </c>
      <c r="AK25" s="375">
        <v>572755.3605694857</v>
      </c>
      <c r="AL25" s="376">
        <v>84023.989061219021</v>
      </c>
      <c r="AM25" s="376">
        <v>197887.44444926505</v>
      </c>
      <c r="AN25" s="376">
        <v>0</v>
      </c>
      <c r="AO25" s="376">
        <v>0</v>
      </c>
      <c r="AP25" s="376">
        <v>0</v>
      </c>
      <c r="AQ25" s="376">
        <v>0</v>
      </c>
      <c r="AR25" s="377">
        <v>14.032076117236551</v>
      </c>
      <c r="AS25" s="373">
        <f t="shared" si="0"/>
        <v>6394624.4437931385</v>
      </c>
      <c r="AT25" s="373">
        <f t="shared" si="0"/>
        <v>1139275.0764846371</v>
      </c>
      <c r="AU25" s="373">
        <f t="shared" si="0"/>
        <v>1809275.9217678832</v>
      </c>
      <c r="AV25" s="373">
        <f t="shared" si="0"/>
        <v>1269483.2514583</v>
      </c>
      <c r="AW25" s="373">
        <f t="shared" si="0"/>
        <v>776290.79765527532</v>
      </c>
      <c r="AX25" s="373">
        <f t="shared" si="0"/>
        <v>98967.806109928933</v>
      </c>
      <c r="AY25" s="373">
        <f t="shared" si="0"/>
        <v>258621.14337224932</v>
      </c>
      <c r="AZ25" s="373">
        <f t="shared" si="0"/>
        <v>1114199.2682807199</v>
      </c>
      <c r="BA25" s="374">
        <f t="shared" si="2"/>
        <v>12860737.708922133</v>
      </c>
    </row>
    <row r="26" spans="1:53">
      <c r="A26" s="828"/>
      <c r="B26" s="30" t="s">
        <v>2472</v>
      </c>
      <c r="C26" s="368">
        <v>21495373.182532851</v>
      </c>
      <c r="D26" s="369">
        <f t="shared" si="1"/>
        <v>3.9139853952953198E-2</v>
      </c>
      <c r="E26" s="370">
        <v>117.94716489229921</v>
      </c>
      <c r="F26" s="371">
        <v>1616176.0272495858</v>
      </c>
      <c r="G26" s="372">
        <v>156313.56135045999</v>
      </c>
      <c r="H26" s="372">
        <v>81722.997510069545</v>
      </c>
      <c r="I26" s="372">
        <v>34852.835160910632</v>
      </c>
      <c r="J26" s="372">
        <v>6477084.1634995705</v>
      </c>
      <c r="K26" s="372">
        <v>11700714.306461239</v>
      </c>
      <c r="L26" s="372">
        <v>1428509.2913010134</v>
      </c>
      <c r="M26" s="375">
        <v>1727296.9976982796</v>
      </c>
      <c r="N26" s="376">
        <v>140724.40451368745</v>
      </c>
      <c r="O26" s="376">
        <v>0</v>
      </c>
      <c r="P26" s="376">
        <v>0</v>
      </c>
      <c r="Q26" s="376">
        <v>0</v>
      </c>
      <c r="R26" s="376">
        <v>0</v>
      </c>
      <c r="S26" s="376">
        <v>21044.019059059236</v>
      </c>
      <c r="T26" s="377">
        <v>0</v>
      </c>
      <c r="U26" s="375">
        <v>153249.38681561439</v>
      </c>
      <c r="V26" s="376">
        <v>52584.292991440074</v>
      </c>
      <c r="W26" s="376">
        <v>791597.10343861347</v>
      </c>
      <c r="X26" s="376">
        <v>1191254.7416245851</v>
      </c>
      <c r="Y26" s="376">
        <v>2720084.196566781</v>
      </c>
      <c r="Z26" s="376">
        <v>115857.15681572867</v>
      </c>
      <c r="AA26" s="376">
        <v>290443.87715331098</v>
      </c>
      <c r="AB26" s="377">
        <v>1162013.4080934967</v>
      </c>
      <c r="AC26" s="375">
        <v>8501405.3288375363</v>
      </c>
      <c r="AD26" s="376">
        <v>1153717.8386113357</v>
      </c>
      <c r="AE26" s="376">
        <v>1654240.5822657775</v>
      </c>
      <c r="AF26" s="376">
        <v>0</v>
      </c>
      <c r="AG26" s="376">
        <v>0</v>
      </c>
      <c r="AH26" s="376">
        <v>0</v>
      </c>
      <c r="AI26" s="376">
        <v>206073.28874295353</v>
      </c>
      <c r="AJ26" s="377">
        <v>185277.26800363557</v>
      </c>
      <c r="AK26" s="375">
        <v>918853.56360227533</v>
      </c>
      <c r="AL26" s="376">
        <v>52561.061541260911</v>
      </c>
      <c r="AM26" s="376">
        <v>457094.66615747707</v>
      </c>
      <c r="AN26" s="376">
        <v>0</v>
      </c>
      <c r="AO26" s="376">
        <v>0</v>
      </c>
      <c r="AP26" s="376">
        <v>0</v>
      </c>
      <c r="AQ26" s="376">
        <v>0</v>
      </c>
      <c r="AR26" s="377">
        <v>0</v>
      </c>
      <c r="AS26" s="373">
        <f t="shared" si="0"/>
        <v>11300805.276953707</v>
      </c>
      <c r="AT26" s="373">
        <f t="shared" si="0"/>
        <v>1399587.5976577241</v>
      </c>
      <c r="AU26" s="373">
        <f t="shared" si="0"/>
        <v>2902932.3518618681</v>
      </c>
      <c r="AV26" s="373">
        <f t="shared" si="0"/>
        <v>1191254.7416245851</v>
      </c>
      <c r="AW26" s="373">
        <f t="shared" si="0"/>
        <v>2720084.196566781</v>
      </c>
      <c r="AX26" s="373">
        <f t="shared" si="0"/>
        <v>115857.15681572867</v>
      </c>
      <c r="AY26" s="373">
        <f t="shared" si="0"/>
        <v>517561.1849553237</v>
      </c>
      <c r="AZ26" s="373">
        <f t="shared" si="0"/>
        <v>1347290.6760971323</v>
      </c>
      <c r="BA26" s="374">
        <f t="shared" si="2"/>
        <v>21495373.182532851</v>
      </c>
    </row>
    <row r="27" spans="1:53">
      <c r="A27" s="828"/>
      <c r="B27" s="30" t="s">
        <v>2473</v>
      </c>
      <c r="C27" s="368">
        <v>6876260.3857971029</v>
      </c>
      <c r="D27" s="369">
        <f t="shared" si="1"/>
        <v>1.2520639905022729E-2</v>
      </c>
      <c r="E27" s="370">
        <v>117.9471648922992</v>
      </c>
      <c r="F27" s="371">
        <v>517006.47847704712</v>
      </c>
      <c r="G27" s="372">
        <v>50003.912030262349</v>
      </c>
      <c r="H27" s="372">
        <v>26142.770614642137</v>
      </c>
      <c r="I27" s="372">
        <v>11149.244431096069</v>
      </c>
      <c r="J27" s="372">
        <v>2071986.2302803635</v>
      </c>
      <c r="K27" s="372">
        <v>3742998.9043608867</v>
      </c>
      <c r="L27" s="372">
        <v>456972.84560280468</v>
      </c>
      <c r="M27" s="375">
        <v>600955.14942028385</v>
      </c>
      <c r="N27" s="376">
        <v>3347.25613276384</v>
      </c>
      <c r="O27" s="376">
        <v>0</v>
      </c>
      <c r="P27" s="376">
        <v>0</v>
      </c>
      <c r="Q27" s="376">
        <v>0</v>
      </c>
      <c r="R27" s="376">
        <v>0</v>
      </c>
      <c r="S27" s="376">
        <v>0</v>
      </c>
      <c r="T27" s="377">
        <v>0</v>
      </c>
      <c r="U27" s="375">
        <v>19448.008705862387</v>
      </c>
      <c r="V27" s="376">
        <v>91076.437859297759</v>
      </c>
      <c r="W27" s="376">
        <v>426850.16670664586</v>
      </c>
      <c r="X27" s="376">
        <v>11046.66703481667</v>
      </c>
      <c r="Y27" s="376">
        <v>765123.5958906489</v>
      </c>
      <c r="Z27" s="376">
        <v>102053.65361237312</v>
      </c>
      <c r="AA27" s="376">
        <v>122611.16922919739</v>
      </c>
      <c r="AB27" s="377">
        <v>533776.53124152112</v>
      </c>
      <c r="AC27" s="375">
        <v>3317646.6657707593</v>
      </c>
      <c r="AD27" s="376">
        <v>375471.70783975848</v>
      </c>
      <c r="AE27" s="376">
        <v>0</v>
      </c>
      <c r="AF27" s="376">
        <v>0</v>
      </c>
      <c r="AG27" s="376">
        <v>0</v>
      </c>
      <c r="AH27" s="376">
        <v>0</v>
      </c>
      <c r="AI27" s="376">
        <v>0</v>
      </c>
      <c r="AJ27" s="377">
        <v>49880.530750369129</v>
      </c>
      <c r="AK27" s="375">
        <v>306176.22874205688</v>
      </c>
      <c r="AL27" s="376">
        <v>150796.6168607478</v>
      </c>
      <c r="AM27" s="376">
        <v>0</v>
      </c>
      <c r="AN27" s="376">
        <v>0</v>
      </c>
      <c r="AO27" s="376">
        <v>0</v>
      </c>
      <c r="AP27" s="376">
        <v>0</v>
      </c>
      <c r="AQ27" s="376">
        <v>0</v>
      </c>
      <c r="AR27" s="377">
        <v>0</v>
      </c>
      <c r="AS27" s="373">
        <f t="shared" si="0"/>
        <v>4244226.0526389619</v>
      </c>
      <c r="AT27" s="373">
        <f t="shared" si="0"/>
        <v>620692.01869256794</v>
      </c>
      <c r="AU27" s="373">
        <f t="shared" si="0"/>
        <v>426850.16670664586</v>
      </c>
      <c r="AV27" s="373">
        <f t="shared" si="0"/>
        <v>11046.66703481667</v>
      </c>
      <c r="AW27" s="373">
        <f t="shared" si="0"/>
        <v>765123.5958906489</v>
      </c>
      <c r="AX27" s="373">
        <f t="shared" si="0"/>
        <v>102053.65361237312</v>
      </c>
      <c r="AY27" s="373">
        <f t="shared" si="0"/>
        <v>122611.16922919739</v>
      </c>
      <c r="AZ27" s="373">
        <f t="shared" si="0"/>
        <v>583657.06199189019</v>
      </c>
      <c r="BA27" s="374">
        <f t="shared" si="2"/>
        <v>6876260.385797102</v>
      </c>
    </row>
    <row r="28" spans="1:53">
      <c r="A28" s="829"/>
      <c r="B28" s="30" t="s">
        <v>2474</v>
      </c>
      <c r="C28" s="368">
        <v>5126798.6831815643</v>
      </c>
      <c r="D28" s="369">
        <f t="shared" si="1"/>
        <v>9.3351322632061733E-3</v>
      </c>
      <c r="E28" s="370">
        <v>117.9471648922992</v>
      </c>
      <c r="F28" s="371">
        <v>385469.42441668519</v>
      </c>
      <c r="G28" s="372">
        <v>37281.891023235046</v>
      </c>
      <c r="H28" s="372">
        <v>19491.513474198993</v>
      </c>
      <c r="I28" s="372">
        <v>8312.6479308253656</v>
      </c>
      <c r="J28" s="372">
        <v>1544830.4283114073</v>
      </c>
      <c r="K28" s="372">
        <v>2790703.1987420809</v>
      </c>
      <c r="L28" s="372">
        <v>340709.57928313105</v>
      </c>
      <c r="M28" s="375">
        <v>204440.35371507867</v>
      </c>
      <c r="N28" s="376">
        <v>177393.17201983606</v>
      </c>
      <c r="O28" s="376">
        <v>68721.95111002987</v>
      </c>
      <c r="P28" s="376">
        <v>0</v>
      </c>
      <c r="Q28" s="376">
        <v>0</v>
      </c>
      <c r="R28" s="376">
        <v>0</v>
      </c>
      <c r="S28" s="376">
        <v>0</v>
      </c>
      <c r="T28" s="377">
        <v>0</v>
      </c>
      <c r="U28" s="375">
        <v>8158.4534701575558</v>
      </c>
      <c r="V28" s="376">
        <v>1625.3881428011216</v>
      </c>
      <c r="W28" s="376">
        <v>212082.59326207239</v>
      </c>
      <c r="X28" s="376">
        <v>228368.87887407714</v>
      </c>
      <c r="Y28" s="376">
        <v>235423.68693212038</v>
      </c>
      <c r="Z28" s="376">
        <v>30114.621958405838</v>
      </c>
      <c r="AA28" s="376">
        <v>0</v>
      </c>
      <c r="AB28" s="377">
        <v>829056.8056717728</v>
      </c>
      <c r="AC28" s="375">
        <v>1674732.0320913938</v>
      </c>
      <c r="AD28" s="376">
        <v>916723.35988154134</v>
      </c>
      <c r="AE28" s="376">
        <v>0</v>
      </c>
      <c r="AF28" s="376">
        <v>0</v>
      </c>
      <c r="AG28" s="376">
        <v>0</v>
      </c>
      <c r="AH28" s="376">
        <v>0</v>
      </c>
      <c r="AI28" s="376">
        <v>5841.745182044363</v>
      </c>
      <c r="AJ28" s="377">
        <v>193406.06158710134</v>
      </c>
      <c r="AK28" s="375">
        <v>340709.57928313105</v>
      </c>
      <c r="AL28" s="376">
        <v>0</v>
      </c>
      <c r="AM28" s="376">
        <v>0</v>
      </c>
      <c r="AN28" s="376">
        <v>0</v>
      </c>
      <c r="AO28" s="376">
        <v>0</v>
      </c>
      <c r="AP28" s="376">
        <v>0</v>
      </c>
      <c r="AQ28" s="376">
        <v>0</v>
      </c>
      <c r="AR28" s="377">
        <v>0</v>
      </c>
      <c r="AS28" s="373">
        <f t="shared" si="0"/>
        <v>2228040.4185597608</v>
      </c>
      <c r="AT28" s="373">
        <f t="shared" si="0"/>
        <v>1095741.9200441786</v>
      </c>
      <c r="AU28" s="373">
        <f t="shared" si="0"/>
        <v>280804.54437210225</v>
      </c>
      <c r="AV28" s="373">
        <f t="shared" si="0"/>
        <v>228368.87887407714</v>
      </c>
      <c r="AW28" s="373">
        <f t="shared" si="0"/>
        <v>235423.68693212038</v>
      </c>
      <c r="AX28" s="373">
        <f t="shared" si="0"/>
        <v>30114.621958405838</v>
      </c>
      <c r="AY28" s="373">
        <f t="shared" si="0"/>
        <v>5841.745182044363</v>
      </c>
      <c r="AZ28" s="373">
        <f t="shared" si="0"/>
        <v>1022462.8672588741</v>
      </c>
      <c r="BA28" s="374">
        <f t="shared" si="2"/>
        <v>5126798.6831815634</v>
      </c>
    </row>
    <row r="29" spans="1:53" s="415" customFormat="1">
      <c r="A29" s="404"/>
      <c r="B29" s="405" t="s">
        <v>2475</v>
      </c>
      <c r="C29" s="406"/>
      <c r="D29" s="407"/>
      <c r="E29" s="408"/>
      <c r="F29" s="409"/>
      <c r="G29" s="410"/>
      <c r="H29" s="410"/>
      <c r="I29" s="410"/>
      <c r="J29" s="410"/>
      <c r="K29" s="410"/>
      <c r="L29" s="410"/>
      <c r="M29" s="251"/>
      <c r="N29" s="411"/>
      <c r="O29" s="411"/>
      <c r="P29" s="411"/>
      <c r="Q29" s="411"/>
      <c r="R29" s="411"/>
      <c r="S29" s="411"/>
      <c r="T29" s="412"/>
      <c r="U29" s="251"/>
      <c r="V29" s="411"/>
      <c r="W29" s="411"/>
      <c r="X29" s="411"/>
      <c r="Y29" s="411"/>
      <c r="Z29" s="411"/>
      <c r="AA29" s="411"/>
      <c r="AB29" s="412"/>
      <c r="AC29" s="251"/>
      <c r="AD29" s="411"/>
      <c r="AE29" s="411"/>
      <c r="AF29" s="411"/>
      <c r="AG29" s="411"/>
      <c r="AH29" s="411"/>
      <c r="AI29" s="411"/>
      <c r="AJ29" s="412"/>
      <c r="AK29" s="251"/>
      <c r="AL29" s="411"/>
      <c r="AM29" s="411"/>
      <c r="AN29" s="411"/>
      <c r="AO29" s="411"/>
      <c r="AP29" s="411"/>
      <c r="AQ29" s="411"/>
      <c r="AR29" s="412"/>
      <c r="AS29" s="413">
        <f>SUM(AS3:AS28)</f>
        <v>277360574.75469786</v>
      </c>
      <c r="AT29" s="413">
        <f t="shared" ref="AT29:AZ29" si="3">SUM(AT3:AT28)</f>
        <v>92254677.344063729</v>
      </c>
      <c r="AU29" s="413">
        <f t="shared" si="3"/>
        <v>41313813.038890824</v>
      </c>
      <c r="AV29" s="413">
        <f t="shared" si="3"/>
        <v>16201089.167262102</v>
      </c>
      <c r="AW29" s="413">
        <f t="shared" si="3"/>
        <v>46685130.031230643</v>
      </c>
      <c r="AX29" s="413">
        <f t="shared" si="3"/>
        <v>7677771.5836991211</v>
      </c>
      <c r="AY29" s="413">
        <f t="shared" si="3"/>
        <v>10954205.783809591</v>
      </c>
      <c r="AZ29" s="413">
        <f t="shared" si="3"/>
        <v>56746744.190457888</v>
      </c>
      <c r="BA29" s="414">
        <f t="shared" si="2"/>
        <v>549194005.89411175</v>
      </c>
    </row>
    <row r="30" spans="1:53">
      <c r="A30" s="48" t="s">
        <v>497</v>
      </c>
      <c r="C30" s="416">
        <f>SUM(C3:C28)</f>
        <v>549194005.89411175</v>
      </c>
      <c r="D30" s="417">
        <f>SUM(D3:D28)</f>
        <v>1</v>
      </c>
      <c r="E30" s="418"/>
      <c r="F30" s="419">
        <f t="shared" ref="F30:J30" si="4">SUM(F3:F28)</f>
        <v>31442366.979483519</v>
      </c>
      <c r="G30" s="419">
        <f t="shared" si="4"/>
        <v>12215822.909304457</v>
      </c>
      <c r="H30" s="419">
        <f t="shared" si="4"/>
        <v>9073419.1315349061</v>
      </c>
      <c r="I30" s="419">
        <f t="shared" si="4"/>
        <v>1386521.070841192</v>
      </c>
      <c r="J30" s="419">
        <f t="shared" si="4"/>
        <v>164319512.98655564</v>
      </c>
      <c r="K30" s="419">
        <f t="shared" ref="K30:M30" si="5">SUM(K3:K28)</f>
        <v>310284093.21955132</v>
      </c>
      <c r="L30" s="419">
        <f t="shared" si="5"/>
        <v>20472269.596840799</v>
      </c>
      <c r="M30" s="419">
        <f t="shared" si="5"/>
        <v>42234136.5516764</v>
      </c>
      <c r="N30" s="419">
        <f>SUM(N3:N28)</f>
        <v>11496443.29520978</v>
      </c>
      <c r="O30" s="419">
        <f>SUM(O3:O28)</f>
        <v>280299.24179765861</v>
      </c>
      <c r="P30" s="419">
        <f t="shared" ref="P30:AR30" si="6">SUM(P3:P28)</f>
        <v>0</v>
      </c>
      <c r="Q30" s="419">
        <f t="shared" si="6"/>
        <v>0</v>
      </c>
      <c r="R30" s="419">
        <f t="shared" si="6"/>
        <v>0</v>
      </c>
      <c r="S30" s="419">
        <f t="shared" si="6"/>
        <v>107132.38767369415</v>
      </c>
      <c r="T30" s="419">
        <f t="shared" si="6"/>
        <v>118.61480654113046</v>
      </c>
      <c r="U30" s="419">
        <f t="shared" si="6"/>
        <v>6323724.8488462092</v>
      </c>
      <c r="V30" s="419">
        <f t="shared" si="6"/>
        <v>2489292.2223338792</v>
      </c>
      <c r="W30" s="419">
        <f t="shared" si="6"/>
        <v>25853155.804372881</v>
      </c>
      <c r="X30" s="419">
        <f t="shared" si="6"/>
        <v>15892814.401336223</v>
      </c>
      <c r="Y30" s="419">
        <f t="shared" si="6"/>
        <v>46682061.409900054</v>
      </c>
      <c r="Z30" s="419">
        <f t="shared" si="6"/>
        <v>7677771.5836991211</v>
      </c>
      <c r="AA30" s="419">
        <f t="shared" si="6"/>
        <v>8997092.189912755</v>
      </c>
      <c r="AB30" s="419">
        <f t="shared" si="6"/>
        <v>50403600.526154466</v>
      </c>
      <c r="AC30" s="419">
        <f t="shared" si="6"/>
        <v>213959832.08395457</v>
      </c>
      <c r="AD30" s="419">
        <f t="shared" si="6"/>
        <v>74439886.84375228</v>
      </c>
      <c r="AE30" s="419">
        <f t="shared" si="6"/>
        <v>13418286.489454409</v>
      </c>
      <c r="AF30" s="419">
        <f t="shared" si="6"/>
        <v>295992.32755121269</v>
      </c>
      <c r="AG30" s="419">
        <f t="shared" si="6"/>
        <v>3019.5469662375485</v>
      </c>
      <c r="AH30" s="419">
        <f t="shared" si="6"/>
        <v>0</v>
      </c>
      <c r="AI30" s="419">
        <f t="shared" si="6"/>
        <v>1827126.5695099891</v>
      </c>
      <c r="AJ30" s="419">
        <f t="shared" si="6"/>
        <v>6339949.3583626188</v>
      </c>
      <c r="AK30" s="419">
        <f t="shared" si="6"/>
        <v>14842881.270220721</v>
      </c>
      <c r="AL30" s="419">
        <f t="shared" si="6"/>
        <v>3829054.9827677817</v>
      </c>
      <c r="AM30" s="419">
        <f t="shared" si="6"/>
        <v>1762071.5032658756</v>
      </c>
      <c r="AN30" s="419">
        <f t="shared" si="6"/>
        <v>12282.438374665608</v>
      </c>
      <c r="AO30" s="419">
        <f t="shared" si="6"/>
        <v>49.074364351369518</v>
      </c>
      <c r="AP30" s="419">
        <f t="shared" si="6"/>
        <v>0</v>
      </c>
      <c r="AQ30" s="419">
        <f t="shared" si="6"/>
        <v>22854.636713152362</v>
      </c>
      <c r="AR30" s="419">
        <f t="shared" si="6"/>
        <v>3075.6911342564481</v>
      </c>
      <c r="AS30" s="420">
        <f>AS29/$BA29</f>
        <v>0.50503205020080799</v>
      </c>
      <c r="AT30" s="420">
        <f t="shared" ref="AT30:AZ30" si="7">AT29/$BA29</f>
        <v>0.16798194509400935</v>
      </c>
      <c r="AU30" s="420">
        <f t="shared" si="7"/>
        <v>7.522626357079433E-2</v>
      </c>
      <c r="AV30" s="420">
        <f t="shared" si="7"/>
        <v>2.9499755994033518E-2</v>
      </c>
      <c r="AW30" s="420">
        <f t="shared" si="7"/>
        <v>8.500662703924676E-2</v>
      </c>
      <c r="AX30" s="420">
        <f t="shared" si="7"/>
        <v>1.398007170744585E-2</v>
      </c>
      <c r="AY30" s="420">
        <f t="shared" si="7"/>
        <v>1.9945967483704901E-2</v>
      </c>
      <c r="AZ30" s="420">
        <f t="shared" si="7"/>
        <v>0.10332731890995736</v>
      </c>
      <c r="BA30" s="374">
        <f t="shared" si="2"/>
        <v>1</v>
      </c>
    </row>
    <row r="31" spans="1:53">
      <c r="C31" s="421"/>
      <c r="L31" s="421"/>
      <c r="N31" s="542"/>
      <c r="T31" s="422">
        <v>54118130.091164067</v>
      </c>
      <c r="AB31" s="422">
        <v>164319512.98655558</v>
      </c>
      <c r="AJ31" s="422">
        <v>310284093.21955127</v>
      </c>
      <c r="AR31" s="422">
        <v>20472269.596840803</v>
      </c>
      <c r="AS31" s="541">
        <f>SUM(AS3:AS12)</f>
        <v>154230320.53656241</v>
      </c>
      <c r="AT31" s="541">
        <f t="shared" ref="AT31:AZ31" si="8">SUM(AT3:AT12)</f>
        <v>66421118.092638902</v>
      </c>
      <c r="AU31" s="541">
        <f t="shared" si="8"/>
        <v>9945404.1839734968</v>
      </c>
      <c r="AV31" s="541">
        <f t="shared" si="8"/>
        <v>1284529.6191764651</v>
      </c>
      <c r="AW31" s="541">
        <f t="shared" si="8"/>
        <v>13081641.592428578</v>
      </c>
      <c r="AX31" s="541">
        <f t="shared" si="8"/>
        <v>2670035.4237666796</v>
      </c>
      <c r="AY31" s="541">
        <f t="shared" si="8"/>
        <v>1230352.8157793696</v>
      </c>
      <c r="AZ31" s="541">
        <f t="shared" si="8"/>
        <v>24020321.126910493</v>
      </c>
      <c r="BA31" s="374">
        <f t="shared" si="2"/>
        <v>272883723.39123636</v>
      </c>
    </row>
    <row r="32" spans="1:53">
      <c r="C32" s="423"/>
      <c r="F32" s="424"/>
      <c r="G32" s="372"/>
      <c r="H32" s="372"/>
      <c r="I32" s="372"/>
      <c r="J32" s="372"/>
      <c r="K32" s="372"/>
      <c r="L32" s="372"/>
      <c r="M32" s="425"/>
      <c r="N32" s="425"/>
      <c r="O32" s="425"/>
      <c r="P32" s="425"/>
      <c r="Q32" s="425"/>
      <c r="R32" s="425"/>
      <c r="S32" s="425"/>
      <c r="T32" s="425"/>
      <c r="U32" s="425"/>
      <c r="V32" s="425"/>
      <c r="W32" s="425"/>
      <c r="X32" s="425"/>
      <c r="Y32" s="425"/>
      <c r="Z32" s="425"/>
      <c r="AA32" s="425"/>
      <c r="AB32" s="425"/>
      <c r="AC32" s="425"/>
      <c r="AD32" s="425"/>
      <c r="AE32" s="425"/>
      <c r="AF32" s="425"/>
      <c r="AG32" s="425"/>
      <c r="AH32" s="425"/>
      <c r="AI32" s="425"/>
      <c r="AJ32" s="425"/>
      <c r="AK32" s="425"/>
      <c r="AL32" s="425"/>
      <c r="AM32" s="425"/>
      <c r="AN32" s="425"/>
      <c r="AO32" s="425"/>
      <c r="AP32" s="425"/>
      <c r="AQ32" s="425"/>
      <c r="AR32" s="425"/>
      <c r="AS32" s="425"/>
      <c r="AT32" s="425"/>
      <c r="AU32" s="425"/>
      <c r="AV32" s="425"/>
      <c r="AW32" s="425"/>
      <c r="AX32" s="425"/>
      <c r="AY32" s="425"/>
      <c r="AZ32" s="425"/>
    </row>
    <row r="33" spans="6:52">
      <c r="F33" s="424"/>
      <c r="G33" s="372"/>
      <c r="M33" s="425"/>
      <c r="N33" s="425"/>
      <c r="O33" s="425"/>
      <c r="P33" s="425"/>
      <c r="Q33" s="425"/>
      <c r="R33" s="425"/>
      <c r="S33" s="425"/>
      <c r="T33" s="425"/>
      <c r="U33" s="425"/>
      <c r="V33" s="528" t="s">
        <v>2565</v>
      </c>
      <c r="W33" s="528"/>
      <c r="X33" s="528"/>
      <c r="Y33" s="425"/>
      <c r="Z33" s="425"/>
      <c r="AA33" s="425"/>
      <c r="AB33" s="425"/>
      <c r="AC33" s="425"/>
      <c r="AD33" s="425"/>
      <c r="AE33" s="425"/>
      <c r="AF33" s="425"/>
      <c r="AG33" s="425"/>
      <c r="AH33" s="425"/>
      <c r="AI33" s="425"/>
      <c r="AJ33" s="425"/>
      <c r="AK33" s="425"/>
      <c r="AL33" s="425"/>
      <c r="AM33" s="425"/>
      <c r="AN33" s="425"/>
      <c r="AO33" s="425"/>
      <c r="AP33" s="425"/>
      <c r="AQ33" s="425"/>
      <c r="AR33" s="425"/>
      <c r="AS33" s="425"/>
      <c r="AT33" s="476">
        <f>SUM(V3:V12)/SUM(AT3:AT12)</f>
        <v>1.8803661751973653E-2</v>
      </c>
      <c r="AU33" s="425"/>
      <c r="AV33" s="425"/>
      <c r="AW33" s="425"/>
      <c r="AX33" s="425"/>
      <c r="AY33" s="425"/>
      <c r="AZ33" s="425"/>
    </row>
    <row r="34" spans="6:52">
      <c r="F34" s="424"/>
      <c r="K34" s="426"/>
      <c r="M34" s="425"/>
      <c r="N34" s="425"/>
      <c r="O34" s="425"/>
      <c r="P34" s="425"/>
      <c r="Q34" s="532"/>
      <c r="R34" s="425"/>
      <c r="S34" s="425"/>
      <c r="T34" s="425"/>
      <c r="U34" s="425"/>
      <c r="V34" s="528" t="s">
        <v>346</v>
      </c>
      <c r="W34" s="529">
        <f>SUM(V3:V12)</f>
        <v>1248960.2378018794</v>
      </c>
      <c r="X34" s="530">
        <f>W34/$W$38</f>
        <v>1.880366175197366E-2</v>
      </c>
      <c r="Y34" s="425"/>
      <c r="Z34" s="425"/>
      <c r="AA34" s="425"/>
      <c r="AB34" s="425"/>
      <c r="AC34" s="425"/>
      <c r="AD34" s="425"/>
      <c r="AE34" s="425"/>
      <c r="AF34" s="425"/>
      <c r="AG34" s="425"/>
      <c r="AH34" s="425"/>
      <c r="AI34" s="425"/>
      <c r="AJ34" s="425"/>
      <c r="AK34" s="425"/>
      <c r="AL34" s="425"/>
      <c r="AM34" s="425"/>
      <c r="AN34" s="425"/>
      <c r="AO34" s="425"/>
      <c r="AP34" s="425"/>
      <c r="AQ34" s="425"/>
      <c r="AR34" s="425"/>
      <c r="AS34" s="425"/>
      <c r="AT34" s="425"/>
      <c r="AU34" s="425"/>
      <c r="AV34" s="425"/>
      <c r="AW34" s="425"/>
      <c r="AX34" s="425"/>
      <c r="AY34" s="425"/>
      <c r="AZ34" s="425"/>
    </row>
    <row r="35" spans="6:52">
      <c r="F35" s="424"/>
      <c r="J35" s="426"/>
      <c r="M35" s="425"/>
      <c r="N35" s="425"/>
      <c r="O35" s="425"/>
      <c r="P35" s="425"/>
      <c r="Q35" s="533"/>
      <c r="R35" s="534"/>
      <c r="S35" s="425"/>
      <c r="T35" s="425"/>
      <c r="U35" s="425"/>
      <c r="V35" s="528" t="s">
        <v>2405</v>
      </c>
      <c r="W35" s="531">
        <f>SUM(N3:N12)</f>
        <v>9205762.7112995107</v>
      </c>
      <c r="X35" s="530">
        <f>W35/$W$38</f>
        <v>0.13859692482833616</v>
      </c>
      <c r="Y35" s="425"/>
      <c r="Z35" s="425"/>
      <c r="AA35" s="425"/>
      <c r="AB35" s="425"/>
      <c r="AC35" s="425"/>
      <c r="AD35" s="425"/>
      <c r="AE35" s="425"/>
      <c r="AF35" s="425"/>
      <c r="AG35" s="425"/>
      <c r="AH35" s="425"/>
      <c r="AI35" s="425"/>
      <c r="AJ35" s="425"/>
      <c r="AK35" s="425"/>
      <c r="AL35" s="425"/>
      <c r="AM35" s="425"/>
      <c r="AN35" s="425"/>
      <c r="AO35" s="425"/>
      <c r="AP35" s="425"/>
      <c r="AQ35" s="425"/>
      <c r="AR35" s="425"/>
      <c r="AS35" s="425"/>
      <c r="AT35" s="425"/>
      <c r="AU35" s="425"/>
      <c r="AV35" s="425"/>
      <c r="AW35" s="425"/>
      <c r="AX35" s="425"/>
      <c r="AY35" s="425"/>
      <c r="AZ35" s="425"/>
    </row>
    <row r="36" spans="6:52">
      <c r="F36" s="424"/>
      <c r="M36" s="425"/>
      <c r="N36" s="425"/>
      <c r="O36" s="425"/>
      <c r="P36" s="425"/>
      <c r="Q36" s="425"/>
      <c r="R36" s="425"/>
      <c r="S36" s="425"/>
      <c r="T36" s="425"/>
      <c r="U36" s="425"/>
      <c r="V36" s="528" t="s">
        <v>2404</v>
      </c>
      <c r="W36" s="529">
        <f>SUM(AD3:AD12)</f>
        <v>54193342.816393055</v>
      </c>
      <c r="X36" s="530">
        <f t="shared" ref="X36:X37" si="9">W36/$W$38</f>
        <v>0.81590530801978511</v>
      </c>
      <c r="Y36" s="425"/>
      <c r="Z36" s="425"/>
      <c r="AA36" s="425"/>
      <c r="AB36" s="425"/>
      <c r="AC36" s="425"/>
      <c r="AD36" s="425"/>
      <c r="AE36" s="425"/>
      <c r="AF36" s="425"/>
      <c r="AG36" s="425"/>
      <c r="AH36" s="425"/>
      <c r="AI36" s="425"/>
      <c r="AJ36" s="425"/>
      <c r="AK36" s="425"/>
      <c r="AL36" s="425"/>
      <c r="AM36" s="425"/>
      <c r="AN36" s="425"/>
      <c r="AO36" s="425"/>
      <c r="AP36" s="425"/>
      <c r="AQ36" s="425"/>
      <c r="AR36" s="425"/>
      <c r="AS36" s="425"/>
      <c r="AT36" s="425"/>
      <c r="AU36" s="425"/>
      <c r="AV36" s="425"/>
      <c r="AW36" s="425"/>
      <c r="AX36" s="425"/>
      <c r="AY36" s="425"/>
      <c r="AZ36" s="425"/>
    </row>
    <row r="37" spans="6:52">
      <c r="F37" s="424"/>
      <c r="M37" s="425"/>
      <c r="N37" s="425"/>
      <c r="O37" s="425"/>
      <c r="P37" s="425"/>
      <c r="Q37" s="425"/>
      <c r="R37" s="425"/>
      <c r="S37" s="425"/>
      <c r="T37" s="425"/>
      <c r="U37" s="425"/>
      <c r="V37" s="149" t="s">
        <v>2566</v>
      </c>
      <c r="W37" s="529">
        <f>SUM(AL3:AL12)</f>
        <v>1773052.3271444454</v>
      </c>
      <c r="X37" s="530">
        <f t="shared" si="9"/>
        <v>2.6694105399905091E-2</v>
      </c>
      <c r="Y37" s="425"/>
      <c r="Z37" s="425"/>
      <c r="AA37" s="425"/>
      <c r="AB37" s="425"/>
      <c r="AC37" s="425"/>
      <c r="AD37" s="425"/>
      <c r="AE37" s="425"/>
      <c r="AF37" s="425"/>
      <c r="AG37" s="425"/>
      <c r="AH37" s="425"/>
      <c r="AI37" s="425"/>
      <c r="AJ37" s="425"/>
      <c r="AK37" s="425"/>
      <c r="AL37" s="425"/>
      <c r="AM37" s="425"/>
      <c r="AN37" s="425"/>
      <c r="AO37" s="425"/>
      <c r="AP37" s="425"/>
      <c r="AQ37" s="425"/>
      <c r="AR37" s="425"/>
      <c r="AS37" s="425"/>
      <c r="AT37" s="425"/>
      <c r="AU37" s="425"/>
      <c r="AV37" s="425"/>
      <c r="AW37" s="425"/>
      <c r="AX37" s="425"/>
      <c r="AY37" s="425"/>
      <c r="AZ37" s="425"/>
    </row>
    <row r="38" spans="6:52">
      <c r="F38" s="424"/>
      <c r="J38" s="424"/>
      <c r="K38" s="424"/>
      <c r="M38" s="425"/>
      <c r="N38" s="425"/>
      <c r="O38" s="425"/>
      <c r="P38" s="425"/>
      <c r="Q38" s="425"/>
      <c r="R38" s="425"/>
      <c r="S38" s="425"/>
      <c r="T38" s="425"/>
      <c r="U38" s="425"/>
      <c r="V38" s="528"/>
      <c r="W38" s="529">
        <f>SUM(W34:W37)</f>
        <v>66421118.092638887</v>
      </c>
      <c r="X38" s="528"/>
      <c r="Y38" s="425"/>
      <c r="Z38" s="425"/>
      <c r="AA38" s="425"/>
      <c r="AB38" s="425"/>
      <c r="AC38" s="425"/>
      <c r="AD38" s="425"/>
      <c r="AE38" s="425"/>
      <c r="AF38" s="425"/>
      <c r="AG38" s="425"/>
      <c r="AH38" s="425"/>
      <c r="AI38" s="425"/>
      <c r="AJ38" s="425"/>
      <c r="AK38" s="425"/>
      <c r="AL38" s="425"/>
      <c r="AM38" s="425"/>
      <c r="AN38" s="425"/>
      <c r="AO38" s="425"/>
      <c r="AP38" s="425"/>
      <c r="AQ38" s="425"/>
      <c r="AR38" s="425"/>
      <c r="AS38" s="425"/>
      <c r="AT38" s="425"/>
      <c r="AU38" s="425"/>
      <c r="AV38" s="425"/>
      <c r="AW38" s="425"/>
      <c r="AX38" s="425"/>
      <c r="AY38" s="425"/>
      <c r="AZ38" s="425"/>
    </row>
    <row r="39" spans="6:52">
      <c r="F39" s="424"/>
      <c r="M39" s="425"/>
      <c r="N39" s="425"/>
      <c r="O39" s="425"/>
      <c r="P39" s="425"/>
      <c r="Q39" s="425"/>
      <c r="R39" s="425"/>
      <c r="S39" s="425"/>
      <c r="T39" s="425"/>
      <c r="U39" s="425"/>
      <c r="V39" s="425"/>
      <c r="W39" s="425"/>
      <c r="X39" s="425"/>
      <c r="Y39" s="425"/>
      <c r="Z39" s="425"/>
      <c r="AA39" s="425"/>
      <c r="AB39" s="425"/>
      <c r="AC39" s="425"/>
      <c r="AD39" s="425"/>
      <c r="AE39" s="425"/>
      <c r="AF39" s="425"/>
      <c r="AG39" s="425"/>
      <c r="AH39" s="425"/>
      <c r="AI39" s="425"/>
      <c r="AJ39" s="425"/>
      <c r="AK39" s="425"/>
      <c r="AL39" s="425"/>
      <c r="AM39" s="425"/>
      <c r="AN39" s="425"/>
      <c r="AO39" s="425"/>
      <c r="AP39" s="425"/>
      <c r="AQ39" s="425"/>
      <c r="AR39" s="425"/>
      <c r="AS39" s="425"/>
      <c r="AT39" s="425"/>
      <c r="AU39" s="425"/>
      <c r="AV39" s="425"/>
      <c r="AW39" s="425"/>
      <c r="AX39" s="425"/>
      <c r="AY39" s="425"/>
      <c r="AZ39" s="425"/>
    </row>
    <row r="40" spans="6:52">
      <c r="F40" s="424"/>
      <c r="M40" s="425"/>
      <c r="N40" s="425"/>
      <c r="O40" s="425"/>
      <c r="P40" s="425"/>
      <c r="Q40" s="425"/>
      <c r="R40" s="425"/>
      <c r="S40" s="425"/>
      <c r="T40" s="425"/>
      <c r="U40" s="425"/>
      <c r="V40" s="425"/>
      <c r="W40" s="425"/>
      <c r="X40" s="425"/>
      <c r="Y40" s="425"/>
      <c r="Z40" s="425"/>
      <c r="AA40" s="425"/>
      <c r="AB40" s="425"/>
      <c r="AC40" s="425"/>
      <c r="AD40" s="425"/>
      <c r="AE40" s="425"/>
      <c r="AF40" s="425"/>
      <c r="AG40" s="425"/>
      <c r="AH40" s="425"/>
      <c r="AI40" s="425"/>
      <c r="AJ40" s="425"/>
      <c r="AK40" s="425"/>
      <c r="AL40" s="425"/>
      <c r="AM40" s="425"/>
      <c r="AN40" s="425"/>
      <c r="AO40" s="425"/>
      <c r="AP40" s="425"/>
      <c r="AQ40" s="425"/>
      <c r="AR40" s="425"/>
      <c r="AS40" s="425"/>
      <c r="AT40" s="425"/>
      <c r="AU40" s="425"/>
      <c r="AV40" s="425"/>
      <c r="AW40" s="425"/>
      <c r="AX40" s="425"/>
      <c r="AY40" s="425"/>
      <c r="AZ40" s="425"/>
    </row>
    <row r="41" spans="6:52">
      <c r="F41" s="424"/>
      <c r="M41" s="425"/>
      <c r="N41" s="425"/>
      <c r="O41" s="425"/>
      <c r="P41" s="425"/>
      <c r="Q41" s="425"/>
      <c r="R41" s="425"/>
      <c r="S41" s="425"/>
      <c r="T41" s="425"/>
      <c r="U41" s="425"/>
      <c r="V41" s="425"/>
      <c r="W41" s="425"/>
      <c r="X41" s="425"/>
      <c r="Y41" s="425"/>
      <c r="Z41" s="425"/>
      <c r="AA41" s="425"/>
      <c r="AB41" s="425"/>
      <c r="AC41" s="425"/>
      <c r="AD41" s="425"/>
      <c r="AE41" s="425"/>
      <c r="AF41" s="425"/>
      <c r="AG41" s="425"/>
      <c r="AH41" s="425"/>
      <c r="AI41" s="425"/>
      <c r="AJ41" s="425"/>
      <c r="AK41" s="425"/>
      <c r="AL41" s="425"/>
      <c r="AM41" s="425"/>
      <c r="AN41" s="425"/>
      <c r="AO41" s="425"/>
      <c r="AP41" s="425"/>
      <c r="AQ41" s="425"/>
      <c r="AR41" s="425"/>
      <c r="AS41" s="425"/>
      <c r="AT41" s="425"/>
      <c r="AU41" s="425"/>
      <c r="AV41" s="425"/>
      <c r="AW41" s="425"/>
      <c r="AX41" s="425"/>
      <c r="AY41" s="425"/>
      <c r="AZ41" s="425"/>
    </row>
    <row r="42" spans="6:52">
      <c r="F42" s="424"/>
      <c r="M42" s="425"/>
      <c r="N42" s="425"/>
      <c r="O42" s="425"/>
      <c r="P42" s="425"/>
      <c r="Q42" s="425"/>
      <c r="R42" s="425"/>
      <c r="S42" s="425"/>
      <c r="T42" s="425"/>
      <c r="U42" s="425"/>
      <c r="V42" s="425"/>
      <c r="W42" s="425"/>
      <c r="X42" s="425"/>
      <c r="Y42" s="425"/>
      <c r="Z42" s="425"/>
      <c r="AA42" s="425"/>
      <c r="AB42" s="425"/>
      <c r="AC42" s="425"/>
      <c r="AD42" s="425"/>
      <c r="AE42" s="425"/>
      <c r="AF42" s="425"/>
      <c r="AG42" s="425"/>
      <c r="AH42" s="425"/>
      <c r="AI42" s="425"/>
      <c r="AJ42" s="425"/>
      <c r="AK42" s="425"/>
      <c r="AL42" s="425"/>
      <c r="AM42" s="425"/>
      <c r="AN42" s="425"/>
      <c r="AO42" s="425"/>
      <c r="AP42" s="425"/>
      <c r="AQ42" s="425"/>
      <c r="AR42" s="425"/>
      <c r="AS42" s="425"/>
      <c r="AT42" s="425"/>
      <c r="AU42" s="425"/>
      <c r="AV42" s="425"/>
      <c r="AW42" s="425"/>
      <c r="AX42" s="425"/>
      <c r="AY42" s="425"/>
      <c r="AZ42" s="425"/>
    </row>
    <row r="43" spans="6:52">
      <c r="F43" s="424"/>
      <c r="M43" s="425"/>
      <c r="N43" s="425"/>
      <c r="O43" s="425"/>
      <c r="P43" s="425"/>
      <c r="Q43" s="425"/>
      <c r="R43" s="425"/>
      <c r="S43" s="425"/>
      <c r="T43" s="425"/>
      <c r="U43" s="425"/>
      <c r="V43" s="425"/>
      <c r="W43" s="425"/>
      <c r="X43" s="425"/>
      <c r="Y43" s="425"/>
      <c r="Z43" s="425"/>
      <c r="AA43" s="425"/>
      <c r="AB43" s="425"/>
      <c r="AC43" s="425"/>
      <c r="AD43" s="425"/>
      <c r="AE43" s="425"/>
      <c r="AF43" s="425"/>
      <c r="AG43" s="425"/>
      <c r="AH43" s="425"/>
      <c r="AI43" s="425"/>
      <c r="AJ43" s="425"/>
      <c r="AK43" s="425"/>
      <c r="AL43" s="425"/>
      <c r="AM43" s="425"/>
      <c r="AN43" s="425"/>
      <c r="AO43" s="425"/>
      <c r="AP43" s="425"/>
      <c r="AQ43" s="425"/>
      <c r="AR43" s="425"/>
      <c r="AS43" s="425"/>
      <c r="AT43" s="425"/>
      <c r="AU43" s="425"/>
      <c r="AV43" s="425"/>
      <c r="AW43" s="425"/>
      <c r="AX43" s="425"/>
      <c r="AY43" s="425"/>
      <c r="AZ43" s="425"/>
    </row>
    <row r="44" spans="6:52">
      <c r="F44" s="424"/>
      <c r="M44" s="425"/>
      <c r="N44" s="425"/>
      <c r="O44" s="425"/>
      <c r="P44" s="425"/>
      <c r="Q44" s="425"/>
      <c r="R44" s="425"/>
      <c r="S44" s="425"/>
      <c r="T44" s="425"/>
      <c r="U44" s="425"/>
      <c r="V44" s="425"/>
      <c r="W44" s="425"/>
      <c r="X44" s="425"/>
      <c r="Y44" s="425"/>
      <c r="Z44" s="425"/>
      <c r="AA44" s="425"/>
      <c r="AB44" s="425"/>
      <c r="AC44" s="425"/>
      <c r="AD44" s="425"/>
      <c r="AE44" s="425"/>
      <c r="AF44" s="425"/>
      <c r="AG44" s="425"/>
      <c r="AH44" s="425"/>
      <c r="AI44" s="425"/>
      <c r="AJ44" s="425"/>
      <c r="AK44" s="425"/>
      <c r="AL44" s="425"/>
      <c r="AM44" s="425"/>
      <c r="AN44" s="425"/>
      <c r="AO44" s="425"/>
      <c r="AP44" s="425"/>
      <c r="AQ44" s="425"/>
      <c r="AR44" s="425"/>
      <c r="AS44" s="425"/>
      <c r="AT44" s="425"/>
      <c r="AU44" s="425"/>
      <c r="AV44" s="425"/>
      <c r="AW44" s="425"/>
      <c r="AX44" s="425"/>
      <c r="AY44" s="425"/>
      <c r="AZ44" s="425"/>
    </row>
    <row r="45" spans="6:52">
      <c r="F45" s="424"/>
      <c r="M45" s="425"/>
      <c r="N45" s="425"/>
      <c r="O45" s="425"/>
      <c r="P45" s="425"/>
      <c r="Q45" s="425"/>
      <c r="R45" s="425"/>
      <c r="S45" s="425"/>
      <c r="T45" s="425"/>
      <c r="U45" s="425"/>
      <c r="V45" s="425"/>
      <c r="W45" s="425"/>
      <c r="X45" s="425"/>
      <c r="Y45" s="425"/>
      <c r="Z45" s="425"/>
      <c r="AA45" s="425"/>
      <c r="AB45" s="425"/>
      <c r="AC45" s="425"/>
      <c r="AD45" s="425"/>
      <c r="AE45" s="425"/>
      <c r="AF45" s="425"/>
      <c r="AG45" s="425"/>
      <c r="AH45" s="425"/>
      <c r="AI45" s="425"/>
      <c r="AJ45" s="425"/>
      <c r="AK45" s="425"/>
      <c r="AL45" s="425"/>
      <c r="AM45" s="425"/>
      <c r="AN45" s="425"/>
      <c r="AO45" s="425"/>
      <c r="AP45" s="425"/>
      <c r="AQ45" s="425"/>
      <c r="AR45" s="425"/>
      <c r="AS45" s="425"/>
      <c r="AT45" s="425"/>
      <c r="AU45" s="425"/>
      <c r="AV45" s="425"/>
      <c r="AW45" s="425"/>
      <c r="AX45" s="425"/>
      <c r="AY45" s="425"/>
      <c r="AZ45" s="425"/>
    </row>
    <row r="46" spans="6:52">
      <c r="F46" s="424"/>
      <c r="M46" s="425"/>
      <c r="N46" s="425"/>
      <c r="O46" s="425"/>
      <c r="P46" s="425"/>
      <c r="Q46" s="425"/>
      <c r="R46" s="425"/>
      <c r="S46" s="425"/>
      <c r="T46" s="425"/>
      <c r="U46" s="425"/>
      <c r="V46" s="425"/>
      <c r="W46" s="425"/>
      <c r="X46" s="425"/>
      <c r="Y46" s="425"/>
      <c r="Z46" s="425"/>
      <c r="AA46" s="425"/>
      <c r="AB46" s="425"/>
      <c r="AC46" s="425"/>
      <c r="AD46" s="425"/>
      <c r="AE46" s="425"/>
      <c r="AF46" s="425"/>
      <c r="AG46" s="425"/>
      <c r="AH46" s="425"/>
      <c r="AI46" s="425"/>
      <c r="AJ46" s="425"/>
      <c r="AK46" s="425"/>
      <c r="AL46" s="425"/>
      <c r="AM46" s="425"/>
      <c r="AN46" s="425"/>
      <c r="AO46" s="425"/>
      <c r="AP46" s="425"/>
      <c r="AQ46" s="425"/>
      <c r="AR46" s="425"/>
      <c r="AS46" s="425"/>
      <c r="AT46" s="425"/>
      <c r="AU46" s="425"/>
      <c r="AV46" s="425"/>
      <c r="AW46" s="425"/>
      <c r="AX46" s="425"/>
      <c r="AY46" s="425"/>
      <c r="AZ46" s="425"/>
    </row>
    <row r="47" spans="6:52">
      <c r="F47" s="424"/>
      <c r="M47" s="425"/>
      <c r="N47" s="425"/>
      <c r="O47" s="425"/>
      <c r="P47" s="425"/>
      <c r="Q47" s="425"/>
      <c r="R47" s="425"/>
      <c r="S47" s="425"/>
      <c r="T47" s="425"/>
      <c r="U47" s="425"/>
      <c r="V47" s="425"/>
      <c r="W47" s="425"/>
      <c r="X47" s="425"/>
      <c r="Y47" s="425"/>
      <c r="Z47" s="425"/>
      <c r="AA47" s="425"/>
      <c r="AB47" s="425"/>
      <c r="AC47" s="425"/>
      <c r="AD47" s="425"/>
      <c r="AE47" s="425"/>
      <c r="AF47" s="425"/>
      <c r="AG47" s="425"/>
      <c r="AH47" s="425"/>
      <c r="AI47" s="425"/>
      <c r="AJ47" s="425"/>
      <c r="AK47" s="425"/>
      <c r="AL47" s="425"/>
      <c r="AM47" s="425"/>
      <c r="AN47" s="425"/>
      <c r="AO47" s="425"/>
      <c r="AP47" s="425"/>
      <c r="AQ47" s="425"/>
      <c r="AR47" s="425"/>
      <c r="AS47" s="425"/>
      <c r="AT47" s="425"/>
      <c r="AU47" s="425"/>
      <c r="AV47" s="425"/>
      <c r="AW47" s="425"/>
      <c r="AX47" s="425"/>
      <c r="AY47" s="425"/>
      <c r="AZ47" s="425"/>
    </row>
    <row r="48" spans="6:52">
      <c r="F48" s="424"/>
      <c r="M48" s="425"/>
      <c r="N48" s="425"/>
      <c r="O48" s="425"/>
      <c r="P48" s="425"/>
      <c r="Q48" s="425"/>
      <c r="R48" s="425"/>
      <c r="S48" s="425"/>
      <c r="T48" s="425"/>
      <c r="U48" s="425"/>
      <c r="V48" s="425"/>
      <c r="W48" s="425"/>
      <c r="X48" s="425"/>
      <c r="Y48" s="425"/>
      <c r="Z48" s="425"/>
      <c r="AA48" s="425"/>
      <c r="AB48" s="425"/>
      <c r="AC48" s="425"/>
      <c r="AD48" s="425"/>
      <c r="AE48" s="425"/>
      <c r="AF48" s="425"/>
      <c r="AG48" s="425"/>
      <c r="AH48" s="425"/>
      <c r="AI48" s="425"/>
      <c r="AJ48" s="425"/>
      <c r="AK48" s="425"/>
      <c r="AL48" s="425"/>
      <c r="AM48" s="425"/>
      <c r="AN48" s="425"/>
      <c r="AO48" s="425"/>
      <c r="AP48" s="425"/>
      <c r="AQ48" s="425"/>
      <c r="AR48" s="425"/>
      <c r="AS48" s="425"/>
      <c r="AT48" s="425"/>
      <c r="AU48" s="425"/>
      <c r="AV48" s="425"/>
      <c r="AW48" s="425"/>
      <c r="AX48" s="425"/>
      <c r="AY48" s="425"/>
      <c r="AZ48" s="425"/>
    </row>
    <row r="49" spans="6:52">
      <c r="F49" s="424"/>
      <c r="M49" s="425"/>
      <c r="N49" s="425"/>
      <c r="O49" s="425"/>
      <c r="P49" s="425"/>
      <c r="Q49" s="425"/>
      <c r="R49" s="425"/>
      <c r="S49" s="425"/>
      <c r="T49" s="425"/>
      <c r="U49" s="425"/>
      <c r="V49" s="425"/>
      <c r="W49" s="425"/>
      <c r="X49" s="425"/>
      <c r="Y49" s="425"/>
      <c r="Z49" s="425"/>
      <c r="AA49" s="425"/>
      <c r="AB49" s="425"/>
      <c r="AC49" s="425"/>
      <c r="AD49" s="425"/>
      <c r="AE49" s="425"/>
      <c r="AF49" s="425"/>
      <c r="AG49" s="425"/>
      <c r="AH49" s="425"/>
      <c r="AI49" s="425"/>
      <c r="AJ49" s="425"/>
      <c r="AK49" s="425"/>
      <c r="AL49" s="425"/>
      <c r="AM49" s="425"/>
      <c r="AN49" s="425"/>
      <c r="AO49" s="425"/>
      <c r="AP49" s="425"/>
      <c r="AQ49" s="425"/>
      <c r="AR49" s="425"/>
      <c r="AS49" s="425"/>
      <c r="AT49" s="425"/>
      <c r="AU49" s="425"/>
      <c r="AV49" s="425"/>
      <c r="AW49" s="425"/>
      <c r="AX49" s="425"/>
      <c r="AY49" s="425"/>
      <c r="AZ49" s="425"/>
    </row>
    <row r="50" spans="6:52">
      <c r="F50" s="424"/>
      <c r="M50" s="425"/>
      <c r="N50" s="425"/>
      <c r="O50" s="425"/>
      <c r="P50" s="425"/>
      <c r="Q50" s="425"/>
      <c r="R50" s="425"/>
      <c r="S50" s="425"/>
      <c r="T50" s="425"/>
      <c r="U50" s="425"/>
      <c r="V50" s="425"/>
      <c r="W50" s="425"/>
      <c r="X50" s="425"/>
      <c r="Y50" s="425"/>
      <c r="Z50" s="425"/>
      <c r="AA50" s="425"/>
      <c r="AB50" s="425"/>
      <c r="AC50" s="425"/>
      <c r="AD50" s="425"/>
      <c r="AE50" s="425"/>
      <c r="AF50" s="425"/>
      <c r="AG50" s="425"/>
      <c r="AH50" s="425"/>
      <c r="AI50" s="425"/>
      <c r="AJ50" s="425"/>
      <c r="AK50" s="425"/>
      <c r="AL50" s="425"/>
      <c r="AM50" s="425"/>
      <c r="AN50" s="425"/>
      <c r="AO50" s="425"/>
      <c r="AP50" s="425"/>
      <c r="AQ50" s="425"/>
      <c r="AR50" s="425"/>
      <c r="AS50" s="425"/>
      <c r="AT50" s="425"/>
      <c r="AU50" s="425"/>
      <c r="AV50" s="425"/>
      <c r="AW50" s="425"/>
      <c r="AX50" s="425"/>
      <c r="AY50" s="425"/>
      <c r="AZ50" s="425"/>
    </row>
    <row r="51" spans="6:52">
      <c r="F51" s="424"/>
      <c r="M51" s="425"/>
      <c r="N51" s="425"/>
      <c r="O51" s="425"/>
      <c r="P51" s="425"/>
      <c r="Q51" s="425"/>
      <c r="R51" s="425"/>
      <c r="S51" s="425"/>
      <c r="T51" s="425"/>
      <c r="U51" s="425"/>
      <c r="V51" s="425"/>
      <c r="W51" s="425"/>
      <c r="X51" s="425"/>
      <c r="Y51" s="425"/>
      <c r="Z51" s="425"/>
      <c r="AA51" s="425"/>
      <c r="AB51" s="425"/>
      <c r="AC51" s="425"/>
      <c r="AD51" s="425"/>
      <c r="AE51" s="425"/>
      <c r="AF51" s="425"/>
      <c r="AG51" s="425"/>
      <c r="AH51" s="425"/>
      <c r="AI51" s="425"/>
      <c r="AJ51" s="425"/>
      <c r="AK51" s="425"/>
      <c r="AL51" s="425"/>
      <c r="AM51" s="425"/>
      <c r="AN51" s="425"/>
      <c r="AO51" s="425"/>
      <c r="AP51" s="425"/>
      <c r="AQ51" s="425"/>
      <c r="AR51" s="425"/>
      <c r="AS51" s="425"/>
      <c r="AT51" s="425"/>
      <c r="AU51" s="425"/>
      <c r="AV51" s="425"/>
      <c r="AW51" s="425"/>
      <c r="AX51" s="425"/>
      <c r="AY51" s="425"/>
      <c r="AZ51" s="425"/>
    </row>
    <row r="52" spans="6:52">
      <c r="F52" s="424"/>
      <c r="M52" s="425"/>
      <c r="N52" s="425"/>
      <c r="O52" s="425"/>
      <c r="P52" s="425"/>
      <c r="Q52" s="425"/>
      <c r="R52" s="425"/>
      <c r="S52" s="425"/>
      <c r="T52" s="425"/>
      <c r="U52" s="425"/>
      <c r="V52" s="425"/>
      <c r="W52" s="425"/>
      <c r="X52" s="425"/>
      <c r="Y52" s="425"/>
      <c r="Z52" s="425"/>
      <c r="AA52" s="425"/>
      <c r="AB52" s="425"/>
      <c r="AC52" s="425"/>
      <c r="AD52" s="425"/>
      <c r="AE52" s="425"/>
      <c r="AF52" s="425"/>
      <c r="AG52" s="425"/>
      <c r="AH52" s="425"/>
      <c r="AI52" s="425"/>
      <c r="AJ52" s="425"/>
      <c r="AK52" s="425"/>
      <c r="AL52" s="425"/>
      <c r="AM52" s="425"/>
      <c r="AN52" s="425"/>
      <c r="AO52" s="425"/>
      <c r="AP52" s="425"/>
      <c r="AQ52" s="425"/>
      <c r="AR52" s="425"/>
      <c r="AS52" s="425"/>
      <c r="AT52" s="425"/>
      <c r="AU52" s="425"/>
      <c r="AV52" s="425"/>
      <c r="AW52" s="425"/>
      <c r="AX52" s="425"/>
      <c r="AY52" s="425"/>
      <c r="AZ52" s="425"/>
    </row>
    <row r="53" spans="6:52">
      <c r="F53" s="424"/>
    </row>
    <row r="54" spans="6:52">
      <c r="F54" s="424"/>
    </row>
    <row r="55" spans="6:52">
      <c r="F55" s="424"/>
    </row>
    <row r="56" spans="6:52">
      <c r="F56" s="424"/>
    </row>
    <row r="57" spans="6:52">
      <c r="F57" s="424"/>
    </row>
    <row r="58" spans="6:52">
      <c r="F58" s="424"/>
    </row>
    <row r="59" spans="6:52">
      <c r="F59" s="424"/>
    </row>
    <row r="60" spans="6:52">
      <c r="F60" s="424"/>
    </row>
  </sheetData>
  <mergeCells count="12">
    <mergeCell ref="AS1:AZ1"/>
    <mergeCell ref="A3:A4"/>
    <mergeCell ref="A5:A12"/>
    <mergeCell ref="A13:A19"/>
    <mergeCell ref="A21:A23"/>
    <mergeCell ref="AC1:AJ1"/>
    <mergeCell ref="AK1:AR1"/>
    <mergeCell ref="A24:A28"/>
    <mergeCell ref="C1:E1"/>
    <mergeCell ref="F1:L1"/>
    <mergeCell ref="M1:T1"/>
    <mergeCell ref="U1:AB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834A-5501-406C-8491-CD5BFC03D45E}">
  <dimension ref="A1:S79"/>
  <sheetViews>
    <sheetView topLeftCell="A25" workbookViewId="0">
      <selection activeCell="C33" sqref="C33"/>
    </sheetView>
  </sheetViews>
  <sheetFormatPr defaultColWidth="9.28515625" defaultRowHeight="12.75"/>
  <cols>
    <col min="1" max="1" width="27" style="18" customWidth="1"/>
    <col min="2" max="2" width="11.7109375" style="18" bestFit="1" customWidth="1"/>
    <col min="3" max="3" width="11.28515625" style="18" bestFit="1" customWidth="1"/>
    <col min="4" max="4" width="11.7109375" style="18" bestFit="1" customWidth="1"/>
    <col min="5" max="5" width="15.42578125" style="18" bestFit="1" customWidth="1"/>
    <col min="6" max="6" width="11.42578125" style="18" bestFit="1" customWidth="1"/>
    <col min="7" max="7" width="9.7109375" style="18" bestFit="1" customWidth="1"/>
    <col min="8" max="8" width="15.42578125" style="18" bestFit="1" customWidth="1"/>
    <col min="9" max="9" width="10.28515625" style="18" bestFit="1" customWidth="1"/>
    <col min="10" max="10" width="9.28515625" style="18"/>
    <col min="11" max="11" width="25.28515625" style="18" customWidth="1"/>
    <col min="12" max="16384" width="9.28515625" style="18"/>
  </cols>
  <sheetData>
    <row r="1" spans="1:10" ht="25.5">
      <c r="A1" s="17" t="s">
        <v>2410</v>
      </c>
      <c r="B1" s="552" t="s">
        <v>2391</v>
      </c>
      <c r="C1" s="552" t="s">
        <v>2392</v>
      </c>
      <c r="D1" s="552" t="s">
        <v>2393</v>
      </c>
      <c r="E1" s="552" t="s">
        <v>2394</v>
      </c>
      <c r="F1" s="552" t="s">
        <v>222</v>
      </c>
      <c r="G1" s="552" t="s">
        <v>2395</v>
      </c>
      <c r="H1" s="552" t="s">
        <v>2396</v>
      </c>
      <c r="I1" s="552" t="s">
        <v>2397</v>
      </c>
      <c r="J1" s="553"/>
    </row>
    <row r="2" spans="1:10">
      <c r="A2" s="17" t="s">
        <v>2449</v>
      </c>
      <c r="B2" s="427">
        <f>Original!AS3/Original!$BA3</f>
        <v>0.55416973397927605</v>
      </c>
      <c r="C2" s="427">
        <f>Original!AT3/Original!$BA3</f>
        <v>0.20778530681686785</v>
      </c>
      <c r="D2" s="427">
        <f>Original!AU3/Original!$BA3</f>
        <v>4.2597519015426903E-2</v>
      </c>
      <c r="E2" s="427">
        <f>Original!AV3/Original!$BA3</f>
        <v>0</v>
      </c>
      <c r="F2" s="427">
        <f>Original!AW3/Original!$BA3</f>
        <v>4.7608991840771234E-2</v>
      </c>
      <c r="G2" s="427">
        <f>Original!AX3/Original!$BA3</f>
        <v>0</v>
      </c>
      <c r="H2" s="427">
        <f>Original!AY3/Original!$BA3</f>
        <v>0</v>
      </c>
      <c r="I2" s="427">
        <f>Original!AZ3/Original!$BA3</f>
        <v>0.14783844834765805</v>
      </c>
      <c r="J2" s="554">
        <f>SUM(B2:I2)</f>
        <v>1.0000000000000002</v>
      </c>
    </row>
    <row r="3" spans="1:10">
      <c r="A3" s="17" t="s">
        <v>2450</v>
      </c>
      <c r="B3" s="427">
        <f>Original!AS4/Original!$BA4</f>
        <v>0.55226659716396898</v>
      </c>
      <c r="C3" s="427">
        <f>Original!AT4/Original!$BA4</f>
        <v>0.2096884436321749</v>
      </c>
      <c r="D3" s="427">
        <f>Original!AU4/Original!$BA4</f>
        <v>4.2597519015426896E-2</v>
      </c>
      <c r="E3" s="427">
        <f>Original!AV4/Original!$BA4</f>
        <v>0</v>
      </c>
      <c r="F3" s="427">
        <f>Original!AW4/Original!$BA4</f>
        <v>4.7608991840771234E-2</v>
      </c>
      <c r="G3" s="427">
        <f>Original!AX4/Original!$BA4</f>
        <v>0</v>
      </c>
      <c r="H3" s="427">
        <f>Original!AY4/Original!$BA4</f>
        <v>0</v>
      </c>
      <c r="I3" s="427">
        <f>Original!AZ4/Original!$BA4</f>
        <v>0.14783844834765802</v>
      </c>
      <c r="J3" s="554">
        <f t="shared" ref="J3:J27" si="0">SUM(B3:I3)</f>
        <v>1</v>
      </c>
    </row>
    <row r="4" spans="1:10">
      <c r="A4" s="17" t="s">
        <v>2451</v>
      </c>
      <c r="B4" s="427"/>
      <c r="C4" s="427"/>
      <c r="D4" s="427"/>
      <c r="E4" s="427"/>
      <c r="F4" s="427"/>
      <c r="G4" s="427"/>
      <c r="H4" s="427"/>
      <c r="I4" s="427"/>
      <c r="J4" s="554"/>
    </row>
    <row r="5" spans="1:10">
      <c r="A5" s="17" t="s">
        <v>2452</v>
      </c>
      <c r="B5" s="427">
        <f>Original!AS6/Original!$BA6</f>
        <v>0.56907818559107781</v>
      </c>
      <c r="C5" s="427">
        <f>Original!AT6/Original!$BA6</f>
        <v>0.2464605132186839</v>
      </c>
      <c r="D5" s="427">
        <f>Original!AU6/Original!$BA6</f>
        <v>4.279156900016276E-2</v>
      </c>
      <c r="E5" s="427">
        <f>Original!AV6/Original!$BA6</f>
        <v>1.4308286157512264E-2</v>
      </c>
      <c r="F5" s="427">
        <f>Original!AW6/Original!$BA6</f>
        <v>3.6543154112860785E-2</v>
      </c>
      <c r="G5" s="427">
        <f>Original!AX6/Original!$BA6</f>
        <v>1.434131529356822E-2</v>
      </c>
      <c r="H5" s="427">
        <f>Original!AY6/Original!$BA6</f>
        <v>9.1440052028792448E-3</v>
      </c>
      <c r="I5" s="427">
        <f>Original!AZ6/Original!$BA6</f>
        <v>6.733297142325495E-2</v>
      </c>
      <c r="J5" s="554">
        <f t="shared" si="0"/>
        <v>1</v>
      </c>
    </row>
    <row r="6" spans="1:10">
      <c r="A6" s="17" t="s">
        <v>2453</v>
      </c>
      <c r="B6" s="427">
        <f>Original!AS7/Original!$BA7</f>
        <v>0.57321850733793278</v>
      </c>
      <c r="C6" s="427">
        <f>Original!AT7/Original!$BA7</f>
        <v>0.24516053063111642</v>
      </c>
      <c r="D6" s="427">
        <f>Original!AU7/Original!$BA7</f>
        <v>1.9409130719257255E-2</v>
      </c>
      <c r="E6" s="427">
        <f>Original!AV7/Original!$BA7</f>
        <v>1.1471724155237584E-2</v>
      </c>
      <c r="F6" s="427">
        <f>Original!AW7/Original!$BA7</f>
        <v>5.0134515863522564E-2</v>
      </c>
      <c r="G6" s="427">
        <f>Original!AX7/Original!$BA7</f>
        <v>7.0688789495800671E-3</v>
      </c>
      <c r="H6" s="427">
        <f>Original!AY7/Original!$BA7</f>
        <v>4.5840141175531451E-3</v>
      </c>
      <c r="I6" s="427">
        <f>Original!AZ7/Original!$BA7</f>
        <v>8.8952698225800222E-2</v>
      </c>
      <c r="J6" s="554">
        <f t="shared" si="0"/>
        <v>1</v>
      </c>
    </row>
    <row r="7" spans="1:10">
      <c r="A7" s="17" t="s">
        <v>2454</v>
      </c>
      <c r="B7" s="427">
        <f>Original!AS8/Original!$BA8</f>
        <v>0.54453312549619182</v>
      </c>
      <c r="C7" s="427">
        <f>Original!AT8/Original!$BA8</f>
        <v>0.26176575080299214</v>
      </c>
      <c r="D7" s="427">
        <f>Original!AU8/Original!$BA8</f>
        <v>6.0423553428108422E-2</v>
      </c>
      <c r="E7" s="427">
        <f>Original!AV8/Original!$BA8</f>
        <v>1.1650313045895576E-2</v>
      </c>
      <c r="F7" s="427">
        <f>Original!AW8/Original!$BA8</f>
        <v>3.5414747256513474E-2</v>
      </c>
      <c r="G7" s="427">
        <f>Original!AX8/Original!$BA8</f>
        <v>1.3943418873860086E-2</v>
      </c>
      <c r="H7" s="427">
        <f>Original!AY8/Original!$BA8</f>
        <v>8.4442479507030078E-3</v>
      </c>
      <c r="I7" s="427">
        <f>Original!AZ8/Original!$BA8</f>
        <v>6.3824843145735569E-2</v>
      </c>
      <c r="J7" s="554">
        <f t="shared" si="0"/>
        <v>1.0000000000000002</v>
      </c>
    </row>
    <row r="8" spans="1:10">
      <c r="A8" s="17" t="s">
        <v>2455</v>
      </c>
      <c r="B8" s="427">
        <f>Original!AS9/Original!$BA9</f>
        <v>0.58862370805977915</v>
      </c>
      <c r="C8" s="427">
        <f>Original!AT9/Original!$BA9</f>
        <v>0.24546826044450568</v>
      </c>
      <c r="D8" s="427">
        <f>Original!AU9/Original!$BA9</f>
        <v>2.5024322810816273E-2</v>
      </c>
      <c r="E8" s="427">
        <f>Original!AV9/Original!$BA9</f>
        <v>8.0217755645276105E-3</v>
      </c>
      <c r="F8" s="427">
        <f>Original!AW9/Original!$BA9</f>
        <v>5.4087993660333615E-2</v>
      </c>
      <c r="G8" s="427">
        <f>Original!AX9/Original!$BA9</f>
        <v>1.4920133971680131E-2</v>
      </c>
      <c r="H8" s="427">
        <f>Original!AY9/Original!$BA9</f>
        <v>6.8172967964872681E-3</v>
      </c>
      <c r="I8" s="427">
        <f>Original!AZ9/Original!$BA9</f>
        <v>5.7036508691870318E-2</v>
      </c>
      <c r="J8" s="554">
        <f t="shared" si="0"/>
        <v>0.99999999999999989</v>
      </c>
    </row>
    <row r="9" spans="1:10">
      <c r="A9" s="17" t="s">
        <v>2456</v>
      </c>
      <c r="B9" s="427">
        <f>Original!AS10/Original!$BA10</f>
        <v>0.56157939916044897</v>
      </c>
      <c r="C9" s="427">
        <f>Original!AT10/Original!$BA10</f>
        <v>0.25513967877957366</v>
      </c>
      <c r="D9" s="427">
        <f>Original!AU10/Original!$BA10</f>
        <v>2.2475297881020938E-2</v>
      </c>
      <c r="E9" s="427">
        <f>Original!AV10/Original!$BA10</f>
        <v>4.7309123222572923E-3</v>
      </c>
      <c r="F9" s="427">
        <f>Original!AW10/Original!$BA10</f>
        <v>4.7957000251087678E-2</v>
      </c>
      <c r="G9" s="427">
        <f>Original!AX10/Original!$BA10</f>
        <v>1.8975446572402032E-2</v>
      </c>
      <c r="H9" s="427">
        <f>Original!AY10/Original!$BA10</f>
        <v>1.0519626810288753E-2</v>
      </c>
      <c r="I9" s="427">
        <f>Original!AZ10/Original!$BA10</f>
        <v>7.8622638222920746E-2</v>
      </c>
      <c r="J9" s="554">
        <f t="shared" si="0"/>
        <v>1.0000000000000002</v>
      </c>
    </row>
    <row r="10" spans="1:10">
      <c r="A10" s="17" t="s">
        <v>2457</v>
      </c>
      <c r="B10" s="427">
        <f>Original!AS11/Original!$BA11</f>
        <v>0.59339544661749866</v>
      </c>
      <c r="C10" s="427">
        <f>Original!AT11/Original!$BA11</f>
        <v>0.24779439930188898</v>
      </c>
      <c r="D10" s="427">
        <f>Original!AU11/Original!$BA11</f>
        <v>2.2425847554186445E-2</v>
      </c>
      <c r="E10" s="427">
        <f>Original!AV11/Original!$BA11</f>
        <v>2.5999252415631145E-3</v>
      </c>
      <c r="F10" s="427">
        <f>Original!AW11/Original!$BA11</f>
        <v>5.5793788857745254E-2</v>
      </c>
      <c r="G10" s="427">
        <f>Original!AX11/Original!$BA11</f>
        <v>1.395865962429714E-2</v>
      </c>
      <c r="H10" s="427">
        <f>Original!AY11/Original!$BA11</f>
        <v>4.5066832602725501E-3</v>
      </c>
      <c r="I10" s="427">
        <f>Original!AZ11/Original!$BA11</f>
        <v>5.9525249542547738E-2</v>
      </c>
      <c r="J10" s="554">
        <f t="shared" si="0"/>
        <v>0.99999999999999989</v>
      </c>
    </row>
    <row r="11" spans="1:10">
      <c r="A11" s="17" t="s">
        <v>2458</v>
      </c>
      <c r="B11" s="427">
        <f>Original!AS12/Original!$BA12</f>
        <v>0.50109944465545786</v>
      </c>
      <c r="C11" s="427">
        <f>Original!AT12/Original!$BA12</f>
        <v>0.32080215165548837</v>
      </c>
      <c r="D11" s="427">
        <f>Original!AU12/Original!$BA12</f>
        <v>6.0360567970568144E-2</v>
      </c>
      <c r="E11" s="427">
        <f>Original!AV12/Original!$BA12</f>
        <v>6.7473634980377371E-3</v>
      </c>
      <c r="F11" s="427">
        <f>Original!AW12/Original!$BA12</f>
        <v>3.7219876678197199E-2</v>
      </c>
      <c r="G11" s="427">
        <f>Original!AX12/Original!$BA12</f>
        <v>1.0171444820590328E-2</v>
      </c>
      <c r="H11" s="427">
        <f>Original!AY12/Original!$BA12</f>
        <v>5.2560752138203822E-3</v>
      </c>
      <c r="I11" s="427">
        <f>Original!AZ12/Original!$BA12</f>
        <v>5.8343075507840042E-2</v>
      </c>
      <c r="J11" s="554">
        <f t="shared" si="0"/>
        <v>0.99999999999999989</v>
      </c>
    </row>
    <row r="12" spans="1:10">
      <c r="A12" s="17" t="s">
        <v>2459</v>
      </c>
      <c r="B12" s="427">
        <f>Original!AS13/Original!$BA13</f>
        <v>0.3400614983347392</v>
      </c>
      <c r="C12" s="427">
        <f>Original!AT13/Original!$BA13</f>
        <v>0.26449597588510398</v>
      </c>
      <c r="D12" s="427">
        <f>Original!AU13/Original!$BA13</f>
        <v>8.4122119912402107E-2</v>
      </c>
      <c r="E12" s="427">
        <f>Original!AV13/Original!$BA13</f>
        <v>8.0950081371519794E-2</v>
      </c>
      <c r="F12" s="427">
        <f>Original!AW13/Original!$BA13</f>
        <v>9.0466469721639908E-2</v>
      </c>
      <c r="G12" s="427">
        <f>Original!AX13/Original!$BA13</f>
        <v>1.588807534047049E-2</v>
      </c>
      <c r="H12" s="427">
        <f>Original!AY13/Original!$BA13</f>
        <v>3.4300488424236948E-2</v>
      </c>
      <c r="I12" s="427">
        <f>Original!AZ13/Original!$BA13</f>
        <v>8.9715291009887371E-2</v>
      </c>
      <c r="J12" s="554">
        <f t="shared" si="0"/>
        <v>0.99999999999999989</v>
      </c>
    </row>
    <row r="13" spans="1:10">
      <c r="A13" s="17" t="s">
        <v>2460</v>
      </c>
      <c r="B13" s="427">
        <f>Original!AS14/Original!$BA14</f>
        <v>0.51929905538146459</v>
      </c>
      <c r="C13" s="427">
        <f>Original!AT14/Original!$BA14</f>
        <v>7.5902005068689452E-2</v>
      </c>
      <c r="D13" s="427">
        <f>Original!AU14/Original!$BA14</f>
        <v>7.5162737940417515E-2</v>
      </c>
      <c r="E13" s="427">
        <f>Original!AV14/Original!$BA14</f>
        <v>5.6566776301390974E-2</v>
      </c>
      <c r="F13" s="427">
        <f>Original!AW14/Original!$BA14</f>
        <v>0.10197310198213713</v>
      </c>
      <c r="G13" s="427">
        <f>Original!AX14/Original!$BA14</f>
        <v>1.8706864683835464E-2</v>
      </c>
      <c r="H13" s="427">
        <f>Original!AY14/Original!$BA14</f>
        <v>2.0934053540500836E-2</v>
      </c>
      <c r="I13" s="427">
        <f>Original!AZ14/Original!$BA14</f>
        <v>0.13145540510156392</v>
      </c>
      <c r="J13" s="554">
        <f t="shared" si="0"/>
        <v>0.99999999999999989</v>
      </c>
    </row>
    <row r="14" spans="1:10">
      <c r="A14" s="17" t="s">
        <v>2461</v>
      </c>
      <c r="B14" s="427">
        <f>Original!AS15/Original!$BA15</f>
        <v>0.34971117013039194</v>
      </c>
      <c r="C14" s="427">
        <f>Original!AT15/Original!$BA15</f>
        <v>0.1195151881886992</v>
      </c>
      <c r="D14" s="427">
        <f>Original!AU15/Original!$BA15</f>
        <v>0.18183847850688339</v>
      </c>
      <c r="E14" s="427">
        <f>Original!AV15/Original!$BA15</f>
        <v>5.3895905765706402E-2</v>
      </c>
      <c r="F14" s="427">
        <f>Original!AW15/Original!$BA15</f>
        <v>9.8886337303933911E-2</v>
      </c>
      <c r="G14" s="427">
        <f>Original!AX15/Original!$BA15</f>
        <v>2.4297536153154921E-2</v>
      </c>
      <c r="H14" s="427">
        <f>Original!AY15/Original!$BA15</f>
        <v>1.2786313660550929E-2</v>
      </c>
      <c r="I14" s="427">
        <f>Original!AZ15/Original!$BA15</f>
        <v>0.15906907029067918</v>
      </c>
      <c r="J14" s="554">
        <f t="shared" si="0"/>
        <v>0.99999999999999989</v>
      </c>
    </row>
    <row r="15" spans="1:10">
      <c r="A15" s="17" t="s">
        <v>2462</v>
      </c>
      <c r="B15" s="427">
        <f>Original!AS16/Original!$BA16</f>
        <v>0.43451610549815228</v>
      </c>
      <c r="C15" s="427">
        <f>Original!AT16/Original!$BA16</f>
        <v>7.1965373876993061E-2</v>
      </c>
      <c r="D15" s="427">
        <f>Original!AU16/Original!$BA16</f>
        <v>0.10833711630191664</v>
      </c>
      <c r="E15" s="427">
        <f>Original!AV16/Original!$BA16</f>
        <v>2.3839419431479974E-2</v>
      </c>
      <c r="F15" s="427">
        <f>Original!AW16/Original!$BA16</f>
        <v>9.2764545750895322E-2</v>
      </c>
      <c r="G15" s="427">
        <f>Original!AX16/Original!$BA16</f>
        <v>5.9261995557020244E-3</v>
      </c>
      <c r="H15" s="427">
        <f>Original!AY16/Original!$BA16</f>
        <v>2.2105565971715625E-2</v>
      </c>
      <c r="I15" s="427">
        <f>Original!AZ16/Original!$BA16</f>
        <v>0.24054567361314502</v>
      </c>
      <c r="J15" s="554">
        <f t="shared" si="0"/>
        <v>1</v>
      </c>
    </row>
    <row r="16" spans="1:10">
      <c r="A16" s="17" t="s">
        <v>2463</v>
      </c>
      <c r="B16" s="427">
        <f>Original!AS17/Original!$BA17</f>
        <v>0.40101192357288784</v>
      </c>
      <c r="C16" s="427">
        <f>Original!AT17/Original!$BA17</f>
        <v>0.10929261758567885</v>
      </c>
      <c r="D16" s="427">
        <f>Original!AU17/Original!$BA17</f>
        <v>0.1150386978317573</v>
      </c>
      <c r="E16" s="427">
        <f>Original!AV17/Original!$BA17</f>
        <v>4.1417920839085208E-2</v>
      </c>
      <c r="F16" s="427">
        <f>Original!AW17/Original!$BA17</f>
        <v>0.10427130759920961</v>
      </c>
      <c r="G16" s="427">
        <f>Original!AX17/Original!$BA17</f>
        <v>3.4966701990880783E-2</v>
      </c>
      <c r="H16" s="427">
        <f>Original!AY17/Original!$BA17</f>
        <v>3.9695858939632213E-2</v>
      </c>
      <c r="I16" s="427">
        <f>Original!AZ17/Original!$BA17</f>
        <v>0.15430497164086818</v>
      </c>
      <c r="J16" s="554">
        <f t="shared" si="0"/>
        <v>1</v>
      </c>
    </row>
    <row r="17" spans="1:10">
      <c r="A17" s="17" t="s">
        <v>2464</v>
      </c>
      <c r="B17" s="427">
        <f>Original!AS18/Original!$BA18</f>
        <v>0.45003279143195096</v>
      </c>
      <c r="C17" s="427">
        <f>Original!AT18/Original!$BA18</f>
        <v>0.10366829612692581</v>
      </c>
      <c r="D17" s="427">
        <f>Original!AU18/Original!$BA18</f>
        <v>9.9645621164539067E-2</v>
      </c>
      <c r="E17" s="427">
        <f>Original!AV18/Original!$BA18</f>
        <v>4.33747571505229E-2</v>
      </c>
      <c r="F17" s="427">
        <f>Original!AW18/Original!$BA18</f>
        <v>0.10470464575361169</v>
      </c>
      <c r="G17" s="427">
        <f>Original!AX18/Original!$BA18</f>
        <v>1.0439820226713473E-2</v>
      </c>
      <c r="H17" s="427">
        <f>Original!AY18/Original!$BA18</f>
        <v>2.4697007132150346E-2</v>
      </c>
      <c r="I17" s="427">
        <f>Original!AZ18/Original!$BA18</f>
        <v>0.16343706101358557</v>
      </c>
      <c r="J17" s="554">
        <f t="shared" si="0"/>
        <v>1</v>
      </c>
    </row>
    <row r="18" spans="1:10">
      <c r="A18" s="17" t="s">
        <v>2465</v>
      </c>
      <c r="B18" s="427">
        <f>Original!AS19/Original!$BA19</f>
        <v>0.33182664536410605</v>
      </c>
      <c r="C18" s="427">
        <f>Original!AT19/Original!$BA19</f>
        <v>8.6166127272038734E-2</v>
      </c>
      <c r="D18" s="427">
        <f>Original!AU19/Original!$BA19</f>
        <v>0.21081448041565254</v>
      </c>
      <c r="E18" s="427">
        <f>Original!AV19/Original!$BA19</f>
        <v>7.6222355248681553E-2</v>
      </c>
      <c r="F18" s="427">
        <f>Original!AW19/Original!$BA19</f>
        <v>0.10203742582803596</v>
      </c>
      <c r="G18" s="427">
        <f>Original!AX19/Original!$BA19</f>
        <v>1.4133949156503772E-2</v>
      </c>
      <c r="H18" s="427">
        <f>Original!AY19/Original!$BA19</f>
        <v>3.0879970993887135E-2</v>
      </c>
      <c r="I18" s="427">
        <f>Original!AZ19/Original!$BA19</f>
        <v>0.14791904572109396</v>
      </c>
      <c r="J18" s="554">
        <f t="shared" si="0"/>
        <v>0.99999999999999978</v>
      </c>
    </row>
    <row r="19" spans="1:10">
      <c r="A19" s="17" t="s">
        <v>2466</v>
      </c>
      <c r="B19" s="427">
        <f>Original!AS20/Original!$BA20</f>
        <v>0.40429557301070917</v>
      </c>
      <c r="C19" s="427">
        <f>Original!AT20/Original!$BA20</f>
        <v>0.17727629972929584</v>
      </c>
      <c r="D19" s="427">
        <f>Original!AU20/Original!$BA20</f>
        <v>7.6415922072216577E-2</v>
      </c>
      <c r="E19" s="427">
        <f>Original!AV20/Original!$BA20</f>
        <v>5.2898009802318485E-2</v>
      </c>
      <c r="F19" s="427">
        <f>Original!AW20/Original!$BA20</f>
        <v>9.9300411103077663E-2</v>
      </c>
      <c r="G19" s="427">
        <f>Original!AX20/Original!$BA20</f>
        <v>1.7765592443894428E-2</v>
      </c>
      <c r="H19" s="427">
        <f>Original!AY20/Original!$BA20</f>
        <v>2.0426186566838717E-2</v>
      </c>
      <c r="I19" s="427">
        <f>Original!AZ20/Original!$BA20</f>
        <v>0.15162200527164929</v>
      </c>
      <c r="J19" s="554">
        <f t="shared" si="0"/>
        <v>1.0000000000000002</v>
      </c>
    </row>
    <row r="20" spans="1:10">
      <c r="A20" s="17" t="s">
        <v>2467</v>
      </c>
      <c r="B20" s="427">
        <f>Original!AS21/Original!$BA21</f>
        <v>0.50179215472147076</v>
      </c>
      <c r="C20" s="427">
        <f>Original!AT21/Original!$BA21</f>
        <v>3.8453932815146509E-2</v>
      </c>
      <c r="D20" s="427">
        <f>Original!AU21/Original!$BA21</f>
        <v>6.3819246659111747E-2</v>
      </c>
      <c r="E20" s="427">
        <f>Original!AV21/Original!$BA21</f>
        <v>5.6654396455139588E-2</v>
      </c>
      <c r="F20" s="427">
        <f>Original!AW21/Original!$BA21</f>
        <v>0.23352430654176359</v>
      </c>
      <c r="G20" s="427">
        <f>Original!AX21/Original!$BA21</f>
        <v>4.0535837724039084E-2</v>
      </c>
      <c r="H20" s="427">
        <f>Original!AY21/Original!$BA21</f>
        <v>9.3398099915358319E-3</v>
      </c>
      <c r="I20" s="427">
        <f>Original!AZ21/Original!$BA21</f>
        <v>5.5880315091792941E-2</v>
      </c>
      <c r="J20" s="554">
        <f t="shared" si="0"/>
        <v>1.0000000000000002</v>
      </c>
    </row>
    <row r="21" spans="1:10">
      <c r="A21" s="17" t="s">
        <v>2468</v>
      </c>
      <c r="B21" s="427">
        <f>Original!AS22/Original!$BA22</f>
        <v>0.48831679069267725</v>
      </c>
      <c r="C21" s="427">
        <f>Original!AT22/Original!$BA22</f>
        <v>4.5292996148709311E-2</v>
      </c>
      <c r="D21" s="427">
        <f>Original!AU22/Original!$BA22</f>
        <v>7.5128709645196579E-2</v>
      </c>
      <c r="E21" s="427">
        <f>Original!AV22/Original!$BA22</f>
        <v>2.2072221985006031E-2</v>
      </c>
      <c r="F21" s="427">
        <f>Original!AW22/Original!$BA22</f>
        <v>0.20678453054878679</v>
      </c>
      <c r="G21" s="427">
        <f>Original!AX22/Original!$BA22</f>
        <v>1.9179161240282863E-2</v>
      </c>
      <c r="H21" s="427">
        <f>Original!AY22/Original!$BA22</f>
        <v>7.9451794291975117E-2</v>
      </c>
      <c r="I21" s="427">
        <f>Original!AZ22/Original!$BA22</f>
        <v>6.3773795447366027E-2</v>
      </c>
      <c r="J21" s="554">
        <f t="shared" si="0"/>
        <v>1</v>
      </c>
    </row>
    <row r="22" spans="1:10">
      <c r="A22" s="17" t="s">
        <v>2469</v>
      </c>
      <c r="B22" s="427">
        <f>Original!AS23/Original!$BA23</f>
        <v>0.50395006031827738</v>
      </c>
      <c r="C22" s="427">
        <f>Original!AT23/Original!$BA23</f>
        <v>3.0777571620089872E-2</v>
      </c>
      <c r="D22" s="427">
        <f>Original!AU23/Original!$BA23</f>
        <v>4.6136976584266839E-2</v>
      </c>
      <c r="E22" s="427">
        <f>Original!AV23/Original!$BA23</f>
        <v>6.2718091092566639E-2</v>
      </c>
      <c r="F22" s="427">
        <f>Original!AW23/Original!$BA23</f>
        <v>0.1672036000063703</v>
      </c>
      <c r="G22" s="427">
        <f>Original!AX23/Original!$BA23</f>
        <v>3.9606873303769649E-2</v>
      </c>
      <c r="H22" s="427">
        <f>Original!AY23/Original!$BA23</f>
        <v>8.4612931528863025E-2</v>
      </c>
      <c r="I22" s="427">
        <f>Original!AZ23/Original!$BA23</f>
        <v>6.4993895545796265E-2</v>
      </c>
      <c r="J22" s="554">
        <f t="shared" si="0"/>
        <v>1</v>
      </c>
    </row>
    <row r="23" spans="1:10">
      <c r="A23" s="17" t="s">
        <v>2470</v>
      </c>
      <c r="B23" s="427">
        <f>Original!AS24/Original!$BA24</f>
        <v>0.54975333648169067</v>
      </c>
      <c r="C23" s="427">
        <f>Original!AT24/Original!$BA24</f>
        <v>0.12645124172233549</v>
      </c>
      <c r="D23" s="427">
        <f>Original!AU24/Original!$BA24</f>
        <v>7.040299301014713E-2</v>
      </c>
      <c r="E23" s="427">
        <f>Original!AV24/Original!$BA24</f>
        <v>6.1373915085647004E-2</v>
      </c>
      <c r="F23" s="427">
        <f>Original!AW24/Original!$BA24</f>
        <v>9.2403618754091227E-2</v>
      </c>
      <c r="G23" s="427">
        <f>Original!AX24/Original!$BA24</f>
        <v>8.4592394864778774E-3</v>
      </c>
      <c r="H23" s="427">
        <f>Original!AY24/Original!$BA24</f>
        <v>1.4584013258254841E-2</v>
      </c>
      <c r="I23" s="427">
        <f>Original!AZ24/Original!$BA24</f>
        <v>7.6571642201355553E-2</v>
      </c>
      <c r="J23" s="554">
        <f t="shared" si="0"/>
        <v>0.99999999999999989</v>
      </c>
    </row>
    <row r="24" spans="1:10">
      <c r="A24" s="17" t="s">
        <v>2471</v>
      </c>
      <c r="B24" s="427">
        <f>Original!AS25/Original!$BA25</f>
        <v>0.49722065627361872</v>
      </c>
      <c r="C24" s="427">
        <f>Original!AT25/Original!$BA25</f>
        <v>8.858551525347301E-2</v>
      </c>
      <c r="D24" s="427">
        <f>Original!AU25/Original!$BA25</f>
        <v>0.14068212591822774</v>
      </c>
      <c r="E24" s="427">
        <f>Original!AV25/Original!$BA25</f>
        <v>9.8709986953360876E-2</v>
      </c>
      <c r="F24" s="427">
        <f>Original!AW25/Original!$BA25</f>
        <v>6.0361296157740919E-2</v>
      </c>
      <c r="G24" s="427">
        <f>Original!AX25/Original!$BA25</f>
        <v>7.6953444156838725E-3</v>
      </c>
      <c r="H24" s="427">
        <f>Original!AY25/Original!$BA25</f>
        <v>2.0109355250502541E-2</v>
      </c>
      <c r="I24" s="427">
        <f>Original!AZ25/Original!$BA25</f>
        <v>8.6635719777392275E-2</v>
      </c>
      <c r="J24" s="554">
        <f t="shared" si="0"/>
        <v>0.99999999999999978</v>
      </c>
    </row>
    <row r="25" spans="1:10">
      <c r="A25" s="17" t="s">
        <v>2472</v>
      </c>
      <c r="B25" s="427">
        <f>Original!AS26/Original!$BA26</f>
        <v>0.52573198804181476</v>
      </c>
      <c r="C25" s="427">
        <f>Original!AT26/Original!$BA26</f>
        <v>6.5111109529144132E-2</v>
      </c>
      <c r="D25" s="427">
        <f>Original!AU26/Original!$BA26</f>
        <v>0.13504917208047321</v>
      </c>
      <c r="E25" s="427">
        <f>Original!AV26/Original!$BA26</f>
        <v>5.5419123525270973E-2</v>
      </c>
      <c r="F25" s="427">
        <f>Original!AW26/Original!$BA26</f>
        <v>0.12654277613459267</v>
      </c>
      <c r="G25" s="427">
        <f>Original!AX26/Original!$BA26</f>
        <v>5.3898648714726313E-3</v>
      </c>
      <c r="H25" s="427">
        <f>Original!AY26/Original!$BA26</f>
        <v>2.4077794814741534E-2</v>
      </c>
      <c r="I25" s="427">
        <f>Original!AZ26/Original!$BA26</f>
        <v>6.2678171002490027E-2</v>
      </c>
      <c r="J25" s="554">
        <f t="shared" si="0"/>
        <v>0.99999999999999989</v>
      </c>
    </row>
    <row r="26" spans="1:10">
      <c r="A26" s="17" t="s">
        <v>2473</v>
      </c>
      <c r="B26" s="427">
        <f>Original!AS27/Original!$BA27</f>
        <v>0.61722881544820496</v>
      </c>
      <c r="C26" s="427">
        <f>Original!AT27/Original!$BA27</f>
        <v>9.0265927098195073E-2</v>
      </c>
      <c r="D26" s="427">
        <f>Original!AU27/Original!$BA27</f>
        <v>6.2075916669517603E-2</v>
      </c>
      <c r="E26" s="427">
        <f>Original!AV27/Original!$BA27</f>
        <v>1.606493415757427E-3</v>
      </c>
      <c r="F26" s="427">
        <f>Original!AW27/Original!$BA27</f>
        <v>0.11127030580037511</v>
      </c>
      <c r="G26" s="427">
        <f>Original!AX27/Original!$BA27</f>
        <v>1.4841446932865526E-2</v>
      </c>
      <c r="H26" s="427">
        <f>Original!AY27/Original!$BA27</f>
        <v>1.783108293607532E-2</v>
      </c>
      <c r="I26" s="427">
        <f>Original!AZ27/Original!$BA27</f>
        <v>8.4880011699009009E-2</v>
      </c>
      <c r="J26" s="554">
        <f t="shared" si="0"/>
        <v>1</v>
      </c>
    </row>
    <row r="27" spans="1:10">
      <c r="A27" s="17" t="s">
        <v>2474</v>
      </c>
      <c r="B27" s="427">
        <f>Original!AS28/Original!$BA28</f>
        <v>0.4345870700694443</v>
      </c>
      <c r="C27" s="427">
        <f>Original!AT28/Original!$BA28</f>
        <v>0.21372829084136935</v>
      </c>
      <c r="D27" s="427">
        <f>Original!AU28/Original!$BA28</f>
        <v>5.4771907719583394E-2</v>
      </c>
      <c r="E27" s="427">
        <f>Original!AV28/Original!$BA28</f>
        <v>4.4544147915002018E-2</v>
      </c>
      <c r="F27" s="427">
        <f>Original!AW28/Original!$BA28</f>
        <v>4.5920212881466672E-2</v>
      </c>
      <c r="G27" s="427">
        <f>Original!AX28/Original!$BA28</f>
        <v>5.873962255860894E-3</v>
      </c>
      <c r="H27" s="427">
        <f>Original!AY28/Original!$BA28</f>
        <v>1.1394528131576881E-3</v>
      </c>
      <c r="I27" s="427">
        <f>Original!AZ28/Original!$BA28</f>
        <v>0.19943495550411572</v>
      </c>
      <c r="J27" s="554">
        <f t="shared" si="0"/>
        <v>1</v>
      </c>
    </row>
    <row r="28" spans="1:10" ht="25.5">
      <c r="A28" s="17" t="s">
        <v>2390</v>
      </c>
      <c r="B28" s="552" t="s">
        <v>2391</v>
      </c>
      <c r="C28" s="552" t="s">
        <v>2392</v>
      </c>
      <c r="D28" s="552" t="s">
        <v>2393</v>
      </c>
      <c r="E28" s="552" t="s">
        <v>2394</v>
      </c>
      <c r="F28" s="552" t="s">
        <v>222</v>
      </c>
      <c r="G28" s="552" t="s">
        <v>2395</v>
      </c>
      <c r="H28" s="552" t="s">
        <v>2396</v>
      </c>
      <c r="I28" s="552" t="s">
        <v>2397</v>
      </c>
      <c r="J28" s="553"/>
    </row>
    <row r="29" spans="1:10">
      <c r="A29" s="17" t="s">
        <v>2398</v>
      </c>
      <c r="B29" s="427">
        <f>SUM(Original!AS3:AS4)/SUM(Original!$BA3:$BA4)</f>
        <v>0.55309147956318938</v>
      </c>
      <c r="C29" s="427">
        <f>SUM(Original!AT3:AT4)/SUM(Original!BA3:BA4)</f>
        <v>0.20886356123295458</v>
      </c>
      <c r="D29" s="427">
        <f>SUM(Original!AU3:AU4)/SUM(Original!BA3:BA4)</f>
        <v>4.2597519015426903E-2</v>
      </c>
      <c r="E29" s="427">
        <f>SUM(Original!AV3:AV4)/SUM(Original!BA3:BA4)</f>
        <v>0</v>
      </c>
      <c r="F29" s="427">
        <f>SUM(Original!AW3:AW4)/SUM(Original!BA3:BA4)</f>
        <v>4.7608991840771241E-2</v>
      </c>
      <c r="G29" s="427">
        <f>SUM(Original!AX3:AX4)/SUM(Original!$BA3:$BA4)</f>
        <v>0</v>
      </c>
      <c r="H29" s="427">
        <f>SUM(Original!AY3:AY4)/SUM(Original!$BA3:$BA4)</f>
        <v>0</v>
      </c>
      <c r="I29" s="427">
        <f>SUM(Original!AZ3:AZ4)/SUM(Original!BA3:BA4)</f>
        <v>0.14783844834765805</v>
      </c>
      <c r="J29" s="554">
        <f>SUM(B29:I29)</f>
        <v>1.0000000000000002</v>
      </c>
    </row>
    <row r="30" spans="1:10">
      <c r="A30" s="17" t="s">
        <v>2400</v>
      </c>
      <c r="B30" s="427">
        <f>SUM(Original!AS6:AS12)/SUM(Original!$BA6:$BA12)</f>
        <v>0.57014706035282847</v>
      </c>
      <c r="C30" s="427">
        <f>SUM(Original!AT6:AT12)/SUM(Original!$BA6:$BA12)</f>
        <v>0.25756898771696241</v>
      </c>
      <c r="D30" s="427">
        <f>SUM(Original!AU6:AU12)/SUM(Original!$BA6:$BA12)</f>
        <v>3.3922788937798418E-2</v>
      </c>
      <c r="E30" s="427">
        <f>SUM(Original!AV6:AV12)/SUM(Original!$BA6:$BA12)</f>
        <v>6.6375847644909239E-3</v>
      </c>
      <c r="F30" s="427">
        <f>SUM(Original!AW6:AW12)/SUM(Original!$BA6:$BA12)</f>
        <v>4.8073651497770452E-2</v>
      </c>
      <c r="G30" s="427">
        <f>SUM(Original!AX6:AX12)/SUM(Original!$BA6:$BA12)</f>
        <v>1.3796946512457258E-2</v>
      </c>
      <c r="H30" s="427">
        <f>SUM(Original!AY6:AY12)/SUM(Original!$BA6:$BA12)</f>
        <v>6.3576354978886248E-3</v>
      </c>
      <c r="I30" s="427">
        <f>SUM(Original!AZ6:AZ12)/SUM(Original!$BA6:$BA12)</f>
        <v>6.3495344719803309E-2</v>
      </c>
      <c r="J30" s="554">
        <f t="shared" ref="J30:J33" si="1">SUM(B30:I30)</f>
        <v>0.99999999999999989</v>
      </c>
    </row>
    <row r="31" spans="1:10">
      <c r="A31" s="17" t="s">
        <v>492</v>
      </c>
      <c r="B31" s="427">
        <f>SUM(Original!AS13:AS20)/SUM(Original!$BA13:$BA20)</f>
        <v>0.39027250938965208</v>
      </c>
      <c r="C31" s="427">
        <f>SUM(Original!AT13:AT20)/SUM(Original!$BA13:$BA20)</f>
        <v>0.11272680987556163</v>
      </c>
      <c r="D31" s="427">
        <f>SUM(Original!AU13:AU20)/SUM(Original!$BA13:$BA20)</f>
        <v>0.1379272820748986</v>
      </c>
      <c r="E31" s="427">
        <f>SUM(Original!AV13:AV20)/SUM(Original!$BA13:$BA20)</f>
        <v>5.6856014918306899E-2</v>
      </c>
      <c r="F31" s="427">
        <f>SUM(Original!AW13:AW20)/SUM(Original!$BA13:$BA20)</f>
        <v>0.10134125313095231</v>
      </c>
      <c r="G31" s="427">
        <f>SUM(Original!AX13:AX20)/SUM(Original!$BA13:$BA20)</f>
        <v>1.7676031884779005E-2</v>
      </c>
      <c r="H31" s="427">
        <f>SUM(Original!AY13:AY20)/SUM(Original!$BA13:$BA20)</f>
        <v>2.7936050283630599E-2</v>
      </c>
      <c r="I31" s="427">
        <f>SUM(Original!AZ13:AZ20)/SUM(Original!$BA13:$BA20)</f>
        <v>0.15526404844221869</v>
      </c>
      <c r="J31" s="554">
        <f t="shared" si="1"/>
        <v>0.99999999999999978</v>
      </c>
    </row>
    <row r="32" spans="1:10">
      <c r="A32" s="17" t="s">
        <v>493</v>
      </c>
      <c r="B32" s="427">
        <f>SUM(Original!AS21:AS23)/SUM(Original!$BA21:$BA23)</f>
        <v>0.49594571778900187</v>
      </c>
      <c r="C32" s="427">
        <f>SUM(Original!AT21:AT23)/SUM(Original!$BA21:$BA23)</f>
        <v>3.9114017114848014E-2</v>
      </c>
      <c r="D32" s="427">
        <f>SUM(Original!AU21:AU23)/SUM(Original!$BA21:$BA23)</f>
        <v>6.3162117007157598E-2</v>
      </c>
      <c r="E32" s="427">
        <f>SUM(Original!AV21:AV23)/SUM(Original!$BA21:$BA23)</f>
        <v>4.183486283075228E-2</v>
      </c>
      <c r="F32" s="427">
        <f>SUM(Original!AW21:AW23)/SUM(Original!$BA21:$BA23)</f>
        <v>0.19717221019784301</v>
      </c>
      <c r="G32" s="427">
        <f>SUM(Original!AX21:AX23)/SUM(Original!$BA21:$BA23)</f>
        <v>2.97454184596866E-2</v>
      </c>
      <c r="H32" s="427">
        <f>SUM(Original!AY21:AY23)/SUM(Original!$BA21:$BA23)</f>
        <v>7.0082651869768905E-2</v>
      </c>
      <c r="I32" s="427">
        <f>SUM(Original!AZ21:AZ23)/SUM(Original!$BA21:$BA23)</f>
        <v>6.2943004730941693E-2</v>
      </c>
      <c r="J32" s="554">
        <f t="shared" si="1"/>
        <v>1</v>
      </c>
    </row>
    <row r="33" spans="1:10">
      <c r="A33" s="17" t="s">
        <v>2401</v>
      </c>
      <c r="B33" s="427">
        <f>SUM(Original!AS24:AS28)/SUM(Original!$BA24:$BA28)</f>
        <v>0.52883014742903678</v>
      </c>
      <c r="C33" s="427">
        <f>SUM(Original!AT24:AT28)/SUM(Original!$BA24:$BA28)</f>
        <v>0.10095010269593273</v>
      </c>
      <c r="D33" s="427">
        <f>SUM(Original!AU24:AU28)/SUM(Original!$BA24:$BA28)</f>
        <v>0.10461930686822259</v>
      </c>
      <c r="E33" s="427">
        <f>SUM(Original!AV24:AV28)/SUM(Original!$BA24:$BA28)</f>
        <v>5.9071334599378605E-2</v>
      </c>
      <c r="F33" s="427">
        <f>SUM(Original!AW24:AW28)/SUM(Original!$BA24:$BA28)</f>
        <v>9.5786580426160048E-2</v>
      </c>
      <c r="G33" s="427">
        <f>SUM(Original!AX24:AX28)/SUM(Original!$BA24:$BA28)</f>
        <v>7.7423906899525188E-3</v>
      </c>
      <c r="H33" s="427">
        <f>SUM(Original!AY24:AY28)/SUM(Original!$BA24:$BA28)</f>
        <v>1.8210821832680517E-2</v>
      </c>
      <c r="I33" s="427">
        <f>SUM(Original!AZ24:AZ28)/SUM(Original!$BA24:$BA28)</f>
        <v>8.4789315458636258E-2</v>
      </c>
      <c r="J33" s="554">
        <f t="shared" si="1"/>
        <v>1.0000000000000002</v>
      </c>
    </row>
    <row r="34" spans="1:10">
      <c r="A34" s="17"/>
      <c r="B34" s="17"/>
      <c r="C34" s="17"/>
      <c r="D34" s="17"/>
      <c r="E34" s="17"/>
      <c r="F34" s="17"/>
      <c r="G34" s="17"/>
      <c r="H34" s="17"/>
      <c r="I34" s="17"/>
      <c r="J34" s="553"/>
    </row>
    <row r="35" spans="1:10">
      <c r="A35" s="17"/>
      <c r="B35" s="17"/>
      <c r="C35" s="17"/>
      <c r="D35" s="17"/>
      <c r="E35" s="17"/>
      <c r="F35" s="17"/>
      <c r="G35" s="17"/>
      <c r="H35" s="17"/>
      <c r="I35" s="17"/>
      <c r="J35" s="553"/>
    </row>
    <row r="36" spans="1:10">
      <c r="A36" s="17"/>
      <c r="B36" s="17"/>
      <c r="C36" s="17"/>
      <c r="D36" s="17"/>
      <c r="E36" s="17"/>
      <c r="F36" s="17"/>
      <c r="G36" s="17"/>
      <c r="H36" s="17"/>
      <c r="I36" s="17"/>
      <c r="J36" s="553"/>
    </row>
    <row r="37" spans="1:10">
      <c r="A37" s="17"/>
      <c r="B37" s="17"/>
      <c r="C37" s="17"/>
      <c r="D37" s="17"/>
      <c r="E37" s="17"/>
      <c r="F37" s="17"/>
      <c r="G37" s="17"/>
      <c r="H37" s="17"/>
      <c r="I37" s="17"/>
      <c r="J37" s="553"/>
    </row>
    <row r="38" spans="1:10">
      <c r="A38" s="17"/>
      <c r="B38" s="17"/>
      <c r="C38" s="17"/>
      <c r="D38" s="17"/>
      <c r="E38" s="17"/>
      <c r="F38" s="17"/>
      <c r="G38" s="17"/>
      <c r="H38" s="17"/>
      <c r="I38" s="17"/>
      <c r="J38" s="553"/>
    </row>
    <row r="39" spans="1:10">
      <c r="A39" s="17"/>
      <c r="B39" s="17"/>
      <c r="C39" s="17"/>
      <c r="D39" s="17"/>
      <c r="E39" s="17"/>
      <c r="F39" s="17"/>
      <c r="G39" s="17"/>
      <c r="H39" s="17"/>
      <c r="I39" s="17"/>
      <c r="J39" s="553"/>
    </row>
    <row r="40" spans="1:10">
      <c r="A40" s="17"/>
      <c r="B40" s="17"/>
      <c r="C40" s="17"/>
      <c r="D40" s="17"/>
      <c r="E40" s="17"/>
      <c r="F40" s="17"/>
      <c r="G40" s="17"/>
      <c r="H40" s="17"/>
      <c r="I40" s="17"/>
      <c r="J40" s="553"/>
    </row>
    <row r="41" spans="1:10">
      <c r="A41" s="17"/>
      <c r="B41" s="17"/>
      <c r="C41" s="17"/>
      <c r="D41" s="17"/>
      <c r="E41" s="17"/>
      <c r="F41" s="17"/>
      <c r="G41" s="17"/>
      <c r="H41" s="17"/>
      <c r="I41" s="17"/>
      <c r="J41" s="553"/>
    </row>
    <row r="42" spans="1:10">
      <c r="A42" s="17"/>
      <c r="B42" s="17"/>
      <c r="C42" s="17"/>
      <c r="D42" s="17"/>
      <c r="E42" s="17"/>
      <c r="F42" s="17"/>
      <c r="G42" s="17"/>
      <c r="H42" s="17"/>
      <c r="I42" s="17"/>
      <c r="J42" s="553"/>
    </row>
    <row r="43" spans="1:10">
      <c r="A43" s="17"/>
      <c r="B43" s="17"/>
      <c r="C43" s="17"/>
      <c r="D43" s="17"/>
      <c r="E43" s="17"/>
      <c r="F43" s="17"/>
      <c r="G43" s="17"/>
      <c r="H43" s="17"/>
      <c r="I43" s="17"/>
      <c r="J43" s="553"/>
    </row>
    <row r="44" spans="1:10">
      <c r="A44" s="17"/>
      <c r="B44" s="17"/>
      <c r="C44" s="17"/>
      <c r="D44" s="17"/>
      <c r="E44" s="17"/>
      <c r="F44" s="17"/>
      <c r="G44" s="17"/>
      <c r="H44" s="17"/>
      <c r="I44" s="17"/>
      <c r="J44" s="553"/>
    </row>
    <row r="45" spans="1:10">
      <c r="A45" s="17"/>
      <c r="B45" s="17"/>
      <c r="C45" s="17"/>
      <c r="D45" s="17"/>
      <c r="E45" s="17"/>
      <c r="F45" s="17"/>
      <c r="G45" s="17"/>
      <c r="H45" s="17"/>
      <c r="I45" s="17"/>
      <c r="J45" s="553"/>
    </row>
    <row r="46" spans="1:10">
      <c r="A46" s="17"/>
      <c r="B46" s="17"/>
      <c r="C46" s="17"/>
      <c r="D46" s="17"/>
      <c r="E46" s="17"/>
      <c r="F46" s="17"/>
      <c r="G46" s="17"/>
      <c r="H46" s="17"/>
      <c r="I46" s="17"/>
      <c r="J46" s="553"/>
    </row>
    <row r="47" spans="1:10">
      <c r="A47" s="17"/>
      <c r="B47" s="17"/>
      <c r="C47" s="17"/>
      <c r="D47" s="17"/>
      <c r="E47" s="17"/>
      <c r="F47" s="17"/>
      <c r="G47" s="17"/>
      <c r="H47" s="17"/>
      <c r="I47" s="17"/>
      <c r="J47" s="553"/>
    </row>
    <row r="48" spans="1:10">
      <c r="A48" s="17"/>
      <c r="B48" s="17"/>
      <c r="C48" s="17"/>
      <c r="D48" s="17"/>
      <c r="E48" s="17"/>
      <c r="F48" s="17"/>
      <c r="G48" s="17"/>
      <c r="H48" s="17"/>
      <c r="I48" s="17"/>
      <c r="J48" s="553"/>
    </row>
    <row r="49" spans="1:19">
      <c r="A49" s="17"/>
      <c r="B49" s="17"/>
      <c r="C49" s="17"/>
      <c r="D49" s="17"/>
      <c r="E49" s="17"/>
      <c r="F49" s="17"/>
      <c r="G49" s="17"/>
      <c r="H49" s="17"/>
      <c r="I49" s="17"/>
      <c r="J49" s="553"/>
    </row>
    <row r="50" spans="1:19">
      <c r="A50" s="17"/>
      <c r="B50" s="17"/>
      <c r="C50" s="17"/>
      <c r="D50" s="17"/>
      <c r="E50" s="17"/>
      <c r="F50" s="17"/>
      <c r="G50" s="17"/>
      <c r="H50" s="17"/>
      <c r="I50" s="17"/>
      <c r="J50" s="553"/>
    </row>
    <row r="51" spans="1:19">
      <c r="J51" s="553"/>
    </row>
    <row r="52" spans="1:19" ht="26.25">
      <c r="A52" s="555" t="s">
        <v>2616</v>
      </c>
      <c r="B52" s="556" t="s">
        <v>2391</v>
      </c>
      <c r="C52" s="556" t="s">
        <v>2392</v>
      </c>
      <c r="D52" s="556" t="s">
        <v>2393</v>
      </c>
      <c r="E52" s="557" t="s">
        <v>855</v>
      </c>
      <c r="F52" s="556" t="s">
        <v>2568</v>
      </c>
      <c r="G52" s="556" t="s">
        <v>2570</v>
      </c>
      <c r="H52" s="556" t="s">
        <v>2569</v>
      </c>
      <c r="I52" s="556" t="s">
        <v>497</v>
      </c>
      <c r="J52" s="554"/>
      <c r="K52" s="555" t="str">
        <f>A52</f>
        <v>Fuel consumption values wrt sectors 1 to 4</v>
      </c>
      <c r="L52" s="556" t="s">
        <v>2391</v>
      </c>
      <c r="M52" s="556" t="s">
        <v>2392</v>
      </c>
      <c r="N52" s="556" t="s">
        <v>2393</v>
      </c>
      <c r="O52" s="557" t="s">
        <v>855</v>
      </c>
      <c r="P52" s="556" t="s">
        <v>2568</v>
      </c>
      <c r="Q52" s="556" t="s">
        <v>2570</v>
      </c>
      <c r="R52" s="556" t="s">
        <v>2569</v>
      </c>
      <c r="S52" s="556" t="s">
        <v>497</v>
      </c>
    </row>
    <row r="53" spans="1:19">
      <c r="A53" s="359" t="s">
        <v>346</v>
      </c>
      <c r="B53" s="475">
        <f>SUM(Original!U3:U4)</f>
        <v>397710.86000000004</v>
      </c>
      <c r="C53" s="475">
        <f>SUM(Original!V3:V4)</f>
        <v>596566.29</v>
      </c>
      <c r="D53" s="475">
        <f>SUM(Original!W3:W4)</f>
        <v>3380542.3100000005</v>
      </c>
      <c r="E53" s="558">
        <f>SUM(Original!Y3:Y4)</f>
        <v>3778253.1700000004</v>
      </c>
      <c r="F53" s="361">
        <f>I53-SUM(B53:E53)</f>
        <v>11732470.369999999</v>
      </c>
      <c r="G53" s="361">
        <v>0</v>
      </c>
      <c r="H53" s="361">
        <v>0</v>
      </c>
      <c r="I53" s="559">
        <f>SUM(Original!J3:J4)</f>
        <v>19885543</v>
      </c>
      <c r="J53" s="554"/>
      <c r="K53" s="359" t="s">
        <v>346</v>
      </c>
      <c r="L53" s="429">
        <f>B53/$I53</f>
        <v>2.0000000000000004E-2</v>
      </c>
      <c r="M53" s="429">
        <f t="shared" ref="M53:R55" si="2">C53/$I53</f>
        <v>3.0000000000000002E-2</v>
      </c>
      <c r="N53" s="429">
        <f t="shared" si="2"/>
        <v>0.17000000000000004</v>
      </c>
      <c r="O53" s="429">
        <f t="shared" si="2"/>
        <v>0.19000000000000003</v>
      </c>
      <c r="P53" s="429">
        <f t="shared" si="2"/>
        <v>0.59</v>
      </c>
      <c r="Q53" s="429">
        <f t="shared" si="2"/>
        <v>0</v>
      </c>
      <c r="R53" s="429">
        <f t="shared" si="2"/>
        <v>0</v>
      </c>
      <c r="S53" s="559">
        <f>SUM(L53:R53)</f>
        <v>1</v>
      </c>
    </row>
    <row r="54" spans="1:19">
      <c r="A54" s="359" t="s">
        <v>2404</v>
      </c>
      <c r="B54" s="475">
        <f>SUM(Original!AC3:AC4)</f>
        <v>36514834.723742642</v>
      </c>
      <c r="C54" s="475">
        <f>SUM(Original!AD3:AD4)</f>
        <v>14499401.760710012</v>
      </c>
      <c r="D54" s="475">
        <f>SUM(Original!AE3:AE4)</f>
        <v>0</v>
      </c>
      <c r="E54" s="475">
        <f>SUM(Original!AG3:AG4)</f>
        <v>0</v>
      </c>
      <c r="F54" s="361">
        <v>0</v>
      </c>
      <c r="G54" s="361">
        <v>0</v>
      </c>
      <c r="H54" s="361">
        <v>0</v>
      </c>
      <c r="I54" s="559">
        <f>SUM(Original!K3:K4)</f>
        <v>51014236.484452665</v>
      </c>
      <c r="J54" s="554"/>
      <c r="K54" s="359" t="s">
        <v>2404</v>
      </c>
      <c r="L54" s="429">
        <f t="shared" ref="L54:L55" si="3">B54/$I54</f>
        <v>0.71577734452364239</v>
      </c>
      <c r="M54" s="429">
        <f t="shared" si="2"/>
        <v>0.28422265547635739</v>
      </c>
      <c r="N54" s="429">
        <f t="shared" si="2"/>
        <v>0</v>
      </c>
      <c r="O54" s="429">
        <f t="shared" si="2"/>
        <v>0</v>
      </c>
      <c r="P54" s="429">
        <f t="shared" si="2"/>
        <v>0</v>
      </c>
      <c r="Q54" s="429">
        <f t="shared" si="2"/>
        <v>0</v>
      </c>
      <c r="R54" s="429">
        <f t="shared" si="2"/>
        <v>0</v>
      </c>
      <c r="S54" s="559">
        <f t="shared" ref="S54:S55" si="4">SUM(L54:R54)</f>
        <v>0.99999999999999978</v>
      </c>
    </row>
    <row r="55" spans="1:19">
      <c r="A55" s="359" t="s">
        <v>2405</v>
      </c>
      <c r="B55" s="475">
        <f>SUM(Original!M3:M4)</f>
        <v>6980835.7957391869</v>
      </c>
      <c r="C55" s="475">
        <f>SUM(Original!N3:N4)</f>
        <v>1479459.8635206572</v>
      </c>
      <c r="D55" s="361">
        <v>0</v>
      </c>
      <c r="E55" s="527">
        <v>0</v>
      </c>
      <c r="F55" s="361">
        <v>0</v>
      </c>
      <c r="G55" s="361">
        <v>0</v>
      </c>
      <c r="H55" s="361">
        <v>0</v>
      </c>
      <c r="I55" s="559">
        <f>SUM(B55:H55)</f>
        <v>8460295.6592598446</v>
      </c>
      <c r="J55" s="553"/>
      <c r="K55" s="359" t="s">
        <v>2405</v>
      </c>
      <c r="L55" s="429">
        <f t="shared" si="3"/>
        <v>0.82512905894708544</v>
      </c>
      <c r="M55" s="429">
        <f t="shared" si="2"/>
        <v>0.17487094105291456</v>
      </c>
      <c r="N55" s="429">
        <f t="shared" si="2"/>
        <v>0</v>
      </c>
      <c r="O55" s="429">
        <f t="shared" si="2"/>
        <v>0</v>
      </c>
      <c r="P55" s="429">
        <f t="shared" si="2"/>
        <v>0</v>
      </c>
      <c r="Q55" s="429">
        <f t="shared" si="2"/>
        <v>0</v>
      </c>
      <c r="R55" s="429">
        <f t="shared" si="2"/>
        <v>0</v>
      </c>
      <c r="S55" s="559">
        <f t="shared" si="4"/>
        <v>1</v>
      </c>
    </row>
    <row r="56" spans="1:19">
      <c r="A56" s="535"/>
      <c r="B56" s="542"/>
      <c r="C56" s="542"/>
      <c r="D56" s="542"/>
      <c r="E56" s="542"/>
      <c r="F56" s="542"/>
      <c r="G56" s="542"/>
      <c r="H56" s="542"/>
      <c r="I56" s="35"/>
      <c r="J56" s="553"/>
      <c r="K56" s="535"/>
      <c r="L56" s="541"/>
      <c r="M56" s="541"/>
      <c r="N56" s="541"/>
      <c r="O56" s="541"/>
      <c r="P56" s="541"/>
      <c r="Q56" s="541"/>
      <c r="R56" s="541"/>
      <c r="S56" s="35"/>
    </row>
    <row r="57" spans="1:19">
      <c r="A57" s="535"/>
      <c r="B57" s="17"/>
      <c r="C57" s="17"/>
      <c r="D57" s="17"/>
      <c r="E57" s="17"/>
      <c r="F57" s="17"/>
      <c r="G57" s="17"/>
      <c r="H57" s="17"/>
      <c r="I57" s="35"/>
      <c r="J57" s="553"/>
      <c r="K57" s="535"/>
      <c r="L57" s="541"/>
      <c r="M57" s="541"/>
      <c r="N57" s="541"/>
      <c r="O57" s="541"/>
      <c r="P57" s="541"/>
      <c r="Q57" s="541"/>
      <c r="R57" s="541"/>
      <c r="S57" s="35"/>
    </row>
    <row r="58" spans="1:19">
      <c r="J58" s="553"/>
    </row>
    <row r="59" spans="1:19" ht="26.25">
      <c r="A59" s="555" t="s">
        <v>2617</v>
      </c>
      <c r="B59" s="556" t="s">
        <v>2391</v>
      </c>
      <c r="C59" s="556" t="s">
        <v>2392</v>
      </c>
      <c r="D59" s="556" t="s">
        <v>2393</v>
      </c>
      <c r="E59" s="557" t="s">
        <v>855</v>
      </c>
      <c r="F59" s="556" t="s">
        <v>2568</v>
      </c>
      <c r="G59" s="556" t="s">
        <v>2570</v>
      </c>
      <c r="H59" s="556" t="s">
        <v>2569</v>
      </c>
      <c r="I59" s="556" t="s">
        <v>497</v>
      </c>
      <c r="J59" s="554"/>
      <c r="K59" s="555" t="str">
        <f>A59</f>
        <v>Fuel consumption values wrt sectors Multifamily</v>
      </c>
      <c r="L59" s="556" t="s">
        <v>2391</v>
      </c>
      <c r="M59" s="556" t="s">
        <v>2392</v>
      </c>
      <c r="N59" s="556" t="s">
        <v>2393</v>
      </c>
      <c r="O59" s="557" t="s">
        <v>855</v>
      </c>
      <c r="P59" s="556" t="s">
        <v>2568</v>
      </c>
      <c r="Q59" s="556" t="s">
        <v>2570</v>
      </c>
      <c r="R59" s="556" t="s">
        <v>2569</v>
      </c>
      <c r="S59" s="556" t="s">
        <v>497</v>
      </c>
    </row>
    <row r="60" spans="1:19">
      <c r="A60" s="359" t="s">
        <v>346</v>
      </c>
      <c r="B60" s="475">
        <f>SUM(Original!U6:U12)</f>
        <v>2381461.1299073696</v>
      </c>
      <c r="C60" s="475">
        <f>SUM(Original!V6:V12)</f>
        <v>652393.94780187949</v>
      </c>
      <c r="D60" s="475">
        <f>SUM(Original!W6:W12)</f>
        <v>4885976.698128744</v>
      </c>
      <c r="E60" s="558">
        <f>SUM(Original!Y6:Y12)</f>
        <v>9303388.4224285781</v>
      </c>
      <c r="F60" s="361">
        <f>I60-SUM(B60:E60)</f>
        <v>14636627.801733427</v>
      </c>
      <c r="G60" s="361">
        <v>0</v>
      </c>
      <c r="H60" s="361">
        <v>0</v>
      </c>
      <c r="I60" s="559">
        <f>SUM(Original!U6:AB12)</f>
        <v>31859848</v>
      </c>
      <c r="J60" s="554"/>
      <c r="K60" s="359" t="s">
        <v>346</v>
      </c>
      <c r="L60" s="429">
        <f>B60/$I60</f>
        <v>7.4748038029163535E-2</v>
      </c>
      <c r="M60" s="429">
        <f t="shared" ref="M60:R62" si="5">C60/$I60</f>
        <v>2.04769949876057E-2</v>
      </c>
      <c r="N60" s="429">
        <f t="shared" si="5"/>
        <v>0.15335844345926397</v>
      </c>
      <c r="O60" s="429">
        <f t="shared" si="5"/>
        <v>0.29200981820216398</v>
      </c>
      <c r="P60" s="429">
        <f t="shared" si="5"/>
        <v>0.45940670532180278</v>
      </c>
      <c r="Q60" s="429">
        <f t="shared" si="5"/>
        <v>0</v>
      </c>
      <c r="R60" s="429">
        <f t="shared" si="5"/>
        <v>0</v>
      </c>
      <c r="S60" s="559">
        <f>SUM(L60:R60)</f>
        <v>1</v>
      </c>
    </row>
    <row r="61" spans="1:19">
      <c r="A61" s="359" t="s">
        <v>2404</v>
      </c>
      <c r="B61" s="475">
        <f>SUM(Original!AC6:AC12)</f>
        <v>82624734.910524189</v>
      </c>
      <c r="C61" s="475">
        <f>SUM(Original!AD6:AD12)</f>
        <v>39693941.055683047</v>
      </c>
      <c r="D61" s="475">
        <f>SUM(Original!AE6:AE12)</f>
        <v>1367253.6874679662</v>
      </c>
      <c r="E61" s="475">
        <f>SUM(Original!AG6:AG12)</f>
        <v>0</v>
      </c>
      <c r="F61" s="361">
        <v>0</v>
      </c>
      <c r="G61" s="361">
        <v>0</v>
      </c>
      <c r="H61" s="361">
        <f>I61-SUM(B61:G61)</f>
        <v>2836126.2078271359</v>
      </c>
      <c r="I61" s="559">
        <f>SUM(Original!AC6:AJ12)</f>
        <v>126522055.86150233</v>
      </c>
      <c r="J61" s="554"/>
      <c r="K61" s="359" t="s">
        <v>2404</v>
      </c>
      <c r="L61" s="429">
        <f t="shared" ref="L61:L62" si="6">B61/$I61</f>
        <v>0.65304609815200565</v>
      </c>
      <c r="M61" s="429">
        <f t="shared" si="5"/>
        <v>0.31373139477858397</v>
      </c>
      <c r="N61" s="429">
        <f t="shared" si="5"/>
        <v>1.0806445391344524E-2</v>
      </c>
      <c r="O61" s="429">
        <f t="shared" si="5"/>
        <v>0</v>
      </c>
      <c r="P61" s="429">
        <f t="shared" si="5"/>
        <v>0</v>
      </c>
      <c r="Q61" s="429">
        <f t="shared" si="5"/>
        <v>0</v>
      </c>
      <c r="R61" s="429">
        <f t="shared" si="5"/>
        <v>2.2416061678065903E-2</v>
      </c>
      <c r="S61" s="559">
        <f t="shared" ref="S61:S62" si="7">SUM(L61:R61)</f>
        <v>1.0000000000000002</v>
      </c>
    </row>
    <row r="62" spans="1:19">
      <c r="A62" s="359" t="s">
        <v>2405</v>
      </c>
      <c r="B62" s="475">
        <f>SUM(Original!M6:M12)</f>
        <v>21290833.093482092</v>
      </c>
      <c r="C62" s="475">
        <f>SUM(Original!N6:N12)</f>
        <v>7726302.847778854</v>
      </c>
      <c r="D62" s="361">
        <f>SUM(Original!O6:O12)</f>
        <v>169211.01885844817</v>
      </c>
      <c r="E62" s="527">
        <v>0</v>
      </c>
      <c r="F62" s="361">
        <v>0</v>
      </c>
      <c r="G62" s="361">
        <f>I62-SUM(B62:F62)</f>
        <v>14.606072422116995</v>
      </c>
      <c r="H62" s="361">
        <v>0</v>
      </c>
      <c r="I62" s="559">
        <f>SUM(Original!M6:T12)</f>
        <v>29186361.566191815</v>
      </c>
      <c r="J62" s="553"/>
      <c r="K62" s="359" t="s">
        <v>2405</v>
      </c>
      <c r="L62" s="429">
        <f t="shared" si="6"/>
        <v>0.72947883706561245</v>
      </c>
      <c r="M62" s="429">
        <f t="shared" si="5"/>
        <v>0.26472305670086194</v>
      </c>
      <c r="N62" s="429">
        <f t="shared" si="5"/>
        <v>5.79760579182486E-3</v>
      </c>
      <c r="O62" s="429">
        <f t="shared" si="5"/>
        <v>0</v>
      </c>
      <c r="P62" s="429">
        <f t="shared" si="5"/>
        <v>0</v>
      </c>
      <c r="Q62" s="429">
        <f t="shared" si="5"/>
        <v>5.0044170079205836E-7</v>
      </c>
      <c r="R62" s="429">
        <f t="shared" si="5"/>
        <v>0</v>
      </c>
      <c r="S62" s="559">
        <f t="shared" si="7"/>
        <v>1</v>
      </c>
    </row>
    <row r="63" spans="1:19">
      <c r="A63" s="17"/>
      <c r="B63" s="552"/>
      <c r="C63" s="552"/>
      <c r="D63" s="552"/>
      <c r="E63" s="552"/>
      <c r="F63" s="552"/>
      <c r="G63" s="552"/>
      <c r="H63" s="552"/>
      <c r="I63" s="552"/>
      <c r="J63" s="553"/>
    </row>
    <row r="64" spans="1:19">
      <c r="A64" s="17"/>
      <c r="B64" s="427"/>
      <c r="C64" s="427"/>
      <c r="D64" s="427"/>
      <c r="E64" s="427"/>
      <c r="F64" s="427"/>
      <c r="G64" s="427"/>
      <c r="H64" s="427"/>
      <c r="I64" s="427"/>
      <c r="J64" s="554"/>
    </row>
    <row r="65" spans="1:19" ht="26.25">
      <c r="A65" s="555" t="s">
        <v>2618</v>
      </c>
      <c r="B65" s="556" t="s">
        <v>2391</v>
      </c>
      <c r="C65" s="556" t="s">
        <v>2392</v>
      </c>
      <c r="D65" s="556" t="s">
        <v>2393</v>
      </c>
      <c r="E65" s="557" t="s">
        <v>855</v>
      </c>
      <c r="F65" s="556" t="s">
        <v>2568</v>
      </c>
      <c r="G65" s="556" t="s">
        <v>2570</v>
      </c>
      <c r="H65" s="556" t="s">
        <v>2569</v>
      </c>
      <c r="I65" s="556" t="s">
        <v>497</v>
      </c>
      <c r="J65" s="554"/>
      <c r="K65" s="555" t="str">
        <f>A65</f>
        <v>Fuel consumption values wrt sectors Commercial</v>
      </c>
      <c r="L65" s="556" t="s">
        <v>2391</v>
      </c>
      <c r="M65" s="556" t="s">
        <v>2392</v>
      </c>
      <c r="N65" s="556" t="s">
        <v>2393</v>
      </c>
      <c r="O65" s="557" t="s">
        <v>855</v>
      </c>
      <c r="P65" s="556" t="s">
        <v>2568</v>
      </c>
      <c r="Q65" s="556" t="s">
        <v>2570</v>
      </c>
      <c r="R65" s="556" t="s">
        <v>2569</v>
      </c>
      <c r="S65" s="556" t="s">
        <v>497</v>
      </c>
    </row>
    <row r="66" spans="1:19">
      <c r="A66" s="359" t="s">
        <v>346</v>
      </c>
      <c r="B66" s="475">
        <f>SUM(Original!U13:U20)</f>
        <v>1906660.9197195347</v>
      </c>
      <c r="C66" s="475">
        <f>SUM(Original!V13:V20)</f>
        <v>515549.53264258319</v>
      </c>
      <c r="D66" s="475">
        <f>SUM(Original!W13:W20)</f>
        <v>10688272.910411296</v>
      </c>
      <c r="E66" s="558">
        <f>SUM(Original!Y13:Y20)</f>
        <v>15321762.566033021</v>
      </c>
      <c r="F66" s="361">
        <f>I66-SUM(B66:E66)</f>
        <v>34797374.225622058</v>
      </c>
      <c r="G66" s="361"/>
      <c r="H66" s="361"/>
      <c r="I66" s="559">
        <f>SUM(Original!U13:AB20)</f>
        <v>63229620.15442849</v>
      </c>
      <c r="J66" s="554"/>
      <c r="K66" s="359" t="s">
        <v>346</v>
      </c>
      <c r="L66" s="429">
        <f>B66/$I66</f>
        <v>3.0154552803936079E-2</v>
      </c>
      <c r="M66" s="429">
        <f t="shared" ref="M66:R68" si="8">C66/$I66</f>
        <v>8.1536079353858818E-3</v>
      </c>
      <c r="N66" s="429">
        <f t="shared" si="8"/>
        <v>0.1690390181738694</v>
      </c>
      <c r="O66" s="429">
        <f t="shared" si="8"/>
        <v>0.24231938336197503</v>
      </c>
      <c r="P66" s="429">
        <f t="shared" si="8"/>
        <v>0.55033343772483367</v>
      </c>
      <c r="Q66" s="429">
        <f t="shared" si="8"/>
        <v>0</v>
      </c>
      <c r="R66" s="429">
        <f t="shared" si="8"/>
        <v>0</v>
      </c>
      <c r="S66" s="559">
        <f>SUM(L66:R66)</f>
        <v>1</v>
      </c>
    </row>
    <row r="67" spans="1:19">
      <c r="A67" s="359" t="s">
        <v>2404</v>
      </c>
      <c r="B67" s="475">
        <f>SUM(Original!AC13:AC20)</f>
        <v>45089250.216493666</v>
      </c>
      <c r="C67" s="475">
        <f>SUM(Original!AD13:AD20)</f>
        <v>14565842.284953684</v>
      </c>
      <c r="D67" s="475">
        <f>SUM(Original!AE13:AE20)</f>
        <v>9191372.4012970775</v>
      </c>
      <c r="E67" s="475">
        <f>SUM(Original!AG13:AG20)</f>
        <v>0</v>
      </c>
      <c r="F67" s="361"/>
      <c r="G67" s="361"/>
      <c r="H67" s="361">
        <f>I67-SUM(B67:E67)</f>
        <v>4130916.2545663118</v>
      </c>
      <c r="I67" s="559">
        <f>SUM(Original!AC13:AJ20)</f>
        <v>72977381.157310739</v>
      </c>
      <c r="J67" s="554"/>
      <c r="K67" s="359" t="s">
        <v>2404</v>
      </c>
      <c r="L67" s="429">
        <f t="shared" ref="L67:L68" si="9">B67/$I67</f>
        <v>0.61785240168181488</v>
      </c>
      <c r="M67" s="429">
        <f t="shared" si="8"/>
        <v>0.19959392970755438</v>
      </c>
      <c r="N67" s="429">
        <f t="shared" si="8"/>
        <v>0.12594823567982066</v>
      </c>
      <c r="O67" s="429">
        <f t="shared" si="8"/>
        <v>0</v>
      </c>
      <c r="P67" s="429">
        <f t="shared" si="8"/>
        <v>0</v>
      </c>
      <c r="Q67" s="429">
        <f t="shared" si="8"/>
        <v>0</v>
      </c>
      <c r="R67" s="429">
        <f t="shared" si="8"/>
        <v>5.6605432930810017E-2</v>
      </c>
      <c r="S67" s="559">
        <f t="shared" ref="S67:S68" si="10">SUM(L67:R67)</f>
        <v>0.99999999999999989</v>
      </c>
    </row>
    <row r="68" spans="1:19">
      <c r="A68" s="359" t="s">
        <v>2405</v>
      </c>
      <c r="B68" s="475">
        <f>SUM(Original!M13:M20)</f>
        <v>6953647.4889343465</v>
      </c>
      <c r="C68" s="475">
        <f>SUM(Original!N13:N20)</f>
        <v>1041297.765133294</v>
      </c>
      <c r="D68" s="361">
        <f>SUM(Original!O13:O20)</f>
        <v>8949.0782931108188</v>
      </c>
      <c r="E68" s="527"/>
      <c r="F68" s="361"/>
      <c r="G68" s="361">
        <f>I68-SUM(B68:E68)</f>
        <v>104.00873412191868</v>
      </c>
      <c r="H68" s="361"/>
      <c r="I68" s="559">
        <f>SUM(Original!M13:T20)</f>
        <v>8003998.3410948738</v>
      </c>
      <c r="J68" s="553"/>
      <c r="K68" s="359" t="s">
        <v>2405</v>
      </c>
      <c r="L68" s="429">
        <f t="shared" si="9"/>
        <v>0.86877173040282651</v>
      </c>
      <c r="M68" s="429">
        <f t="shared" si="8"/>
        <v>0.1300971990195158</v>
      </c>
      <c r="N68" s="429">
        <f t="shared" si="8"/>
        <v>1.1180759804963511E-3</v>
      </c>
      <c r="O68" s="429">
        <f t="shared" si="8"/>
        <v>0</v>
      </c>
      <c r="P68" s="429">
        <f t="shared" si="8"/>
        <v>0</v>
      </c>
      <c r="Q68" s="429">
        <f t="shared" si="8"/>
        <v>1.2994597161259685E-5</v>
      </c>
      <c r="R68" s="429">
        <f t="shared" si="8"/>
        <v>0</v>
      </c>
      <c r="S68" s="559">
        <f t="shared" si="10"/>
        <v>1</v>
      </c>
    </row>
    <row r="70" spans="1:19" ht="26.25">
      <c r="A70" s="555" t="s">
        <v>2619</v>
      </c>
      <c r="B70" s="556" t="s">
        <v>2391</v>
      </c>
      <c r="C70" s="556" t="s">
        <v>2392</v>
      </c>
      <c r="D70" s="556" t="s">
        <v>2393</v>
      </c>
      <c r="E70" s="557" t="s">
        <v>855</v>
      </c>
      <c r="F70" s="556" t="s">
        <v>2568</v>
      </c>
      <c r="G70" s="556" t="s">
        <v>2570</v>
      </c>
      <c r="H70" s="556" t="s">
        <v>2569</v>
      </c>
      <c r="I70" s="556" t="s">
        <v>497</v>
      </c>
      <c r="J70" s="554"/>
      <c r="K70" s="555" t="str">
        <f>A70</f>
        <v>Fuel consumption values wrt sectors Institutional</v>
      </c>
      <c r="L70" s="556" t="s">
        <v>2391</v>
      </c>
      <c r="M70" s="556" t="s">
        <v>2392</v>
      </c>
      <c r="N70" s="556" t="s">
        <v>2393</v>
      </c>
      <c r="O70" s="557" t="s">
        <v>855</v>
      </c>
      <c r="P70" s="556" t="s">
        <v>2568</v>
      </c>
      <c r="Q70" s="556" t="s">
        <v>2570</v>
      </c>
      <c r="R70" s="556" t="s">
        <v>2569</v>
      </c>
      <c r="S70" s="556" t="s">
        <v>497</v>
      </c>
    </row>
    <row r="71" spans="1:19">
      <c r="A71" s="359" t="s">
        <v>346</v>
      </c>
      <c r="B71" s="475">
        <f>SUM(Original!U24:U28)</f>
        <v>343684.74787603336</v>
      </c>
      <c r="C71" s="475">
        <f>SUM(Original!V24:V28)</f>
        <v>155332.49225654575</v>
      </c>
      <c r="D71" s="475">
        <f>SUM(Original!W24:W28)</f>
        <v>2975491.0171612739</v>
      </c>
      <c r="E71" s="558">
        <f>SUM(Original!Y24:Y28)</f>
        <v>6032685.2908489592</v>
      </c>
      <c r="F71" s="361">
        <f>I71-SUM(B71:E71)</f>
        <v>9479873.1152088158</v>
      </c>
      <c r="G71" s="361"/>
      <c r="H71" s="361"/>
      <c r="I71" s="559">
        <f>SUM(Original!U24:AB28)</f>
        <v>18987066.663351629</v>
      </c>
      <c r="J71" s="554"/>
      <c r="K71" s="359" t="s">
        <v>346</v>
      </c>
      <c r="L71" s="429">
        <f>B71/$I71</f>
        <v>1.8100992321231232E-2</v>
      </c>
      <c r="M71" s="429">
        <f t="shared" ref="M71:R73" si="11">C71/$I71</f>
        <v>8.1809631266721531E-3</v>
      </c>
      <c r="N71" s="429">
        <f t="shared" si="11"/>
        <v>0.15671146417284634</v>
      </c>
      <c r="O71" s="429">
        <f t="shared" si="11"/>
        <v>0.31772602887064699</v>
      </c>
      <c r="P71" s="429">
        <f t="shared" si="11"/>
        <v>0.49928055150860323</v>
      </c>
      <c r="Q71" s="429">
        <f t="shared" si="11"/>
        <v>0</v>
      </c>
      <c r="R71" s="429">
        <f t="shared" si="11"/>
        <v>0</v>
      </c>
      <c r="S71" s="559">
        <f>SUM(L71:R71)</f>
        <v>1</v>
      </c>
    </row>
    <row r="72" spans="1:19">
      <c r="A72" s="359" t="s">
        <v>2404</v>
      </c>
      <c r="B72" s="475">
        <f>SUM(Original!AC24:AC28)</f>
        <v>25447604.408242416</v>
      </c>
      <c r="C72" s="475">
        <f>SUM(Original!AD24:AD28)</f>
        <v>4876153.2976490138</v>
      </c>
      <c r="D72" s="475">
        <f>SUM(Original!AE24:AE28)</f>
        <v>2859660.4006893653</v>
      </c>
      <c r="E72" s="475">
        <f>SUM(Original!AG24:AG28)</f>
        <v>3019.5469662375485</v>
      </c>
      <c r="F72" s="361"/>
      <c r="G72" s="361"/>
      <c r="H72" s="361">
        <f>I72-SUM(B72:F72)</f>
        <v>1113293.0489759557</v>
      </c>
      <c r="I72" s="559">
        <f>SUM(Original!AC24:AJ28)</f>
        <v>34299730.702522986</v>
      </c>
      <c r="J72" s="554"/>
      <c r="K72" s="359" t="s">
        <v>2404</v>
      </c>
      <c r="L72" s="429">
        <f t="shared" ref="L72:L73" si="12">B72/$I72</f>
        <v>0.74191848994227139</v>
      </c>
      <c r="M72" s="429">
        <f t="shared" si="11"/>
        <v>0.14216301987730587</v>
      </c>
      <c r="N72" s="429">
        <f t="shared" si="11"/>
        <v>8.3372677922483429E-2</v>
      </c>
      <c r="O72" s="429">
        <f t="shared" si="11"/>
        <v>8.803413042585316E-5</v>
      </c>
      <c r="P72" s="429">
        <f t="shared" si="11"/>
        <v>0</v>
      </c>
      <c r="Q72" s="429">
        <f t="shared" si="11"/>
        <v>0</v>
      </c>
      <c r="R72" s="429">
        <f t="shared" si="11"/>
        <v>3.2457778127513555E-2</v>
      </c>
      <c r="S72" s="559">
        <f t="shared" ref="S72:S73" si="13">SUM(L72:R72)</f>
        <v>1</v>
      </c>
    </row>
    <row r="73" spans="1:19">
      <c r="A73" s="359" t="s">
        <v>2405</v>
      </c>
      <c r="B73" s="475">
        <f>SUM(Original!M24:M28)</f>
        <v>4357938.6634930531</v>
      </c>
      <c r="C73" s="558">
        <f>SUM(Original!N24:N28)</f>
        <v>970437.63764158252</v>
      </c>
      <c r="D73" s="475">
        <f>SUM(Original!O24:O28)</f>
        <v>102139.14464609961</v>
      </c>
      <c r="E73" s="527"/>
      <c r="F73" s="361"/>
      <c r="G73" s="361">
        <f>I73-SUM(B73:F73)</f>
        <v>107132.38767369464</v>
      </c>
      <c r="H73" s="361"/>
      <c r="I73" s="559">
        <f>SUM(Original!M24:T28)</f>
        <v>5537647.8334544301</v>
      </c>
      <c r="J73" s="553"/>
      <c r="K73" s="359" t="s">
        <v>2405</v>
      </c>
      <c r="L73" s="429">
        <f t="shared" si="12"/>
        <v>0.78696565663955109</v>
      </c>
      <c r="M73" s="429">
        <f>C73/$I73</f>
        <v>0.17524365341163553</v>
      </c>
      <c r="N73" s="429">
        <f>D73/$I73</f>
        <v>1.8444499852274712E-2</v>
      </c>
      <c r="O73" s="429">
        <f t="shared" si="11"/>
        <v>0</v>
      </c>
      <c r="P73" s="429">
        <f t="shared" si="11"/>
        <v>0</v>
      </c>
      <c r="Q73" s="429">
        <f>G73/$I73</f>
        <v>1.934619009653862E-2</v>
      </c>
      <c r="R73" s="429">
        <f t="shared" si="11"/>
        <v>0</v>
      </c>
      <c r="S73" s="559">
        <f t="shared" si="13"/>
        <v>0.99999999999999989</v>
      </c>
    </row>
    <row r="76" spans="1:19" ht="25.5">
      <c r="A76" s="555" t="s">
        <v>2620</v>
      </c>
      <c r="B76" s="556" t="s">
        <v>2568</v>
      </c>
      <c r="C76" s="556" t="s">
        <v>2570</v>
      </c>
      <c r="D76" s="556" t="s">
        <v>2569</v>
      </c>
      <c r="E76" s="556" t="s">
        <v>497</v>
      </c>
      <c r="F76" s="554"/>
    </row>
    <row r="77" spans="1:19">
      <c r="A77" s="359" t="s">
        <v>346</v>
      </c>
      <c r="B77" s="361">
        <f>SUM(Original!U21:AB23)</f>
        <v>30357435.168775488</v>
      </c>
      <c r="C77" s="361"/>
      <c r="D77" s="361"/>
      <c r="E77" s="559">
        <f>SUM(Original!U30:AB34)</f>
        <v>329887986.22971666</v>
      </c>
      <c r="F77" s="554"/>
    </row>
    <row r="78" spans="1:19">
      <c r="A78" s="359" t="s">
        <v>2404</v>
      </c>
      <c r="B78" s="361"/>
      <c r="C78" s="361"/>
      <c r="D78" s="361">
        <f>SUM(Original!AC21:AJ23)</f>
        <v>25470689.013762552</v>
      </c>
      <c r="E78" s="559">
        <f>SUM(Original!AC30:AJ34)</f>
        <v>620568186.43910253</v>
      </c>
      <c r="F78" s="554"/>
    </row>
    <row r="79" spans="1:19">
      <c r="A79" s="359" t="s">
        <v>2405</v>
      </c>
      <c r="B79" s="361"/>
      <c r="C79" s="361">
        <f>SUM(Original!M21:T23)</f>
        <v>2929826.6911631091</v>
      </c>
      <c r="D79" s="361"/>
      <c r="E79" s="559">
        <f>SUM(Original!M30:T34)</f>
        <v>108236260.18232813</v>
      </c>
      <c r="F79" s="553"/>
    </row>
  </sheetData>
  <conditionalFormatting sqref="B53:D57 F53:I57 E54 E56:E57">
    <cfRule type="colorScale" priority="12">
      <colorScale>
        <cfvo type="min"/>
        <cfvo type="max"/>
        <color rgb="FFFFEF9C"/>
        <color rgb="FF63BE7B"/>
      </colorScale>
    </cfRule>
  </conditionalFormatting>
  <conditionalFormatting sqref="B60:D62 F60:I62 E61">
    <cfRule type="colorScale" priority="8">
      <colorScale>
        <cfvo type="min"/>
        <cfvo type="max"/>
        <color rgb="FFFFEF9C"/>
        <color rgb="FF63BE7B"/>
      </colorScale>
    </cfRule>
  </conditionalFormatting>
  <conditionalFormatting sqref="B66:D68 F66:I68 E67">
    <cfRule type="colorScale" priority="6">
      <colorScale>
        <cfvo type="min"/>
        <cfvo type="max"/>
        <color rgb="FFFFEF9C"/>
        <color rgb="FF63BE7B"/>
      </colorScale>
    </cfRule>
  </conditionalFormatting>
  <conditionalFormatting sqref="B71:D72 B73 D73 F71:I73 E72">
    <cfRule type="colorScale" priority="4">
      <colorScale>
        <cfvo type="min"/>
        <cfvo type="max"/>
        <color rgb="FFFFEF9C"/>
        <color rgb="FF63BE7B"/>
      </colorScale>
    </cfRule>
  </conditionalFormatting>
  <conditionalFormatting sqref="B77:D79">
    <cfRule type="colorScale" priority="13">
      <colorScale>
        <cfvo type="min"/>
        <cfvo type="max"/>
        <color rgb="FFFFEF9C"/>
        <color rgb="FF63BE7B"/>
      </colorScale>
    </cfRule>
  </conditionalFormatting>
  <conditionalFormatting sqref="B77:E79">
    <cfRule type="colorScale" priority="1">
      <colorScale>
        <cfvo type="min"/>
        <cfvo type="max"/>
        <color rgb="FFFFEF9C"/>
        <color rgb="FF63BE7B"/>
      </colorScale>
    </cfRule>
    <cfRule type="colorScale" priority="14">
      <colorScale>
        <cfvo type="min"/>
        <cfvo type="max"/>
        <color rgb="FFFFEF9C"/>
        <color rgb="FF63BE7B"/>
      </colorScale>
    </cfRule>
  </conditionalFormatting>
  <conditionalFormatting sqref="B53:H57">
    <cfRule type="colorScale" priority="9">
      <colorScale>
        <cfvo type="min"/>
        <cfvo type="max"/>
        <color rgb="FFFFEF9C"/>
        <color rgb="FF63BE7B"/>
      </colorScale>
    </cfRule>
  </conditionalFormatting>
  <conditionalFormatting sqref="B60:H62">
    <cfRule type="colorScale" priority="7">
      <colorScale>
        <cfvo type="min"/>
        <cfvo type="max"/>
        <color rgb="FFFFEF9C"/>
        <color rgb="FF63BE7B"/>
      </colorScale>
    </cfRule>
  </conditionalFormatting>
  <conditionalFormatting sqref="B66:H68">
    <cfRule type="colorScale" priority="5">
      <colorScale>
        <cfvo type="min"/>
        <cfvo type="max"/>
        <color rgb="FFFFEF9C"/>
        <color rgb="FF63BE7B"/>
      </colorScale>
    </cfRule>
  </conditionalFormatting>
  <conditionalFormatting sqref="B71:H72 B73 D73:H73">
    <cfRule type="colorScale" priority="3">
      <colorScale>
        <cfvo type="min"/>
        <cfvo type="max"/>
        <color rgb="FFFFEF9C"/>
        <color rgb="FF63BE7B"/>
      </colorScale>
    </cfRule>
  </conditionalFormatting>
  <conditionalFormatting sqref="B29:I33">
    <cfRule type="colorScale" priority="11">
      <colorScale>
        <cfvo type="min"/>
        <cfvo type="max"/>
        <color rgb="FFFFEF9C"/>
        <color rgb="FF63BE7B"/>
      </colorScale>
    </cfRule>
  </conditionalFormatting>
  <conditionalFormatting sqref="B64:I64">
    <cfRule type="colorScale" priority="10">
      <colorScale>
        <cfvo type="min"/>
        <cfvo type="max"/>
        <color rgb="FFFFEF9C"/>
        <color rgb="FF63BE7B"/>
      </colorScale>
    </cfRule>
  </conditionalFormatting>
  <conditionalFormatting sqref="B71:I73">
    <cfRule type="colorScale" priority="2">
      <colorScale>
        <cfvo type="min"/>
        <cfvo type="max"/>
        <color rgb="FFFFEF9C"/>
        <color rgb="FF63BE7B"/>
      </colorScale>
    </cfRule>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BE1A3-EFC8-4284-BC65-ECABDDC96243}">
  <dimension ref="A1:G46"/>
  <sheetViews>
    <sheetView topLeftCell="A13" workbookViewId="0">
      <selection activeCell="C33" sqref="C33"/>
    </sheetView>
  </sheetViews>
  <sheetFormatPr defaultColWidth="12.42578125" defaultRowHeight="12.75"/>
  <cols>
    <col min="1" max="1" width="53.28515625" style="18" bestFit="1" customWidth="1"/>
    <col min="2" max="2" width="11.42578125" style="18" bestFit="1" customWidth="1"/>
    <col min="3" max="16384" width="12.42578125" style="18"/>
  </cols>
  <sheetData>
    <row r="1" spans="1:7">
      <c r="A1" s="15" t="s">
        <v>2602</v>
      </c>
      <c r="B1" s="15" t="s">
        <v>2480</v>
      </c>
      <c r="C1" s="15" t="s">
        <v>2481</v>
      </c>
      <c r="D1" s="15" t="s">
        <v>2482</v>
      </c>
      <c r="E1" s="15" t="s">
        <v>2484</v>
      </c>
      <c r="F1" s="15" t="s">
        <v>2483</v>
      </c>
      <c r="G1" s="15" t="s">
        <v>2399</v>
      </c>
    </row>
    <row r="2" spans="1:7">
      <c r="A2" s="543" t="s">
        <v>2449</v>
      </c>
      <c r="B2" s="544">
        <v>100238397</v>
      </c>
      <c r="C2" s="544">
        <v>61656101</v>
      </c>
      <c r="D2" s="544">
        <v>605237</v>
      </c>
      <c r="E2" s="544">
        <v>92312897</v>
      </c>
      <c r="F2" s="544">
        <v>124702895</v>
      </c>
      <c r="G2" s="544">
        <v>379515527</v>
      </c>
    </row>
    <row r="3" spans="1:7">
      <c r="A3" s="543" t="s">
        <v>2450</v>
      </c>
      <c r="B3" s="544">
        <v>350813707</v>
      </c>
      <c r="C3" s="544">
        <v>80143652</v>
      </c>
      <c r="D3" s="544">
        <v>29579569</v>
      </c>
      <c r="E3" s="544">
        <v>148501259</v>
      </c>
      <c r="F3" s="544">
        <v>64134866</v>
      </c>
      <c r="G3" s="544">
        <v>673173053</v>
      </c>
    </row>
    <row r="4" spans="1:7">
      <c r="A4" s="543" t="s">
        <v>2459</v>
      </c>
      <c r="B4" s="544">
        <v>11175112</v>
      </c>
      <c r="C4" s="544">
        <v>4687612</v>
      </c>
      <c r="D4" s="544">
        <v>100174639</v>
      </c>
      <c r="E4" s="544">
        <v>8460567</v>
      </c>
      <c r="F4" s="544">
        <v>227761</v>
      </c>
      <c r="G4" s="544">
        <v>124725691</v>
      </c>
    </row>
    <row r="5" spans="1:7">
      <c r="A5" s="543" t="s">
        <v>2460</v>
      </c>
      <c r="B5" s="544">
        <v>24928580</v>
      </c>
      <c r="C5" s="544">
        <v>9631034</v>
      </c>
      <c r="D5" s="544">
        <v>8644389</v>
      </c>
      <c r="E5" s="544">
        <v>16393935</v>
      </c>
      <c r="F5" s="544">
        <v>10040532</v>
      </c>
      <c r="G5" s="544">
        <v>69638470</v>
      </c>
    </row>
    <row r="6" spans="1:7">
      <c r="A6" s="543" t="s">
        <v>2461</v>
      </c>
      <c r="B6" s="544">
        <v>1841492</v>
      </c>
      <c r="C6" s="544"/>
      <c r="D6" s="544">
        <v>55266499</v>
      </c>
      <c r="E6" s="544">
        <v>2416419</v>
      </c>
      <c r="F6" s="544">
        <v>503024</v>
      </c>
      <c r="G6" s="544">
        <v>60027434</v>
      </c>
    </row>
    <row r="7" spans="1:7">
      <c r="A7" s="543" t="s">
        <v>2462</v>
      </c>
      <c r="B7" s="544">
        <v>12579348</v>
      </c>
      <c r="C7" s="544">
        <v>8116321</v>
      </c>
      <c r="D7" s="544">
        <v>8294436</v>
      </c>
      <c r="E7" s="544">
        <v>16562110</v>
      </c>
      <c r="F7" s="544">
        <v>5806579</v>
      </c>
      <c r="G7" s="544">
        <v>51358794</v>
      </c>
    </row>
    <row r="8" spans="1:7">
      <c r="A8" s="543" t="s">
        <v>2463</v>
      </c>
      <c r="B8" s="544">
        <v>8862811</v>
      </c>
      <c r="C8" s="544">
        <v>1414088</v>
      </c>
      <c r="D8" s="544">
        <v>188053925</v>
      </c>
      <c r="E8" s="544">
        <v>2157023</v>
      </c>
      <c r="F8" s="544">
        <v>166056</v>
      </c>
      <c r="G8" s="544">
        <v>200653903</v>
      </c>
    </row>
    <row r="9" spans="1:7">
      <c r="A9" s="543" t="s">
        <v>2464</v>
      </c>
      <c r="B9" s="544">
        <v>45165708</v>
      </c>
      <c r="C9" s="544">
        <v>17994206</v>
      </c>
      <c r="D9" s="544">
        <v>68498322</v>
      </c>
      <c r="E9" s="544">
        <v>21127957</v>
      </c>
      <c r="F9" s="544">
        <v>3828790</v>
      </c>
      <c r="G9" s="544">
        <v>156614983</v>
      </c>
    </row>
    <row r="10" spans="1:7">
      <c r="A10" s="543" t="s">
        <v>2465</v>
      </c>
      <c r="B10" s="544">
        <v>15983878</v>
      </c>
      <c r="C10" s="544">
        <v>11001670</v>
      </c>
      <c r="D10" s="544">
        <v>309058726</v>
      </c>
      <c r="E10" s="544">
        <v>14499093</v>
      </c>
      <c r="F10" s="544">
        <v>683200</v>
      </c>
      <c r="G10" s="544">
        <v>351226567</v>
      </c>
    </row>
    <row r="11" spans="1:7">
      <c r="A11" s="543" t="s">
        <v>2603</v>
      </c>
      <c r="B11" s="544">
        <v>19359520</v>
      </c>
      <c r="C11" s="544">
        <v>5161979</v>
      </c>
      <c r="D11" s="544">
        <v>10231449</v>
      </c>
      <c r="E11" s="544">
        <v>8209800</v>
      </c>
      <c r="F11" s="544">
        <v>1569692</v>
      </c>
      <c r="G11" s="544">
        <v>44532440</v>
      </c>
    </row>
    <row r="12" spans="1:7">
      <c r="A12" s="543" t="s">
        <v>2604</v>
      </c>
      <c r="B12" s="544">
        <v>49343718</v>
      </c>
      <c r="C12" s="544">
        <v>20164414</v>
      </c>
      <c r="D12" s="544">
        <v>2134926</v>
      </c>
      <c r="E12" s="544">
        <v>44986188</v>
      </c>
      <c r="F12" s="544">
        <v>3961842</v>
      </c>
      <c r="G12" s="544">
        <v>120591088</v>
      </c>
    </row>
    <row r="13" spans="1:7">
      <c r="A13" s="543" t="s">
        <v>2605</v>
      </c>
      <c r="B13" s="544">
        <v>56575732</v>
      </c>
      <c r="C13" s="544">
        <v>18548958</v>
      </c>
      <c r="D13" s="544">
        <v>26905448</v>
      </c>
      <c r="E13" s="544">
        <v>23858469</v>
      </c>
      <c r="F13" s="544">
        <v>4968196</v>
      </c>
      <c r="G13" s="544">
        <v>130856803</v>
      </c>
    </row>
    <row r="14" spans="1:7">
      <c r="A14" s="543" t="s">
        <v>2606</v>
      </c>
      <c r="B14" s="544">
        <v>20102803</v>
      </c>
      <c r="C14" s="544">
        <v>20259704</v>
      </c>
      <c r="D14" s="544">
        <v>43465088</v>
      </c>
      <c r="E14" s="544">
        <v>8212732</v>
      </c>
      <c r="F14" s="544">
        <v>6020716</v>
      </c>
      <c r="G14" s="544">
        <v>98061043</v>
      </c>
    </row>
    <row r="15" spans="1:7">
      <c r="A15" s="543" t="s">
        <v>2607</v>
      </c>
      <c r="B15" s="544">
        <v>45702338</v>
      </c>
      <c r="C15" s="544">
        <v>20574306</v>
      </c>
      <c r="D15" s="544">
        <v>45403463</v>
      </c>
      <c r="E15" s="544">
        <v>6569454</v>
      </c>
      <c r="F15" s="544">
        <v>4522730</v>
      </c>
      <c r="G15" s="544">
        <v>122772291</v>
      </c>
    </row>
    <row r="16" spans="1:7">
      <c r="A16" s="543" t="s">
        <v>2608</v>
      </c>
      <c r="B16" s="544">
        <v>59939504</v>
      </c>
      <c r="C16" s="544">
        <v>35313570</v>
      </c>
      <c r="D16" s="544">
        <v>36690485</v>
      </c>
      <c r="E16" s="544">
        <v>22921793</v>
      </c>
      <c r="F16" s="544">
        <v>11155804</v>
      </c>
      <c r="G16" s="544">
        <v>166021156</v>
      </c>
    </row>
    <row r="17" spans="1:7">
      <c r="A17" s="543" t="s">
        <v>2609</v>
      </c>
      <c r="B17" s="544">
        <v>21861810</v>
      </c>
      <c r="C17" s="544">
        <v>7916013</v>
      </c>
      <c r="D17" s="544">
        <v>13939383</v>
      </c>
      <c r="E17" s="544">
        <v>7726422</v>
      </c>
      <c r="F17" s="544">
        <v>2421406</v>
      </c>
      <c r="G17" s="544">
        <v>53865034</v>
      </c>
    </row>
    <row r="18" spans="1:7">
      <c r="A18" s="543" t="s">
        <v>2610</v>
      </c>
      <c r="B18" s="544">
        <v>6873370</v>
      </c>
      <c r="C18" s="544">
        <v>8353434</v>
      </c>
      <c r="D18" s="544">
        <v>23642097</v>
      </c>
      <c r="E18" s="544">
        <v>3123968</v>
      </c>
      <c r="F18" s="544">
        <v>1344822</v>
      </c>
      <c r="G18" s="544">
        <v>43337691</v>
      </c>
    </row>
    <row r="19" spans="1:7">
      <c r="A19" s="543" t="s">
        <v>2451</v>
      </c>
      <c r="B19" s="544">
        <v>55763715</v>
      </c>
      <c r="C19" s="544">
        <v>44540254</v>
      </c>
      <c r="D19" s="544">
        <v>47863138</v>
      </c>
      <c r="E19" s="544">
        <v>9399763</v>
      </c>
      <c r="F19" s="544">
        <v>3981592</v>
      </c>
      <c r="G19" s="544">
        <v>161548462</v>
      </c>
    </row>
    <row r="20" spans="1:7">
      <c r="A20" s="543" t="s">
        <v>2452</v>
      </c>
      <c r="B20" s="544">
        <v>11732766</v>
      </c>
      <c r="C20" s="544">
        <v>12414969</v>
      </c>
      <c r="D20" s="544">
        <v>59308583</v>
      </c>
      <c r="E20" s="544">
        <v>9902591</v>
      </c>
      <c r="F20" s="544">
        <v>409499</v>
      </c>
      <c r="G20" s="544">
        <v>93768408</v>
      </c>
    </row>
    <row r="21" spans="1:7">
      <c r="A21" s="543" t="s">
        <v>2453</v>
      </c>
      <c r="B21" s="544">
        <v>35677148</v>
      </c>
      <c r="C21" s="544">
        <v>14016762</v>
      </c>
      <c r="D21" s="544">
        <v>11316483</v>
      </c>
      <c r="E21" s="544">
        <v>11812709</v>
      </c>
      <c r="F21" s="544">
        <v>3094076</v>
      </c>
      <c r="G21" s="544">
        <v>75917178</v>
      </c>
    </row>
    <row r="22" spans="1:7">
      <c r="A22" s="543" t="s">
        <v>2454</v>
      </c>
      <c r="B22" s="544">
        <v>23050098</v>
      </c>
      <c r="C22" s="544">
        <v>29482617</v>
      </c>
      <c r="D22" s="544">
        <v>112087072</v>
      </c>
      <c r="E22" s="544">
        <v>21421455</v>
      </c>
      <c r="F22" s="544">
        <v>644740</v>
      </c>
      <c r="G22" s="544">
        <v>186685982</v>
      </c>
    </row>
    <row r="23" spans="1:7">
      <c r="A23" s="543" t="s">
        <v>2455</v>
      </c>
      <c r="B23" s="544">
        <v>57199987</v>
      </c>
      <c r="C23" s="544">
        <v>29161513</v>
      </c>
      <c r="D23" s="544">
        <v>13169973</v>
      </c>
      <c r="E23" s="544">
        <v>75619951</v>
      </c>
      <c r="F23" s="544">
        <v>8499339</v>
      </c>
      <c r="G23" s="544">
        <v>183650763</v>
      </c>
    </row>
    <row r="24" spans="1:7">
      <c r="A24" s="543" t="s">
        <v>2456</v>
      </c>
      <c r="B24" s="544">
        <v>5882842</v>
      </c>
      <c r="C24" s="544">
        <v>8589220</v>
      </c>
      <c r="D24" s="544">
        <v>139624673</v>
      </c>
      <c r="E24" s="544">
        <v>454302</v>
      </c>
      <c r="F24" s="544"/>
      <c r="G24" s="544">
        <v>154551037</v>
      </c>
    </row>
    <row r="25" spans="1:7">
      <c r="A25" s="543" t="s">
        <v>2457</v>
      </c>
      <c r="B25" s="544">
        <v>271498137</v>
      </c>
      <c r="C25" s="544">
        <v>197523809</v>
      </c>
      <c r="D25" s="544">
        <v>260397109</v>
      </c>
      <c r="E25" s="544">
        <v>91787001</v>
      </c>
      <c r="F25" s="544">
        <v>2954823</v>
      </c>
      <c r="G25" s="544">
        <v>824160879</v>
      </c>
    </row>
    <row r="26" spans="1:7">
      <c r="A26" s="543" t="s">
        <v>2458</v>
      </c>
      <c r="B26" s="544">
        <v>27268944</v>
      </c>
      <c r="C26" s="544">
        <v>30201907</v>
      </c>
      <c r="D26" s="544">
        <v>99906525</v>
      </c>
      <c r="E26" s="544">
        <v>15120511</v>
      </c>
      <c r="F26" s="544">
        <v>1051067</v>
      </c>
      <c r="G26" s="544">
        <v>173548954</v>
      </c>
    </row>
    <row r="27" spans="1:7">
      <c r="A27" s="543" t="s">
        <v>2475</v>
      </c>
      <c r="B27" s="544">
        <v>86118897</v>
      </c>
      <c r="C27" s="544">
        <v>20923590</v>
      </c>
      <c r="D27" s="544">
        <v>41718143</v>
      </c>
      <c r="E27" s="544">
        <v>84241760</v>
      </c>
      <c r="F27" s="544">
        <v>13784064</v>
      </c>
      <c r="G27" s="544">
        <v>246786454</v>
      </c>
    </row>
    <row r="28" spans="1:7">
      <c r="A28" s="543" t="s">
        <v>2611</v>
      </c>
      <c r="B28" s="544">
        <v>9183619</v>
      </c>
      <c r="C28" s="544">
        <v>3393581</v>
      </c>
      <c r="D28" s="544">
        <v>25754210</v>
      </c>
      <c r="E28" s="544">
        <v>2610683</v>
      </c>
      <c r="F28" s="544">
        <v>1136460</v>
      </c>
      <c r="G28" s="544">
        <v>42078553</v>
      </c>
    </row>
    <row r="29" spans="1:7">
      <c r="A29" s="29" t="s">
        <v>2612</v>
      </c>
      <c r="B29" s="545">
        <f>(B28+B27)/SUM(B2:B26)</f>
        <v>7.1151999942004815E-2</v>
      </c>
      <c r="C29" s="545">
        <f t="shared" ref="C29:G29" si="0">(C28+C27)/SUM(C2:C26)</f>
        <v>3.4894940012845731E-2</v>
      </c>
      <c r="D29" s="545">
        <f t="shared" si="0"/>
        <v>3.9359425389742887E-2</v>
      </c>
      <c r="E29" s="545">
        <f t="shared" si="0"/>
        <v>0.12705929286925313</v>
      </c>
      <c r="F29" s="545">
        <f t="shared" si="0"/>
        <v>5.5946220651861792E-2</v>
      </c>
      <c r="G29" s="545">
        <f t="shared" si="0"/>
        <v>6.1450132716679734E-2</v>
      </c>
    </row>
    <row r="30" spans="1:7" ht="15">
      <c r="A30" s="546" t="s">
        <v>2613</v>
      </c>
      <c r="B30" s="547">
        <f>SUM(B2:B26)</f>
        <v>1339421465</v>
      </c>
      <c r="C30" s="547">
        <f t="shared" ref="C30:G30" si="1">SUM(C2:C26)</f>
        <v>696868113</v>
      </c>
      <c r="D30" s="547">
        <f t="shared" si="1"/>
        <v>1714261637</v>
      </c>
      <c r="E30" s="547">
        <f t="shared" si="1"/>
        <v>683558369</v>
      </c>
      <c r="F30" s="547">
        <f t="shared" si="1"/>
        <v>266694047</v>
      </c>
      <c r="G30" s="547">
        <f t="shared" si="1"/>
        <v>4700803631</v>
      </c>
    </row>
    <row r="31" spans="1:7" ht="15">
      <c r="A31" s="546"/>
      <c r="B31" s="547"/>
      <c r="C31" s="547"/>
      <c r="D31" s="547"/>
      <c r="E31" s="547"/>
      <c r="F31" s="547"/>
      <c r="G31" s="547"/>
    </row>
    <row r="32" spans="1:7" ht="15">
      <c r="A32" s="548" t="s">
        <v>2614</v>
      </c>
      <c r="B32" s="549" t="s">
        <v>2480</v>
      </c>
      <c r="C32" s="549" t="s">
        <v>2481</v>
      </c>
      <c r="D32" s="549" t="s">
        <v>2482</v>
      </c>
      <c r="E32" s="549" t="s">
        <v>2484</v>
      </c>
      <c r="F32" s="549" t="s">
        <v>2483</v>
      </c>
      <c r="G32" s="549" t="s">
        <v>2350</v>
      </c>
    </row>
    <row r="33" spans="1:7">
      <c r="A33" s="543" t="s">
        <v>2398</v>
      </c>
      <c r="B33" s="550">
        <f t="shared" ref="B33:G33" si="2">SUM(B2:B3)/SUM(B$2:B$26)</f>
        <v>0.33675143768134252</v>
      </c>
      <c r="C33" s="550">
        <f t="shared" si="2"/>
        <v>0.20348147713281867</v>
      </c>
      <c r="D33" s="550">
        <f t="shared" si="2"/>
        <v>1.7608050806540914E-2</v>
      </c>
      <c r="E33" s="550">
        <f t="shared" si="2"/>
        <v>0.35229494205783035</v>
      </c>
      <c r="F33" s="550">
        <f t="shared" si="2"/>
        <v>0.70806890189041227</v>
      </c>
      <c r="G33" s="550">
        <f t="shared" si="2"/>
        <v>0.22393800350602222</v>
      </c>
    </row>
    <row r="34" spans="1:7">
      <c r="A34" s="543" t="s">
        <v>492</v>
      </c>
      <c r="B34" s="550">
        <f t="shared" ref="B34:G34" si="3">SUM(B4:B10)/SUM(B$2:B$26)</f>
        <v>8.999178537130581E-2</v>
      </c>
      <c r="C34" s="550">
        <f t="shared" si="3"/>
        <v>7.5832040545669221E-2</v>
      </c>
      <c r="D34" s="550">
        <f t="shared" si="3"/>
        <v>0.43050075908570307</v>
      </c>
      <c r="E34" s="550">
        <f t="shared" si="3"/>
        <v>0.11940034341090776</v>
      </c>
      <c r="F34" s="550">
        <f t="shared" si="3"/>
        <v>7.9701599038691701E-2</v>
      </c>
      <c r="G34" s="550">
        <f t="shared" si="3"/>
        <v>0.21576009585072584</v>
      </c>
    </row>
    <row r="35" spans="1:7">
      <c r="A35" s="543" t="s">
        <v>493</v>
      </c>
      <c r="B35" s="550">
        <f t="shared" ref="B35:G35" si="4">SUM(B11:B13)/SUM(B$2:B$26)</f>
        <v>9.3532150464678415E-2</v>
      </c>
      <c r="C35" s="550">
        <f t="shared" si="4"/>
        <v>6.2960767154516081E-2</v>
      </c>
      <c r="D35" s="550">
        <f t="shared" si="4"/>
        <v>2.2908885173868007E-2</v>
      </c>
      <c r="E35" s="550">
        <f t="shared" si="4"/>
        <v>0.11272549718427922</v>
      </c>
      <c r="F35" s="550">
        <f t="shared" si="4"/>
        <v>3.9369945141670144E-2</v>
      </c>
      <c r="G35" s="550">
        <f t="shared" si="4"/>
        <v>6.2963772629880357E-2</v>
      </c>
    </row>
    <row r="36" spans="1:7">
      <c r="A36" s="543" t="s">
        <v>2401</v>
      </c>
      <c r="B36" s="550">
        <f t="shared" ref="B36:G36" si="5">SUM(B14:B18)/SUM(B$2:B$26)</f>
        <v>0.11533324576069863</v>
      </c>
      <c r="C36" s="550">
        <f t="shared" si="5"/>
        <v>0.1326176722337703</v>
      </c>
      <c r="D36" s="550">
        <f t="shared" si="5"/>
        <v>9.5166637623355976E-2</v>
      </c>
      <c r="E36" s="550">
        <f t="shared" si="5"/>
        <v>7.1031781925268184E-2</v>
      </c>
      <c r="F36" s="550">
        <f t="shared" si="5"/>
        <v>9.5485738382454402E-2</v>
      </c>
      <c r="G36" s="550">
        <f t="shared" si="5"/>
        <v>0.10297328988767537</v>
      </c>
    </row>
    <row r="37" spans="1:7">
      <c r="A37" s="543" t="s">
        <v>2400</v>
      </c>
      <c r="B37" s="550">
        <f t="shared" ref="B37:G37" si="6">SUM(B19:B26)/SUM(B$2:B$26)</f>
        <v>0.36439138072197463</v>
      </c>
      <c r="C37" s="550">
        <f t="shared" si="6"/>
        <v>0.52510804293322577</v>
      </c>
      <c r="D37" s="550">
        <f t="shared" si="6"/>
        <v>0.433815667310532</v>
      </c>
      <c r="E37" s="550">
        <f t="shared" si="6"/>
        <v>0.34454743542171451</v>
      </c>
      <c r="F37" s="550">
        <f t="shared" si="6"/>
        <v>7.737381554677146E-2</v>
      </c>
      <c r="G37" s="550">
        <f t="shared" si="6"/>
        <v>0.39436483812569623</v>
      </c>
    </row>
    <row r="38" spans="1:7">
      <c r="B38" s="545">
        <f>SUM(B33:B37)</f>
        <v>1</v>
      </c>
      <c r="C38" s="545">
        <f t="shared" ref="C38:G38" si="7">SUM(C33:C37)</f>
        <v>1</v>
      </c>
      <c r="D38" s="545">
        <f t="shared" si="7"/>
        <v>1</v>
      </c>
      <c r="E38" s="545">
        <f t="shared" si="7"/>
        <v>1</v>
      </c>
      <c r="F38" s="545">
        <f t="shared" si="7"/>
        <v>1</v>
      </c>
      <c r="G38" s="545">
        <f t="shared" si="7"/>
        <v>1</v>
      </c>
    </row>
    <row r="40" spans="1:7" ht="15">
      <c r="A40" s="548" t="s">
        <v>2615</v>
      </c>
      <c r="B40" s="480" t="s">
        <v>2480</v>
      </c>
      <c r="C40" s="480" t="s">
        <v>2481</v>
      </c>
      <c r="D40" s="480" t="s">
        <v>2482</v>
      </c>
      <c r="E40" s="480" t="s">
        <v>2484</v>
      </c>
      <c r="F40" s="480" t="s">
        <v>2483</v>
      </c>
      <c r="G40" s="480" t="s">
        <v>2350</v>
      </c>
    </row>
    <row r="41" spans="1:7">
      <c r="A41" s="543" t="s">
        <v>2398</v>
      </c>
      <c r="B41" s="551">
        <f>B$30*B33</f>
        <v>451052104</v>
      </c>
      <c r="C41" s="551">
        <f t="shared" ref="C41:F41" si="8">C$30*C33</f>
        <v>141799753</v>
      </c>
      <c r="D41" s="551">
        <f t="shared" si="8"/>
        <v>30184805.999999996</v>
      </c>
      <c r="E41" s="551">
        <f t="shared" si="8"/>
        <v>240814156.00000003</v>
      </c>
      <c r="F41" s="551">
        <f t="shared" si="8"/>
        <v>188837761</v>
      </c>
      <c r="G41" s="551">
        <f>G$30*G33</f>
        <v>1052688580</v>
      </c>
    </row>
    <row r="42" spans="1:7">
      <c r="A42" s="543" t="s">
        <v>492</v>
      </c>
      <c r="B42" s="551">
        <f t="shared" ref="B42:G45" si="9">B$30*B34</f>
        <v>120536929</v>
      </c>
      <c r="C42" s="551">
        <f t="shared" si="9"/>
        <v>52844931</v>
      </c>
      <c r="D42" s="551">
        <f t="shared" si="9"/>
        <v>737990936</v>
      </c>
      <c r="E42" s="551">
        <f t="shared" si="9"/>
        <v>81617104</v>
      </c>
      <c r="F42" s="551">
        <f t="shared" si="9"/>
        <v>21255942</v>
      </c>
      <c r="G42" s="551">
        <f t="shared" si="9"/>
        <v>1014245842</v>
      </c>
    </row>
    <row r="43" spans="1:7">
      <c r="A43" s="543" t="s">
        <v>493</v>
      </c>
      <c r="B43" s="551">
        <f t="shared" si="9"/>
        <v>125278970</v>
      </c>
      <c r="C43" s="551">
        <f t="shared" si="9"/>
        <v>43875351</v>
      </c>
      <c r="D43" s="551">
        <f t="shared" si="9"/>
        <v>39271823</v>
      </c>
      <c r="E43" s="551">
        <f t="shared" si="9"/>
        <v>77054457</v>
      </c>
      <c r="F43" s="551">
        <f t="shared" si="9"/>
        <v>10499730</v>
      </c>
      <c r="G43" s="551">
        <f t="shared" si="9"/>
        <v>295980331</v>
      </c>
    </row>
    <row r="44" spans="1:7">
      <c r="A44" s="543" t="s">
        <v>2401</v>
      </c>
      <c r="B44" s="551">
        <f t="shared" si="9"/>
        <v>154479825</v>
      </c>
      <c r="C44" s="551">
        <f t="shared" si="9"/>
        <v>92417027</v>
      </c>
      <c r="D44" s="551">
        <f t="shared" si="9"/>
        <v>163140516</v>
      </c>
      <c r="E44" s="551">
        <f t="shared" si="9"/>
        <v>48554369</v>
      </c>
      <c r="F44" s="551">
        <f t="shared" si="9"/>
        <v>25465478</v>
      </c>
      <c r="G44" s="551">
        <f t="shared" si="9"/>
        <v>484057215</v>
      </c>
    </row>
    <row r="45" spans="1:7">
      <c r="A45" s="543" t="s">
        <v>2400</v>
      </c>
      <c r="B45" s="551">
        <f t="shared" si="9"/>
        <v>488073637</v>
      </c>
      <c r="C45" s="551">
        <f t="shared" si="9"/>
        <v>365931051</v>
      </c>
      <c r="D45" s="551">
        <f t="shared" si="9"/>
        <v>743673556</v>
      </c>
      <c r="E45" s="551">
        <f t="shared" si="9"/>
        <v>235518283</v>
      </c>
      <c r="F45" s="551">
        <f t="shared" si="9"/>
        <v>20635136</v>
      </c>
      <c r="G45" s="551">
        <f t="shared" si="9"/>
        <v>1853831663</v>
      </c>
    </row>
    <row r="46" spans="1:7">
      <c r="B46" s="169">
        <f>SUM(B41:B45)</f>
        <v>1339421465</v>
      </c>
      <c r="C46" s="169">
        <f t="shared" ref="C46:G46" si="10">SUM(C41:C45)</f>
        <v>696868113</v>
      </c>
      <c r="D46" s="169">
        <f t="shared" si="10"/>
        <v>1714261637</v>
      </c>
      <c r="E46" s="169">
        <f t="shared" si="10"/>
        <v>683558369</v>
      </c>
      <c r="F46" s="169">
        <f t="shared" si="10"/>
        <v>266694047</v>
      </c>
      <c r="G46" s="169">
        <f t="shared" si="10"/>
        <v>4700803631</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R435"/>
  <sheetViews>
    <sheetView topLeftCell="A49" zoomScale="75" workbookViewId="0">
      <selection activeCell="C33" sqref="C33"/>
    </sheetView>
  </sheetViews>
  <sheetFormatPr defaultColWidth="11.5703125" defaultRowHeight="12.75"/>
  <cols>
    <col min="1" max="1" width="8" style="209" customWidth="1"/>
    <col min="2" max="2" width="33" style="209" customWidth="1"/>
    <col min="3" max="9" width="11.7109375" style="209" customWidth="1"/>
    <col min="10" max="10" width="14.28515625" style="209" customWidth="1"/>
    <col min="11" max="11" width="11.7109375" style="209" customWidth="1"/>
    <col min="12" max="12" width="13.28515625" style="209" customWidth="1"/>
    <col min="13" max="13" width="11.28515625" style="209" customWidth="1"/>
    <col min="14" max="14" width="13.5703125" style="209" customWidth="1"/>
    <col min="15" max="15" width="12.5703125" style="209" customWidth="1"/>
    <col min="16" max="16" width="13.7109375" style="209" customWidth="1"/>
    <col min="17" max="28" width="11.5703125" style="209" customWidth="1"/>
    <col min="29" max="29" width="11.7109375" style="209" customWidth="1"/>
    <col min="30" max="30" width="14.28515625" style="209" customWidth="1"/>
    <col min="31" max="16384" width="11.5703125" style="209"/>
  </cols>
  <sheetData>
    <row r="1" spans="1:31" ht="45" customHeight="1">
      <c r="A1" s="843" t="s">
        <v>1098</v>
      </c>
      <c r="B1" s="843"/>
      <c r="C1" s="843"/>
      <c r="D1" s="843"/>
      <c r="E1" s="843"/>
      <c r="F1" s="843"/>
      <c r="G1" s="843"/>
      <c r="H1" s="843"/>
      <c r="I1" s="843"/>
      <c r="J1" s="843"/>
      <c r="K1" s="843"/>
      <c r="L1" s="843"/>
      <c r="M1" s="211"/>
      <c r="N1" s="208"/>
      <c r="O1" s="208"/>
    </row>
    <row r="2" spans="1:31" s="208" customFormat="1" ht="23.25" customHeight="1">
      <c r="A2" s="843" t="s">
        <v>176</v>
      </c>
      <c r="B2" s="843"/>
    </row>
    <row r="3" spans="1:31" s="208" customFormat="1" ht="15.75" customHeight="1">
      <c r="A3" s="209" t="s">
        <v>645</v>
      </c>
      <c r="B3" s="209" t="s">
        <v>646</v>
      </c>
      <c r="C3" s="211">
        <v>2005</v>
      </c>
      <c r="D3" s="211">
        <v>2010</v>
      </c>
      <c r="E3" s="211">
        <v>2015</v>
      </c>
      <c r="F3" s="211">
        <v>2020</v>
      </c>
      <c r="G3" s="211">
        <v>2025</v>
      </c>
      <c r="H3" s="211">
        <v>2030</v>
      </c>
      <c r="I3" s="211">
        <v>2035</v>
      </c>
      <c r="J3" s="211">
        <v>2040</v>
      </c>
      <c r="K3" s="211">
        <v>2045</v>
      </c>
      <c r="L3" s="211">
        <v>2050</v>
      </c>
      <c r="M3" s="211">
        <v>2055</v>
      </c>
    </row>
    <row r="4" spans="1:31" s="208" customFormat="1" ht="15.75" customHeight="1">
      <c r="A4" s="212" t="s">
        <v>647</v>
      </c>
      <c r="B4" s="212" t="s">
        <v>648</v>
      </c>
      <c r="C4" s="239">
        <f>C57*$P4</f>
        <v>2495.590317821503</v>
      </c>
      <c r="D4" s="239">
        <f t="shared" ref="D4:M4" si="0">D57*$P4</f>
        <v>2905.991804919578</v>
      </c>
      <c r="E4" s="239">
        <f t="shared" si="0"/>
        <v>2996.6318124739578</v>
      </c>
      <c r="F4" s="239">
        <f t="shared" si="0"/>
        <v>3404.1172595024391</v>
      </c>
      <c r="G4" s="239">
        <f t="shared" si="0"/>
        <v>3852.8769016509032</v>
      </c>
      <c r="H4" s="239">
        <f t="shared" si="0"/>
        <v>4257.3628074100998</v>
      </c>
      <c r="I4" s="239">
        <f t="shared" si="0"/>
        <v>4644.8162064731978</v>
      </c>
      <c r="J4" s="239">
        <f t="shared" si="0"/>
        <v>5028.6353241234874</v>
      </c>
      <c r="K4" s="239">
        <f t="shared" si="0"/>
        <v>5421.3363105646276</v>
      </c>
      <c r="L4" s="239">
        <f t="shared" si="0"/>
        <v>5844.7044770281564</v>
      </c>
      <c r="M4" s="239">
        <f t="shared" si="0"/>
        <v>6301.1347141891647</v>
      </c>
      <c r="O4" s="209" t="s">
        <v>177</v>
      </c>
      <c r="P4" s="240">
        <v>1055</v>
      </c>
      <c r="Q4" s="148" t="s">
        <v>348</v>
      </c>
    </row>
    <row r="5" spans="1:31" s="208" customFormat="1" ht="15.75" customHeight="1">
      <c r="A5" s="212" t="s">
        <v>649</v>
      </c>
      <c r="B5" s="212" t="s">
        <v>849</v>
      </c>
      <c r="C5" s="241">
        <f>C48*$P4</f>
        <v>50.852019518294654</v>
      </c>
      <c r="D5" s="241">
        <f t="shared" ref="D5:M5" si="1">D48*$P4</f>
        <v>50.899531979602358</v>
      </c>
      <c r="E5" s="241">
        <f t="shared" si="1"/>
        <v>53.872730471847689</v>
      </c>
      <c r="F5" s="241">
        <f t="shared" si="1"/>
        <v>56.188618905268179</v>
      </c>
      <c r="G5" s="241">
        <f t="shared" si="1"/>
        <v>55.418322893033356</v>
      </c>
      <c r="H5" s="241">
        <f t="shared" si="1"/>
        <v>54.912309593138943</v>
      </c>
      <c r="I5" s="241">
        <f t="shared" si="1"/>
        <v>54.778406352219804</v>
      </c>
      <c r="J5" s="241">
        <f t="shared" si="1"/>
        <v>55.501483853183146</v>
      </c>
      <c r="K5" s="241">
        <f t="shared" si="1"/>
        <v>56.234106010649228</v>
      </c>
      <c r="L5" s="241">
        <f t="shared" si="1"/>
        <v>56.97639881452595</v>
      </c>
      <c r="M5" s="241">
        <f t="shared" si="1"/>
        <v>57.728489917793851</v>
      </c>
      <c r="O5" s="242"/>
      <c r="P5" s="243"/>
      <c r="Q5" s="209"/>
    </row>
    <row r="6" spans="1:31" s="208" customFormat="1" ht="15.75" customHeight="1">
      <c r="A6" s="212" t="s">
        <v>650</v>
      </c>
      <c r="B6" s="212" t="s">
        <v>651</v>
      </c>
      <c r="C6" s="239">
        <f>C33*$P4*0.95</f>
        <v>5032.2220763718769</v>
      </c>
      <c r="D6" s="239">
        <f t="shared" ref="D6:M6" si="2">D33*$P4*0.95</f>
        <v>4860.714098614867</v>
      </c>
      <c r="E6" s="239">
        <f t="shared" si="2"/>
        <v>4695.4858490220313</v>
      </c>
      <c r="F6" s="239">
        <f t="shared" si="2"/>
        <v>4745.4582629199931</v>
      </c>
      <c r="G6" s="239">
        <f t="shared" si="2"/>
        <v>4755.7332849057921</v>
      </c>
      <c r="H6" s="239">
        <f t="shared" si="2"/>
        <v>4715.0632302594213</v>
      </c>
      <c r="I6" s="239">
        <f t="shared" si="2"/>
        <v>4632.9916486610973</v>
      </c>
      <c r="J6" s="239">
        <f t="shared" si="2"/>
        <v>4536.3154584079875</v>
      </c>
      <c r="K6" s="239">
        <f t="shared" si="2"/>
        <v>4375.7342062302114</v>
      </c>
      <c r="L6" s="239">
        <f t="shared" si="2"/>
        <v>4220.8373776308663</v>
      </c>
      <c r="M6" s="239">
        <f t="shared" si="2"/>
        <v>4071.423749422434</v>
      </c>
    </row>
    <row r="7" spans="1:31" s="208" customFormat="1" ht="15.75" customHeight="1">
      <c r="A7" s="212" t="s">
        <v>652</v>
      </c>
      <c r="B7" s="212" t="s">
        <v>653</v>
      </c>
      <c r="C7" s="244">
        <f>L67*ResCalc!D62*ResCalc!D75/10^12</f>
        <v>485.95675287852652</v>
      </c>
      <c r="D7" s="244">
        <f>L67*ResCalc!E62*ResCalc!E75/10^12</f>
        <v>475.814339002851</v>
      </c>
      <c r="E7" s="244">
        <f>L67*ResCalc!F62*ResCalc!F75/10^12</f>
        <v>500.82067075539226</v>
      </c>
      <c r="F7" s="244">
        <f>L67*ResCalc!G62*ResCalc!G75/10^12</f>
        <v>515.91166253832614</v>
      </c>
      <c r="G7" s="244">
        <f>L67*ResCalc!H62*ResCalc!H75/10^12</f>
        <v>536.6501932261491</v>
      </c>
      <c r="H7" s="244">
        <f>L67*ResCalc!I62*ResCalc!I75/10^12</f>
        <v>556.70675669995637</v>
      </c>
      <c r="I7" s="244">
        <f>L67*ResCalc!J62*ResCalc!J75/10^12</f>
        <v>572.89916404570533</v>
      </c>
      <c r="J7" s="244">
        <f>L67*ResCalc!K62*ResCalc!K75/10^12</f>
        <v>589.28156785068199</v>
      </c>
      <c r="K7" s="244">
        <f>L67*ResCalc!L62*ResCalc!L75/10^12</f>
        <v>617.05332603999591</v>
      </c>
      <c r="L7" s="244">
        <f>L67*ResCalc!M62*ResCalc!M75/10^12</f>
        <v>637.88181875707812</v>
      </c>
      <c r="M7" s="244">
        <f>L67*ResCalc!N62*ResCalc!N75/10^12</f>
        <v>659.23940565049816</v>
      </c>
      <c r="Q7" s="197"/>
      <c r="R7" s="198"/>
      <c r="S7" s="198"/>
      <c r="T7" s="198"/>
      <c r="U7" s="198"/>
      <c r="V7" s="198"/>
      <c r="W7" s="198"/>
      <c r="X7" s="198"/>
      <c r="Y7" s="198"/>
      <c r="Z7" s="198"/>
      <c r="AA7" s="198"/>
      <c r="AB7" s="198"/>
      <c r="AC7" s="198"/>
      <c r="AD7" s="198"/>
    </row>
    <row r="8" spans="1:31" s="208" customFormat="1" ht="15.75" customHeight="1">
      <c r="A8" s="212" t="s">
        <v>654</v>
      </c>
      <c r="B8" s="212" t="s">
        <v>655</v>
      </c>
      <c r="C8" s="239">
        <f t="shared" ref="C8:M8" si="3">C45*$P4</f>
        <v>2024.5148002356282</v>
      </c>
      <c r="D8" s="239">
        <f t="shared" si="3"/>
        <v>2236.7898999999998</v>
      </c>
      <c r="E8" s="239">
        <f t="shared" si="3"/>
        <v>2266.8542349999998</v>
      </c>
      <c r="F8" s="239">
        <f t="shared" si="3"/>
        <v>2357.6253799999995</v>
      </c>
      <c r="G8" s="239">
        <f t="shared" si="3"/>
        <v>2473.2407200000002</v>
      </c>
      <c r="H8" s="239">
        <f t="shared" si="3"/>
        <v>2623.25117</v>
      </c>
      <c r="I8" s="239">
        <f t="shared" si="3"/>
        <v>2785.8245600000005</v>
      </c>
      <c r="J8" s="239">
        <f t="shared" si="3"/>
        <v>2956.7725399999999</v>
      </c>
      <c r="K8" s="239">
        <f t="shared" si="3"/>
        <v>3138.2104884946702</v>
      </c>
      <c r="L8" s="239">
        <f t="shared" si="3"/>
        <v>3330.7821067960667</v>
      </c>
      <c r="M8" s="239">
        <f t="shared" si="3"/>
        <v>3535.170595989704</v>
      </c>
      <c r="Q8" s="198"/>
      <c r="R8" s="198"/>
      <c r="S8" s="198"/>
      <c r="T8" s="198"/>
      <c r="U8" s="198"/>
      <c r="V8" s="198"/>
      <c r="W8" s="198"/>
      <c r="X8" s="198"/>
      <c r="Y8" s="198"/>
      <c r="Z8" s="198"/>
      <c r="AA8" s="198"/>
      <c r="AB8" s="198"/>
      <c r="AC8" s="198"/>
      <c r="AD8" s="198"/>
    </row>
    <row r="9" spans="1:31" s="208" customFormat="1" ht="15.75" customHeight="1">
      <c r="A9" s="212" t="s">
        <v>656</v>
      </c>
      <c r="B9" s="212" t="s">
        <v>657</v>
      </c>
      <c r="C9" s="239">
        <f t="shared" ref="C9:M9" si="4">C51*$P4</f>
        <v>578.63529194444391</v>
      </c>
      <c r="D9" s="239">
        <f t="shared" si="4"/>
        <v>533.88274999999999</v>
      </c>
      <c r="E9" s="239">
        <f t="shared" si="4"/>
        <v>532.68216000000007</v>
      </c>
      <c r="F9" s="239">
        <f t="shared" si="4"/>
        <v>529.96764499999995</v>
      </c>
      <c r="G9" s="239">
        <f t="shared" si="4"/>
        <v>526.05781500000001</v>
      </c>
      <c r="H9" s="239">
        <f t="shared" si="4"/>
        <v>522.94451000000004</v>
      </c>
      <c r="I9" s="239">
        <f t="shared" si="4"/>
        <v>521.17211000000009</v>
      </c>
      <c r="J9" s="239">
        <f t="shared" si="4"/>
        <v>519.31636500000002</v>
      </c>
      <c r="K9" s="239">
        <f t="shared" si="4"/>
        <v>517.46722777781258</v>
      </c>
      <c r="L9" s="239">
        <f t="shared" si="4"/>
        <v>515.62467480502869</v>
      </c>
      <c r="M9" s="239">
        <f t="shared" si="4"/>
        <v>513.78868263701702</v>
      </c>
      <c r="Q9" s="199"/>
      <c r="R9" s="198"/>
      <c r="S9" s="198"/>
      <c r="T9" s="198"/>
      <c r="U9" s="198"/>
      <c r="V9" s="198"/>
      <c r="W9" s="198"/>
      <c r="X9" s="198"/>
      <c r="Y9" s="198"/>
      <c r="Z9" s="198"/>
      <c r="AA9" s="198"/>
      <c r="AB9" s="198"/>
      <c r="AC9" s="198"/>
      <c r="AD9" s="198"/>
    </row>
    <row r="10" spans="1:31" s="208" customFormat="1" ht="15.75" customHeight="1">
      <c r="A10" s="212" t="s">
        <v>1081</v>
      </c>
      <c r="B10" s="212" t="s">
        <v>1082</v>
      </c>
      <c r="C10" s="239">
        <f t="shared" ref="C10:M10" si="5">C54*$P4</f>
        <v>75.407225538790257</v>
      </c>
      <c r="D10" s="239">
        <f t="shared" si="5"/>
        <v>72.939535000000006</v>
      </c>
      <c r="E10" s="239">
        <f t="shared" si="5"/>
        <v>74.734089999999995</v>
      </c>
      <c r="F10" s="239">
        <f t="shared" si="5"/>
        <v>77.160590000000013</v>
      </c>
      <c r="G10" s="239">
        <f t="shared" si="5"/>
        <v>79.467875000000006</v>
      </c>
      <c r="H10" s="239">
        <f t="shared" si="5"/>
        <v>82.274175</v>
      </c>
      <c r="I10" s="239">
        <f t="shared" si="5"/>
        <v>85.490870000000001</v>
      </c>
      <c r="J10" s="239">
        <f t="shared" si="5"/>
        <v>88.855264999999989</v>
      </c>
      <c r="K10" s="239">
        <f t="shared" si="5"/>
        <v>92.352061901115562</v>
      </c>
      <c r="L10" s="239">
        <f t="shared" si="5"/>
        <v>95.986471228097543</v>
      </c>
      <c r="M10" s="239">
        <f t="shared" si="5"/>
        <v>99.763908559913844</v>
      </c>
      <c r="Q10" s="199"/>
      <c r="R10" s="198"/>
      <c r="S10" s="198"/>
      <c r="T10" s="198"/>
      <c r="U10" s="198"/>
      <c r="V10" s="198"/>
      <c r="W10" s="198"/>
      <c r="X10" s="198"/>
      <c r="Y10" s="198"/>
      <c r="Z10" s="198"/>
      <c r="AA10" s="198"/>
      <c r="AB10" s="198"/>
      <c r="AC10" s="198"/>
      <c r="AD10" s="198"/>
    </row>
    <row r="11" spans="1:31" s="208" customFormat="1" ht="15.75" customHeight="1">
      <c r="A11" s="212" t="s">
        <v>658</v>
      </c>
      <c r="B11" s="212" t="s">
        <v>850</v>
      </c>
      <c r="C11" s="244">
        <f>C39*$P4</f>
        <v>171.72107638608318</v>
      </c>
      <c r="D11" s="244">
        <f t="shared" ref="D11:M11" si="6">D39*$P4</f>
        <v>189.23976436538757</v>
      </c>
      <c r="E11" s="244">
        <f t="shared" si="6"/>
        <v>211.40451314177204</v>
      </c>
      <c r="F11" s="244">
        <f t="shared" si="6"/>
        <v>231.6664515230579</v>
      </c>
      <c r="G11" s="244">
        <f t="shared" si="6"/>
        <v>251.08926198945505</v>
      </c>
      <c r="H11" s="244">
        <f t="shared" si="6"/>
        <v>271.24961466290318</v>
      </c>
      <c r="I11" s="244">
        <f t="shared" si="6"/>
        <v>291.45439221524413</v>
      </c>
      <c r="J11" s="244">
        <f t="shared" si="6"/>
        <v>303.91031080149236</v>
      </c>
      <c r="K11" s="244">
        <f t="shared" si="6"/>
        <v>316.89855935761335</v>
      </c>
      <c r="L11" s="244">
        <f t="shared" si="6"/>
        <v>330.44188812838939</v>
      </c>
      <c r="M11" s="244">
        <f t="shared" si="6"/>
        <v>344.56401963832957</v>
      </c>
      <c r="Q11" s="27"/>
      <c r="R11" s="200"/>
      <c r="S11" s="200"/>
      <c r="T11" s="200"/>
      <c r="U11" s="200"/>
      <c r="V11" s="200"/>
      <c r="W11" s="200"/>
      <c r="X11" s="198"/>
      <c r="Y11" s="198"/>
      <c r="Z11" s="198"/>
      <c r="AA11" s="198"/>
      <c r="AB11" s="198"/>
      <c r="AC11" s="198"/>
      <c r="AD11" s="198"/>
    </row>
    <row r="12" spans="1:31" s="208" customFormat="1" ht="15.75" customHeight="1">
      <c r="A12" s="212" t="s">
        <v>659</v>
      </c>
      <c r="B12" s="212" t="s">
        <v>660</v>
      </c>
      <c r="C12" s="239">
        <f t="shared" ref="C12:M12" si="7">C36*$P4</f>
        <v>1122.7250218987444</v>
      </c>
      <c r="D12" s="239">
        <f t="shared" si="7"/>
        <v>1270.3120740813508</v>
      </c>
      <c r="E12" s="239">
        <f t="shared" si="7"/>
        <v>1292.5557129696997</v>
      </c>
      <c r="F12" s="239">
        <f t="shared" si="7"/>
        <v>1337.2047628376522</v>
      </c>
      <c r="G12" s="239">
        <f t="shared" si="7"/>
        <v>1382.754687887614</v>
      </c>
      <c r="H12" s="239">
        <f t="shared" si="7"/>
        <v>1404.2691043727011</v>
      </c>
      <c r="I12" s="239">
        <f t="shared" si="7"/>
        <v>1387.397672453789</v>
      </c>
      <c r="J12" s="239">
        <f t="shared" si="7"/>
        <v>1365.1231009479702</v>
      </c>
      <c r="K12" s="239">
        <f t="shared" si="7"/>
        <v>1336.9203785493012</v>
      </c>
      <c r="L12" s="239">
        <f t="shared" si="7"/>
        <v>1309.3003095026588</v>
      </c>
      <c r="M12" s="239">
        <f t="shared" si="7"/>
        <v>1282.2508564974662</v>
      </c>
      <c r="Q12" s="197"/>
      <c r="R12" s="198"/>
      <c r="S12" s="198"/>
      <c r="T12" s="198"/>
      <c r="U12" s="198"/>
      <c r="V12" s="198"/>
      <c r="W12" s="198"/>
      <c r="X12" s="198"/>
      <c r="Y12" s="198"/>
      <c r="Z12" s="198"/>
      <c r="AA12" s="198"/>
      <c r="AB12" s="198"/>
      <c r="AC12" s="198"/>
      <c r="AD12" s="198"/>
    </row>
    <row r="13" spans="1:31" s="208" customFormat="1" ht="15.75" customHeight="1">
      <c r="A13" s="212"/>
      <c r="B13" s="212" t="s">
        <v>497</v>
      </c>
      <c r="C13" s="239">
        <f t="shared" ref="C13:L13" si="8">SUM(C4:C12)</f>
        <v>12037.624582593893</v>
      </c>
      <c r="D13" s="239">
        <f t="shared" si="8"/>
        <v>12596.583797963636</v>
      </c>
      <c r="E13" s="239">
        <f t="shared" si="8"/>
        <v>12625.041773834701</v>
      </c>
      <c r="F13" s="239">
        <f t="shared" si="8"/>
        <v>13255.300633226736</v>
      </c>
      <c r="G13" s="239">
        <f t="shared" si="8"/>
        <v>13913.289062552947</v>
      </c>
      <c r="H13" s="239">
        <f t="shared" si="8"/>
        <v>14488.033677998219</v>
      </c>
      <c r="I13" s="239">
        <f t="shared" si="8"/>
        <v>14976.825030201255</v>
      </c>
      <c r="J13" s="239">
        <f t="shared" si="8"/>
        <v>15443.711415984802</v>
      </c>
      <c r="K13" s="239">
        <f t="shared" si="8"/>
        <v>15872.206664925994</v>
      </c>
      <c r="L13" s="239">
        <f t="shared" si="8"/>
        <v>16342.535522690869</v>
      </c>
      <c r="M13" s="239">
        <f t="shared" ref="M13" si="9">SUM(M4:M12)</f>
        <v>16865.064422502321</v>
      </c>
      <c r="Q13" s="201"/>
      <c r="R13" s="202"/>
      <c r="S13" s="202"/>
      <c r="T13" s="202"/>
      <c r="U13" s="202"/>
      <c r="V13" s="202"/>
      <c r="W13" s="202"/>
      <c r="X13" s="198"/>
      <c r="Y13" s="198"/>
      <c r="Z13" s="198"/>
      <c r="AA13" s="198"/>
      <c r="AB13" s="198"/>
      <c r="AC13" s="198"/>
      <c r="AD13" s="198"/>
    </row>
    <row r="14" spans="1:31" s="208" customFormat="1" ht="15.75" customHeight="1">
      <c r="A14" s="211"/>
      <c r="B14" s="212" t="s">
        <v>788</v>
      </c>
      <c r="C14" s="239">
        <f t="shared" ref="C14:M14" si="10">C60*$P4</f>
        <v>12004.498054643978</v>
      </c>
      <c r="D14" s="239">
        <f t="shared" si="10"/>
        <v>12539.332024440484</v>
      </c>
      <c r="E14" s="239">
        <f t="shared" si="10"/>
        <v>12532.161274380138</v>
      </c>
      <c r="F14" s="239">
        <f t="shared" si="10"/>
        <v>13140.045934004724</v>
      </c>
      <c r="G14" s="239">
        <f t="shared" si="10"/>
        <v>13777.615354507605</v>
      </c>
      <c r="H14" s="239">
        <f t="shared" si="10"/>
        <v>14327.75880138741</v>
      </c>
      <c r="I14" s="239">
        <f t="shared" si="10"/>
        <v>14788.943027352796</v>
      </c>
      <c r="J14" s="239">
        <f t="shared" si="10"/>
        <v>15234.197801509496</v>
      </c>
      <c r="K14" s="239">
        <f t="shared" si="10"/>
        <v>15637.023737984522</v>
      </c>
      <c r="L14" s="239">
        <f t="shared" si="10"/>
        <v>16081.280100184636</v>
      </c>
      <c r="M14" s="239">
        <f t="shared" si="10"/>
        <v>16577.293464882205</v>
      </c>
    </row>
    <row r="15" spans="1:31" s="208" customFormat="1" ht="15.75" customHeight="1">
      <c r="A15" s="209"/>
      <c r="B15" s="209"/>
      <c r="C15" s="94"/>
      <c r="D15" s="209"/>
      <c r="E15" s="209"/>
      <c r="F15" s="209"/>
      <c r="G15" s="209"/>
      <c r="H15" s="209"/>
      <c r="I15" s="209"/>
      <c r="J15" s="209"/>
      <c r="K15" s="209"/>
      <c r="L15" s="209"/>
      <c r="M15" s="209"/>
      <c r="N15" s="209"/>
      <c r="O15" s="209"/>
      <c r="R15" s="203"/>
      <c r="S15" s="204"/>
      <c r="T15" s="204"/>
      <c r="U15" s="204"/>
      <c r="V15" s="204"/>
      <c r="W15" s="204"/>
      <c r="X15" s="204"/>
      <c r="Y15" s="198"/>
      <c r="Z15" s="198"/>
      <c r="AA15" s="198"/>
      <c r="AB15" s="198"/>
      <c r="AC15" s="198"/>
      <c r="AD15" s="198"/>
      <c r="AE15" s="198"/>
    </row>
    <row r="16" spans="1:31" s="208" customFormat="1" ht="15.75" customHeight="1">
      <c r="A16" s="209"/>
      <c r="B16" s="209"/>
      <c r="D16" s="209"/>
      <c r="E16" s="209"/>
      <c r="F16" s="209"/>
      <c r="G16" s="209"/>
      <c r="H16" s="209"/>
      <c r="I16" s="209"/>
      <c r="J16" s="209"/>
      <c r="K16" s="209"/>
      <c r="L16" s="209"/>
      <c r="M16" s="209"/>
      <c r="N16" s="209"/>
      <c r="O16" s="209"/>
      <c r="R16" s="198"/>
      <c r="S16" s="198"/>
      <c r="T16" s="198"/>
      <c r="U16" s="198"/>
      <c r="V16" s="198"/>
      <c r="W16" s="198"/>
      <c r="X16" s="198"/>
      <c r="Y16" s="198"/>
      <c r="Z16" s="198"/>
      <c r="AA16" s="198"/>
      <c r="AB16" s="198"/>
      <c r="AC16" s="198"/>
      <c r="AD16" s="198"/>
      <c r="AE16" s="198"/>
    </row>
    <row r="17" spans="1:42" s="208" customFormat="1" ht="15.75" customHeight="1">
      <c r="B17" s="49"/>
      <c r="C17" s="245"/>
      <c r="D17" s="245"/>
      <c r="E17" s="245"/>
      <c r="F17" s="245"/>
      <c r="G17" s="245"/>
      <c r="H17" s="245"/>
      <c r="I17" s="245"/>
      <c r="J17" s="245"/>
      <c r="K17" s="245"/>
      <c r="L17" s="245"/>
      <c r="M17" s="245"/>
      <c r="N17" s="210"/>
      <c r="P17" s="49"/>
      <c r="Q17" s="246"/>
      <c r="R17" s="246"/>
      <c r="S17" s="246"/>
      <c r="T17" s="246"/>
      <c r="U17" s="246"/>
      <c r="V17" s="246"/>
      <c r="W17" s="246"/>
      <c r="X17" s="246"/>
      <c r="Y17" s="246"/>
      <c r="Z17" s="246"/>
      <c r="AA17" s="246"/>
      <c r="AB17" s="210"/>
      <c r="AD17" s="49"/>
      <c r="AE17" s="246"/>
      <c r="AF17" s="246"/>
      <c r="AG17" s="246"/>
      <c r="AH17" s="246"/>
      <c r="AI17" s="246"/>
      <c r="AJ17" s="246"/>
      <c r="AK17" s="246"/>
      <c r="AL17" s="246"/>
      <c r="AM17" s="246"/>
      <c r="AN17" s="246"/>
      <c r="AO17" s="246"/>
      <c r="AP17" s="210"/>
    </row>
    <row r="18" spans="1:42" s="208" customFormat="1" ht="22.5" customHeight="1">
      <c r="A18" s="843" t="s">
        <v>188</v>
      </c>
      <c r="B18" s="843"/>
      <c r="C18" s="843"/>
      <c r="D18" s="843"/>
      <c r="E18" s="843"/>
      <c r="F18" s="843"/>
      <c r="G18" s="843"/>
      <c r="H18" s="843"/>
      <c r="I18" s="843"/>
      <c r="J18" s="843"/>
      <c r="K18" s="843"/>
      <c r="L18" s="843"/>
      <c r="M18" s="211"/>
    </row>
    <row r="19" spans="1:42" s="208" customFormat="1" ht="12.75" customHeight="1">
      <c r="A19" s="209" t="s">
        <v>645</v>
      </c>
      <c r="B19" s="209" t="s">
        <v>646</v>
      </c>
      <c r="C19" s="211">
        <v>2005</v>
      </c>
      <c r="D19" s="211">
        <v>2010</v>
      </c>
      <c r="E19" s="211">
        <v>2015</v>
      </c>
      <c r="F19" s="211">
        <v>2020</v>
      </c>
      <c r="G19" s="211">
        <v>2025</v>
      </c>
      <c r="H19" s="211">
        <v>2030</v>
      </c>
      <c r="I19" s="211">
        <v>2035</v>
      </c>
      <c r="J19" s="211">
        <v>2040</v>
      </c>
      <c r="K19" s="211">
        <v>2045</v>
      </c>
      <c r="L19" s="211">
        <v>2050</v>
      </c>
      <c r="M19" s="211">
        <v>2055</v>
      </c>
    </row>
    <row r="20" spans="1:42" s="208" customFormat="1">
      <c r="A20" s="212" t="s">
        <v>650</v>
      </c>
      <c r="B20" s="212" t="s">
        <v>651</v>
      </c>
      <c r="C20" s="213">
        <f>C162</f>
        <v>5.1129582435161192</v>
      </c>
      <c r="D20" s="213">
        <f>D162</f>
        <v>4.8448330000000004</v>
      </c>
      <c r="E20" s="213">
        <f t="shared" ref="E20:J20" si="11">E162</f>
        <v>4.5063139999999997</v>
      </c>
      <c r="F20" s="213">
        <f t="shared" si="11"/>
        <v>4.3566019999999996</v>
      </c>
      <c r="G20" s="213">
        <f t="shared" si="11"/>
        <v>4.2245980000000003</v>
      </c>
      <c r="H20" s="213">
        <f t="shared" si="11"/>
        <v>4.0867969999999998</v>
      </c>
      <c r="I20" s="213">
        <f t="shared" si="11"/>
        <v>3.9454449999999999</v>
      </c>
      <c r="J20" s="213">
        <f t="shared" si="11"/>
        <v>3.8057799999999999</v>
      </c>
      <c r="K20" s="213">
        <f>J20*(1+(J20-I20)/I20)</f>
        <v>3.67105900814737</v>
      </c>
      <c r="L20" s="213">
        <f t="shared" ref="L20:M29" si="12">K20*(1+(K20-J20)/J20)</f>
        <v>3.5411070112565497</v>
      </c>
      <c r="M20" s="213">
        <f t="shared" si="12"/>
        <v>3.4157551914422712</v>
      </c>
      <c r="P20" s="214"/>
      <c r="Q20" s="214"/>
      <c r="R20" s="214"/>
      <c r="S20" s="214"/>
      <c r="T20" s="214"/>
      <c r="U20" s="214"/>
      <c r="V20" s="214"/>
      <c r="W20" s="214"/>
      <c r="X20" s="214"/>
      <c r="Y20" s="214"/>
      <c r="Z20" s="214"/>
    </row>
    <row r="21" spans="1:42" s="208" customFormat="1" ht="15.75" customHeight="1">
      <c r="A21" s="212" t="s">
        <v>659</v>
      </c>
      <c r="B21" s="212" t="s">
        <v>660</v>
      </c>
      <c r="C21" s="213">
        <f>C164</f>
        <v>1.6372220516204801</v>
      </c>
      <c r="D21" s="213">
        <f>D164</f>
        <v>1.7677210000000001</v>
      </c>
      <c r="E21" s="213">
        <f t="shared" ref="E21:J21" si="13">E164</f>
        <v>1.771803</v>
      </c>
      <c r="F21" s="213">
        <f t="shared" si="13"/>
        <v>1.7663850000000001</v>
      </c>
      <c r="G21" s="213">
        <f t="shared" si="13"/>
        <v>1.7802089999999999</v>
      </c>
      <c r="H21" s="213">
        <f t="shared" si="13"/>
        <v>1.777379</v>
      </c>
      <c r="I21" s="213">
        <f t="shared" si="13"/>
        <v>1.74109</v>
      </c>
      <c r="J21" s="213">
        <f t="shared" si="13"/>
        <v>1.70512</v>
      </c>
      <c r="K21" s="213">
        <f t="shared" ref="K21:K29" si="14">J21*(1+(J21-I21)/I21)</f>
        <v>1.6698931212056813</v>
      </c>
      <c r="L21" s="213">
        <f t="shared" si="12"/>
        <v>1.6353940111253473</v>
      </c>
      <c r="M21" s="213">
        <f t="shared" si="12"/>
        <v>1.6016076344416728</v>
      </c>
      <c r="N21" s="211"/>
      <c r="P21" s="215"/>
      <c r="Q21" s="215"/>
      <c r="R21" s="215"/>
      <c r="S21" s="215"/>
      <c r="T21" s="215"/>
      <c r="U21" s="215"/>
      <c r="V21" s="215"/>
      <c r="W21" s="215"/>
      <c r="X21" s="215"/>
      <c r="Y21" s="215"/>
      <c r="Z21" s="215"/>
    </row>
    <row r="22" spans="1:42" s="208" customFormat="1" ht="15.75" customHeight="1">
      <c r="A22" s="212" t="s">
        <v>658</v>
      </c>
      <c r="B22" s="212" t="s">
        <v>850</v>
      </c>
      <c r="C22" s="213">
        <f>C123</f>
        <v>0.39436101913452098</v>
      </c>
      <c r="D22" s="213">
        <f t="shared" ref="D22:J22" si="15">D123</f>
        <v>0.37790699999999999</v>
      </c>
      <c r="E22" s="213">
        <f t="shared" si="15"/>
        <v>0.37693700000000002</v>
      </c>
      <c r="F22" s="213">
        <f t="shared" si="15"/>
        <v>0.37551299999999999</v>
      </c>
      <c r="G22" s="213">
        <f t="shared" si="15"/>
        <v>0.37684800000000002</v>
      </c>
      <c r="H22" s="213">
        <f t="shared" si="15"/>
        <v>0.38406200000000001</v>
      </c>
      <c r="I22" s="213">
        <f t="shared" si="15"/>
        <v>0.39679799999999998</v>
      </c>
      <c r="J22" s="213">
        <f t="shared" si="15"/>
        <v>0.41375600000000001</v>
      </c>
      <c r="K22" s="213">
        <f t="shared" ref="K22" si="16">J22*(1+(J22-I22)/I22)</f>
        <v>0.43143873592104798</v>
      </c>
      <c r="L22" s="213">
        <f t="shared" ref="L22" si="17">K22*(1+(K22-J22)/J22)</f>
        <v>0.44987718088233591</v>
      </c>
      <c r="M22" s="213">
        <f t="shared" ref="M22" si="18">L22*(1+(L22-K22)/K22)</f>
        <v>0.46910363170467539</v>
      </c>
      <c r="N22" s="211"/>
      <c r="P22" s="216"/>
      <c r="Q22" s="216"/>
      <c r="R22" s="216"/>
      <c r="S22" s="216"/>
      <c r="T22" s="216"/>
      <c r="U22" s="216"/>
      <c r="V22" s="216"/>
      <c r="W22" s="216"/>
      <c r="X22" s="216"/>
      <c r="Y22" s="216"/>
      <c r="Z22" s="216"/>
    </row>
    <row r="23" spans="1:42" s="208" customFormat="1" ht="15.75" customHeight="1">
      <c r="A23" s="212" t="s">
        <v>652</v>
      </c>
      <c r="B23" s="212" t="s">
        <v>653</v>
      </c>
      <c r="C23" s="213">
        <f>C169</f>
        <v>0.72674226760864302</v>
      </c>
      <c r="D23" s="213">
        <f>D169</f>
        <v>0.63835299999999995</v>
      </c>
      <c r="E23" s="213">
        <f t="shared" ref="E23:J23" si="19">E169</f>
        <v>0.498996</v>
      </c>
      <c r="F23" s="213">
        <f t="shared" si="19"/>
        <v>0.43620599999999998</v>
      </c>
      <c r="G23" s="213">
        <f t="shared" si="19"/>
        <v>0.39062000000000002</v>
      </c>
      <c r="H23" s="213">
        <f t="shared" si="19"/>
        <v>0.34983500000000001</v>
      </c>
      <c r="I23" s="213">
        <f t="shared" si="19"/>
        <v>0.29919800000000002</v>
      </c>
      <c r="J23" s="213">
        <f t="shared" si="19"/>
        <v>0.27627400000000002</v>
      </c>
      <c r="K23" s="213">
        <f t="shared" si="14"/>
        <v>0.25510639468178264</v>
      </c>
      <c r="L23" s="213">
        <f t="shared" si="12"/>
        <v>0.23556061231797945</v>
      </c>
      <c r="M23" s="213">
        <f t="shared" si="12"/>
        <v>0.217512391819255</v>
      </c>
      <c r="N23" s="211"/>
      <c r="O23" s="217"/>
      <c r="P23" s="217"/>
      <c r="Q23" s="217"/>
      <c r="R23" s="217"/>
      <c r="S23" s="217"/>
    </row>
    <row r="24" spans="1:42" s="208" customFormat="1" ht="15.75" customHeight="1">
      <c r="A24" s="212" t="s">
        <v>654</v>
      </c>
      <c r="B24" s="212" t="s">
        <v>655</v>
      </c>
      <c r="C24" s="213">
        <f>C125+C124+C133+C128+C129+C130+C131+C132</f>
        <v>1.9189713746309272</v>
      </c>
      <c r="D24" s="213">
        <f>D124+D125+D133+D128+D129+D130+D131+D132</f>
        <v>2.12018</v>
      </c>
      <c r="E24" s="213">
        <f t="shared" ref="E24:J24" si="20">E124+E125+E133+E128+E129+E130+E131+E132</f>
        <v>2.1486769999999997</v>
      </c>
      <c r="F24" s="213">
        <f t="shared" si="20"/>
        <v>2.2347159999999997</v>
      </c>
      <c r="G24" s="213">
        <f t="shared" si="20"/>
        <v>2.3443040000000002</v>
      </c>
      <c r="H24" s="213">
        <f t="shared" si="20"/>
        <v>2.486494</v>
      </c>
      <c r="I24" s="213">
        <f t="shared" si="20"/>
        <v>2.6405920000000003</v>
      </c>
      <c r="J24" s="213">
        <f t="shared" si="20"/>
        <v>2.8026279999999999</v>
      </c>
      <c r="K24" s="213">
        <f t="shared" si="14"/>
        <v>2.9746070980992134</v>
      </c>
      <c r="L24" s="213">
        <f t="shared" si="12"/>
        <v>3.1571394377213902</v>
      </c>
      <c r="M24" s="213">
        <f t="shared" si="12"/>
        <v>3.3508726028338427</v>
      </c>
      <c r="N24" s="211"/>
      <c r="O24" s="217"/>
      <c r="P24" s="217"/>
      <c r="Q24" s="217"/>
      <c r="R24" s="217"/>
      <c r="S24" s="217"/>
    </row>
    <row r="25" spans="1:42" s="208" customFormat="1" ht="15.75" customHeight="1">
      <c r="A25" s="212" t="s">
        <v>649</v>
      </c>
      <c r="B25" s="212" t="s">
        <v>849</v>
      </c>
      <c r="C25" s="213">
        <f>C126</f>
        <v>8.3529256284236894E-2</v>
      </c>
      <c r="D25" s="213">
        <f t="shared" ref="D25:J25" si="21">D126</f>
        <v>7.9626000000000002E-2</v>
      </c>
      <c r="E25" s="213">
        <f t="shared" si="21"/>
        <v>8.0264000000000002E-2</v>
      </c>
      <c r="F25" s="213">
        <f t="shared" si="21"/>
        <v>7.9727999999999993E-2</v>
      </c>
      <c r="G25" s="213">
        <f t="shared" si="21"/>
        <v>7.8634999999999997E-2</v>
      </c>
      <c r="H25" s="213">
        <f t="shared" si="21"/>
        <v>7.7917E-2</v>
      </c>
      <c r="I25" s="213">
        <f t="shared" si="21"/>
        <v>7.7727000000000004E-2</v>
      </c>
      <c r="J25" s="213">
        <f t="shared" si="21"/>
        <v>7.8753000000000004E-2</v>
      </c>
      <c r="K25" s="213">
        <f t="shared" si="14"/>
        <v>7.9792543247520178E-2</v>
      </c>
      <c r="L25" s="213">
        <f t="shared" si="12"/>
        <v>8.0845808514055054E-2</v>
      </c>
      <c r="M25" s="213">
        <f t="shared" ref="M25" si="22">L25*(1+(L25-K25)/K25)</f>
        <v>8.1912976930891168E-2</v>
      </c>
      <c r="N25" s="211"/>
    </row>
    <row r="26" spans="1:42" s="208" customFormat="1" ht="15.75" customHeight="1">
      <c r="A26" s="212" t="s">
        <v>1080</v>
      </c>
      <c r="B26" s="212" t="s">
        <v>1079</v>
      </c>
      <c r="C26" s="213">
        <f>C140+C141+C142</f>
        <v>0.54846947103738763</v>
      </c>
      <c r="D26" s="213">
        <f t="shared" ref="D26:J26" si="23">D140+D141+D142</f>
        <v>0.50605</v>
      </c>
      <c r="E26" s="213">
        <f t="shared" si="23"/>
        <v>0.50491200000000003</v>
      </c>
      <c r="F26" s="213">
        <f t="shared" si="23"/>
        <v>0.50233899999999998</v>
      </c>
      <c r="G26" s="213">
        <f t="shared" si="23"/>
        <v>0.49863299999999999</v>
      </c>
      <c r="H26" s="213">
        <f t="shared" si="23"/>
        <v>0.49568200000000001</v>
      </c>
      <c r="I26" s="213">
        <f t="shared" si="23"/>
        <v>0.49400200000000005</v>
      </c>
      <c r="J26" s="213">
        <f t="shared" si="23"/>
        <v>0.49224299999999999</v>
      </c>
      <c r="K26" s="213">
        <f t="shared" ref="K26:K27" si="24">J26*(1+(J26-I26)/I26)</f>
        <v>0.4904902632965048</v>
      </c>
      <c r="L26" s="213">
        <f t="shared" ref="L26:L27" si="25">K26*(1+(K26-J26)/J26)</f>
        <v>0.48874376758770488</v>
      </c>
      <c r="M26" s="213">
        <f t="shared" si="12"/>
        <v>0.48700349065120097</v>
      </c>
      <c r="N26" s="211"/>
    </row>
    <row r="27" spans="1:42" s="208" customFormat="1" ht="15.75" customHeight="1">
      <c r="A27" s="212" t="s">
        <v>1081</v>
      </c>
      <c r="B27" s="212" t="s">
        <v>1082</v>
      </c>
      <c r="C27" s="213">
        <f>C155+C154</f>
        <v>7.1476043164730108E-2</v>
      </c>
      <c r="D27" s="213">
        <f t="shared" ref="D27:J27" si="26">D155+D154</f>
        <v>6.9137000000000004E-2</v>
      </c>
      <c r="E27" s="213">
        <f t="shared" si="26"/>
        <v>7.0837999999999998E-2</v>
      </c>
      <c r="F27" s="213">
        <f t="shared" si="26"/>
        <v>7.3138000000000009E-2</v>
      </c>
      <c r="G27" s="213">
        <f t="shared" si="26"/>
        <v>7.5325000000000003E-2</v>
      </c>
      <c r="H27" s="213">
        <f t="shared" si="26"/>
        <v>7.7984999999999999E-2</v>
      </c>
      <c r="I27" s="213">
        <f t="shared" si="26"/>
        <v>8.1033999999999995E-2</v>
      </c>
      <c r="J27" s="213">
        <f t="shared" si="26"/>
        <v>8.4222999999999992E-2</v>
      </c>
      <c r="K27" s="213">
        <f t="shared" si="24"/>
        <v>8.7537499432337032E-2</v>
      </c>
      <c r="L27" s="213">
        <f t="shared" si="25"/>
        <v>9.098243718303084E-2</v>
      </c>
      <c r="M27" s="213">
        <f t="shared" si="12"/>
        <v>9.4562946502287998E-2</v>
      </c>
      <c r="N27" s="211"/>
    </row>
    <row r="28" spans="1:42" s="208" customFormat="1" ht="15.75" customHeight="1">
      <c r="A28" s="212" t="s">
        <v>647</v>
      </c>
      <c r="B28" s="212" t="s">
        <v>648</v>
      </c>
      <c r="C28" s="213">
        <f>C163</f>
        <v>0.821350157260895</v>
      </c>
      <c r="D28" s="213">
        <f>D163</f>
        <v>0.84948800000000002</v>
      </c>
      <c r="E28" s="213">
        <f t="shared" ref="E28:J28" si="27">E163</f>
        <v>0.84499599999999997</v>
      </c>
      <c r="F28" s="213">
        <f t="shared" si="27"/>
        <v>0.91059400000000001</v>
      </c>
      <c r="G28" s="213">
        <f t="shared" si="27"/>
        <v>0.99750899999999998</v>
      </c>
      <c r="H28" s="213">
        <f t="shared" si="27"/>
        <v>1.088076</v>
      </c>
      <c r="I28" s="213">
        <f t="shared" si="27"/>
        <v>1.17994</v>
      </c>
      <c r="J28" s="213">
        <f t="shared" si="27"/>
        <v>1.2720849999999999</v>
      </c>
      <c r="K28" s="213">
        <f t="shared" si="14"/>
        <v>1.3714258752351813</v>
      </c>
      <c r="L28" s="213">
        <f t="shared" si="12"/>
        <v>1.4785245728584042</v>
      </c>
      <c r="M28" s="213">
        <f t="shared" si="12"/>
        <v>1.5939869241356197</v>
      </c>
      <c r="N28" s="211"/>
    </row>
    <row r="29" spans="1:42" s="208" customFormat="1" ht="15.75" customHeight="1">
      <c r="B29" s="212" t="s">
        <v>178</v>
      </c>
      <c r="C29" s="213">
        <f t="shared" ref="C29:D29" si="28">C20+C21+C22+C23+C24+C25+C26+C28</f>
        <v>11.24360384109321</v>
      </c>
      <c r="D29" s="213">
        <f t="shared" si="28"/>
        <v>11.184158</v>
      </c>
      <c r="E29" s="213">
        <f t="shared" ref="E29:J29" si="29">E20+E21+E22+E23+E24+E25+E26+E28</f>
        <v>10.732898999999998</v>
      </c>
      <c r="F29" s="213">
        <f t="shared" si="29"/>
        <v>10.662082999999999</v>
      </c>
      <c r="G29" s="213">
        <f t="shared" si="29"/>
        <v>10.691356000000003</v>
      </c>
      <c r="H29" s="213">
        <f t="shared" si="29"/>
        <v>10.746241999999999</v>
      </c>
      <c r="I29" s="213">
        <f t="shared" si="29"/>
        <v>10.774792</v>
      </c>
      <c r="J29" s="213">
        <f t="shared" si="29"/>
        <v>10.846639000000001</v>
      </c>
      <c r="K29" s="213">
        <f t="shared" si="14"/>
        <v>10.918965080376589</v>
      </c>
      <c r="L29" s="213">
        <f t="shared" si="12"/>
        <v>10.991773435668257</v>
      </c>
      <c r="M29" s="213">
        <f t="shared" si="12"/>
        <v>11.065067281714887</v>
      </c>
      <c r="N29" s="211"/>
      <c r="O29" s="209"/>
    </row>
    <row r="30" spans="1:42" s="208" customFormat="1" ht="25.5" customHeight="1">
      <c r="A30" s="209"/>
      <c r="B30" s="209"/>
      <c r="C30" s="94"/>
      <c r="D30" s="209"/>
      <c r="E30" s="209"/>
      <c r="F30" s="209"/>
      <c r="G30" s="209"/>
      <c r="H30" s="209"/>
      <c r="I30" s="209"/>
      <c r="J30" s="209"/>
      <c r="K30" s="209"/>
      <c r="L30" s="209"/>
      <c r="M30" s="209"/>
      <c r="N30" s="209"/>
      <c r="O30" s="209"/>
    </row>
    <row r="31" spans="1:42" s="208" customFormat="1" ht="15.75" customHeight="1">
      <c r="A31" s="843" t="s">
        <v>179</v>
      </c>
      <c r="B31" s="843"/>
      <c r="C31" s="843"/>
      <c r="D31" s="843"/>
      <c r="E31" s="843"/>
      <c r="F31" s="843"/>
      <c r="G31" s="843"/>
      <c r="H31" s="843"/>
      <c r="I31" s="843"/>
      <c r="J31" s="843"/>
      <c r="K31" s="843"/>
      <c r="L31" s="843"/>
      <c r="M31" s="211"/>
      <c r="N31" s="209"/>
      <c r="O31" s="209"/>
    </row>
    <row r="32" spans="1:42" s="208" customFormat="1" ht="15.75" customHeight="1">
      <c r="A32" s="209" t="s">
        <v>645</v>
      </c>
      <c r="B32" s="209" t="s">
        <v>646</v>
      </c>
      <c r="C32" s="211">
        <v>2005</v>
      </c>
      <c r="D32" s="211">
        <v>2010</v>
      </c>
      <c r="E32" s="211">
        <v>2015</v>
      </c>
      <c r="F32" s="211">
        <v>2020</v>
      </c>
      <c r="G32" s="211">
        <v>2025</v>
      </c>
      <c r="H32" s="211">
        <v>2030</v>
      </c>
      <c r="I32" s="211">
        <v>2035</v>
      </c>
      <c r="J32" s="211">
        <v>2040</v>
      </c>
      <c r="K32" s="211">
        <v>2045</v>
      </c>
      <c r="L32" s="211">
        <v>2050</v>
      </c>
      <c r="M32" s="211">
        <v>2055</v>
      </c>
      <c r="N32" s="209"/>
      <c r="O32" s="209"/>
    </row>
    <row r="33" spans="1:26" s="208" customFormat="1" ht="15.75" customHeight="1">
      <c r="A33" s="212" t="s">
        <v>650</v>
      </c>
      <c r="B33" s="212" t="s">
        <v>651</v>
      </c>
      <c r="C33" s="218">
        <f>C20*C34</f>
        <v>5.0209249951328285</v>
      </c>
      <c r="D33" s="218">
        <f t="shared" ref="D33:L33" si="30">D20*D34</f>
        <v>4.8498020440158314</v>
      </c>
      <c r="E33" s="218">
        <f t="shared" si="30"/>
        <v>4.6849447233943939</v>
      </c>
      <c r="F33" s="218">
        <f>F20*F34</f>
        <v>4.7348049517784911</v>
      </c>
      <c r="G33" s="218">
        <f>G20*G34</f>
        <v>4.7450569068653454</v>
      </c>
      <c r="H33" s="218">
        <f t="shared" si="30"/>
        <v>4.7044781544119942</v>
      </c>
      <c r="I33" s="218">
        <f t="shared" si="30"/>
        <v>4.622590819317633</v>
      </c>
      <c r="J33" s="218">
        <f t="shared" si="30"/>
        <v>4.52613166216811</v>
      </c>
      <c r="K33" s="218">
        <f t="shared" si="30"/>
        <v>4.365910906690158</v>
      </c>
      <c r="L33" s="218">
        <f t="shared" si="30"/>
        <v>4.2113618135503783</v>
      </c>
      <c r="M33" s="218">
        <f t="shared" ref="M33" si="31">M20*M34</f>
        <v>4.0622836112970164</v>
      </c>
      <c r="N33" s="209"/>
      <c r="O33" s="209"/>
    </row>
    <row r="34" spans="1:26" s="208" customFormat="1" ht="15.75" customHeight="1">
      <c r="A34" s="212"/>
      <c r="B34" s="212" t="s">
        <v>180</v>
      </c>
      <c r="C34" s="51">
        <f>M265</f>
        <v>0.98199999999999998</v>
      </c>
      <c r="D34" s="53">
        <f t="shared" ref="D34:J34" si="32">N265</f>
        <v>1.0010256378322702</v>
      </c>
      <c r="E34" s="53">
        <f t="shared" si="32"/>
        <v>1.0396400968495303</v>
      </c>
      <c r="F34" s="53">
        <f t="shared" si="32"/>
        <v>1.0868114534626967</v>
      </c>
      <c r="G34" s="53">
        <f t="shared" si="32"/>
        <v>1.1231972620508142</v>
      </c>
      <c r="H34" s="53">
        <f t="shared" si="32"/>
        <v>1.1511406498565979</v>
      </c>
      <c r="I34" s="53">
        <f t="shared" si="32"/>
        <v>1.1716272357915605</v>
      </c>
      <c r="J34" s="53">
        <f t="shared" si="32"/>
        <v>1.1892783245926224</v>
      </c>
      <c r="K34" s="53">
        <f t="shared" ref="K34:M34" si="33">J34</f>
        <v>1.1892783245926224</v>
      </c>
      <c r="L34" s="53">
        <f t="shared" si="33"/>
        <v>1.1892783245926224</v>
      </c>
      <c r="M34" s="53">
        <f t="shared" si="33"/>
        <v>1.1892783245926224</v>
      </c>
      <c r="N34" s="41"/>
      <c r="O34" s="209"/>
    </row>
    <row r="35" spans="1:26" s="208" customFormat="1" ht="15.75" customHeight="1">
      <c r="A35" s="212"/>
      <c r="B35" s="212"/>
      <c r="C35" s="213"/>
      <c r="D35" s="213"/>
      <c r="E35" s="213"/>
      <c r="F35" s="213"/>
      <c r="G35" s="213"/>
      <c r="H35" s="213"/>
      <c r="I35" s="213"/>
      <c r="J35" s="213"/>
      <c r="K35" s="213"/>
      <c r="L35" s="213"/>
      <c r="M35" s="213"/>
      <c r="N35" s="209"/>
      <c r="O35" s="209"/>
      <c r="P35" s="213"/>
      <c r="Q35" s="213"/>
      <c r="R35" s="213"/>
      <c r="S35" s="213"/>
      <c r="T35" s="213"/>
      <c r="U35" s="213"/>
      <c r="V35" s="213"/>
      <c r="W35" s="213"/>
      <c r="X35" s="213"/>
      <c r="Y35" s="213"/>
    </row>
    <row r="36" spans="1:26" s="208" customFormat="1" ht="15.75" customHeight="1">
      <c r="A36" s="212" t="s">
        <v>659</v>
      </c>
      <c r="B36" s="212" t="s">
        <v>660</v>
      </c>
      <c r="C36" s="218">
        <f t="shared" ref="C36:L36" si="34">C21*C37</f>
        <v>1.0641943335533122</v>
      </c>
      <c r="D36" s="218">
        <f t="shared" si="34"/>
        <v>1.2040872740107591</v>
      </c>
      <c r="E36" s="218">
        <f t="shared" si="34"/>
        <v>1.2251712919144073</v>
      </c>
      <c r="F36" s="218">
        <f t="shared" si="34"/>
        <v>1.2674926661968267</v>
      </c>
      <c r="G36" s="218">
        <f t="shared" si="34"/>
        <v>1.3106679506043735</v>
      </c>
      <c r="H36" s="218">
        <f t="shared" si="34"/>
        <v>1.3310607624385793</v>
      </c>
      <c r="I36" s="218">
        <f t="shared" si="34"/>
        <v>1.315068883842454</v>
      </c>
      <c r="J36" s="218">
        <f t="shared" si="34"/>
        <v>1.2939555459222467</v>
      </c>
      <c r="K36" s="218">
        <f t="shared" si="34"/>
        <v>1.2672231076296694</v>
      </c>
      <c r="L36" s="218">
        <f t="shared" si="34"/>
        <v>1.2410429473958851</v>
      </c>
      <c r="M36" s="218">
        <f t="shared" ref="M36" si="35">M21*M37</f>
        <v>1.2154036554478354</v>
      </c>
      <c r="N36" s="209"/>
      <c r="O36" s="209"/>
      <c r="P36" s="213"/>
      <c r="Q36" s="213"/>
      <c r="R36" s="213"/>
      <c r="S36" s="213"/>
      <c r="T36" s="213"/>
      <c r="U36" s="213"/>
      <c r="V36" s="213"/>
      <c r="W36" s="213"/>
      <c r="X36" s="213"/>
      <c r="Y36" s="213"/>
      <c r="Z36" s="213"/>
    </row>
    <row r="37" spans="1:26" s="208" customFormat="1" ht="15.75" customHeight="1">
      <c r="A37" s="212"/>
      <c r="B37" s="212" t="s">
        <v>181</v>
      </c>
      <c r="C37" s="218">
        <f>M285</f>
        <v>0.65</v>
      </c>
      <c r="D37" s="218">
        <f t="shared" ref="D37:J37" si="36">N285</f>
        <v>0.68115232777726742</v>
      </c>
      <c r="E37" s="218">
        <f t="shared" si="36"/>
        <v>0.6914827957252625</v>
      </c>
      <c r="F37" s="218">
        <f t="shared" si="36"/>
        <v>0.71756308290481785</v>
      </c>
      <c r="G37" s="218">
        <f t="shared" si="36"/>
        <v>0.73624386271745257</v>
      </c>
      <c r="H37" s="218">
        <f t="shared" si="36"/>
        <v>0.7488896641844982</v>
      </c>
      <c r="I37" s="218">
        <f t="shared" si="36"/>
        <v>0.75531355865719407</v>
      </c>
      <c r="J37" s="218">
        <f t="shared" si="36"/>
        <v>0.75886479891283121</v>
      </c>
      <c r="K37" s="218">
        <f>J37</f>
        <v>0.75886479891283121</v>
      </c>
      <c r="L37" s="218">
        <f>K37</f>
        <v>0.75886479891283121</v>
      </c>
      <c r="M37" s="218">
        <f>L37</f>
        <v>0.75886479891283121</v>
      </c>
      <c r="N37" s="209"/>
      <c r="O37" s="209"/>
    </row>
    <row r="38" spans="1:26" s="208" customFormat="1" ht="15.75" customHeight="1">
      <c r="A38" s="212"/>
      <c r="B38" s="212"/>
      <c r="C38" s="213"/>
      <c r="D38" s="213"/>
      <c r="E38" s="213"/>
      <c r="F38" s="213"/>
      <c r="G38" s="213"/>
      <c r="H38" s="213"/>
      <c r="I38" s="213"/>
      <c r="J38" s="213"/>
      <c r="K38" s="213"/>
      <c r="L38" s="213"/>
      <c r="M38" s="213"/>
      <c r="N38" s="209"/>
      <c r="O38" s="209"/>
    </row>
    <row r="39" spans="1:26" s="208" customFormat="1" ht="15.75" customHeight="1">
      <c r="A39" s="212" t="s">
        <v>658</v>
      </c>
      <c r="B39" s="212" t="s">
        <v>850</v>
      </c>
      <c r="C39" s="219">
        <f>C22*C40</f>
        <v>0.16276879278301723</v>
      </c>
      <c r="D39" s="219">
        <f t="shared" ref="D39:J39" si="37">D22*D40</f>
        <v>0.17937418423259485</v>
      </c>
      <c r="E39" s="219">
        <f t="shared" si="37"/>
        <v>0.20038342477893084</v>
      </c>
      <c r="F39" s="219">
        <f t="shared" si="37"/>
        <v>0.21958905357635819</v>
      </c>
      <c r="G39" s="219">
        <f t="shared" si="37"/>
        <v>0.23799930046393844</v>
      </c>
      <c r="H39" s="219">
        <f t="shared" si="37"/>
        <v>0.25710863949090351</v>
      </c>
      <c r="I39" s="219">
        <f t="shared" si="37"/>
        <v>0.27626008740781433</v>
      </c>
      <c r="J39" s="219">
        <f t="shared" si="37"/>
        <v>0.2880666453094714</v>
      </c>
      <c r="K39" s="219">
        <f t="shared" ref="K39" si="38">K22*K40</f>
        <v>0.30037778138162402</v>
      </c>
      <c r="L39" s="219">
        <f t="shared" ref="L39" si="39">L22*L40</f>
        <v>0.31321505983733594</v>
      </c>
      <c r="M39" s="219">
        <f t="shared" ref="M39" si="40">M22*M40</f>
        <v>0.32660096648182896</v>
      </c>
      <c r="N39" s="209"/>
      <c r="O39" s="209"/>
    </row>
    <row r="40" spans="1:26" s="208" customFormat="1" ht="15.75" customHeight="1">
      <c r="A40" s="212"/>
      <c r="B40" s="212" t="s">
        <v>182</v>
      </c>
      <c r="C40" s="213">
        <f>'RTEKTY Conv'!H149</f>
        <v>0.41274057243344064</v>
      </c>
      <c r="D40" s="213">
        <f>C40*1.15</f>
        <v>0.47465165829845668</v>
      </c>
      <c r="E40" s="213">
        <f>D40*1.12</f>
        <v>0.53160985729427157</v>
      </c>
      <c r="F40" s="213">
        <f>E40*1.1</f>
        <v>0.58477084302369875</v>
      </c>
      <c r="G40" s="213">
        <f>F40*1.08</f>
        <v>0.63155251046559469</v>
      </c>
      <c r="H40" s="213">
        <f>G40*1.06</f>
        <v>0.66944566109353043</v>
      </c>
      <c r="I40" s="213">
        <f>H40*1.04</f>
        <v>0.6962234875372717</v>
      </c>
      <c r="J40" s="213">
        <f t="shared" ref="J40" si="41">I40</f>
        <v>0.6962234875372717</v>
      </c>
      <c r="K40" s="218">
        <f>J40</f>
        <v>0.6962234875372717</v>
      </c>
      <c r="L40" s="218">
        <f>K40</f>
        <v>0.6962234875372717</v>
      </c>
      <c r="M40" s="218">
        <f>L40</f>
        <v>0.6962234875372717</v>
      </c>
      <c r="N40" s="209"/>
      <c r="O40" s="209"/>
    </row>
    <row r="41" spans="1:26" s="208" customFormat="1" ht="15.75" customHeight="1">
      <c r="A41" s="212"/>
      <c r="B41" s="212"/>
      <c r="C41" s="213"/>
      <c r="D41" s="213"/>
      <c r="E41" s="213"/>
      <c r="F41" s="213"/>
      <c r="G41" s="213"/>
      <c r="H41" s="213"/>
      <c r="I41" s="213"/>
      <c r="J41" s="213"/>
      <c r="K41" s="213"/>
      <c r="L41" s="213"/>
      <c r="M41" s="213"/>
      <c r="N41" s="209"/>
      <c r="O41" s="213"/>
      <c r="P41" s="213"/>
      <c r="Q41" s="213"/>
      <c r="R41" s="213"/>
      <c r="S41" s="213"/>
    </row>
    <row r="42" spans="1:26" s="208" customFormat="1" ht="15.75" customHeight="1">
      <c r="A42" s="212" t="s">
        <v>652</v>
      </c>
      <c r="B42" s="212" t="s">
        <v>653</v>
      </c>
      <c r="C42" s="213">
        <f t="shared" ref="C42:M42" si="42">C7/$P$4</f>
        <v>0.46062251457680237</v>
      </c>
      <c r="D42" s="213">
        <f t="shared" si="42"/>
        <v>0.45100885213540381</v>
      </c>
      <c r="E42" s="213">
        <f t="shared" si="42"/>
        <v>0.47471153626103529</v>
      </c>
      <c r="F42" s="213">
        <f t="shared" si="42"/>
        <v>0.48901579387519067</v>
      </c>
      <c r="G42" s="213">
        <f t="shared" si="42"/>
        <v>0.50867316893473846</v>
      </c>
      <c r="H42" s="213">
        <f t="shared" si="42"/>
        <v>0.52768412957341837</v>
      </c>
      <c r="I42" s="213">
        <f t="shared" si="42"/>
        <v>0.54303238298171119</v>
      </c>
      <c r="J42" s="213">
        <f t="shared" si="42"/>
        <v>0.55856072782055166</v>
      </c>
      <c r="K42" s="213">
        <f t="shared" si="42"/>
        <v>0.5848846692322236</v>
      </c>
      <c r="L42" s="213">
        <f t="shared" si="42"/>
        <v>0.60462731635742006</v>
      </c>
      <c r="M42" s="213">
        <f t="shared" si="42"/>
        <v>0.62487147455023517</v>
      </c>
      <c r="N42" s="209"/>
      <c r="O42" s="213"/>
      <c r="P42" s="213"/>
      <c r="Q42" s="213"/>
      <c r="R42" s="213"/>
      <c r="S42" s="213"/>
    </row>
    <row r="43" spans="1:26" s="208" customFormat="1" ht="15.75" customHeight="1">
      <c r="A43" s="212"/>
      <c r="B43" s="212"/>
      <c r="C43" s="213"/>
      <c r="D43" s="213"/>
      <c r="E43" s="213"/>
      <c r="F43" s="213"/>
      <c r="G43" s="213"/>
      <c r="H43" s="213"/>
      <c r="I43" s="213"/>
      <c r="J43" s="213"/>
      <c r="K43" s="213"/>
      <c r="L43" s="213"/>
      <c r="M43" s="213"/>
      <c r="N43" s="209"/>
      <c r="O43" s="209"/>
    </row>
    <row r="44" spans="1:26" s="208" customFormat="1" ht="15.75" customHeight="1">
      <c r="A44" s="212"/>
      <c r="B44" s="49"/>
      <c r="C44" s="246"/>
      <c r="D44" s="246"/>
      <c r="E44" s="246"/>
      <c r="F44" s="246"/>
      <c r="G44" s="246"/>
      <c r="H44" s="246"/>
      <c r="I44" s="246"/>
      <c r="J44" s="246"/>
      <c r="K44" s="246"/>
      <c r="L44" s="246"/>
      <c r="M44" s="246"/>
      <c r="N44" s="209"/>
      <c r="O44" s="209"/>
      <c r="P44" s="209"/>
      <c r="Q44" s="209"/>
      <c r="R44" s="209"/>
      <c r="S44" s="209"/>
    </row>
    <row r="45" spans="1:26" s="208" customFormat="1" ht="15.75" customHeight="1">
      <c r="A45" s="212" t="s">
        <v>654</v>
      </c>
      <c r="B45" s="212" t="s">
        <v>655</v>
      </c>
      <c r="C45" s="213">
        <f t="shared" ref="C45:L45" si="43">C24*C46</f>
        <v>1.9189713746309272</v>
      </c>
      <c r="D45" s="213">
        <f t="shared" si="43"/>
        <v>2.12018</v>
      </c>
      <c r="E45" s="213">
        <f t="shared" si="43"/>
        <v>2.1486769999999997</v>
      </c>
      <c r="F45" s="213">
        <f t="shared" si="43"/>
        <v>2.2347159999999997</v>
      </c>
      <c r="G45" s="213">
        <f t="shared" si="43"/>
        <v>2.3443040000000002</v>
      </c>
      <c r="H45" s="213">
        <f t="shared" si="43"/>
        <v>2.486494</v>
      </c>
      <c r="I45" s="213">
        <f t="shared" si="43"/>
        <v>2.6405920000000003</v>
      </c>
      <c r="J45" s="213">
        <f t="shared" si="43"/>
        <v>2.8026279999999999</v>
      </c>
      <c r="K45" s="213">
        <f t="shared" si="43"/>
        <v>2.9746070980992134</v>
      </c>
      <c r="L45" s="213">
        <f t="shared" si="43"/>
        <v>3.1571394377213902</v>
      </c>
      <c r="M45" s="213">
        <f t="shared" ref="M45" si="44">M24*M46</f>
        <v>3.3508726028338427</v>
      </c>
      <c r="N45" s="209"/>
      <c r="O45" s="209"/>
    </row>
    <row r="46" spans="1:26" s="208" customFormat="1" ht="15.75" customHeight="1">
      <c r="A46" s="212"/>
      <c r="B46" s="212" t="s">
        <v>183</v>
      </c>
      <c r="C46" s="213">
        <v>1</v>
      </c>
      <c r="D46" s="213">
        <v>1</v>
      </c>
      <c r="E46" s="213">
        <v>1</v>
      </c>
      <c r="F46" s="213">
        <v>1</v>
      </c>
      <c r="G46" s="213">
        <v>1</v>
      </c>
      <c r="H46" s="213">
        <v>1</v>
      </c>
      <c r="I46" s="213">
        <v>1</v>
      </c>
      <c r="J46" s="213">
        <v>1</v>
      </c>
      <c r="K46" s="213">
        <v>1</v>
      </c>
      <c r="L46" s="213">
        <v>1</v>
      </c>
      <c r="M46" s="213">
        <v>1</v>
      </c>
      <c r="N46" s="209"/>
      <c r="O46" s="209"/>
    </row>
    <row r="47" spans="1:26" s="208" customFormat="1" ht="15.75" customHeight="1">
      <c r="A47" s="212"/>
      <c r="B47" s="49"/>
      <c r="C47" s="246"/>
      <c r="D47" s="246"/>
      <c r="E47" s="246"/>
      <c r="F47" s="246"/>
      <c r="G47" s="246"/>
      <c r="H47" s="246"/>
      <c r="I47" s="246"/>
      <c r="J47" s="246"/>
      <c r="K47" s="246"/>
      <c r="L47" s="246"/>
      <c r="M47" s="246"/>
      <c r="N47" s="209"/>
      <c r="O47" s="209"/>
    </row>
    <row r="48" spans="1:26" s="208" customFormat="1" ht="15.75" customHeight="1">
      <c r="A48" s="212" t="s">
        <v>649</v>
      </c>
      <c r="B48" s="212" t="s">
        <v>849</v>
      </c>
      <c r="C48" s="219">
        <f>C25*C49</f>
        <v>4.8200966368051802E-2</v>
      </c>
      <c r="D48" s="219">
        <f t="shared" ref="D48:M48" si="45">D25*D49</f>
        <v>4.8246001876400338E-2</v>
      </c>
      <c r="E48" s="219">
        <f t="shared" si="45"/>
        <v>5.1064199499381693E-2</v>
      </c>
      <c r="F48" s="219">
        <f t="shared" si="45"/>
        <v>5.3259354412576475E-2</v>
      </c>
      <c r="G48" s="219">
        <f t="shared" si="45"/>
        <v>5.2529216012353892E-2</v>
      </c>
      <c r="H48" s="219">
        <f t="shared" si="45"/>
        <v>5.2049582552738331E-2</v>
      </c>
      <c r="I48" s="219">
        <f t="shared" si="45"/>
        <v>5.1922660049497443E-2</v>
      </c>
      <c r="J48" s="219">
        <f t="shared" si="45"/>
        <v>5.2608041566998241E-2</v>
      </c>
      <c r="K48" s="219">
        <f t="shared" si="45"/>
        <v>5.3302470152274149E-2</v>
      </c>
      <c r="L48" s="219">
        <f t="shared" si="45"/>
        <v>5.4006065227038817E-2</v>
      </c>
      <c r="M48" s="219">
        <f t="shared" si="45"/>
        <v>5.471894778937806E-2</v>
      </c>
      <c r="N48" s="209"/>
      <c r="O48" s="209"/>
    </row>
    <row r="49" spans="1:21" s="208" customFormat="1" ht="15.75" customHeight="1">
      <c r="A49" s="212"/>
      <c r="B49" s="212" t="s">
        <v>184</v>
      </c>
      <c r="C49" s="213">
        <f>'RTEKTY Conv'!H163</f>
        <v>0.57705489683795952</v>
      </c>
      <c r="D49" s="213">
        <f>C49*1.05</f>
        <v>0.60590764167985756</v>
      </c>
      <c r="E49" s="213">
        <f t="shared" ref="E49:F49" si="46">D49*1.05</f>
        <v>0.63620302376385041</v>
      </c>
      <c r="F49" s="213">
        <f t="shared" si="46"/>
        <v>0.66801317495204293</v>
      </c>
      <c r="G49" s="213">
        <f>F49</f>
        <v>0.66801317495204293</v>
      </c>
      <c r="H49" s="213">
        <f t="shared" ref="H49:J49" si="47">G49</f>
        <v>0.66801317495204293</v>
      </c>
      <c r="I49" s="213">
        <f t="shared" si="47"/>
        <v>0.66801317495204293</v>
      </c>
      <c r="J49" s="213">
        <f t="shared" si="47"/>
        <v>0.66801317495204293</v>
      </c>
      <c r="K49" s="218">
        <f>J49</f>
        <v>0.66801317495204293</v>
      </c>
      <c r="L49" s="218">
        <f>K49</f>
        <v>0.66801317495204293</v>
      </c>
      <c r="M49" s="218">
        <f>L49</f>
        <v>0.66801317495204293</v>
      </c>
      <c r="N49" s="209"/>
      <c r="O49" s="209"/>
    </row>
    <row r="50" spans="1:21" s="208" customFormat="1" ht="15.75" customHeight="1">
      <c r="A50" s="212"/>
      <c r="B50" s="49"/>
      <c r="C50" s="246"/>
      <c r="D50" s="246"/>
      <c r="E50" s="246"/>
      <c r="F50" s="246"/>
      <c r="G50" s="246"/>
      <c r="H50" s="246"/>
      <c r="I50" s="246"/>
      <c r="J50" s="246"/>
      <c r="K50" s="246"/>
      <c r="L50" s="246"/>
      <c r="M50" s="246"/>
      <c r="N50" s="209"/>
      <c r="O50" s="209"/>
    </row>
    <row r="51" spans="1:21" s="208" customFormat="1" ht="15.75" customHeight="1">
      <c r="A51" s="212" t="s">
        <v>656</v>
      </c>
      <c r="B51" s="212" t="s">
        <v>657</v>
      </c>
      <c r="C51" s="213">
        <f t="shared" ref="C51:L51" si="48">C26*C52</f>
        <v>0.54846947103738763</v>
      </c>
      <c r="D51" s="213">
        <f t="shared" si="48"/>
        <v>0.50605</v>
      </c>
      <c r="E51" s="213">
        <f t="shared" si="48"/>
        <v>0.50491200000000003</v>
      </c>
      <c r="F51" s="213">
        <f t="shared" si="48"/>
        <v>0.50233899999999998</v>
      </c>
      <c r="G51" s="213">
        <f t="shared" si="48"/>
        <v>0.49863299999999999</v>
      </c>
      <c r="H51" s="213">
        <f t="shared" si="48"/>
        <v>0.49568200000000001</v>
      </c>
      <c r="I51" s="213">
        <f t="shared" si="48"/>
        <v>0.49400200000000005</v>
      </c>
      <c r="J51" s="213">
        <f t="shared" si="48"/>
        <v>0.49224299999999999</v>
      </c>
      <c r="K51" s="213">
        <f t="shared" si="48"/>
        <v>0.4904902632965048</v>
      </c>
      <c r="L51" s="213">
        <f t="shared" si="48"/>
        <v>0.48874376758770488</v>
      </c>
      <c r="M51" s="213">
        <f t="shared" ref="M51" si="49">M26*M52</f>
        <v>0.48700349065120097</v>
      </c>
      <c r="N51" s="209"/>
      <c r="O51" s="209"/>
    </row>
    <row r="52" spans="1:21" s="208" customFormat="1" ht="15.75" customHeight="1">
      <c r="A52" s="212"/>
      <c r="B52" s="212" t="s">
        <v>185</v>
      </c>
      <c r="C52" s="213">
        <f t="shared" ref="C52:L52" si="50">C46</f>
        <v>1</v>
      </c>
      <c r="D52" s="213">
        <f t="shared" si="50"/>
        <v>1</v>
      </c>
      <c r="E52" s="213">
        <f t="shared" si="50"/>
        <v>1</v>
      </c>
      <c r="F52" s="213">
        <f t="shared" si="50"/>
        <v>1</v>
      </c>
      <c r="G52" s="213">
        <f t="shared" si="50"/>
        <v>1</v>
      </c>
      <c r="H52" s="213">
        <f t="shared" si="50"/>
        <v>1</v>
      </c>
      <c r="I52" s="213">
        <f t="shared" si="50"/>
        <v>1</v>
      </c>
      <c r="J52" s="213">
        <f t="shared" si="50"/>
        <v>1</v>
      </c>
      <c r="K52" s="213">
        <f t="shared" si="50"/>
        <v>1</v>
      </c>
      <c r="L52" s="213">
        <f t="shared" si="50"/>
        <v>1</v>
      </c>
      <c r="M52" s="213">
        <f t="shared" ref="M52" si="51">M46</f>
        <v>1</v>
      </c>
      <c r="N52" s="209"/>
      <c r="O52" s="209"/>
    </row>
    <row r="53" spans="1:21" s="208" customFormat="1" ht="15.75" customHeight="1">
      <c r="A53" s="212"/>
      <c r="B53" s="49"/>
      <c r="C53" s="246"/>
      <c r="D53" s="246"/>
      <c r="E53" s="246"/>
      <c r="F53" s="246"/>
      <c r="G53" s="246"/>
      <c r="H53" s="246"/>
      <c r="I53" s="246"/>
      <c r="J53" s="246"/>
      <c r="K53" s="246"/>
      <c r="L53" s="246"/>
      <c r="M53" s="246"/>
      <c r="N53" s="209"/>
      <c r="O53" s="209"/>
    </row>
    <row r="54" spans="1:21" s="208" customFormat="1" ht="15.75" customHeight="1">
      <c r="A54" s="212" t="s">
        <v>1081</v>
      </c>
      <c r="B54" s="212" t="s">
        <v>1082</v>
      </c>
      <c r="C54" s="213">
        <f t="shared" ref="C54:L54" si="52">C27*C55</f>
        <v>7.1476043164730108E-2</v>
      </c>
      <c r="D54" s="213">
        <f t="shared" si="52"/>
        <v>6.9137000000000004E-2</v>
      </c>
      <c r="E54" s="213">
        <f t="shared" si="52"/>
        <v>7.0837999999999998E-2</v>
      </c>
      <c r="F54" s="213">
        <f t="shared" si="52"/>
        <v>7.3138000000000009E-2</v>
      </c>
      <c r="G54" s="213">
        <f t="shared" si="52"/>
        <v>7.5325000000000003E-2</v>
      </c>
      <c r="H54" s="213">
        <f t="shared" si="52"/>
        <v>7.7984999999999999E-2</v>
      </c>
      <c r="I54" s="213">
        <f t="shared" si="52"/>
        <v>8.1033999999999995E-2</v>
      </c>
      <c r="J54" s="213">
        <f t="shared" si="52"/>
        <v>8.4222999999999992E-2</v>
      </c>
      <c r="K54" s="213">
        <f t="shared" si="52"/>
        <v>8.7537499432337032E-2</v>
      </c>
      <c r="L54" s="213">
        <f t="shared" si="52"/>
        <v>9.098243718303084E-2</v>
      </c>
      <c r="M54" s="213">
        <f t="shared" ref="M54" si="53">M27*M55</f>
        <v>9.4562946502287998E-2</v>
      </c>
      <c r="N54" s="209"/>
      <c r="O54" s="209"/>
    </row>
    <row r="55" spans="1:21" s="208" customFormat="1" ht="15.75" customHeight="1">
      <c r="A55" s="212"/>
      <c r="B55" s="212" t="s">
        <v>185</v>
      </c>
      <c r="C55" s="213">
        <v>1</v>
      </c>
      <c r="D55" s="213">
        <v>1</v>
      </c>
      <c r="E55" s="213">
        <v>1</v>
      </c>
      <c r="F55" s="213">
        <v>1</v>
      </c>
      <c r="G55" s="213">
        <v>1</v>
      </c>
      <c r="H55" s="213">
        <v>1</v>
      </c>
      <c r="I55" s="213">
        <v>1</v>
      </c>
      <c r="J55" s="213">
        <v>1</v>
      </c>
      <c r="K55" s="213">
        <v>1</v>
      </c>
      <c r="L55" s="213">
        <v>1</v>
      </c>
      <c r="M55" s="213">
        <v>1</v>
      </c>
      <c r="N55" s="209"/>
      <c r="O55" s="209"/>
    </row>
    <row r="56" spans="1:21" s="208" customFormat="1" ht="15.75" customHeight="1">
      <c r="A56" s="212"/>
      <c r="B56" s="49"/>
      <c r="C56" s="246"/>
      <c r="D56" s="246"/>
      <c r="E56" s="246"/>
      <c r="F56" s="246"/>
      <c r="G56" s="246"/>
      <c r="H56" s="246"/>
      <c r="I56" s="246"/>
      <c r="J56" s="246"/>
      <c r="K56" s="246"/>
      <c r="L56" s="246"/>
      <c r="M56" s="246"/>
      <c r="N56" s="209"/>
      <c r="O56" s="209"/>
    </row>
    <row r="57" spans="1:21" s="208" customFormat="1" ht="15.75" customHeight="1">
      <c r="A57" s="212" t="s">
        <v>647</v>
      </c>
      <c r="B57" s="212" t="s">
        <v>648</v>
      </c>
      <c r="C57" s="213">
        <f t="shared" ref="C57:L57" si="54">C28*C58</f>
        <v>2.3654884529113773</v>
      </c>
      <c r="D57" s="213">
        <f t="shared" si="54"/>
        <v>2.7544946018195051</v>
      </c>
      <c r="E57" s="213">
        <f t="shared" si="54"/>
        <v>2.8404093009231826</v>
      </c>
      <c r="F57" s="213">
        <f t="shared" si="54"/>
        <v>3.226651430807999</v>
      </c>
      <c r="G57" s="213">
        <f t="shared" si="54"/>
        <v>3.6520160205221832</v>
      </c>
      <c r="H57" s="213">
        <f t="shared" si="54"/>
        <v>4.0354149833271089</v>
      </c>
      <c r="I57" s="213">
        <f t="shared" si="54"/>
        <v>4.4026693900219884</v>
      </c>
      <c r="J57" s="213">
        <f t="shared" si="54"/>
        <v>4.7664789802118364</v>
      </c>
      <c r="K57" s="213">
        <f t="shared" si="54"/>
        <v>5.1387074033787936</v>
      </c>
      <c r="L57" s="213">
        <f t="shared" si="54"/>
        <v>5.5400042436285846</v>
      </c>
      <c r="M57" s="213">
        <f t="shared" ref="M57" si="55">M28*M58</f>
        <v>5.9726395395157956</v>
      </c>
      <c r="N57" s="209"/>
      <c r="O57" s="209"/>
    </row>
    <row r="58" spans="1:21" s="208" customFormat="1" ht="15.75" customHeight="1">
      <c r="A58" s="212"/>
      <c r="B58" s="212" t="s">
        <v>186</v>
      </c>
      <c r="C58" s="213">
        <f>M277</f>
        <v>2.88</v>
      </c>
      <c r="D58" s="213">
        <f t="shared" ref="D58:J58" si="56">N277</f>
        <v>3.2425350350087405</v>
      </c>
      <c r="E58" s="213">
        <f t="shared" si="56"/>
        <v>3.3614470375282046</v>
      </c>
      <c r="F58" s="213">
        <f t="shared" si="56"/>
        <v>3.543457820728007</v>
      </c>
      <c r="G58" s="213">
        <f t="shared" si="56"/>
        <v>3.661135910074178</v>
      </c>
      <c r="H58" s="213">
        <f t="shared" si="56"/>
        <v>3.7087620564437676</v>
      </c>
      <c r="I58" s="213">
        <f t="shared" si="56"/>
        <v>3.7312654796192932</v>
      </c>
      <c r="J58" s="213">
        <f t="shared" si="56"/>
        <v>3.7469815147665733</v>
      </c>
      <c r="K58" s="213">
        <f>J58</f>
        <v>3.7469815147665733</v>
      </c>
      <c r="L58" s="213">
        <f>K58</f>
        <v>3.7469815147665733</v>
      </c>
      <c r="M58" s="213">
        <f>L58</f>
        <v>3.7469815147665733</v>
      </c>
      <c r="N58" s="209"/>
      <c r="O58" s="209"/>
    </row>
    <row r="59" spans="1:21" s="208" customFormat="1" ht="15.75" customHeight="1">
      <c r="A59" s="212"/>
      <c r="B59" s="49"/>
      <c r="C59" s="246"/>
      <c r="D59" s="246"/>
      <c r="E59" s="246"/>
      <c r="F59" s="246"/>
      <c r="G59" s="246"/>
      <c r="H59" s="246"/>
      <c r="I59" s="246"/>
      <c r="J59" s="246"/>
      <c r="K59" s="246"/>
      <c r="L59" s="246"/>
      <c r="M59" s="246"/>
      <c r="N59" s="209"/>
      <c r="O59" s="209"/>
    </row>
    <row r="60" spans="1:21" s="208" customFormat="1" ht="15.75" customHeight="1">
      <c r="B60" s="212" t="s">
        <v>175</v>
      </c>
      <c r="C60" s="213">
        <f t="shared" ref="C60:L60" si="57">C33+C36+C42+C45+C51+C57</f>
        <v>11.378671141842634</v>
      </c>
      <c r="D60" s="213">
        <f t="shared" si="57"/>
        <v>11.885622771981501</v>
      </c>
      <c r="E60" s="213">
        <f t="shared" si="57"/>
        <v>11.878825852493021</v>
      </c>
      <c r="F60" s="213">
        <f t="shared" si="57"/>
        <v>12.455019842658507</v>
      </c>
      <c r="G60" s="213">
        <f t="shared" si="57"/>
        <v>13.05935104692664</v>
      </c>
      <c r="H60" s="213">
        <f t="shared" si="57"/>
        <v>13.5808140297511</v>
      </c>
      <c r="I60" s="213">
        <f t="shared" si="57"/>
        <v>14.017955476163788</v>
      </c>
      <c r="J60" s="213">
        <f t="shared" si="57"/>
        <v>14.439997916122744</v>
      </c>
      <c r="K60" s="213">
        <f t="shared" si="57"/>
        <v>14.821823448326562</v>
      </c>
      <c r="L60" s="213">
        <f t="shared" si="57"/>
        <v>15.242919526241362</v>
      </c>
      <c r="M60" s="213">
        <f t="shared" ref="M60" si="58">M33+M36+M42+M45+M51+M57</f>
        <v>15.713074374295928</v>
      </c>
      <c r="N60" s="209"/>
      <c r="O60" s="209"/>
    </row>
    <row r="61" spans="1:21" s="208" customFormat="1" ht="15.75" customHeight="1">
      <c r="A61" s="212"/>
      <c r="B61" s="49"/>
      <c r="C61" s="246"/>
      <c r="D61" s="246"/>
      <c r="E61" s="246"/>
      <c r="F61" s="246"/>
      <c r="G61" s="246"/>
      <c r="H61" s="246"/>
      <c r="I61" s="246"/>
      <c r="J61" s="246"/>
      <c r="K61" s="246"/>
      <c r="L61" s="246"/>
      <c r="M61" s="246"/>
      <c r="N61" s="209"/>
      <c r="O61" s="209"/>
    </row>
    <row r="62" spans="1:21" s="27" customFormat="1">
      <c r="A62" s="209"/>
      <c r="B62" s="209"/>
      <c r="C62" s="209"/>
      <c r="D62" s="94"/>
      <c r="E62" s="209"/>
      <c r="F62" s="209"/>
      <c r="G62" s="209"/>
      <c r="H62" s="209"/>
      <c r="I62" s="209"/>
      <c r="J62" s="209"/>
      <c r="K62" s="209"/>
      <c r="L62" s="209"/>
      <c r="M62" s="209"/>
      <c r="N62" s="209"/>
      <c r="O62" s="209"/>
      <c r="P62" s="246"/>
      <c r="U62" s="246"/>
    </row>
    <row r="63" spans="1:21" s="27" customFormat="1" ht="11.25" customHeight="1">
      <c r="A63" s="48" t="s">
        <v>855</v>
      </c>
      <c r="N63" s="209"/>
      <c r="O63" s="209"/>
      <c r="P63" s="209"/>
      <c r="Q63" s="209"/>
      <c r="R63" s="209"/>
      <c r="S63" s="209"/>
      <c r="T63" s="209"/>
      <c r="U63" s="209"/>
    </row>
    <row r="64" spans="1:21" s="27" customFormat="1">
      <c r="B64" s="28"/>
      <c r="C64" s="211">
        <v>2005</v>
      </c>
      <c r="D64" s="211">
        <v>2010</v>
      </c>
      <c r="E64" s="211">
        <v>2015</v>
      </c>
      <c r="F64" s="211">
        <v>2020</v>
      </c>
      <c r="G64" s="211">
        <v>2025</v>
      </c>
      <c r="H64" s="211">
        <v>2030</v>
      </c>
      <c r="I64" s="211">
        <v>2035</v>
      </c>
      <c r="J64" s="211">
        <v>2040</v>
      </c>
      <c r="K64" s="211">
        <v>2045</v>
      </c>
      <c r="L64" s="211">
        <v>2050</v>
      </c>
      <c r="M64" s="211">
        <v>2050</v>
      </c>
      <c r="O64" s="209"/>
      <c r="P64" s="209"/>
      <c r="Q64" s="209"/>
      <c r="R64" s="209"/>
      <c r="S64" s="209"/>
      <c r="T64" s="209"/>
      <c r="U64" s="209"/>
    </row>
    <row r="65" spans="1:26" s="27" customFormat="1">
      <c r="O65" s="209"/>
    </row>
    <row r="66" spans="1:26" s="27" customFormat="1">
      <c r="C66" s="27" t="s">
        <v>1487</v>
      </c>
      <c r="D66" s="27" t="s">
        <v>479</v>
      </c>
      <c r="F66" s="27" t="s">
        <v>103</v>
      </c>
      <c r="I66" s="27" t="s">
        <v>104</v>
      </c>
      <c r="L66" s="27" t="s">
        <v>106</v>
      </c>
    </row>
    <row r="67" spans="1:26" s="27" customFormat="1">
      <c r="A67" s="27">
        <f>$H$72*C67</f>
        <v>5.4821941196916502</v>
      </c>
      <c r="B67" s="279" t="s">
        <v>494</v>
      </c>
      <c r="C67" s="458">
        <f>'AEO14 RLT Techs'!B157*1.058/100</f>
        <v>0.60306000000000004</v>
      </c>
      <c r="D67" s="457">
        <f>'RTEKTY Conv'!G177</f>
        <v>0.45981100563498845</v>
      </c>
      <c r="E67" s="27">
        <f>C67/D67</f>
        <v>1.3115388553329383</v>
      </c>
      <c r="F67" s="52">
        <f>1/(C67/D67+C68/D68+C69/D69+C70/D70+C71/D71)</f>
        <v>0.64118024481071334</v>
      </c>
      <c r="I67" s="41">
        <f>F67*C23*'Conv Factors'!B15</f>
        <v>491.60128823788079</v>
      </c>
      <c r="L67" s="27">
        <f>I67*10^12/ResCalc!C75/ResCalc!C62</f>
        <v>94450.96432501213</v>
      </c>
    </row>
    <row r="68" spans="1:26" s="27" customFormat="1">
      <c r="A68" s="27">
        <f t="shared" ref="A68:A71" si="59">$H$72*C68</f>
        <v>1.0636034756142392</v>
      </c>
      <c r="B68" s="279" t="s">
        <v>498</v>
      </c>
      <c r="C68" s="458">
        <f>'AEO14 RLT Techs'!C157*0.9/100</f>
        <v>0.11700000000000001</v>
      </c>
      <c r="D68" s="457">
        <f>'RTEKTY Conv'!G181</f>
        <v>2.1309861778393948</v>
      </c>
      <c r="E68" s="27">
        <f t="shared" ref="E68:E71" si="60">C68/D68</f>
        <v>5.4904157153485719E-2</v>
      </c>
    </row>
    <row r="69" spans="1:26" s="27" customFormat="1">
      <c r="A69" s="27">
        <f t="shared" si="59"/>
        <v>1.6363130394065215</v>
      </c>
      <c r="B69" s="279" t="s">
        <v>1297</v>
      </c>
      <c r="C69" s="458">
        <f>'AEO14 RLT Techs'!E157/100</f>
        <v>0.18</v>
      </c>
      <c r="D69" s="457">
        <f>'RTEKTY Conv'!G220</f>
        <v>2.0009706521081223</v>
      </c>
      <c r="E69" s="27">
        <f t="shared" si="60"/>
        <v>8.9956341843575274E-2</v>
      </c>
    </row>
    <row r="70" spans="1:26" s="27" customFormat="1">
      <c r="A70" s="27">
        <f t="shared" si="59"/>
        <v>0.4545313998351449</v>
      </c>
      <c r="B70" s="279" t="s">
        <v>1488</v>
      </c>
      <c r="C70" s="458">
        <v>0.05</v>
      </c>
      <c r="D70" s="457">
        <f>'RTEKTY Conv'!G195</f>
        <v>0.76793723125015889</v>
      </c>
      <c r="E70" s="27">
        <f t="shared" si="60"/>
        <v>6.5109488074439101E-2</v>
      </c>
    </row>
    <row r="71" spans="1:26" s="27" customFormat="1">
      <c r="A71" s="27">
        <f t="shared" si="59"/>
        <v>0.4539859621553427</v>
      </c>
      <c r="B71" s="279" t="s">
        <v>1489</v>
      </c>
      <c r="C71" s="458">
        <v>4.9939999999999998E-2</v>
      </c>
      <c r="D71" s="457">
        <f>'RTEKTY Conv'!G229</f>
        <v>1.3102451539881022</v>
      </c>
      <c r="E71" s="27">
        <f t="shared" si="60"/>
        <v>3.8115004545518423E-2</v>
      </c>
    </row>
    <row r="72" spans="1:26" s="27" customFormat="1">
      <c r="B72" s="279"/>
      <c r="C72" s="458">
        <f>SUM(C67:C71)</f>
        <v>1.0000000000000002</v>
      </c>
      <c r="D72" s="457"/>
      <c r="E72" s="27">
        <f>SUM(E67:E71)</f>
        <v>1.559623846949957</v>
      </c>
      <c r="G72" s="526">
        <f>'2010 Fuel Share'!F72</f>
        <v>14.177960207408754</v>
      </c>
      <c r="H72" s="523">
        <f>G72*F67</f>
        <v>9.0906279967028976</v>
      </c>
      <c r="I72" s="478">
        <f>H72</f>
        <v>9.0906279967028976</v>
      </c>
    </row>
    <row r="73" spans="1:26" s="27" customFormat="1">
      <c r="B73" s="48" t="s">
        <v>9</v>
      </c>
      <c r="F73" s="27" t="s">
        <v>2577</v>
      </c>
    </row>
    <row r="74" spans="1:26" s="27" customFormat="1">
      <c r="B74" s="27" t="s">
        <v>10</v>
      </c>
      <c r="W74" s="209"/>
    </row>
    <row r="75" spans="1:26">
      <c r="A75" s="27"/>
      <c r="B75" s="27"/>
      <c r="C75" s="27"/>
      <c r="D75" s="27"/>
      <c r="E75" s="27"/>
      <c r="F75" s="27"/>
      <c r="G75" s="27"/>
      <c r="H75" s="27"/>
      <c r="I75" s="27"/>
      <c r="J75" s="27"/>
      <c r="K75" s="27"/>
      <c r="L75" s="27"/>
      <c r="M75" s="27"/>
      <c r="N75" s="27"/>
      <c r="O75" s="27"/>
      <c r="P75" s="27"/>
      <c r="Q75" s="27"/>
      <c r="R75" s="27"/>
      <c r="S75" s="27"/>
      <c r="T75" s="27"/>
      <c r="U75" s="27"/>
      <c r="V75" s="27"/>
    </row>
    <row r="76" spans="1:26">
      <c r="O76" s="27"/>
      <c r="P76" s="27"/>
      <c r="Q76" s="27"/>
      <c r="R76" s="27"/>
      <c r="S76" s="27"/>
      <c r="T76" s="27"/>
      <c r="U76" s="27"/>
      <c r="V76" s="27"/>
      <c r="W76" s="205" t="s">
        <v>729</v>
      </c>
    </row>
    <row r="77" spans="1:26">
      <c r="O77" s="27"/>
      <c r="P77" s="27"/>
      <c r="Q77" s="27"/>
      <c r="R77" s="27"/>
      <c r="S77" s="27"/>
      <c r="T77" s="27"/>
      <c r="U77" s="27"/>
      <c r="V77" s="27"/>
      <c r="W77" s="27"/>
      <c r="X77" s="27"/>
      <c r="Y77" s="27"/>
      <c r="Z77" s="27"/>
    </row>
    <row r="78" spans="1:26">
      <c r="A78" s="844" t="s">
        <v>3</v>
      </c>
      <c r="B78" s="844"/>
      <c r="C78" s="208">
        <v>2005</v>
      </c>
      <c r="D78" s="208">
        <v>2010</v>
      </c>
      <c r="E78" s="208">
        <v>2015</v>
      </c>
      <c r="F78" s="208">
        <v>2020</v>
      </c>
      <c r="G78" s="208">
        <v>2025</v>
      </c>
      <c r="H78" s="208">
        <v>2030</v>
      </c>
      <c r="I78" s="208">
        <v>2035</v>
      </c>
      <c r="J78" s="208">
        <v>2040</v>
      </c>
      <c r="K78" s="27"/>
      <c r="L78" s="27"/>
      <c r="M78" s="27"/>
      <c r="N78" s="27"/>
      <c r="O78" s="27"/>
      <c r="P78" s="27"/>
      <c r="Q78" s="27"/>
      <c r="R78" s="27"/>
      <c r="S78" s="27"/>
      <c r="T78" s="27"/>
      <c r="U78" s="27"/>
      <c r="V78" s="27"/>
      <c r="W78" s="27"/>
      <c r="X78" s="27"/>
      <c r="Y78" s="27"/>
    </row>
    <row r="79" spans="1:26">
      <c r="B79" s="209" t="s">
        <v>347</v>
      </c>
      <c r="C79" s="217">
        <f>C120*(C215*C260+C216*1)/(C215+C216)</f>
        <v>0.4156645247155184</v>
      </c>
      <c r="D79" s="217">
        <f>D120*(D215*D260+D216*1)/(D215+D216)</f>
        <v>0.4819196625201026</v>
      </c>
      <c r="E79" s="217">
        <f t="shared" ref="E79:I79" si="61">E120*(E215*E260+E216*1)/(E215+E216)</f>
        <v>0.47427309289319791</v>
      </c>
      <c r="F79" s="217">
        <f t="shared" si="61"/>
        <v>0.4941324350922125</v>
      </c>
      <c r="G79" s="217">
        <f t="shared" si="61"/>
        <v>0.51202570937051195</v>
      </c>
      <c r="H79" s="217">
        <f t="shared" si="61"/>
        <v>0.52011329272199047</v>
      </c>
      <c r="I79" s="217">
        <f t="shared" si="61"/>
        <v>0.51957421596742337</v>
      </c>
      <c r="J79" s="217">
        <f t="shared" ref="J79" si="62">J120*(J215*J260+J216*1)/(J215+J216)</f>
        <v>0.51538860663045127</v>
      </c>
      <c r="K79" s="217"/>
      <c r="L79" s="217"/>
      <c r="M79" s="217"/>
      <c r="N79" s="27"/>
      <c r="O79" s="27"/>
      <c r="P79" s="27"/>
      <c r="Q79" s="27"/>
      <c r="R79" s="27"/>
      <c r="S79" s="27"/>
      <c r="T79" s="27"/>
      <c r="U79" s="27"/>
      <c r="V79" s="27"/>
      <c r="W79" s="27"/>
      <c r="X79" s="27"/>
      <c r="Y79" s="27"/>
    </row>
    <row r="80" spans="1:26">
      <c r="B80" s="209" t="s">
        <v>580</v>
      </c>
      <c r="C80" s="217">
        <f>C137*C263</f>
        <v>2.7154832834257245</v>
      </c>
      <c r="D80" s="217">
        <f>D137*D263</f>
        <v>2.641255617224</v>
      </c>
      <c r="E80" s="217">
        <f t="shared" ref="E80:I80" si="63">E137*E263</f>
        <v>2.41778039647</v>
      </c>
      <c r="F80" s="217">
        <f t="shared" si="63"/>
        <v>2.4067489385700003</v>
      </c>
      <c r="G80" s="217">
        <f t="shared" si="63"/>
        <v>2.3757899961839999</v>
      </c>
      <c r="H80" s="217">
        <f t="shared" si="63"/>
        <v>2.3309492223999997</v>
      </c>
      <c r="I80" s="217">
        <f t="shared" si="63"/>
        <v>2.2713042353100001</v>
      </c>
      <c r="J80" s="217">
        <f t="shared" ref="J80" si="64">J137*J263</f>
        <v>2.2066748638</v>
      </c>
      <c r="K80" s="217"/>
      <c r="L80" s="217"/>
      <c r="M80" s="217"/>
      <c r="N80" s="27"/>
      <c r="O80" s="27"/>
      <c r="P80" s="27"/>
      <c r="Q80" s="27"/>
      <c r="R80" s="27"/>
      <c r="S80" s="27"/>
      <c r="T80" s="27"/>
      <c r="U80" s="27"/>
      <c r="V80" s="27"/>
      <c r="W80" s="27"/>
      <c r="X80" s="27"/>
      <c r="Y80" s="27"/>
    </row>
    <row r="81" spans="1:70">
      <c r="B81" s="209" t="s">
        <v>4</v>
      </c>
      <c r="C81" s="217">
        <f>C146*C264</f>
        <v>0.53130998611450175</v>
      </c>
      <c r="D81" s="217">
        <f>D146*D264</f>
        <v>0.39045004999999999</v>
      </c>
      <c r="E81" s="217">
        <f t="shared" ref="E81:I81" si="65">E145*E264</f>
        <v>0</v>
      </c>
      <c r="F81" s="217">
        <f t="shared" si="65"/>
        <v>0</v>
      </c>
      <c r="G81" s="217">
        <f t="shared" si="65"/>
        <v>0</v>
      </c>
      <c r="H81" s="217">
        <f t="shared" si="65"/>
        <v>0</v>
      </c>
      <c r="I81" s="217">
        <f t="shared" si="65"/>
        <v>0</v>
      </c>
      <c r="J81" s="217">
        <f t="shared" ref="J81" si="66">J145*J264</f>
        <v>0</v>
      </c>
      <c r="K81" s="217"/>
      <c r="L81" s="217"/>
      <c r="M81" s="217"/>
      <c r="N81" s="27"/>
      <c r="O81" s="27"/>
      <c r="P81" s="27"/>
      <c r="Q81" s="27"/>
      <c r="R81" s="27"/>
      <c r="S81" s="27"/>
      <c r="T81" s="27"/>
      <c r="U81" s="27"/>
      <c r="V81" s="27"/>
      <c r="W81" s="27"/>
      <c r="X81" s="27"/>
      <c r="Y81" s="27"/>
    </row>
    <row r="82" spans="1:70">
      <c r="B82" s="209" t="s">
        <v>541</v>
      </c>
      <c r="C82" s="217">
        <f>C152*0.78</f>
        <v>0.28860000000000002</v>
      </c>
      <c r="D82" s="217">
        <f>D152*0.78</f>
        <v>0.28519218000000002</v>
      </c>
      <c r="E82" s="217">
        <f t="shared" ref="E82:I82" si="67">E150*0.78</f>
        <v>0</v>
      </c>
      <c r="F82" s="217">
        <f t="shared" si="67"/>
        <v>0</v>
      </c>
      <c r="G82" s="217">
        <f t="shared" si="67"/>
        <v>0</v>
      </c>
      <c r="H82" s="217">
        <f t="shared" si="67"/>
        <v>0</v>
      </c>
      <c r="I82" s="217">
        <f t="shared" si="67"/>
        <v>0</v>
      </c>
      <c r="J82" s="217">
        <f t="shared" ref="J82" si="68">J150*0.78</f>
        <v>0</v>
      </c>
      <c r="K82" s="217"/>
      <c r="L82" s="217"/>
      <c r="M82" s="217"/>
      <c r="N82" s="27"/>
      <c r="O82" s="27"/>
      <c r="P82" s="27"/>
      <c r="Q82" s="27"/>
      <c r="R82" s="27"/>
      <c r="S82" s="27"/>
      <c r="T82" s="27"/>
      <c r="U82" s="27"/>
      <c r="V82" s="27"/>
      <c r="W82" s="27"/>
      <c r="X82" s="27"/>
      <c r="Y82" s="27"/>
    </row>
    <row r="83" spans="1:70">
      <c r="B83" s="209" t="s">
        <v>543</v>
      </c>
      <c r="C83" s="217">
        <f>C158*1</f>
        <v>0.44818162918090798</v>
      </c>
      <c r="D83" s="217">
        <f>D158*1</f>
        <v>0.53766800000000003</v>
      </c>
      <c r="E83" s="217">
        <f t="shared" ref="E83:I83" si="69">E156*1</f>
        <v>0.45599299999999998</v>
      </c>
      <c r="F83" s="217">
        <f t="shared" si="69"/>
        <v>0.42479699999999998</v>
      </c>
      <c r="G83" s="217">
        <f t="shared" si="69"/>
        <v>0.39945700000000001</v>
      </c>
      <c r="H83" s="217">
        <f t="shared" si="69"/>
        <v>0.378826</v>
      </c>
      <c r="I83" s="217">
        <f t="shared" si="69"/>
        <v>0.36152800000000002</v>
      </c>
      <c r="J83" s="217">
        <f t="shared" ref="J83" si="70">J156*1</f>
        <v>0.34792499999999998</v>
      </c>
      <c r="K83" s="217"/>
      <c r="L83" s="217"/>
      <c r="M83" s="217"/>
      <c r="N83" s="27"/>
      <c r="O83" s="27"/>
      <c r="P83" s="27"/>
      <c r="Q83" s="27"/>
      <c r="R83" s="27"/>
      <c r="S83" s="27"/>
      <c r="T83" s="27"/>
      <c r="U83" s="27"/>
      <c r="V83" s="27"/>
      <c r="W83" s="27"/>
      <c r="X83" s="27"/>
      <c r="Y83" s="27"/>
    </row>
    <row r="84" spans="1:70">
      <c r="B84" s="209" t="s">
        <v>592</v>
      </c>
      <c r="C84" s="217">
        <f>C159*0.81</f>
        <v>8.1537638604640736E-2</v>
      </c>
      <c r="D84" s="217">
        <f>D159*0.81</f>
        <v>1.5009300000000001E-2</v>
      </c>
      <c r="E84" s="217">
        <f t="shared" ref="E84:I84" si="71">E157*0.81</f>
        <v>0</v>
      </c>
      <c r="F84" s="217">
        <f t="shared" si="71"/>
        <v>0</v>
      </c>
      <c r="G84" s="217">
        <f t="shared" si="71"/>
        <v>0</v>
      </c>
      <c r="H84" s="217">
        <f t="shared" si="71"/>
        <v>0</v>
      </c>
      <c r="I84" s="217">
        <f t="shared" si="71"/>
        <v>0</v>
      </c>
      <c r="J84" s="217">
        <f t="shared" ref="J84" si="72">J157*0.81</f>
        <v>0</v>
      </c>
      <c r="K84" s="217"/>
      <c r="L84" s="217"/>
      <c r="M84" s="217"/>
      <c r="N84" s="27"/>
      <c r="O84" s="27"/>
      <c r="P84" s="27"/>
      <c r="Q84" s="27"/>
      <c r="R84" s="27"/>
      <c r="S84" s="27"/>
      <c r="T84" s="27"/>
      <c r="U84" s="27"/>
      <c r="V84" s="27"/>
      <c r="W84" s="27"/>
      <c r="X84" s="27"/>
      <c r="Y84" s="27"/>
    </row>
    <row r="85" spans="1:70">
      <c r="C85" s="217">
        <f t="shared" ref="C85:I85" si="73">SUM(C79:C84)</f>
        <v>4.4807770620412946</v>
      </c>
      <c r="D85" s="217">
        <f t="shared" si="73"/>
        <v>4.3514948097441026</v>
      </c>
      <c r="E85" s="217">
        <f t="shared" si="73"/>
        <v>3.3480464893631976</v>
      </c>
      <c r="F85" s="217">
        <f t="shared" si="73"/>
        <v>3.3256783736622126</v>
      </c>
      <c r="G85" s="217">
        <f t="shared" si="73"/>
        <v>3.2872727055545119</v>
      </c>
      <c r="H85" s="217">
        <f t="shared" si="73"/>
        <v>3.2298885151219903</v>
      </c>
      <c r="I85" s="217">
        <f t="shared" si="73"/>
        <v>3.1524064512774235</v>
      </c>
      <c r="J85" s="217">
        <f t="shared" ref="J85" si="74">SUM(J79:J84)</f>
        <v>3.0699884704304514</v>
      </c>
      <c r="K85" s="27"/>
      <c r="L85" s="27"/>
      <c r="M85" s="27"/>
      <c r="N85" s="27"/>
      <c r="O85" s="27"/>
      <c r="P85" s="27"/>
      <c r="Q85" s="27"/>
      <c r="R85" s="27"/>
      <c r="S85" s="27"/>
      <c r="T85" s="27"/>
      <c r="U85" s="27"/>
      <c r="V85" s="27"/>
      <c r="W85" s="27"/>
      <c r="X85" s="27"/>
      <c r="Y85" s="27"/>
    </row>
    <row r="86" spans="1:70">
      <c r="C86" s="220">
        <f t="shared" ref="C86:I86" si="75">(C33-C85)/C33</f>
        <v>0.10757936707183262</v>
      </c>
      <c r="D86" s="220">
        <f>(D33-D85)/D33</f>
        <v>0.10274795336988854</v>
      </c>
      <c r="E86" s="220">
        <f>(E33-E85)/E33</f>
        <v>0.28536051393634593</v>
      </c>
      <c r="F86" s="220">
        <f t="shared" si="75"/>
        <v>0.29761026958185072</v>
      </c>
      <c r="G86" s="220">
        <f t="shared" si="75"/>
        <v>0.30722164769017857</v>
      </c>
      <c r="H86" s="220">
        <f t="shared" si="75"/>
        <v>0.31344382753846811</v>
      </c>
      <c r="I86" s="220">
        <f t="shared" si="75"/>
        <v>0.3180433712402933</v>
      </c>
      <c r="J86" s="27"/>
      <c r="K86" s="27"/>
      <c r="L86" s="27"/>
      <c r="M86" s="27"/>
      <c r="N86" s="27"/>
      <c r="O86" s="27"/>
      <c r="P86" s="27"/>
      <c r="Q86" s="27"/>
      <c r="R86" s="27"/>
      <c r="S86" s="27"/>
      <c r="T86" s="27"/>
      <c r="U86" s="27"/>
      <c r="V86" s="27"/>
      <c r="W86" s="27"/>
      <c r="X86" s="27"/>
      <c r="Y86" s="27"/>
    </row>
    <row r="87" spans="1:70">
      <c r="C87" s="220"/>
      <c r="D87" s="220"/>
      <c r="E87" s="220"/>
      <c r="F87" s="220"/>
      <c r="G87" s="220"/>
      <c r="H87" s="220"/>
      <c r="I87" s="220"/>
      <c r="J87" s="27"/>
      <c r="K87" s="27"/>
      <c r="L87" s="27"/>
      <c r="M87" s="27"/>
      <c r="N87" s="27"/>
      <c r="O87" s="246"/>
      <c r="P87" s="27"/>
      <c r="Q87" s="27"/>
      <c r="R87" s="27"/>
      <c r="S87" s="27"/>
      <c r="T87" s="246"/>
      <c r="U87" s="27"/>
      <c r="V87" s="27"/>
      <c r="W87" s="27"/>
      <c r="X87" s="27"/>
      <c r="Y87" s="246"/>
      <c r="Z87" s="27"/>
    </row>
    <row r="88" spans="1:70">
      <c r="A88" s="844" t="s">
        <v>5</v>
      </c>
      <c r="B88" s="844"/>
      <c r="C88" s="208">
        <v>2005</v>
      </c>
      <c r="D88" s="208">
        <v>2010</v>
      </c>
      <c r="E88" s="208">
        <v>2015</v>
      </c>
      <c r="F88" s="208">
        <v>2020</v>
      </c>
      <c r="G88" s="208">
        <v>2025</v>
      </c>
      <c r="H88" s="208">
        <v>2030</v>
      </c>
      <c r="I88" s="208">
        <v>2035</v>
      </c>
      <c r="J88" s="208">
        <v>2040</v>
      </c>
      <c r="K88" s="221"/>
      <c r="L88" s="221"/>
      <c r="M88" s="221"/>
      <c r="N88" s="27"/>
      <c r="O88" s="246"/>
      <c r="P88" s="27"/>
      <c r="Q88" s="27"/>
      <c r="R88" s="27"/>
      <c r="S88" s="27"/>
      <c r="T88" s="246"/>
      <c r="U88" s="27"/>
      <c r="V88" s="27"/>
      <c r="W88" s="27"/>
      <c r="X88" s="27"/>
      <c r="Y88" s="246"/>
      <c r="Z88" s="27"/>
    </row>
    <row r="89" spans="1:70">
      <c r="B89" s="209" t="s">
        <v>347</v>
      </c>
      <c r="C89" s="217">
        <f>C122*C281</f>
        <v>0.33945603379579292</v>
      </c>
      <c r="D89" s="217">
        <f>D122*D281</f>
        <v>0.391169986872</v>
      </c>
      <c r="E89" s="217">
        <f t="shared" ref="E89:I89" si="76">E122*E281</f>
        <v>0.41767550084999999</v>
      </c>
      <c r="F89" s="217">
        <f t="shared" si="76"/>
        <v>0.44781572434500005</v>
      </c>
      <c r="G89" s="217">
        <f t="shared" si="76"/>
        <v>0.47794246380299998</v>
      </c>
      <c r="H89" s="217">
        <f t="shared" si="76"/>
        <v>0.49712667149</v>
      </c>
      <c r="I89" s="217">
        <f t="shared" si="76"/>
        <v>0.50278071086100007</v>
      </c>
      <c r="J89" s="217">
        <f t="shared" ref="J89" si="77">J122*J281</f>
        <v>0.50603651576399999</v>
      </c>
      <c r="K89" s="130"/>
      <c r="L89" s="130"/>
      <c r="M89" s="130"/>
      <c r="O89" s="246"/>
      <c r="P89" s="27"/>
      <c r="Q89" s="27"/>
      <c r="R89" s="27"/>
      <c r="S89" s="27"/>
      <c r="T89" s="246"/>
      <c r="U89" s="27"/>
      <c r="V89" s="27"/>
      <c r="W89" s="27"/>
      <c r="X89" s="27"/>
      <c r="Y89" s="246"/>
      <c r="Z89" s="27"/>
    </row>
    <row r="90" spans="1:70">
      <c r="B90" s="209" t="s">
        <v>580</v>
      </c>
      <c r="C90" s="217">
        <f>C139*C282</f>
        <v>0.62680777348874406</v>
      </c>
      <c r="D90" s="217">
        <f>D139*D282</f>
        <v>0.73082898682200015</v>
      </c>
      <c r="E90" s="217">
        <f t="shared" ref="E90:I90" si="78">E139*E282</f>
        <v>0.73433069094699999</v>
      </c>
      <c r="F90" s="217">
        <f t="shared" si="78"/>
        <v>0.74998422316400004</v>
      </c>
      <c r="G90" s="217">
        <f t="shared" si="78"/>
        <v>0.76268849519199999</v>
      </c>
      <c r="H90" s="217">
        <f t="shared" si="78"/>
        <v>0.76377765389699992</v>
      </c>
      <c r="I90" s="217">
        <f t="shared" si="78"/>
        <v>0.74586130737699985</v>
      </c>
      <c r="J90" s="217">
        <f t="shared" ref="J90" si="79">J139*J282</f>
        <v>0.72605291287200002</v>
      </c>
      <c r="K90" s="222"/>
      <c r="L90" s="222"/>
      <c r="M90" s="222"/>
      <c r="O90" s="246"/>
      <c r="P90" s="27"/>
      <c r="Q90" s="27"/>
      <c r="R90" s="27"/>
      <c r="S90" s="27"/>
      <c r="T90" s="246"/>
      <c r="U90" s="27"/>
      <c r="V90" s="27"/>
      <c r="W90" s="27"/>
      <c r="X90" s="27"/>
      <c r="Y90" s="246"/>
      <c r="Z90" s="27"/>
    </row>
    <row r="91" spans="1:70">
      <c r="B91" s="209" t="s">
        <v>4</v>
      </c>
      <c r="C91" s="217">
        <f>C147*C283</f>
        <v>5.9172126898190874E-2</v>
      </c>
      <c r="D91" s="217">
        <f>D147*D283</f>
        <v>3.4181042554E-2</v>
      </c>
      <c r="E91" s="217">
        <f t="shared" ref="E91:I91" si="80">E146*E283</f>
        <v>0.26989275337500002</v>
      </c>
      <c r="F91" s="217">
        <f t="shared" si="80"/>
        <v>0.26461436264999999</v>
      </c>
      <c r="G91" s="217">
        <f t="shared" si="80"/>
        <v>0.24502199694799998</v>
      </c>
      <c r="H91" s="217">
        <f t="shared" si="80"/>
        <v>0.22358344528999999</v>
      </c>
      <c r="I91" s="217">
        <f t="shared" si="80"/>
        <v>0.20442591006199998</v>
      </c>
      <c r="J91" s="217">
        <f t="shared" ref="J91" si="81">J146*J283</f>
        <v>0.18867617325800001</v>
      </c>
      <c r="K91" s="41"/>
      <c r="L91" s="41"/>
      <c r="M91" s="41"/>
    </row>
    <row r="92" spans="1:70">
      <c r="B92" s="209" t="s">
        <v>541</v>
      </c>
      <c r="C92" s="217">
        <f>C153*C284</f>
        <v>3.3160278238668212E-2</v>
      </c>
      <c r="D92" s="217">
        <f>D153*D284</f>
        <v>4.6913554324000004E-2</v>
      </c>
      <c r="E92" s="217">
        <f t="shared" ref="E92:I92" si="82">E151*E284</f>
        <v>0</v>
      </c>
      <c r="F92" s="217">
        <f t="shared" si="82"/>
        <v>0</v>
      </c>
      <c r="G92" s="217">
        <f t="shared" si="82"/>
        <v>0</v>
      </c>
      <c r="H92" s="217">
        <f t="shared" si="82"/>
        <v>0</v>
      </c>
      <c r="I92" s="217">
        <f t="shared" si="82"/>
        <v>0</v>
      </c>
      <c r="J92" s="217">
        <f t="shared" ref="J92" si="83">J151*J284</f>
        <v>0</v>
      </c>
      <c r="K92" s="27"/>
      <c r="L92" s="27"/>
      <c r="M92" s="27"/>
      <c r="N92" s="27"/>
    </row>
    <row r="93" spans="1:70">
      <c r="B93" s="48"/>
      <c r="C93" s="41">
        <f>SUM(C89:C92)</f>
        <v>1.0585962124213961</v>
      </c>
      <c r="D93" s="41">
        <f t="shared" ref="D93:I93" si="84">SUM(D89:D92)</f>
        <v>1.2030935705720001</v>
      </c>
      <c r="E93" s="41">
        <f t="shared" si="84"/>
        <v>1.4218989451719999</v>
      </c>
      <c r="F93" s="41">
        <f t="shared" si="84"/>
        <v>1.4624143101589999</v>
      </c>
      <c r="G93" s="41">
        <f t="shared" si="84"/>
        <v>1.4856529559429998</v>
      </c>
      <c r="H93" s="41">
        <f t="shared" si="84"/>
        <v>1.4844877706770001</v>
      </c>
      <c r="I93" s="41">
        <f t="shared" si="84"/>
        <v>1.4530679282999999</v>
      </c>
      <c r="J93" s="41">
        <f t="shared" ref="J93" si="85">SUM(J89:J92)</f>
        <v>1.420765601894</v>
      </c>
    </row>
    <row r="94" spans="1:70" s="208" customFormat="1" ht="15.75" customHeight="1">
      <c r="A94" s="209"/>
      <c r="B94" s="27"/>
      <c r="C94" s="130">
        <f t="shared" ref="C94:I94" si="86">(C36-C93)/C36</f>
        <v>5.2604312534009559E-3</v>
      </c>
      <c r="D94" s="130">
        <f t="shared" si="86"/>
        <v>8.25275260529132E-4</v>
      </c>
      <c r="E94" s="130">
        <f t="shared" si="86"/>
        <v>-0.16057154991788389</v>
      </c>
      <c r="F94" s="130">
        <f t="shared" si="86"/>
        <v>-0.15378522429407432</v>
      </c>
      <c r="G94" s="130">
        <f t="shared" si="86"/>
        <v>-0.13350826596312021</v>
      </c>
      <c r="H94" s="130">
        <f t="shared" si="86"/>
        <v>-0.11526672002361017</v>
      </c>
      <c r="I94" s="130">
        <f t="shared" si="86"/>
        <v>-0.10493674221408938</v>
      </c>
      <c r="J94" s="130">
        <f t="shared" ref="J94" si="87">(J36-J93)/J36</f>
        <v>-9.8001864415961384E-2</v>
      </c>
      <c r="K94" s="209"/>
      <c r="L94" s="209"/>
      <c r="M94" s="209"/>
      <c r="N94" s="209"/>
      <c r="O94" s="209"/>
      <c r="AL94" s="28" t="s">
        <v>173</v>
      </c>
      <c r="AN94" s="48"/>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row>
    <row r="95" spans="1:70" s="27" customFormat="1" ht="15.75" customHeight="1">
      <c r="A95" s="209"/>
      <c r="B95" s="209" t="s">
        <v>2567</v>
      </c>
      <c r="C95" s="474">
        <f>C89/SUM(C89:C92)</f>
        <v>0.320666208524715</v>
      </c>
      <c r="D95" s="474">
        <f t="shared" ref="D95:J95" si="88">D89/SUM(D89:D92)</f>
        <v>0.32513679437753268</v>
      </c>
      <c r="E95" s="474">
        <f t="shared" si="88"/>
        <v>0.29374485596757788</v>
      </c>
      <c r="F95" s="474">
        <f t="shared" si="88"/>
        <v>0.30621672752662793</v>
      </c>
      <c r="G95" s="474">
        <f t="shared" si="88"/>
        <v>0.32170532282866282</v>
      </c>
      <c r="H95" s="474">
        <f t="shared" si="88"/>
        <v>0.33488094769772714</v>
      </c>
      <c r="I95" s="474">
        <f t="shared" si="88"/>
        <v>0.34601321870012131</v>
      </c>
      <c r="J95" s="474">
        <f t="shared" si="88"/>
        <v>0.35617171128679548</v>
      </c>
      <c r="K95" s="209"/>
      <c r="L95" s="209"/>
      <c r="M95" s="209"/>
      <c r="N95" s="209"/>
      <c r="O95" s="209"/>
      <c r="P95" s="48"/>
    </row>
    <row r="96" spans="1:70" s="27" customFormat="1" ht="15.75" customHeight="1">
      <c r="A96" s="209"/>
      <c r="B96" s="209"/>
      <c r="C96" s="474"/>
      <c r="D96" s="474"/>
      <c r="E96" s="474"/>
      <c r="F96" s="474"/>
      <c r="G96" s="474"/>
      <c r="H96" s="474"/>
      <c r="I96" s="474"/>
      <c r="J96" s="238">
        <f>35.62/32.07</f>
        <v>1.1106953539133146</v>
      </c>
      <c r="K96" s="209"/>
      <c r="L96" s="209"/>
      <c r="M96" s="209"/>
      <c r="N96" s="209"/>
      <c r="O96" s="209"/>
      <c r="P96" s="48"/>
    </row>
    <row r="97" spans="1:46" s="27" customFormat="1" ht="15.75" customHeight="1">
      <c r="A97" s="209"/>
      <c r="B97" s="209"/>
      <c r="C97" s="474"/>
      <c r="D97" s="474"/>
      <c r="E97" s="474"/>
      <c r="F97" s="474"/>
      <c r="G97" s="474"/>
      <c r="H97" s="474"/>
      <c r="I97" s="474"/>
      <c r="J97" s="474"/>
      <c r="K97" s="209"/>
      <c r="L97" s="209"/>
      <c r="M97" s="209"/>
      <c r="N97" s="209"/>
      <c r="O97" s="209"/>
      <c r="P97" s="48"/>
    </row>
    <row r="98" spans="1:46" s="27" customFormat="1">
      <c r="A98" s="845" t="s">
        <v>1134</v>
      </c>
      <c r="B98" s="845"/>
      <c r="C98" s="845"/>
      <c r="D98" s="845"/>
      <c r="E98" s="845"/>
      <c r="F98" s="845"/>
      <c r="G98" s="845"/>
      <c r="H98" s="845"/>
      <c r="P98" s="48"/>
      <c r="Q98" s="205"/>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5"/>
      <c r="AR98" s="205"/>
      <c r="AS98" s="205"/>
      <c r="AT98" s="205"/>
    </row>
    <row r="99" spans="1:46" s="27" customFormat="1">
      <c r="A99" s="845" t="s">
        <v>728</v>
      </c>
      <c r="B99" s="845"/>
      <c r="C99" s="845"/>
      <c r="D99" s="845"/>
      <c r="E99" s="845"/>
      <c r="F99" s="845"/>
      <c r="G99" s="845"/>
      <c r="H99" s="845"/>
      <c r="L99" s="44"/>
      <c r="M99" s="44"/>
      <c r="N99" s="131"/>
      <c r="O99" s="131"/>
      <c r="P99" s="131"/>
      <c r="Q99" s="131"/>
      <c r="R99" s="131"/>
      <c r="S99" s="131"/>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row>
    <row r="100" spans="1:46" s="27" customFormat="1">
      <c r="C100" s="49" t="s">
        <v>488</v>
      </c>
      <c r="D100" s="205" t="s">
        <v>489</v>
      </c>
      <c r="E100" s="205" t="s">
        <v>490</v>
      </c>
      <c r="F100" s="205" t="s">
        <v>847</v>
      </c>
      <c r="G100" s="205" t="s">
        <v>848</v>
      </c>
      <c r="H100" s="205">
        <v>2030</v>
      </c>
      <c r="I100" s="205">
        <v>2035</v>
      </c>
      <c r="J100" s="205">
        <v>2040</v>
      </c>
      <c r="L100" s="42"/>
      <c r="M100" s="42"/>
    </row>
    <row r="101" spans="1:46" s="27" customFormat="1">
      <c r="A101" s="46" t="s">
        <v>731</v>
      </c>
      <c r="L101" s="44"/>
      <c r="M101" s="44"/>
    </row>
    <row r="102" spans="1:46" s="27" customFormat="1">
      <c r="A102" s="46" t="s">
        <v>732</v>
      </c>
      <c r="L102" s="44"/>
      <c r="M102" s="44"/>
    </row>
    <row r="103" spans="1:46" s="27" customFormat="1">
      <c r="A103" s="46" t="s">
        <v>733</v>
      </c>
      <c r="C103" s="223">
        <v>79.6539306640625</v>
      </c>
      <c r="D103" s="43">
        <v>78.986275000000006</v>
      </c>
      <c r="E103" s="43">
        <v>81.206581</v>
      </c>
      <c r="F103" s="43">
        <v>85.713097000000005</v>
      </c>
      <c r="G103" s="43">
        <v>89.733536000000001</v>
      </c>
      <c r="H103" s="43">
        <v>93.555961999999994</v>
      </c>
      <c r="I103" s="43">
        <v>96.987388999999993</v>
      </c>
      <c r="J103" s="43">
        <v>100.37367999999999</v>
      </c>
      <c r="L103" s="42"/>
      <c r="M103" s="42"/>
      <c r="N103" s="42"/>
      <c r="O103" s="42"/>
      <c r="P103" s="42"/>
      <c r="Q103" s="42"/>
      <c r="R103" s="42"/>
      <c r="S103" s="42"/>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130"/>
    </row>
    <row r="104" spans="1:46" s="27" customFormat="1">
      <c r="A104" s="46" t="s">
        <v>734</v>
      </c>
      <c r="C104" s="223">
        <v>24.4934978485107</v>
      </c>
      <c r="D104" s="43">
        <v>28.133452999999999</v>
      </c>
      <c r="E104" s="43">
        <v>28.962713000000001</v>
      </c>
      <c r="F104" s="43">
        <v>30.546143000000001</v>
      </c>
      <c r="G104" s="43">
        <v>32.178677</v>
      </c>
      <c r="H104" s="43">
        <v>33.98386</v>
      </c>
      <c r="I104" s="43">
        <v>35.822186000000002</v>
      </c>
      <c r="J104" s="43">
        <v>37.608955000000002</v>
      </c>
      <c r="L104" s="42"/>
      <c r="M104" s="42"/>
      <c r="N104" s="42"/>
      <c r="O104" s="42"/>
      <c r="P104" s="42"/>
      <c r="Q104" s="42"/>
      <c r="R104" s="42"/>
      <c r="S104" s="42"/>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130"/>
    </row>
    <row r="105" spans="1:46" s="27" customFormat="1">
      <c r="A105" s="46" t="s">
        <v>735</v>
      </c>
      <c r="C105" s="223">
        <v>6.9431958198547399</v>
      </c>
      <c r="D105" s="43">
        <v>6.5768820000000003</v>
      </c>
      <c r="E105" s="43">
        <v>6.0181339999999999</v>
      </c>
      <c r="F105" s="43">
        <v>5.7028100000000004</v>
      </c>
      <c r="G105" s="43">
        <v>5.4645440000000001</v>
      </c>
      <c r="H105" s="43">
        <v>5.2926279999999997</v>
      </c>
      <c r="I105" s="43">
        <v>5.1442629999999996</v>
      </c>
      <c r="J105" s="43">
        <v>5.0316460000000003</v>
      </c>
      <c r="L105" s="42"/>
      <c r="M105" s="42"/>
      <c r="N105" s="42"/>
      <c r="O105" s="42"/>
      <c r="P105" s="42"/>
      <c r="Q105" s="42"/>
      <c r="R105" s="42"/>
      <c r="S105" s="42"/>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130"/>
    </row>
    <row r="106" spans="1:46" s="27" customFormat="1">
      <c r="A106" s="46" t="s">
        <v>636</v>
      </c>
      <c r="C106" s="223">
        <v>111.090629577637</v>
      </c>
      <c r="D106" s="45">
        <v>113.696609</v>
      </c>
      <c r="E106" s="45">
        <v>116.187431</v>
      </c>
      <c r="F106" s="45">
        <v>121.962051</v>
      </c>
      <c r="G106" s="45">
        <v>127.376762</v>
      </c>
      <c r="H106" s="45">
        <v>132.832458</v>
      </c>
      <c r="I106" s="45">
        <v>137.95382699999999</v>
      </c>
      <c r="J106" s="45">
        <v>143.01428200000001</v>
      </c>
      <c r="L106" s="44"/>
      <c r="M106" s="44"/>
      <c r="N106" s="44"/>
      <c r="O106" s="44"/>
      <c r="P106" s="44"/>
      <c r="Q106" s="44"/>
      <c r="R106" s="44"/>
      <c r="S106" s="44"/>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224"/>
    </row>
    <row r="107" spans="1:46" s="27" customFormat="1">
      <c r="D107" s="41"/>
      <c r="E107" s="41"/>
      <c r="F107" s="41"/>
      <c r="G107" s="41"/>
      <c r="H107" s="41"/>
      <c r="I107" s="41"/>
      <c r="J107" s="41"/>
      <c r="L107" s="42"/>
      <c r="M107" s="42"/>
    </row>
    <row r="108" spans="1:46" s="27" customFormat="1">
      <c r="A108" s="46" t="s">
        <v>736</v>
      </c>
      <c r="C108" s="225">
        <v>1801.65991210938</v>
      </c>
      <c r="D108" s="45">
        <v>1661.5974120000001</v>
      </c>
      <c r="E108" s="45">
        <v>1695.30249</v>
      </c>
      <c r="F108" s="45">
        <v>1735.5345460000001</v>
      </c>
      <c r="G108" s="45">
        <v>1770.923462</v>
      </c>
      <c r="H108" s="45">
        <v>1802.268188</v>
      </c>
      <c r="I108" s="45">
        <v>1830.575439</v>
      </c>
      <c r="J108" s="45">
        <v>1857.958374</v>
      </c>
      <c r="L108" s="44"/>
      <c r="M108" s="44"/>
      <c r="N108" s="44"/>
      <c r="O108" s="44"/>
      <c r="P108" s="44"/>
      <c r="Q108" s="44"/>
      <c r="R108" s="44"/>
      <c r="S108" s="44"/>
      <c r="T108" s="226"/>
      <c r="U108" s="226"/>
      <c r="V108" s="226"/>
      <c r="W108" s="226"/>
      <c r="X108" s="226"/>
      <c r="Y108" s="226"/>
      <c r="Z108" s="226"/>
      <c r="AA108" s="226"/>
      <c r="AB108" s="226"/>
      <c r="AC108" s="226"/>
      <c r="AD108" s="226"/>
      <c r="AE108" s="226"/>
      <c r="AF108" s="226"/>
      <c r="AG108" s="226"/>
      <c r="AH108" s="226"/>
      <c r="AI108" s="226"/>
      <c r="AJ108" s="226"/>
      <c r="AK108" s="226"/>
      <c r="AL108" s="226"/>
      <c r="AM108" s="226"/>
      <c r="AN108" s="226"/>
      <c r="AO108" s="226"/>
      <c r="AP108" s="224"/>
    </row>
    <row r="109" spans="1:46" s="27" customFormat="1">
      <c r="D109" s="41"/>
      <c r="E109" s="41"/>
      <c r="F109" s="41"/>
      <c r="G109" s="41"/>
      <c r="H109" s="41"/>
      <c r="I109" s="41"/>
      <c r="J109" s="41"/>
      <c r="L109" s="42"/>
      <c r="M109" s="42"/>
    </row>
    <row r="110" spans="1:46" s="27" customFormat="1">
      <c r="A110" s="46" t="s">
        <v>189</v>
      </c>
      <c r="D110" s="41"/>
      <c r="E110" s="41"/>
      <c r="F110" s="41"/>
      <c r="G110" s="41"/>
      <c r="H110" s="41"/>
      <c r="I110" s="41"/>
      <c r="J110" s="41"/>
      <c r="L110" s="44"/>
      <c r="M110" s="44"/>
    </row>
    <row r="111" spans="1:46" s="27" customFormat="1">
      <c r="A111" s="46" t="s">
        <v>190</v>
      </c>
      <c r="D111" s="41"/>
      <c r="E111" s="41"/>
      <c r="F111" s="41"/>
      <c r="G111" s="41"/>
      <c r="H111" s="41"/>
      <c r="I111" s="41"/>
      <c r="J111" s="41"/>
      <c r="L111" s="44"/>
      <c r="M111" s="44"/>
    </row>
    <row r="112" spans="1:46" s="27" customFormat="1">
      <c r="A112" s="46" t="s">
        <v>191</v>
      </c>
      <c r="C112" s="227">
        <v>103.666473388672</v>
      </c>
      <c r="D112" s="43">
        <v>99.039085</v>
      </c>
      <c r="E112" s="43">
        <v>93.045021000000006</v>
      </c>
      <c r="F112" s="43">
        <v>88.076804999999993</v>
      </c>
      <c r="G112" s="43">
        <v>84.577774000000005</v>
      </c>
      <c r="H112" s="43">
        <v>81.535697999999996</v>
      </c>
      <c r="I112" s="43">
        <v>78.736464999999995</v>
      </c>
      <c r="J112" s="43">
        <v>76.473823999999993</v>
      </c>
      <c r="L112" s="42"/>
      <c r="M112" s="42"/>
      <c r="N112" s="42"/>
      <c r="O112" s="42"/>
      <c r="P112" s="42"/>
      <c r="Q112" s="42"/>
      <c r="R112" s="42"/>
      <c r="S112" s="42"/>
      <c r="T112" s="150"/>
      <c r="U112" s="150"/>
      <c r="V112" s="150"/>
      <c r="W112" s="150"/>
      <c r="X112" s="150"/>
      <c r="Y112" s="150"/>
      <c r="Z112" s="150"/>
      <c r="AA112" s="150"/>
      <c r="AB112" s="150"/>
      <c r="AC112" s="150"/>
      <c r="AD112" s="150"/>
      <c r="AE112" s="150"/>
      <c r="AF112" s="150"/>
      <c r="AG112" s="150"/>
      <c r="AH112" s="150"/>
      <c r="AI112" s="150"/>
      <c r="AJ112" s="150"/>
      <c r="AK112" s="150"/>
      <c r="AL112" s="150"/>
      <c r="AM112" s="150"/>
      <c r="AN112" s="150"/>
      <c r="AO112" s="150"/>
      <c r="AP112" s="130"/>
    </row>
    <row r="113" spans="1:42" s="27" customFormat="1">
      <c r="A113" s="46" t="s">
        <v>192</v>
      </c>
      <c r="C113" s="227">
        <v>194.80401611328099</v>
      </c>
      <c r="D113" s="43">
        <v>188.15167199999999</v>
      </c>
      <c r="E113" s="43">
        <v>176.86814899999999</v>
      </c>
      <c r="F113" s="43">
        <v>167.12780799999999</v>
      </c>
      <c r="G113" s="43">
        <v>161.588898</v>
      </c>
      <c r="H113" s="43">
        <v>156.823959</v>
      </c>
      <c r="I113" s="43">
        <v>152.84884600000001</v>
      </c>
      <c r="J113" s="43">
        <v>150.21644599999999</v>
      </c>
      <c r="L113" s="42"/>
      <c r="M113" s="42"/>
      <c r="N113" s="42"/>
      <c r="O113" s="42"/>
      <c r="P113" s="42"/>
      <c r="Q113" s="42"/>
      <c r="R113" s="42"/>
      <c r="S113" s="42"/>
      <c r="T113" s="150"/>
      <c r="U113" s="150"/>
      <c r="V113" s="150"/>
      <c r="W113" s="150"/>
      <c r="X113" s="150"/>
      <c r="Y113" s="150"/>
      <c r="Z113" s="150"/>
      <c r="AA113" s="150"/>
      <c r="AB113" s="150"/>
      <c r="AC113" s="150"/>
      <c r="AD113" s="150"/>
      <c r="AE113" s="150"/>
      <c r="AF113" s="150"/>
      <c r="AG113" s="150"/>
      <c r="AH113" s="150"/>
      <c r="AI113" s="150"/>
      <c r="AJ113" s="150"/>
      <c r="AK113" s="150"/>
      <c r="AL113" s="150"/>
      <c r="AM113" s="150"/>
      <c r="AN113" s="150"/>
      <c r="AO113" s="150"/>
      <c r="AP113" s="130"/>
    </row>
    <row r="114" spans="1:42" s="27" customFormat="1">
      <c r="A114" s="46" t="s">
        <v>193</v>
      </c>
      <c r="D114" s="41"/>
      <c r="E114" s="41"/>
      <c r="F114" s="41"/>
      <c r="G114" s="41"/>
      <c r="H114" s="41"/>
      <c r="I114" s="41"/>
      <c r="J114" s="41"/>
      <c r="L114" s="44"/>
      <c r="M114" s="44"/>
    </row>
    <row r="115" spans="1:42" s="27" customFormat="1">
      <c r="A115" s="46" t="s">
        <v>191</v>
      </c>
      <c r="C115" s="227">
        <v>57.539424896240199</v>
      </c>
      <c r="D115" s="43">
        <v>59.60474</v>
      </c>
      <c r="E115" s="43">
        <v>54.884025999999999</v>
      </c>
      <c r="F115" s="43">
        <v>50.749091999999997</v>
      </c>
      <c r="G115" s="43">
        <v>47.759135999999998</v>
      </c>
      <c r="H115" s="43">
        <v>45.240603999999998</v>
      </c>
      <c r="I115" s="43">
        <v>43.011868</v>
      </c>
      <c r="J115" s="43">
        <v>41.160136999999999</v>
      </c>
      <c r="L115" s="42"/>
      <c r="M115" s="42"/>
      <c r="N115" s="42"/>
      <c r="O115" s="42"/>
      <c r="P115" s="42"/>
      <c r="Q115" s="42"/>
      <c r="R115" s="42"/>
      <c r="S115" s="42"/>
      <c r="T115" s="150"/>
      <c r="U115" s="150"/>
      <c r="V115" s="150"/>
      <c r="W115" s="150"/>
      <c r="X115" s="150"/>
      <c r="Y115" s="150"/>
      <c r="Z115" s="150"/>
      <c r="AA115" s="150"/>
      <c r="AB115" s="150"/>
      <c r="AC115" s="150"/>
      <c r="AD115" s="150"/>
      <c r="AE115" s="150"/>
      <c r="AF115" s="150"/>
      <c r="AG115" s="150"/>
      <c r="AH115" s="150"/>
      <c r="AI115" s="150"/>
      <c r="AJ115" s="150"/>
      <c r="AK115" s="150"/>
      <c r="AL115" s="150"/>
      <c r="AM115" s="150"/>
      <c r="AN115" s="150"/>
      <c r="AO115" s="150"/>
      <c r="AP115" s="130"/>
    </row>
    <row r="116" spans="1:42" s="27" customFormat="1">
      <c r="A116" s="46" t="s">
        <v>192</v>
      </c>
      <c r="C116" s="227">
        <v>108.12474060058599</v>
      </c>
      <c r="D116" s="43">
        <v>113.23541299999999</v>
      </c>
      <c r="E116" s="43">
        <v>104.328369</v>
      </c>
      <c r="F116" s="43">
        <v>96.297600000000003</v>
      </c>
      <c r="G116" s="43">
        <v>91.245552000000004</v>
      </c>
      <c r="H116" s="43">
        <v>87.014770999999996</v>
      </c>
      <c r="I116" s="43">
        <v>83.497703999999999</v>
      </c>
      <c r="J116" s="43">
        <v>80.850273000000001</v>
      </c>
      <c r="L116" s="42"/>
      <c r="M116" s="42"/>
      <c r="N116" s="42"/>
      <c r="O116" s="42"/>
      <c r="P116" s="42"/>
      <c r="Q116" s="42"/>
      <c r="R116" s="42"/>
      <c r="S116" s="42"/>
      <c r="T116" s="150"/>
      <c r="U116" s="150"/>
      <c r="V116" s="150"/>
      <c r="W116" s="150"/>
      <c r="X116" s="150"/>
      <c r="Y116" s="150"/>
      <c r="Z116" s="150"/>
      <c r="AA116" s="150"/>
      <c r="AB116" s="150"/>
      <c r="AC116" s="150"/>
      <c r="AD116" s="150"/>
      <c r="AE116" s="150"/>
      <c r="AF116" s="150"/>
      <c r="AG116" s="150"/>
      <c r="AH116" s="150"/>
      <c r="AI116" s="150"/>
      <c r="AJ116" s="150"/>
      <c r="AK116" s="150"/>
      <c r="AL116" s="150"/>
      <c r="AM116" s="150"/>
      <c r="AN116" s="150"/>
      <c r="AO116" s="150"/>
      <c r="AP116" s="130"/>
    </row>
    <row r="117" spans="1:42" s="27" customFormat="1">
      <c r="D117" s="41"/>
      <c r="L117" s="42"/>
      <c r="M117" s="42"/>
    </row>
    <row r="118" spans="1:42" s="27" customFormat="1">
      <c r="A118" s="46" t="s">
        <v>640</v>
      </c>
      <c r="D118" s="41"/>
      <c r="L118" s="44"/>
      <c r="M118" s="44"/>
    </row>
    <row r="119" spans="1:42" s="27" customFormat="1">
      <c r="A119" s="46" t="s">
        <v>641</v>
      </c>
      <c r="D119" s="41"/>
      <c r="L119" s="44"/>
      <c r="M119" s="44"/>
    </row>
    <row r="120" spans="1:42" s="27" customFormat="1">
      <c r="A120" s="46" t="s">
        <v>194</v>
      </c>
      <c r="C120" s="223">
        <v>0.31044062972068798</v>
      </c>
      <c r="D120" s="43">
        <v>0.37431599999999998</v>
      </c>
      <c r="E120" s="43">
        <v>0.35586800000000002</v>
      </c>
      <c r="F120" s="43">
        <v>0.350018</v>
      </c>
      <c r="G120" s="43">
        <v>0.346829</v>
      </c>
      <c r="H120" s="43">
        <v>0.34055000000000002</v>
      </c>
      <c r="I120" s="43">
        <v>0.33205000000000001</v>
      </c>
      <c r="J120" s="43">
        <v>0.32287399999999999</v>
      </c>
      <c r="L120" s="42"/>
      <c r="M120" s="42"/>
      <c r="N120" s="42"/>
      <c r="O120" s="42"/>
      <c r="P120" s="42"/>
      <c r="Q120" s="42"/>
      <c r="R120" s="42"/>
      <c r="S120" s="42"/>
      <c r="T120" s="41"/>
      <c r="U120" s="41"/>
      <c r="V120" s="41"/>
      <c r="W120" s="41"/>
      <c r="X120" s="41"/>
      <c r="Y120" s="41"/>
      <c r="Z120" s="41"/>
      <c r="AA120" s="41"/>
      <c r="AB120" s="41"/>
      <c r="AC120" s="41"/>
      <c r="AD120" s="41"/>
      <c r="AE120" s="41"/>
      <c r="AF120" s="41"/>
      <c r="AG120" s="41"/>
      <c r="AH120" s="41"/>
      <c r="AI120" s="41"/>
      <c r="AJ120" s="41"/>
      <c r="AK120" s="41"/>
      <c r="AL120" s="41"/>
      <c r="AM120" s="41"/>
      <c r="AN120" s="41"/>
      <c r="AO120" s="41"/>
      <c r="AP120" s="130"/>
    </row>
    <row r="121" spans="1:42" s="27" customFormat="1">
      <c r="A121" s="46" t="s">
        <v>195</v>
      </c>
      <c r="C121" s="223">
        <v>0.821350157260895</v>
      </c>
      <c r="D121" s="43">
        <v>0.82708599999999999</v>
      </c>
      <c r="E121" s="43">
        <v>0.82296499999999995</v>
      </c>
      <c r="F121" s="43">
        <v>0.88810500000000003</v>
      </c>
      <c r="G121" s="43">
        <v>0.97562300000000002</v>
      </c>
      <c r="H121" s="43">
        <v>1.066975</v>
      </c>
      <c r="I121" s="43">
        <v>1.1596200000000001</v>
      </c>
      <c r="J121" s="43">
        <v>1.2522930000000001</v>
      </c>
      <c r="K121" s="27">
        <f>E121/$D$121</f>
        <v>0.99501744679513371</v>
      </c>
      <c r="L121" s="27">
        <f t="shared" ref="L121:O121" si="89">F121/$D$121</f>
        <v>1.0737758830399742</v>
      </c>
      <c r="M121" s="27">
        <f t="shared" si="89"/>
        <v>1.1795907559794265</v>
      </c>
      <c r="N121" s="27">
        <f t="shared" si="89"/>
        <v>1.2900411807236492</v>
      </c>
      <c r="O121" s="27">
        <f t="shared" si="89"/>
        <v>1.4020549253644725</v>
      </c>
      <c r="P121" s="27">
        <f>J121/$D$121</f>
        <v>1.5141025238004271</v>
      </c>
      <c r="Q121" s="42">
        <f>AVERAGE(K121:P121)</f>
        <v>1.2424304526171805</v>
      </c>
      <c r="R121" s="42">
        <f>J121/D121</f>
        <v>1.5141025238004271</v>
      </c>
      <c r="S121" s="42"/>
      <c r="T121" s="41"/>
      <c r="U121" s="41"/>
      <c r="V121" s="41"/>
      <c r="W121" s="41"/>
      <c r="X121" s="41"/>
      <c r="Y121" s="41"/>
      <c r="Z121" s="41"/>
      <c r="AA121" s="41"/>
      <c r="AB121" s="41"/>
      <c r="AC121" s="41"/>
      <c r="AD121" s="41"/>
      <c r="AE121" s="41"/>
      <c r="AF121" s="41"/>
      <c r="AG121" s="41"/>
      <c r="AH121" s="41"/>
      <c r="AI121" s="41"/>
      <c r="AJ121" s="41"/>
      <c r="AK121" s="41"/>
      <c r="AL121" s="41"/>
      <c r="AM121" s="41"/>
      <c r="AN121" s="41"/>
      <c r="AO121" s="41"/>
      <c r="AP121" s="130"/>
    </row>
    <row r="122" spans="1:42" s="27" customFormat="1">
      <c r="A122" s="46" t="s">
        <v>196</v>
      </c>
      <c r="C122" s="223">
        <v>0.382184237241745</v>
      </c>
      <c r="D122" s="43">
        <v>0.43712200000000001</v>
      </c>
      <c r="E122" s="43">
        <v>0.46065</v>
      </c>
      <c r="F122" s="43">
        <v>0.47446500000000003</v>
      </c>
      <c r="G122" s="43">
        <v>0.49104300000000001</v>
      </c>
      <c r="H122" s="43">
        <v>0.50100999999999996</v>
      </c>
      <c r="I122" s="43">
        <v>0.50321700000000003</v>
      </c>
      <c r="J122" s="43">
        <v>0.50572600000000001</v>
      </c>
      <c r="L122" s="42"/>
      <c r="M122" s="42"/>
      <c r="N122" s="42"/>
      <c r="O122" s="42"/>
      <c r="P122" s="42"/>
      <c r="Q122" s="42"/>
      <c r="R122" s="42"/>
      <c r="S122" s="42"/>
      <c r="T122" s="41"/>
      <c r="U122" s="41"/>
      <c r="V122" s="41"/>
      <c r="W122" s="41"/>
      <c r="X122" s="41"/>
      <c r="Y122" s="41"/>
      <c r="Z122" s="41"/>
      <c r="AA122" s="41"/>
      <c r="AB122" s="41"/>
      <c r="AC122" s="41"/>
      <c r="AD122" s="41"/>
      <c r="AE122" s="41"/>
      <c r="AF122" s="41"/>
      <c r="AG122" s="41"/>
      <c r="AH122" s="41"/>
      <c r="AI122" s="41"/>
      <c r="AJ122" s="41"/>
      <c r="AK122" s="41"/>
      <c r="AL122" s="41"/>
      <c r="AM122" s="41"/>
      <c r="AN122" s="41"/>
      <c r="AO122" s="41"/>
      <c r="AP122" s="130"/>
    </row>
    <row r="123" spans="1:42" s="27" customFormat="1">
      <c r="A123" s="46" t="s">
        <v>197</v>
      </c>
      <c r="C123" s="223">
        <v>0.39436101913452098</v>
      </c>
      <c r="D123" s="43">
        <v>0.37790699999999999</v>
      </c>
      <c r="E123" s="43">
        <v>0.37693700000000002</v>
      </c>
      <c r="F123" s="43">
        <v>0.37551299999999999</v>
      </c>
      <c r="G123" s="43">
        <v>0.37684800000000002</v>
      </c>
      <c r="H123" s="43">
        <v>0.38406200000000001</v>
      </c>
      <c r="I123" s="43">
        <v>0.39679799999999998</v>
      </c>
      <c r="J123" s="43">
        <v>0.41375600000000001</v>
      </c>
      <c r="L123" s="42"/>
      <c r="M123" s="42"/>
      <c r="N123" s="42"/>
      <c r="O123" s="42"/>
      <c r="P123" s="42"/>
      <c r="Q123" s="42"/>
      <c r="R123" s="42"/>
      <c r="S123" s="42"/>
      <c r="T123" s="41"/>
      <c r="U123" s="41"/>
      <c r="V123" s="41"/>
      <c r="W123" s="41"/>
      <c r="X123" s="41"/>
      <c r="Y123" s="41"/>
      <c r="Z123" s="41"/>
      <c r="AA123" s="41"/>
      <c r="AB123" s="41"/>
      <c r="AC123" s="41"/>
      <c r="AD123" s="41"/>
      <c r="AE123" s="41"/>
      <c r="AF123" s="41"/>
      <c r="AG123" s="41"/>
      <c r="AH123" s="41"/>
      <c r="AI123" s="41"/>
      <c r="AJ123" s="41"/>
      <c r="AK123" s="41"/>
      <c r="AL123" s="41"/>
      <c r="AM123" s="41"/>
      <c r="AN123" s="41"/>
      <c r="AO123" s="41"/>
      <c r="AP123" s="130"/>
    </row>
    <row r="124" spans="1:42" s="27" customFormat="1">
      <c r="A124" s="46" t="s">
        <v>198</v>
      </c>
      <c r="C124" s="223">
        <v>0.102017246186733</v>
      </c>
      <c r="D124" s="43">
        <v>0.105281</v>
      </c>
      <c r="E124" s="43">
        <v>0.109099</v>
      </c>
      <c r="F124" s="43">
        <v>0.117116</v>
      </c>
      <c r="G124" s="43">
        <v>0.12457799999999999</v>
      </c>
      <c r="H124" s="43">
        <v>0.13200799999999999</v>
      </c>
      <c r="I124" s="43">
        <v>0.138992</v>
      </c>
      <c r="J124" s="43">
        <v>0.145903</v>
      </c>
      <c r="L124" s="42"/>
      <c r="M124" s="42"/>
      <c r="N124" s="42"/>
      <c r="O124" s="42"/>
      <c r="P124" s="42"/>
      <c r="Q124" s="42"/>
      <c r="R124" s="42"/>
      <c r="S124" s="42"/>
      <c r="T124" s="41"/>
      <c r="U124" s="41"/>
      <c r="V124" s="41"/>
      <c r="W124" s="41"/>
      <c r="X124" s="41"/>
      <c r="Y124" s="41"/>
      <c r="Z124" s="41"/>
      <c r="AA124" s="41"/>
      <c r="AB124" s="41"/>
      <c r="AC124" s="41"/>
      <c r="AD124" s="41"/>
      <c r="AE124" s="41"/>
      <c r="AF124" s="41"/>
      <c r="AG124" s="41"/>
      <c r="AH124" s="41"/>
      <c r="AI124" s="41"/>
      <c r="AJ124" s="41"/>
      <c r="AK124" s="41"/>
      <c r="AL124" s="41"/>
      <c r="AM124" s="41"/>
      <c r="AN124" s="41"/>
      <c r="AO124" s="41"/>
      <c r="AP124" s="130"/>
    </row>
    <row r="125" spans="1:42" s="27" customFormat="1">
      <c r="A125" s="46" t="s">
        <v>199</v>
      </c>
      <c r="C125" s="223">
        <v>0.25261107087135298</v>
      </c>
      <c r="D125" s="43">
        <v>0.198571</v>
      </c>
      <c r="E125" s="43">
        <v>0.20485800000000001</v>
      </c>
      <c r="F125" s="43">
        <v>0.21132000000000001</v>
      </c>
      <c r="G125" s="43">
        <v>0.220084</v>
      </c>
      <c r="H125" s="43">
        <v>0.230013</v>
      </c>
      <c r="I125" s="43">
        <v>0.24099799999999999</v>
      </c>
      <c r="J125" s="43">
        <v>0.25195899999999999</v>
      </c>
      <c r="L125" s="42"/>
      <c r="M125" s="42"/>
      <c r="N125" s="42"/>
      <c r="O125" s="42"/>
      <c r="P125" s="42"/>
      <c r="Q125" s="42"/>
      <c r="R125" s="42"/>
      <c r="S125" s="42"/>
      <c r="T125" s="41"/>
      <c r="U125" s="41"/>
      <c r="V125" s="41"/>
      <c r="W125" s="41"/>
      <c r="X125" s="41"/>
      <c r="Y125" s="41"/>
      <c r="Z125" s="41"/>
      <c r="AA125" s="41"/>
      <c r="AB125" s="41"/>
      <c r="AC125" s="41"/>
      <c r="AD125" s="41"/>
      <c r="AE125" s="41"/>
      <c r="AF125" s="41"/>
      <c r="AG125" s="41"/>
      <c r="AH125" s="41"/>
      <c r="AI125" s="41"/>
      <c r="AJ125" s="41"/>
      <c r="AK125" s="41"/>
      <c r="AL125" s="41"/>
      <c r="AM125" s="41"/>
      <c r="AN125" s="41"/>
      <c r="AO125" s="41"/>
      <c r="AP125" s="130"/>
    </row>
    <row r="126" spans="1:42" s="27" customFormat="1">
      <c r="A126" s="46" t="s">
        <v>200</v>
      </c>
      <c r="C126" s="223">
        <v>8.3529256284236894E-2</v>
      </c>
      <c r="D126" s="43">
        <v>7.9626000000000002E-2</v>
      </c>
      <c r="E126" s="43">
        <v>8.0264000000000002E-2</v>
      </c>
      <c r="F126" s="43">
        <v>7.9727999999999993E-2</v>
      </c>
      <c r="G126" s="43">
        <v>7.8634999999999997E-2</v>
      </c>
      <c r="H126" s="43">
        <v>7.7917E-2</v>
      </c>
      <c r="I126" s="43">
        <v>7.7727000000000004E-2</v>
      </c>
      <c r="J126" s="43">
        <v>7.8753000000000004E-2</v>
      </c>
      <c r="L126" s="42"/>
      <c r="M126" s="42"/>
      <c r="N126" s="42"/>
      <c r="O126" s="42"/>
      <c r="P126" s="42"/>
      <c r="Q126" s="42"/>
      <c r="R126" s="42"/>
      <c r="S126" s="42"/>
      <c r="T126" s="41"/>
      <c r="U126" s="41"/>
      <c r="V126" s="41"/>
      <c r="W126" s="41"/>
      <c r="X126" s="41"/>
      <c r="Y126" s="41"/>
      <c r="Z126" s="41"/>
      <c r="AA126" s="41"/>
      <c r="AB126" s="41"/>
      <c r="AC126" s="41"/>
      <c r="AD126" s="41"/>
      <c r="AE126" s="41"/>
      <c r="AF126" s="41"/>
      <c r="AG126" s="41"/>
      <c r="AH126" s="41"/>
      <c r="AI126" s="41"/>
      <c r="AJ126" s="41"/>
      <c r="AK126" s="41"/>
      <c r="AL126" s="41"/>
      <c r="AM126" s="41"/>
      <c r="AN126" s="41"/>
      <c r="AO126" s="41"/>
      <c r="AP126" s="130"/>
    </row>
    <row r="127" spans="1:42" s="27" customFormat="1">
      <c r="A127" s="46" t="s">
        <v>201</v>
      </c>
      <c r="C127" s="223">
        <v>0.72674226760864302</v>
      </c>
      <c r="D127" s="43">
        <v>0.63835299999999995</v>
      </c>
      <c r="E127" s="43">
        <v>0.498996</v>
      </c>
      <c r="F127" s="43">
        <v>0.43620599999999998</v>
      </c>
      <c r="G127" s="43">
        <v>0.39062000000000002</v>
      </c>
      <c r="H127" s="43">
        <v>0.34983500000000001</v>
      </c>
      <c r="I127" s="43">
        <v>0.29919800000000002</v>
      </c>
      <c r="J127" s="43">
        <v>0.27627400000000002</v>
      </c>
      <c r="L127" s="42"/>
      <c r="M127" s="42"/>
      <c r="N127" s="42"/>
      <c r="O127" s="42"/>
      <c r="P127" s="42"/>
      <c r="Q127" s="42"/>
      <c r="R127" s="42"/>
      <c r="S127" s="42"/>
      <c r="T127" s="41"/>
      <c r="U127" s="41"/>
      <c r="V127" s="41"/>
      <c r="W127" s="41"/>
      <c r="X127" s="41"/>
      <c r="Y127" s="41"/>
      <c r="Z127" s="41"/>
      <c r="AA127" s="41"/>
      <c r="AB127" s="41"/>
      <c r="AC127" s="41"/>
      <c r="AD127" s="41"/>
      <c r="AE127" s="41"/>
      <c r="AF127" s="41"/>
      <c r="AG127" s="41"/>
      <c r="AH127" s="41"/>
      <c r="AI127" s="41"/>
      <c r="AJ127" s="41"/>
      <c r="AK127" s="41"/>
      <c r="AL127" s="41"/>
      <c r="AM127" s="41"/>
      <c r="AN127" s="41"/>
      <c r="AO127" s="41"/>
      <c r="AP127" s="130"/>
    </row>
    <row r="128" spans="1:42" s="27" customFormat="1">
      <c r="A128" s="46" t="s">
        <v>202</v>
      </c>
      <c r="C128" s="223">
        <v>3.4679807722568498E-2</v>
      </c>
      <c r="D128" s="43">
        <v>3.1628999999999997E-2</v>
      </c>
      <c r="E128" s="43">
        <v>3.0263000000000002E-2</v>
      </c>
      <c r="F128" s="43">
        <v>2.5973E-2</v>
      </c>
      <c r="G128" s="43">
        <v>2.2155999999999999E-2</v>
      </c>
      <c r="H128" s="43">
        <v>2.0947E-2</v>
      </c>
      <c r="I128" s="43">
        <v>2.147E-2</v>
      </c>
      <c r="J128" s="43">
        <v>2.2419999999999999E-2</v>
      </c>
      <c r="L128" s="42"/>
      <c r="M128" s="42"/>
      <c r="N128" s="42"/>
      <c r="O128" s="42"/>
      <c r="P128" s="42"/>
      <c r="Q128" s="42"/>
      <c r="R128" s="42"/>
      <c r="S128" s="42"/>
      <c r="T128" s="41"/>
      <c r="U128" s="41"/>
      <c r="V128" s="41"/>
      <c r="W128" s="41"/>
      <c r="X128" s="41"/>
      <c r="Y128" s="41"/>
      <c r="Z128" s="41"/>
      <c r="AA128" s="41"/>
      <c r="AB128" s="41"/>
      <c r="AC128" s="41"/>
      <c r="AD128" s="41"/>
      <c r="AE128" s="41"/>
      <c r="AF128" s="41"/>
      <c r="AG128" s="41"/>
      <c r="AH128" s="41"/>
      <c r="AI128" s="41"/>
      <c r="AJ128" s="41"/>
      <c r="AK128" s="41"/>
      <c r="AL128" s="41"/>
      <c r="AM128" s="41"/>
      <c r="AN128" s="41"/>
      <c r="AO128" s="41"/>
      <c r="AP128" s="130"/>
    </row>
    <row r="129" spans="1:42" s="27" customFormat="1">
      <c r="A129" s="46" t="s">
        <v>203</v>
      </c>
      <c r="C129" s="223">
        <v>9.5851413905620603E-2</v>
      </c>
      <c r="D129" s="43">
        <v>9.9588999999999997E-2</v>
      </c>
      <c r="E129" s="43">
        <v>9.8664000000000002E-2</v>
      </c>
      <c r="F129" s="43">
        <v>9.7799999999999998E-2</v>
      </c>
      <c r="G129" s="43">
        <v>9.7684999999999994E-2</v>
      </c>
      <c r="H129" s="43">
        <v>0.104022</v>
      </c>
      <c r="I129" s="43">
        <v>0.111884</v>
      </c>
      <c r="J129" s="43">
        <v>0.1197</v>
      </c>
      <c r="L129" s="42"/>
      <c r="M129" s="42"/>
      <c r="N129" s="42"/>
      <c r="O129" s="42"/>
      <c r="P129" s="42"/>
      <c r="Q129" s="42"/>
      <c r="R129" s="42"/>
      <c r="S129" s="42"/>
      <c r="T129" s="41"/>
      <c r="U129" s="41"/>
      <c r="V129" s="41"/>
      <c r="W129" s="41"/>
      <c r="X129" s="41"/>
      <c r="Y129" s="41"/>
      <c r="Z129" s="41"/>
      <c r="AA129" s="41"/>
      <c r="AB129" s="41"/>
      <c r="AC129" s="41"/>
      <c r="AD129" s="41"/>
      <c r="AE129" s="41"/>
      <c r="AF129" s="41"/>
      <c r="AG129" s="41"/>
      <c r="AH129" s="41"/>
      <c r="AI129" s="41"/>
      <c r="AJ129" s="41"/>
      <c r="AK129" s="41"/>
      <c r="AL129" s="41"/>
      <c r="AM129" s="41"/>
      <c r="AN129" s="41"/>
      <c r="AO129" s="41"/>
      <c r="AP129" s="130"/>
    </row>
    <row r="130" spans="1:42" s="27" customFormat="1">
      <c r="A130" s="46" t="s">
        <v>204</v>
      </c>
      <c r="C130" s="223">
        <v>0.29940426349639898</v>
      </c>
      <c r="D130" s="43">
        <v>0.33408399999999999</v>
      </c>
      <c r="E130" s="43">
        <v>0.32941999999999999</v>
      </c>
      <c r="F130" s="43">
        <v>0.32728299999999999</v>
      </c>
      <c r="G130" s="43">
        <v>0.33494699999999999</v>
      </c>
      <c r="H130" s="43">
        <v>0.35036</v>
      </c>
      <c r="I130" s="43">
        <v>0.37098100000000001</v>
      </c>
      <c r="J130" s="43">
        <v>0.38829999999999998</v>
      </c>
      <c r="L130" s="42"/>
      <c r="M130" s="42"/>
      <c r="N130" s="42"/>
      <c r="O130" s="42"/>
      <c r="P130" s="42"/>
      <c r="Q130" s="42"/>
      <c r="R130" s="42"/>
      <c r="S130" s="42"/>
      <c r="T130" s="41"/>
      <c r="U130" s="41"/>
      <c r="V130" s="41"/>
      <c r="W130" s="41"/>
      <c r="X130" s="41"/>
      <c r="Y130" s="41"/>
      <c r="Z130" s="41"/>
      <c r="AA130" s="41"/>
      <c r="AB130" s="41"/>
      <c r="AC130" s="41"/>
      <c r="AD130" s="41"/>
      <c r="AE130" s="41"/>
      <c r="AF130" s="41"/>
      <c r="AG130" s="41"/>
      <c r="AH130" s="41"/>
      <c r="AI130" s="41"/>
      <c r="AJ130" s="41"/>
      <c r="AK130" s="41"/>
      <c r="AL130" s="41"/>
      <c r="AM130" s="41"/>
      <c r="AN130" s="41"/>
      <c r="AO130" s="41"/>
      <c r="AP130" s="130"/>
    </row>
    <row r="131" spans="1:42" s="27" customFormat="1">
      <c r="A131" s="46" t="s">
        <v>205</v>
      </c>
      <c r="C131" s="223">
        <v>6.5222315490245805E-2</v>
      </c>
      <c r="D131" s="43">
        <v>0.12784400000000001</v>
      </c>
      <c r="E131" s="43">
        <v>0.11465599999999999</v>
      </c>
      <c r="F131" s="43">
        <v>9.7959000000000004E-2</v>
      </c>
      <c r="G131" s="43">
        <v>8.3530999999999994E-2</v>
      </c>
      <c r="H131" s="43">
        <v>7.1593000000000004E-2</v>
      </c>
      <c r="I131" s="43">
        <v>6.1940000000000002E-2</v>
      </c>
      <c r="J131" s="43">
        <v>5.2770999999999998E-2</v>
      </c>
      <c r="L131" s="42"/>
      <c r="M131" s="42"/>
      <c r="N131" s="42"/>
      <c r="O131" s="42"/>
      <c r="P131" s="42"/>
      <c r="Q131" s="42"/>
      <c r="R131" s="42"/>
      <c r="S131" s="42"/>
      <c r="T131" s="41"/>
      <c r="U131" s="41"/>
      <c r="V131" s="41"/>
      <c r="W131" s="41"/>
      <c r="X131" s="41"/>
      <c r="Y131" s="41"/>
      <c r="Z131" s="41"/>
      <c r="AA131" s="41"/>
      <c r="AB131" s="41"/>
      <c r="AC131" s="41"/>
      <c r="AD131" s="41"/>
      <c r="AE131" s="41"/>
      <c r="AF131" s="41"/>
      <c r="AG131" s="41"/>
      <c r="AH131" s="41"/>
      <c r="AI131" s="41"/>
      <c r="AJ131" s="41"/>
      <c r="AK131" s="41"/>
      <c r="AL131" s="41"/>
      <c r="AM131" s="41"/>
      <c r="AN131" s="41"/>
      <c r="AO131" s="41"/>
      <c r="AP131" s="130"/>
    </row>
    <row r="132" spans="1:42" s="27" customFormat="1">
      <c r="A132" s="46" t="s">
        <v>206</v>
      </c>
      <c r="C132" s="223">
        <v>5.9013724327087402E-2</v>
      </c>
      <c r="D132" s="43">
        <v>0.11804000000000001</v>
      </c>
      <c r="E132" s="43">
        <v>0.113596</v>
      </c>
      <c r="F132" s="43">
        <v>0.115033</v>
      </c>
      <c r="G132" s="43">
        <v>0.116506</v>
      </c>
      <c r="H132" s="43">
        <v>0.117882</v>
      </c>
      <c r="I132" s="43">
        <v>0.118399</v>
      </c>
      <c r="J132" s="43">
        <v>0.118285</v>
      </c>
      <c r="L132" s="42"/>
      <c r="M132" s="42"/>
      <c r="N132" s="42"/>
      <c r="O132" s="42"/>
      <c r="P132" s="42"/>
      <c r="Q132" s="42"/>
      <c r="R132" s="42"/>
      <c r="S132" s="42"/>
      <c r="T132" s="41"/>
      <c r="U132" s="41"/>
      <c r="V132" s="41"/>
      <c r="W132" s="41"/>
      <c r="X132" s="41"/>
      <c r="Y132" s="41"/>
      <c r="Z132" s="41"/>
      <c r="AA132" s="41"/>
      <c r="AB132" s="41"/>
      <c r="AC132" s="41"/>
      <c r="AD132" s="41"/>
      <c r="AE132" s="41"/>
      <c r="AF132" s="41"/>
      <c r="AG132" s="41"/>
      <c r="AH132" s="41"/>
      <c r="AI132" s="41"/>
      <c r="AJ132" s="41"/>
      <c r="AK132" s="41"/>
      <c r="AL132" s="41"/>
      <c r="AM132" s="41"/>
      <c r="AN132" s="41"/>
      <c r="AO132" s="41"/>
      <c r="AP132" s="130"/>
    </row>
    <row r="133" spans="1:42" s="27" customFormat="1">
      <c r="A133" s="46" t="s">
        <v>207</v>
      </c>
      <c r="C133" s="223">
        <v>1.01017153263092</v>
      </c>
      <c r="D133" s="43">
        <v>1.1051420000000001</v>
      </c>
      <c r="E133" s="43">
        <v>1.1481209999999999</v>
      </c>
      <c r="F133" s="43">
        <v>1.242232</v>
      </c>
      <c r="G133" s="43">
        <v>1.3448169999999999</v>
      </c>
      <c r="H133" s="43">
        <v>1.4596690000000001</v>
      </c>
      <c r="I133" s="43">
        <v>1.575928</v>
      </c>
      <c r="J133" s="43">
        <v>1.70329</v>
      </c>
      <c r="L133" s="42"/>
      <c r="M133" s="42"/>
      <c r="N133" s="42"/>
      <c r="O133" s="42"/>
      <c r="P133" s="42"/>
      <c r="Q133" s="42"/>
      <c r="R133" s="42"/>
      <c r="S133" s="42"/>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130"/>
    </row>
    <row r="134" spans="1:42" s="27" customFormat="1">
      <c r="A134" s="46" t="s">
        <v>208</v>
      </c>
      <c r="C134" s="223">
        <v>4.6375794410705602</v>
      </c>
      <c r="D134" s="45">
        <v>4.85459</v>
      </c>
      <c r="E134" s="45">
        <v>4.7443549999999997</v>
      </c>
      <c r="F134" s="45">
        <v>4.8387510000000002</v>
      </c>
      <c r="G134" s="45">
        <v>5.0039009999999999</v>
      </c>
      <c r="H134" s="45">
        <v>5.2068430000000001</v>
      </c>
      <c r="I134" s="45">
        <v>5.4092019999999996</v>
      </c>
      <c r="J134" s="45">
        <v>5.6523029999999999</v>
      </c>
      <c r="L134" s="44"/>
      <c r="M134" s="44"/>
      <c r="N134" s="44"/>
      <c r="O134" s="44"/>
      <c r="P134" s="44"/>
      <c r="Q134" s="44"/>
      <c r="R134" s="44"/>
      <c r="S134" s="44"/>
      <c r="T134" s="140"/>
      <c r="U134" s="140"/>
      <c r="V134" s="140"/>
      <c r="W134" s="140"/>
      <c r="X134" s="140"/>
      <c r="Y134" s="140"/>
      <c r="Z134" s="140"/>
      <c r="AA134" s="140"/>
      <c r="AB134" s="140"/>
      <c r="AC134" s="140"/>
      <c r="AD134" s="140"/>
      <c r="AE134" s="140"/>
      <c r="AF134" s="140"/>
      <c r="AG134" s="140"/>
      <c r="AH134" s="140"/>
      <c r="AI134" s="140"/>
      <c r="AJ134" s="140"/>
      <c r="AK134" s="140"/>
      <c r="AL134" s="140"/>
      <c r="AM134" s="140"/>
      <c r="AN134" s="140"/>
      <c r="AO134" s="140"/>
      <c r="AP134" s="224"/>
    </row>
    <row r="135" spans="1:42" s="27" customFormat="1">
      <c r="D135" s="41"/>
      <c r="E135" s="41"/>
      <c r="F135" s="41"/>
      <c r="G135" s="41"/>
      <c r="H135" s="41"/>
      <c r="I135" s="41"/>
      <c r="J135" s="41"/>
      <c r="L135" s="42"/>
      <c r="M135" s="42"/>
    </row>
    <row r="136" spans="1:42" s="27" customFormat="1">
      <c r="A136" s="46" t="s">
        <v>642</v>
      </c>
      <c r="D136" s="41"/>
      <c r="E136" s="41"/>
      <c r="F136" s="41"/>
      <c r="G136" s="41"/>
      <c r="H136" s="41"/>
      <c r="I136" s="41"/>
      <c r="J136" s="41"/>
      <c r="L136" s="44"/>
      <c r="M136" s="44"/>
    </row>
    <row r="137" spans="1:42" s="27" customFormat="1">
      <c r="A137" s="46" t="s">
        <v>194</v>
      </c>
      <c r="C137" s="223">
        <f>C143-SUM(C138:C142)</f>
        <v>3.3343359846145226</v>
      </c>
      <c r="D137" s="43">
        <v>3.0893359999999999</v>
      </c>
      <c r="E137" s="43">
        <v>2.870689</v>
      </c>
      <c r="F137" s="43">
        <v>2.8237290000000002</v>
      </c>
      <c r="G137" s="43">
        <v>2.7605819999999999</v>
      </c>
      <c r="H137" s="43">
        <v>2.69312</v>
      </c>
      <c r="I137" s="43">
        <v>2.6173099999999998</v>
      </c>
      <c r="J137" s="43">
        <v>2.53756</v>
      </c>
      <c r="L137" s="42"/>
      <c r="M137" s="42"/>
      <c r="N137" s="42"/>
      <c r="O137" s="42"/>
      <c r="P137" s="42"/>
      <c r="Q137" s="42"/>
      <c r="R137" s="42"/>
      <c r="S137" s="42"/>
      <c r="T137" s="41"/>
      <c r="U137" s="41"/>
      <c r="V137" s="41"/>
      <c r="W137" s="41"/>
      <c r="X137" s="41"/>
      <c r="Y137" s="41"/>
      <c r="Z137" s="41"/>
      <c r="AA137" s="41"/>
      <c r="AB137" s="41"/>
      <c r="AC137" s="41"/>
      <c r="AD137" s="41"/>
      <c r="AE137" s="41"/>
      <c r="AF137" s="41"/>
      <c r="AG137" s="41"/>
      <c r="AH137" s="41"/>
      <c r="AI137" s="41"/>
      <c r="AJ137" s="41"/>
      <c r="AK137" s="41"/>
      <c r="AL137" s="41"/>
      <c r="AM137" s="41"/>
      <c r="AN137" s="41"/>
      <c r="AO137" s="41"/>
      <c r="AP137" s="130"/>
    </row>
    <row r="138" spans="1:42" s="27" customFormat="1">
      <c r="A138" s="46" t="s">
        <v>195</v>
      </c>
      <c r="C138" s="223">
        <v>1.1000000021965699E-8</v>
      </c>
      <c r="D138" s="43">
        <v>2.2401999999999998E-2</v>
      </c>
      <c r="E138" s="43">
        <v>2.2030999999999999E-2</v>
      </c>
      <c r="F138" s="43">
        <v>2.2488999999999999E-2</v>
      </c>
      <c r="G138" s="43">
        <v>2.1885000000000002E-2</v>
      </c>
      <c r="H138" s="43">
        <v>2.1101999999999999E-2</v>
      </c>
      <c r="I138" s="43">
        <v>2.0320000000000001E-2</v>
      </c>
      <c r="J138" s="43">
        <v>1.9793000000000002E-2</v>
      </c>
      <c r="L138" s="42"/>
      <c r="M138" s="42"/>
      <c r="N138" s="42"/>
      <c r="O138" s="42"/>
      <c r="P138" s="42"/>
      <c r="Q138" s="42"/>
      <c r="R138" s="42"/>
      <c r="S138" s="42"/>
      <c r="T138" s="41"/>
      <c r="U138" s="41"/>
      <c r="V138" s="41"/>
      <c r="W138" s="41"/>
      <c r="X138" s="41"/>
      <c r="Y138" s="41"/>
      <c r="Z138" s="41"/>
      <c r="AA138" s="41"/>
      <c r="AB138" s="41"/>
      <c r="AC138" s="41"/>
      <c r="AD138" s="41"/>
      <c r="AE138" s="41"/>
      <c r="AF138" s="41"/>
      <c r="AG138" s="41"/>
      <c r="AH138" s="41"/>
      <c r="AI138" s="41"/>
      <c r="AJ138" s="41"/>
      <c r="AK138" s="41"/>
      <c r="AL138" s="41"/>
      <c r="AM138" s="41"/>
      <c r="AN138" s="41"/>
      <c r="AO138" s="41"/>
      <c r="AP138" s="228"/>
    </row>
    <row r="139" spans="1:42" s="27" customFormat="1">
      <c r="A139" s="46" t="s">
        <v>196</v>
      </c>
      <c r="C139" s="223">
        <v>1.0887750387191799</v>
      </c>
      <c r="D139" s="43">
        <v>1.1998230000000001</v>
      </c>
      <c r="E139" s="43">
        <v>1.2050989999999999</v>
      </c>
      <c r="F139" s="43">
        <v>1.208537</v>
      </c>
      <c r="G139" s="43">
        <v>1.2195640000000001</v>
      </c>
      <c r="H139" s="43">
        <v>1.217849</v>
      </c>
      <c r="I139" s="43">
        <v>1.1885269999999999</v>
      </c>
      <c r="J139" s="43">
        <v>1.156533</v>
      </c>
      <c r="L139" s="42"/>
      <c r="M139" s="42"/>
      <c r="N139" s="42"/>
      <c r="O139" s="42"/>
      <c r="P139" s="42"/>
      <c r="Q139" s="42"/>
      <c r="R139" s="42"/>
      <c r="S139" s="42"/>
      <c r="T139" s="41"/>
      <c r="U139" s="41"/>
      <c r="V139" s="41"/>
      <c r="W139" s="41"/>
      <c r="X139" s="41"/>
      <c r="Y139" s="41"/>
      <c r="Z139" s="41"/>
      <c r="AA139" s="41"/>
      <c r="AB139" s="41"/>
      <c r="AC139" s="41"/>
      <c r="AD139" s="41"/>
      <c r="AE139" s="41"/>
      <c r="AF139" s="41"/>
      <c r="AG139" s="41"/>
      <c r="AH139" s="41"/>
      <c r="AI139" s="41"/>
      <c r="AJ139" s="41"/>
      <c r="AK139" s="41"/>
      <c r="AL139" s="41"/>
      <c r="AM139" s="41"/>
      <c r="AN139" s="41"/>
      <c r="AO139" s="41"/>
      <c r="AP139" s="130"/>
    </row>
    <row r="140" spans="1:42" s="27" customFormat="1">
      <c r="A140" s="46" t="s">
        <v>198</v>
      </c>
      <c r="C140" s="223">
        <v>0.216470271348953</v>
      </c>
      <c r="D140" s="43">
        <v>0.20971300000000001</v>
      </c>
      <c r="E140" s="43">
        <v>0.208651</v>
      </c>
      <c r="F140" s="43">
        <v>0.209926</v>
      </c>
      <c r="G140" s="43">
        <v>0.210762</v>
      </c>
      <c r="H140" s="43">
        <v>0.21285899999999999</v>
      </c>
      <c r="I140" s="43">
        <v>0.21637700000000001</v>
      </c>
      <c r="J140" s="43">
        <v>0.21986</v>
      </c>
      <c r="L140" s="42"/>
      <c r="M140" s="42"/>
      <c r="N140" s="42"/>
      <c r="O140" s="42"/>
      <c r="P140" s="42"/>
      <c r="Q140" s="42"/>
      <c r="R140" s="42"/>
      <c r="S140" s="42"/>
      <c r="T140" s="41"/>
      <c r="U140" s="41"/>
      <c r="V140" s="41"/>
      <c r="W140" s="41"/>
      <c r="X140" s="41"/>
      <c r="Y140" s="41"/>
      <c r="Z140" s="41"/>
      <c r="AA140" s="41"/>
      <c r="AB140" s="41"/>
      <c r="AC140" s="41"/>
      <c r="AD140" s="41"/>
      <c r="AE140" s="41"/>
      <c r="AF140" s="41"/>
      <c r="AG140" s="41"/>
      <c r="AH140" s="41"/>
      <c r="AI140" s="41"/>
      <c r="AJ140" s="41"/>
      <c r="AK140" s="41"/>
      <c r="AL140" s="41"/>
      <c r="AM140" s="41"/>
      <c r="AN140" s="41"/>
      <c r="AO140" s="41"/>
      <c r="AP140" s="130"/>
    </row>
    <row r="141" spans="1:42" s="27" customFormat="1">
      <c r="A141" s="46" t="s">
        <v>199</v>
      </c>
      <c r="C141" s="223">
        <v>7.1999199688434601E-2</v>
      </c>
      <c r="D141" s="43">
        <v>4.9576000000000002E-2</v>
      </c>
      <c r="E141" s="43">
        <v>5.1721999999999997E-2</v>
      </c>
      <c r="F141" s="43">
        <v>5.4331999999999998E-2</v>
      </c>
      <c r="G141" s="43">
        <v>5.6467999999999997E-2</v>
      </c>
      <c r="H141" s="43">
        <v>5.8194999999999997E-2</v>
      </c>
      <c r="I141" s="43">
        <v>5.9565E-2</v>
      </c>
      <c r="J141" s="43">
        <v>6.1062999999999999E-2</v>
      </c>
      <c r="L141" s="42"/>
      <c r="M141" s="42"/>
      <c r="N141" s="42"/>
      <c r="O141" s="42"/>
      <c r="P141" s="42"/>
      <c r="Q141" s="42"/>
      <c r="R141" s="42"/>
      <c r="S141" s="42"/>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224"/>
    </row>
    <row r="142" spans="1:42" s="27" customFormat="1">
      <c r="A142" s="46" t="s">
        <v>1135</v>
      </c>
      <c r="C142" s="223">
        <v>0.26</v>
      </c>
      <c r="D142" s="43">
        <v>0.24676100000000001</v>
      </c>
      <c r="E142" s="43">
        <v>0.24453900000000001</v>
      </c>
      <c r="F142" s="43">
        <v>0.23808099999999999</v>
      </c>
      <c r="G142" s="43">
        <v>0.231403</v>
      </c>
      <c r="H142" s="43">
        <v>0.22462799999999999</v>
      </c>
      <c r="I142" s="43">
        <v>0.21806</v>
      </c>
      <c r="J142" s="43">
        <v>0.21132000000000001</v>
      </c>
      <c r="L142" s="44"/>
      <c r="M142" s="44"/>
      <c r="N142" s="44"/>
      <c r="O142" s="44"/>
      <c r="P142" s="44"/>
      <c r="Q142" s="44"/>
      <c r="R142" s="44"/>
      <c r="S142" s="44"/>
    </row>
    <row r="143" spans="1:42" s="27" customFormat="1">
      <c r="A143" s="46" t="s">
        <v>208</v>
      </c>
      <c r="C143" s="223">
        <v>4.9715805053710902</v>
      </c>
      <c r="D143" s="45">
        <v>4.8176100000000002</v>
      </c>
      <c r="E143" s="45">
        <v>4.6027329999999997</v>
      </c>
      <c r="F143" s="45">
        <v>4.5570950000000003</v>
      </c>
      <c r="G143" s="45">
        <v>4.5006640000000004</v>
      </c>
      <c r="H143" s="45">
        <v>4.4277519999999999</v>
      </c>
      <c r="I143" s="45">
        <v>4.3201590000000003</v>
      </c>
      <c r="J143" s="45">
        <v>4.2061289999999998</v>
      </c>
      <c r="L143" s="42"/>
      <c r="M143" s="42"/>
    </row>
    <row r="144" spans="1:42" s="27" customFormat="1">
      <c r="D144" s="41"/>
      <c r="E144" s="41"/>
      <c r="F144" s="41"/>
      <c r="G144" s="41"/>
      <c r="H144" s="41"/>
      <c r="I144" s="41"/>
      <c r="J144" s="41"/>
      <c r="L144" s="44"/>
      <c r="M144" s="44"/>
      <c r="T144" s="41"/>
      <c r="U144" s="41"/>
      <c r="V144" s="41"/>
      <c r="W144" s="41"/>
      <c r="X144" s="41"/>
      <c r="Y144" s="41"/>
      <c r="Z144" s="41"/>
      <c r="AA144" s="41"/>
      <c r="AB144" s="41"/>
      <c r="AC144" s="41"/>
      <c r="AD144" s="41"/>
      <c r="AE144" s="41"/>
      <c r="AF144" s="41"/>
      <c r="AG144" s="41"/>
      <c r="AH144" s="41"/>
      <c r="AI144" s="41"/>
      <c r="AJ144" s="41"/>
      <c r="AK144" s="41"/>
      <c r="AL144" s="41"/>
      <c r="AM144" s="41"/>
      <c r="AN144" s="41"/>
      <c r="AO144" s="41"/>
      <c r="AP144" s="130"/>
    </row>
    <row r="145" spans="1:42" s="27" customFormat="1">
      <c r="A145" s="46" t="s">
        <v>210</v>
      </c>
      <c r="D145" s="41"/>
      <c r="E145" s="41"/>
      <c r="F145" s="41"/>
      <c r="G145" s="41"/>
      <c r="H145" s="41"/>
      <c r="I145" s="41"/>
      <c r="J145" s="41"/>
      <c r="L145" s="42"/>
      <c r="M145" s="42"/>
      <c r="N145" s="42"/>
      <c r="O145" s="42"/>
      <c r="P145" s="42"/>
      <c r="Q145" s="42"/>
      <c r="R145" s="42"/>
      <c r="S145" s="42"/>
      <c r="T145" s="41"/>
      <c r="U145" s="41"/>
      <c r="V145" s="41"/>
      <c r="W145" s="41"/>
      <c r="X145" s="41"/>
      <c r="Y145" s="41"/>
      <c r="Z145" s="41"/>
      <c r="AA145" s="41"/>
      <c r="AB145" s="41"/>
      <c r="AC145" s="41"/>
      <c r="AD145" s="41"/>
      <c r="AE145" s="41"/>
      <c r="AF145" s="41"/>
      <c r="AG145" s="41"/>
      <c r="AH145" s="41"/>
      <c r="AI145" s="41"/>
      <c r="AJ145" s="41"/>
      <c r="AK145" s="41"/>
      <c r="AL145" s="41"/>
      <c r="AM145" s="41"/>
      <c r="AN145" s="41"/>
      <c r="AO145" s="41"/>
      <c r="AP145" s="130"/>
    </row>
    <row r="146" spans="1:42" s="27" customFormat="1">
      <c r="A146" s="46" t="s">
        <v>194</v>
      </c>
      <c r="C146" s="223">
        <v>0.65</v>
      </c>
      <c r="D146" s="43">
        <v>0.45935300000000001</v>
      </c>
      <c r="E146" s="43">
        <v>0.45097500000000001</v>
      </c>
      <c r="F146" s="43">
        <v>0.41804999999999998</v>
      </c>
      <c r="G146" s="43">
        <v>0.37840299999999999</v>
      </c>
      <c r="H146" s="43">
        <v>0.34350999999999998</v>
      </c>
      <c r="I146" s="43">
        <v>0.31369399999999997</v>
      </c>
      <c r="J146" s="43">
        <v>0.289358</v>
      </c>
      <c r="L146" s="42"/>
      <c r="M146" s="42"/>
      <c r="N146" s="42"/>
      <c r="O146" s="42"/>
      <c r="P146" s="42"/>
      <c r="Q146" s="42"/>
      <c r="R146" s="42"/>
      <c r="S146" s="42"/>
      <c r="T146" s="14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224"/>
    </row>
    <row r="147" spans="1:42" s="27" customFormat="1">
      <c r="A147" s="46" t="s">
        <v>196</v>
      </c>
      <c r="C147" s="223">
        <v>0.10857270658016201</v>
      </c>
      <c r="D147" s="43">
        <v>5.9193999999999997E-2</v>
      </c>
      <c r="E147" s="43">
        <v>4.6296999999999998E-2</v>
      </c>
      <c r="F147" s="43">
        <v>3.4250999999999997E-2</v>
      </c>
      <c r="G147" s="43">
        <v>2.7161000000000001E-2</v>
      </c>
      <c r="H147" s="43">
        <v>2.2196E-2</v>
      </c>
      <c r="I147" s="43">
        <v>1.8357999999999999E-2</v>
      </c>
      <c r="J147" s="43">
        <v>1.5649E-2</v>
      </c>
      <c r="L147" s="44"/>
      <c r="M147" s="44"/>
      <c r="N147" s="44"/>
      <c r="O147" s="44"/>
      <c r="P147" s="44"/>
      <c r="Q147" s="44"/>
      <c r="R147" s="44"/>
      <c r="S147" s="44"/>
    </row>
    <row r="148" spans="1:42" s="27" customFormat="1">
      <c r="A148" s="46" t="s">
        <v>1135</v>
      </c>
      <c r="C148" s="223"/>
      <c r="D148" s="43">
        <v>7.1130000000000004E-3</v>
      </c>
      <c r="E148" s="43">
        <v>6.9259999999999999E-3</v>
      </c>
      <c r="F148" s="43">
        <v>6.8060000000000004E-3</v>
      </c>
      <c r="G148" s="43">
        <v>6.5630000000000003E-3</v>
      </c>
      <c r="H148" s="43">
        <v>6.3610000000000003E-3</v>
      </c>
      <c r="I148" s="43">
        <v>6.169E-3</v>
      </c>
      <c r="J148" s="43">
        <v>5.9890000000000004E-3</v>
      </c>
      <c r="L148" s="42"/>
      <c r="M148" s="42"/>
    </row>
    <row r="149" spans="1:42" s="27" customFormat="1">
      <c r="A149" s="46" t="s">
        <v>208</v>
      </c>
      <c r="C149" s="223">
        <v>0.85418474674224898</v>
      </c>
      <c r="D149" s="45">
        <v>0.52566000000000002</v>
      </c>
      <c r="E149" s="45">
        <v>0.50419800000000004</v>
      </c>
      <c r="F149" s="45">
        <v>0.45910800000000002</v>
      </c>
      <c r="G149" s="45">
        <v>0.41212700000000002</v>
      </c>
      <c r="H149" s="45">
        <v>0.37206699999999998</v>
      </c>
      <c r="I149" s="45">
        <v>0.33822200000000002</v>
      </c>
      <c r="J149" s="45">
        <v>0.31099599999999999</v>
      </c>
      <c r="L149" s="44"/>
      <c r="M149" s="44"/>
      <c r="T149" s="41"/>
      <c r="U149" s="41"/>
      <c r="V149" s="41"/>
      <c r="W149" s="41"/>
      <c r="X149" s="41"/>
      <c r="Y149" s="41"/>
      <c r="Z149" s="41"/>
      <c r="AA149" s="41"/>
      <c r="AB149" s="41"/>
      <c r="AC149" s="41"/>
      <c r="AD149" s="41"/>
      <c r="AE149" s="41"/>
      <c r="AF149" s="41"/>
      <c r="AG149" s="41"/>
      <c r="AH149" s="41"/>
      <c r="AI149" s="41"/>
      <c r="AJ149" s="41"/>
      <c r="AK149" s="41"/>
      <c r="AL149" s="41"/>
      <c r="AM149" s="41"/>
      <c r="AN149" s="41"/>
      <c r="AO149" s="41"/>
      <c r="AP149" s="130"/>
    </row>
    <row r="150" spans="1:42" s="27" customFormat="1">
      <c r="D150" s="41"/>
      <c r="E150" s="41"/>
      <c r="F150" s="41"/>
      <c r="G150" s="41"/>
      <c r="H150" s="41"/>
      <c r="I150" s="41"/>
      <c r="J150" s="41"/>
      <c r="L150" s="42"/>
      <c r="M150" s="42"/>
      <c r="N150" s="42"/>
      <c r="O150" s="42"/>
      <c r="P150" s="42"/>
      <c r="Q150" s="42"/>
      <c r="R150" s="42"/>
      <c r="S150" s="42"/>
      <c r="T150" s="41"/>
      <c r="U150" s="41"/>
      <c r="V150" s="41"/>
      <c r="W150" s="41"/>
      <c r="X150" s="41"/>
      <c r="Y150" s="41"/>
      <c r="Z150" s="41"/>
      <c r="AA150" s="41"/>
      <c r="AB150" s="41"/>
      <c r="AC150" s="41"/>
      <c r="AD150" s="41"/>
      <c r="AE150" s="41"/>
      <c r="AF150" s="41"/>
      <c r="AG150" s="41"/>
      <c r="AH150" s="41"/>
      <c r="AI150" s="41"/>
      <c r="AJ150" s="41"/>
      <c r="AK150" s="41"/>
      <c r="AL150" s="41"/>
      <c r="AM150" s="41"/>
      <c r="AN150" s="41"/>
      <c r="AO150" s="41"/>
      <c r="AP150" s="130"/>
    </row>
    <row r="151" spans="1:42" s="27" customFormat="1">
      <c r="A151" s="46" t="s">
        <v>211</v>
      </c>
      <c r="D151" s="41"/>
      <c r="E151" s="41"/>
      <c r="F151" s="41"/>
      <c r="G151" s="41"/>
      <c r="H151" s="41"/>
      <c r="I151" s="41"/>
      <c r="J151" s="41"/>
      <c r="L151" s="42"/>
      <c r="M151" s="42"/>
      <c r="N151" s="42"/>
      <c r="O151" s="42"/>
      <c r="P151" s="42"/>
      <c r="Q151" s="42"/>
      <c r="R151" s="42"/>
      <c r="S151" s="42"/>
      <c r="T151" s="41"/>
      <c r="U151" s="41"/>
      <c r="V151" s="41"/>
      <c r="W151" s="41"/>
      <c r="X151" s="41"/>
      <c r="Y151" s="41"/>
      <c r="Z151" s="41"/>
      <c r="AA151" s="41"/>
      <c r="AB151" s="41"/>
      <c r="AC151" s="41"/>
      <c r="AD151" s="41"/>
      <c r="AE151" s="41"/>
      <c r="AF151" s="41"/>
      <c r="AG151" s="41"/>
      <c r="AH151" s="41"/>
      <c r="AI151" s="41"/>
      <c r="AJ151" s="41"/>
      <c r="AK151" s="41"/>
      <c r="AL151" s="41"/>
      <c r="AM151" s="41"/>
      <c r="AN151" s="41"/>
      <c r="AO151" s="41"/>
      <c r="AP151" s="130"/>
    </row>
    <row r="152" spans="1:42" s="27" customFormat="1">
      <c r="A152" s="46" t="s">
        <v>194</v>
      </c>
      <c r="C152" s="223">
        <v>0.37</v>
      </c>
      <c r="D152" s="43">
        <v>0.36563099999999998</v>
      </c>
      <c r="E152" s="43">
        <v>0.32539800000000002</v>
      </c>
      <c r="F152" s="43">
        <v>0.30252699999999999</v>
      </c>
      <c r="G152" s="43">
        <v>0.28169100000000002</v>
      </c>
      <c r="H152" s="43">
        <v>0.26451799999999998</v>
      </c>
      <c r="I152" s="43">
        <v>0.24950600000000001</v>
      </c>
      <c r="J152" s="43">
        <v>0.23649000000000001</v>
      </c>
      <c r="L152" s="42"/>
      <c r="M152" s="42"/>
      <c r="N152" s="42"/>
      <c r="O152" s="42"/>
      <c r="P152" s="42"/>
      <c r="Q152" s="42"/>
      <c r="R152" s="42"/>
      <c r="S152" s="42"/>
      <c r="T152" s="41"/>
      <c r="U152" s="41"/>
      <c r="V152" s="41"/>
      <c r="W152" s="41"/>
      <c r="X152" s="41"/>
      <c r="Y152" s="41"/>
      <c r="Z152" s="41"/>
      <c r="AA152" s="41"/>
      <c r="AB152" s="41"/>
      <c r="AC152" s="41"/>
      <c r="AD152" s="41"/>
      <c r="AE152" s="41"/>
      <c r="AF152" s="41"/>
      <c r="AG152" s="41"/>
      <c r="AH152" s="41"/>
      <c r="AI152" s="41"/>
      <c r="AJ152" s="41"/>
      <c r="AK152" s="41"/>
      <c r="AL152" s="41"/>
      <c r="AM152" s="41"/>
      <c r="AN152" s="41"/>
      <c r="AO152" s="41"/>
      <c r="AP152" s="130"/>
    </row>
    <row r="153" spans="1:42" s="27" customFormat="1">
      <c r="A153" s="46" t="s">
        <v>196</v>
      </c>
      <c r="C153" s="223">
        <v>5.7690113782882697E-2</v>
      </c>
      <c r="D153" s="43">
        <v>7.1582000000000007E-2</v>
      </c>
      <c r="E153" s="43">
        <v>5.9757999999999999E-2</v>
      </c>
      <c r="F153" s="43">
        <v>4.9132000000000002E-2</v>
      </c>
      <c r="G153" s="43">
        <v>4.2442000000000001E-2</v>
      </c>
      <c r="H153" s="43">
        <v>3.6324000000000002E-2</v>
      </c>
      <c r="I153" s="43">
        <v>3.0988000000000002E-2</v>
      </c>
      <c r="J153" s="43">
        <v>2.7212E-2</v>
      </c>
      <c r="L153" s="42"/>
      <c r="M153" s="42"/>
      <c r="N153" s="42"/>
      <c r="O153" s="42"/>
      <c r="P153" s="42"/>
      <c r="Q153" s="42"/>
      <c r="R153" s="42"/>
      <c r="S153" s="42"/>
      <c r="T153" s="140"/>
      <c r="U153" s="140"/>
      <c r="V153" s="140"/>
      <c r="W153" s="140"/>
      <c r="X153" s="140"/>
      <c r="Y153" s="140"/>
      <c r="Z153" s="140"/>
      <c r="AA153" s="140"/>
      <c r="AB153" s="140"/>
      <c r="AC153" s="140"/>
      <c r="AD153" s="140"/>
      <c r="AE153" s="140"/>
      <c r="AF153" s="140"/>
      <c r="AG153" s="140"/>
      <c r="AH153" s="140"/>
      <c r="AI153" s="140"/>
      <c r="AJ153" s="140"/>
      <c r="AK153" s="140"/>
      <c r="AL153" s="140"/>
      <c r="AM153" s="140"/>
      <c r="AN153" s="140"/>
      <c r="AO153" s="140"/>
      <c r="AP153" s="224"/>
    </row>
    <row r="154" spans="1:42" s="27" customFormat="1">
      <c r="A154" s="46" t="s">
        <v>198</v>
      </c>
      <c r="C154" s="223">
        <v>3.14760431647301E-2</v>
      </c>
      <c r="D154" s="43">
        <v>2.9448999999999999E-2</v>
      </c>
      <c r="E154" s="43">
        <v>2.8034E-2</v>
      </c>
      <c r="F154" s="43">
        <v>2.6533000000000001E-2</v>
      </c>
      <c r="G154" s="43">
        <v>2.5009E-2</v>
      </c>
      <c r="H154" s="43">
        <v>2.3845999999999999E-2</v>
      </c>
      <c r="I154" s="43">
        <v>2.3174E-2</v>
      </c>
      <c r="J154" s="43">
        <v>2.2473E-2</v>
      </c>
      <c r="L154" s="44"/>
      <c r="M154" s="44"/>
      <c r="N154" s="44"/>
      <c r="O154" s="44"/>
      <c r="P154" s="44"/>
      <c r="Q154" s="44"/>
      <c r="R154" s="44"/>
      <c r="S154" s="44"/>
    </row>
    <row r="155" spans="1:42" s="27" customFormat="1">
      <c r="A155" s="46" t="s">
        <v>209</v>
      </c>
      <c r="C155" s="223">
        <v>0.04</v>
      </c>
      <c r="D155" s="43">
        <v>3.9688000000000001E-2</v>
      </c>
      <c r="E155" s="43">
        <v>4.2804000000000002E-2</v>
      </c>
      <c r="F155" s="43">
        <v>4.6605000000000001E-2</v>
      </c>
      <c r="G155" s="43">
        <v>5.0316E-2</v>
      </c>
      <c r="H155" s="43">
        <v>5.4139E-2</v>
      </c>
      <c r="I155" s="43">
        <v>5.7860000000000002E-2</v>
      </c>
      <c r="J155" s="43">
        <v>6.1749999999999999E-2</v>
      </c>
      <c r="L155" s="42"/>
      <c r="M155" s="42"/>
      <c r="T155" s="41"/>
      <c r="U155" s="41"/>
      <c r="V155" s="41"/>
      <c r="W155" s="41"/>
      <c r="X155" s="41"/>
      <c r="Y155" s="41"/>
      <c r="Z155" s="41"/>
      <c r="AA155" s="41"/>
      <c r="AB155" s="41"/>
      <c r="AC155" s="41"/>
      <c r="AD155" s="41"/>
      <c r="AE155" s="41"/>
      <c r="AF155" s="41"/>
      <c r="AG155" s="41"/>
      <c r="AH155" s="41"/>
      <c r="AI155" s="41"/>
      <c r="AJ155" s="41"/>
      <c r="AK155" s="41"/>
      <c r="AL155" s="41"/>
      <c r="AM155" s="41"/>
      <c r="AN155" s="41"/>
      <c r="AO155" s="41"/>
      <c r="AP155" s="130"/>
    </row>
    <row r="156" spans="1:42" s="27" customFormat="1">
      <c r="A156" s="46" t="s">
        <v>208</v>
      </c>
      <c r="C156" s="223">
        <v>0.50418597459793102</v>
      </c>
      <c r="D156" s="45">
        <v>0.50634999999999997</v>
      </c>
      <c r="E156" s="45">
        <v>0.45599299999999998</v>
      </c>
      <c r="F156" s="45">
        <v>0.42479699999999998</v>
      </c>
      <c r="G156" s="45">
        <v>0.39945700000000001</v>
      </c>
      <c r="H156" s="45">
        <v>0.378826</v>
      </c>
      <c r="I156" s="45">
        <v>0.36152800000000002</v>
      </c>
      <c r="J156" s="45">
        <v>0.34792499999999998</v>
      </c>
      <c r="L156" s="206"/>
      <c r="M156" s="42"/>
      <c r="N156" s="42"/>
      <c r="O156" s="42"/>
      <c r="P156" s="42"/>
      <c r="Q156" s="42"/>
      <c r="R156" s="42"/>
      <c r="S156" s="42"/>
      <c r="T156" s="41"/>
      <c r="U156" s="41"/>
      <c r="V156" s="41"/>
      <c r="W156" s="41"/>
      <c r="X156" s="41"/>
      <c r="Y156" s="41"/>
      <c r="Z156" s="41"/>
      <c r="AA156" s="41"/>
      <c r="AB156" s="41"/>
      <c r="AC156" s="41"/>
      <c r="AD156" s="41"/>
      <c r="AE156" s="41"/>
      <c r="AF156" s="41"/>
      <c r="AG156" s="41"/>
      <c r="AH156" s="41"/>
      <c r="AI156" s="41"/>
      <c r="AJ156" s="41"/>
      <c r="AK156" s="41"/>
      <c r="AL156" s="41"/>
      <c r="AM156" s="41"/>
      <c r="AN156" s="41"/>
      <c r="AO156" s="41"/>
      <c r="AP156" s="130"/>
    </row>
    <row r="157" spans="1:42" s="27" customFormat="1">
      <c r="C157" s="223"/>
      <c r="D157" s="41"/>
      <c r="E157" s="41"/>
      <c r="F157" s="41"/>
      <c r="G157" s="41"/>
      <c r="H157" s="41"/>
      <c r="I157" s="41"/>
      <c r="J157" s="41"/>
      <c r="L157" s="42"/>
      <c r="M157" s="42"/>
      <c r="N157" s="42"/>
      <c r="O157" s="42"/>
      <c r="P157" s="42"/>
      <c r="Q157" s="42"/>
      <c r="R157" s="42"/>
      <c r="S157" s="42"/>
    </row>
    <row r="158" spans="1:42" s="27" customFormat="1">
      <c r="A158" s="46" t="s">
        <v>212</v>
      </c>
      <c r="C158" s="223">
        <v>0.44818162918090798</v>
      </c>
      <c r="D158" s="43">
        <v>0.53766800000000003</v>
      </c>
      <c r="E158" s="43">
        <v>0.49865300000000001</v>
      </c>
      <c r="F158" s="43">
        <v>0.45812399999999998</v>
      </c>
      <c r="G158" s="43">
        <v>0.45334400000000002</v>
      </c>
      <c r="H158" s="43">
        <v>0.44167400000000001</v>
      </c>
      <c r="I158" s="43">
        <v>0.429761</v>
      </c>
      <c r="J158" s="43">
        <v>0.41664600000000002</v>
      </c>
      <c r="L158" s="42"/>
      <c r="M158" s="42"/>
    </row>
    <row r="159" spans="1:42" s="27" customFormat="1">
      <c r="A159" s="46" t="s">
        <v>213</v>
      </c>
      <c r="C159" s="223">
        <v>0.10066375136375399</v>
      </c>
      <c r="D159" s="43">
        <v>1.8530000000000001E-2</v>
      </c>
      <c r="E159" s="43">
        <v>4.731E-3</v>
      </c>
      <c r="F159" s="43">
        <v>4.1539999999999997E-3</v>
      </c>
      <c r="G159" s="43">
        <v>3.7490000000000002E-3</v>
      </c>
      <c r="H159" s="43">
        <v>3.4259999999999998E-3</v>
      </c>
      <c r="I159" s="43">
        <v>3.124E-3</v>
      </c>
      <c r="J159" s="43">
        <v>2.8519999999999999E-3</v>
      </c>
      <c r="L159" s="44"/>
      <c r="M159" s="44"/>
      <c r="T159" s="41"/>
      <c r="U159" s="41"/>
      <c r="V159" s="41"/>
      <c r="W159" s="41"/>
      <c r="X159" s="41"/>
      <c r="Y159" s="41"/>
      <c r="Z159" s="41"/>
      <c r="AA159" s="41"/>
      <c r="AB159" s="41"/>
      <c r="AC159" s="41"/>
      <c r="AD159" s="41"/>
      <c r="AE159" s="41"/>
      <c r="AF159" s="41"/>
      <c r="AG159" s="41"/>
      <c r="AH159" s="41"/>
      <c r="AI159" s="41"/>
      <c r="AJ159" s="41"/>
      <c r="AK159" s="41"/>
      <c r="AL159" s="41"/>
      <c r="AM159" s="41"/>
      <c r="AN159" s="41"/>
      <c r="AO159" s="41"/>
      <c r="AP159" s="130"/>
    </row>
    <row r="160" spans="1:42" s="27" customFormat="1">
      <c r="D160" s="41"/>
      <c r="E160" s="41"/>
      <c r="F160" s="41"/>
      <c r="G160" s="41"/>
      <c r="H160" s="41"/>
      <c r="I160" s="41"/>
      <c r="J160" s="41"/>
      <c r="L160" s="42"/>
      <c r="M160" s="42"/>
      <c r="N160" s="42"/>
      <c r="O160" s="42"/>
      <c r="P160" s="42"/>
      <c r="Q160" s="42"/>
      <c r="R160" s="42"/>
      <c r="S160" s="42"/>
      <c r="T160" s="41"/>
      <c r="U160" s="41"/>
      <c r="V160" s="41"/>
      <c r="W160" s="41"/>
      <c r="X160" s="41"/>
      <c r="Y160" s="41"/>
      <c r="Z160" s="41"/>
      <c r="AA160" s="41"/>
      <c r="AB160" s="41"/>
      <c r="AC160" s="41"/>
      <c r="AD160" s="41"/>
      <c r="AE160" s="41"/>
      <c r="AF160" s="41"/>
      <c r="AG160" s="41"/>
      <c r="AH160" s="41"/>
      <c r="AI160" s="41"/>
      <c r="AJ160" s="41"/>
      <c r="AK160" s="41"/>
      <c r="AL160" s="41"/>
      <c r="AM160" s="41"/>
      <c r="AN160" s="41"/>
      <c r="AO160" s="41"/>
      <c r="AP160" s="130"/>
    </row>
    <row r="161" spans="1:42" s="27" customFormat="1">
      <c r="A161" s="46" t="s">
        <v>214</v>
      </c>
      <c r="D161" s="41"/>
      <c r="E161" s="41"/>
      <c r="F161" s="41"/>
      <c r="G161" s="41"/>
      <c r="H161" s="41"/>
      <c r="I161" s="41"/>
      <c r="J161" s="41"/>
      <c r="L161" s="42"/>
      <c r="M161" s="42"/>
      <c r="N161" s="42"/>
      <c r="O161" s="42"/>
      <c r="P161" s="42"/>
      <c r="Q161" s="42"/>
      <c r="R161" s="42"/>
      <c r="S161" s="42"/>
      <c r="T161" s="41"/>
      <c r="U161" s="41"/>
      <c r="V161" s="41"/>
      <c r="W161" s="41"/>
      <c r="X161" s="41"/>
      <c r="Y161" s="41"/>
      <c r="Z161" s="41"/>
      <c r="AA161" s="41"/>
      <c r="AB161" s="41"/>
      <c r="AC161" s="41"/>
      <c r="AD161" s="41"/>
      <c r="AE161" s="41"/>
      <c r="AF161" s="41"/>
      <c r="AG161" s="41"/>
      <c r="AH161" s="41"/>
      <c r="AI161" s="41"/>
      <c r="AJ161" s="41"/>
      <c r="AK161" s="41"/>
      <c r="AL161" s="41"/>
      <c r="AM161" s="41"/>
      <c r="AN161" s="41"/>
      <c r="AO161" s="41"/>
      <c r="AP161" s="130"/>
    </row>
    <row r="162" spans="1:42" s="27" customFormat="1">
      <c r="A162" s="46" t="s">
        <v>215</v>
      </c>
      <c r="C162" s="223">
        <f>C120+C137+C146+C152+C158</f>
        <v>5.1129582435161192</v>
      </c>
      <c r="D162" s="43">
        <v>4.8448330000000004</v>
      </c>
      <c r="E162" s="43">
        <v>4.5063139999999997</v>
      </c>
      <c r="F162" s="43">
        <v>4.3566019999999996</v>
      </c>
      <c r="G162" s="43">
        <v>4.2245980000000003</v>
      </c>
      <c r="H162" s="43">
        <v>4.0867969999999998</v>
      </c>
      <c r="I162" s="43">
        <v>3.9454449999999999</v>
      </c>
      <c r="J162" s="43">
        <v>3.8057799999999999</v>
      </c>
      <c r="L162" s="43"/>
      <c r="M162" s="42"/>
      <c r="N162" s="42"/>
      <c r="O162" s="42"/>
      <c r="P162" s="42"/>
      <c r="Q162" s="42"/>
      <c r="R162" s="42"/>
      <c r="S162" s="42"/>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130"/>
    </row>
    <row r="163" spans="1:42" s="27" customFormat="1">
      <c r="A163" s="46" t="s">
        <v>216</v>
      </c>
      <c r="C163" s="223">
        <v>0.821350157260895</v>
      </c>
      <c r="D163" s="43">
        <v>0.84948800000000002</v>
      </c>
      <c r="E163" s="43">
        <v>0.84499599999999997</v>
      </c>
      <c r="F163" s="43">
        <v>0.91059400000000001</v>
      </c>
      <c r="G163" s="43">
        <v>0.99750899999999998</v>
      </c>
      <c r="H163" s="43">
        <v>1.088076</v>
      </c>
      <c r="I163" s="43">
        <v>1.17994</v>
      </c>
      <c r="J163" s="43">
        <v>1.2720849999999999</v>
      </c>
      <c r="L163" s="207"/>
      <c r="M163" s="42"/>
      <c r="N163" s="42"/>
      <c r="O163" s="42"/>
      <c r="P163" s="42"/>
      <c r="Q163" s="42"/>
      <c r="R163" s="42"/>
      <c r="S163" s="42"/>
      <c r="T163" s="41"/>
      <c r="U163" s="41"/>
      <c r="V163" s="41"/>
      <c r="W163" s="41"/>
      <c r="X163" s="41"/>
      <c r="Y163" s="41"/>
      <c r="Z163" s="41"/>
      <c r="AA163" s="41"/>
      <c r="AB163" s="41"/>
      <c r="AC163" s="41"/>
      <c r="AD163" s="41"/>
      <c r="AE163" s="41"/>
      <c r="AF163" s="41"/>
      <c r="AG163" s="41"/>
      <c r="AH163" s="41"/>
      <c r="AI163" s="41"/>
      <c r="AJ163" s="41"/>
      <c r="AK163" s="41"/>
      <c r="AL163" s="41"/>
      <c r="AM163" s="41"/>
      <c r="AN163" s="41"/>
      <c r="AO163" s="41"/>
      <c r="AP163" s="130"/>
    </row>
    <row r="164" spans="1:42" s="27" customFormat="1">
      <c r="A164" s="46" t="s">
        <v>217</v>
      </c>
      <c r="C164" s="223">
        <v>1.6372220516204801</v>
      </c>
      <c r="D164" s="43">
        <v>1.7677210000000001</v>
      </c>
      <c r="E164" s="43">
        <v>1.771803</v>
      </c>
      <c r="F164" s="43">
        <v>1.7663850000000001</v>
      </c>
      <c r="G164" s="43">
        <v>1.7802089999999999</v>
      </c>
      <c r="H164" s="43">
        <v>1.777379</v>
      </c>
      <c r="I164" s="43">
        <v>1.74109</v>
      </c>
      <c r="J164" s="43">
        <v>1.70512</v>
      </c>
      <c r="L164" s="43"/>
      <c r="M164" s="42"/>
      <c r="N164" s="42"/>
      <c r="O164" s="42"/>
      <c r="P164" s="42"/>
      <c r="Q164" s="42"/>
      <c r="R164" s="42"/>
      <c r="S164" s="42"/>
      <c r="T164" s="41"/>
      <c r="U164" s="41"/>
      <c r="V164" s="41"/>
      <c r="W164" s="41"/>
      <c r="X164" s="41"/>
      <c r="Y164" s="41"/>
      <c r="Z164" s="41"/>
      <c r="AA164" s="41"/>
      <c r="AB164" s="41"/>
      <c r="AC164" s="41"/>
      <c r="AD164" s="41"/>
      <c r="AE164" s="41"/>
      <c r="AF164" s="41"/>
      <c r="AG164" s="41"/>
      <c r="AH164" s="41"/>
      <c r="AI164" s="41"/>
      <c r="AJ164" s="41"/>
      <c r="AK164" s="41"/>
      <c r="AL164" s="41"/>
      <c r="AM164" s="41"/>
      <c r="AN164" s="41"/>
      <c r="AO164" s="41"/>
      <c r="AP164" s="130"/>
    </row>
    <row r="165" spans="1:42" s="27" customFormat="1">
      <c r="A165" s="46" t="s">
        <v>218</v>
      </c>
      <c r="C165" s="223">
        <v>0.39436101913452098</v>
      </c>
      <c r="D165" s="43">
        <v>0.37790699999999999</v>
      </c>
      <c r="E165" s="43">
        <v>0.37693700000000002</v>
      </c>
      <c r="F165" s="43">
        <v>0.37551299999999999</v>
      </c>
      <c r="G165" s="43">
        <v>0.37684800000000002</v>
      </c>
      <c r="H165" s="43">
        <v>0.38406200000000001</v>
      </c>
      <c r="I165" s="43">
        <v>0.39679799999999998</v>
      </c>
      <c r="J165" s="43">
        <v>0.41375600000000001</v>
      </c>
      <c r="L165" s="42"/>
      <c r="M165" s="42"/>
      <c r="N165" s="42"/>
      <c r="O165" s="42"/>
      <c r="P165" s="42"/>
      <c r="Q165" s="42"/>
      <c r="R165" s="42"/>
      <c r="S165" s="42"/>
      <c r="T165" s="41"/>
      <c r="U165" s="41"/>
      <c r="V165" s="41"/>
      <c r="W165" s="41"/>
      <c r="X165" s="41"/>
      <c r="Y165" s="41"/>
      <c r="Z165" s="41"/>
      <c r="AA165" s="41"/>
      <c r="AB165" s="41"/>
      <c r="AC165" s="41"/>
      <c r="AD165" s="41"/>
      <c r="AE165" s="41"/>
      <c r="AF165" s="41"/>
      <c r="AG165" s="41"/>
      <c r="AH165" s="41"/>
      <c r="AI165" s="41"/>
      <c r="AJ165" s="41"/>
      <c r="AK165" s="41"/>
      <c r="AL165" s="41"/>
      <c r="AM165" s="41"/>
      <c r="AN165" s="41"/>
      <c r="AO165" s="41"/>
      <c r="AP165" s="130"/>
    </row>
    <row r="166" spans="1:42" s="27" customFormat="1">
      <c r="A166" s="46" t="s">
        <v>219</v>
      </c>
      <c r="C166" s="223">
        <v>0.34996357560157798</v>
      </c>
      <c r="D166" s="43">
        <v>0.344443</v>
      </c>
      <c r="E166" s="43">
        <v>0.34578399999999998</v>
      </c>
      <c r="F166" s="43">
        <v>0.353574</v>
      </c>
      <c r="G166" s="43">
        <v>0.36034899999999997</v>
      </c>
      <c r="H166" s="43">
        <v>0.36871300000000001</v>
      </c>
      <c r="I166" s="43">
        <v>0.37854300000000002</v>
      </c>
      <c r="J166" s="43">
        <v>0.388235</v>
      </c>
      <c r="L166" s="42"/>
      <c r="M166" s="42"/>
      <c r="N166" s="42"/>
      <c r="O166" s="42"/>
      <c r="P166" s="42"/>
      <c r="Q166" s="42"/>
      <c r="R166" s="42"/>
      <c r="S166" s="42"/>
      <c r="T166" s="41"/>
      <c r="U166" s="41"/>
      <c r="V166" s="41"/>
      <c r="W166" s="41"/>
      <c r="X166" s="41"/>
      <c r="Y166" s="41"/>
      <c r="Z166" s="41"/>
      <c r="AA166" s="41"/>
      <c r="AB166" s="41"/>
      <c r="AC166" s="41"/>
      <c r="AD166" s="41"/>
      <c r="AE166" s="41"/>
      <c r="AF166" s="41"/>
      <c r="AG166" s="41"/>
      <c r="AH166" s="41"/>
      <c r="AI166" s="41"/>
      <c r="AJ166" s="41"/>
      <c r="AK166" s="41"/>
      <c r="AL166" s="41"/>
      <c r="AM166" s="41"/>
      <c r="AN166" s="41"/>
      <c r="AO166" s="41"/>
      <c r="AP166" s="130"/>
    </row>
    <row r="167" spans="1:42" s="27" customFormat="1">
      <c r="A167" s="46" t="s">
        <v>220</v>
      </c>
      <c r="C167" s="223">
        <v>0.32461026310920699</v>
      </c>
      <c r="D167" s="43">
        <v>0.24814700000000001</v>
      </c>
      <c r="E167" s="43">
        <v>0.25657999999999997</v>
      </c>
      <c r="F167" s="43">
        <v>0.265652</v>
      </c>
      <c r="G167" s="43">
        <v>0.27655200000000002</v>
      </c>
      <c r="H167" s="43">
        <v>0.28820899999999999</v>
      </c>
      <c r="I167" s="43">
        <v>0.30056300000000002</v>
      </c>
      <c r="J167" s="43">
        <v>0.313023</v>
      </c>
      <c r="L167" s="42"/>
      <c r="M167" s="42"/>
      <c r="N167" s="42"/>
      <c r="O167" s="42"/>
      <c r="P167" s="42"/>
      <c r="Q167" s="42"/>
      <c r="R167" s="42"/>
      <c r="S167" s="42"/>
      <c r="T167" s="41"/>
      <c r="U167" s="41"/>
      <c r="V167" s="41"/>
      <c r="W167" s="41"/>
      <c r="X167" s="41"/>
      <c r="Y167" s="41"/>
      <c r="Z167" s="41"/>
      <c r="AA167" s="41"/>
      <c r="AB167" s="41"/>
      <c r="AC167" s="41"/>
      <c r="AD167" s="41"/>
      <c r="AE167" s="41"/>
      <c r="AF167" s="41"/>
      <c r="AG167" s="41"/>
      <c r="AH167" s="41"/>
      <c r="AI167" s="41"/>
      <c r="AJ167" s="41"/>
      <c r="AK167" s="41"/>
      <c r="AL167" s="41"/>
      <c r="AM167" s="41"/>
      <c r="AN167" s="41"/>
      <c r="AO167" s="41"/>
      <c r="AP167" s="130"/>
    </row>
    <row r="168" spans="1:42" s="27" customFormat="1">
      <c r="A168" s="46" t="s">
        <v>221</v>
      </c>
      <c r="C168" s="223">
        <v>8.3529256284236894E-2</v>
      </c>
      <c r="D168" s="43">
        <v>7.9626000000000002E-2</v>
      </c>
      <c r="E168" s="43">
        <v>8.0264000000000002E-2</v>
      </c>
      <c r="F168" s="43">
        <v>7.9727999999999993E-2</v>
      </c>
      <c r="G168" s="43">
        <v>7.8634999999999997E-2</v>
      </c>
      <c r="H168" s="43">
        <v>7.7917E-2</v>
      </c>
      <c r="I168" s="43">
        <v>7.7727000000000004E-2</v>
      </c>
      <c r="J168" s="43">
        <v>7.8753000000000004E-2</v>
      </c>
      <c r="L168" s="42"/>
      <c r="M168" s="42"/>
      <c r="N168" s="42"/>
      <c r="O168" s="42"/>
      <c r="P168" s="42"/>
      <c r="Q168" s="42"/>
      <c r="R168" s="42"/>
      <c r="S168" s="42"/>
      <c r="T168" s="41"/>
      <c r="U168" s="41"/>
      <c r="V168" s="41"/>
      <c r="W168" s="41"/>
      <c r="X168" s="41"/>
      <c r="Y168" s="41"/>
      <c r="Z168" s="41"/>
      <c r="AA168" s="41"/>
      <c r="AB168" s="41"/>
      <c r="AC168" s="41"/>
      <c r="AD168" s="41"/>
      <c r="AE168" s="41"/>
      <c r="AF168" s="41"/>
      <c r="AG168" s="41"/>
      <c r="AH168" s="41"/>
      <c r="AI168" s="41"/>
      <c r="AJ168" s="41"/>
      <c r="AK168" s="41"/>
      <c r="AL168" s="41"/>
      <c r="AM168" s="41"/>
      <c r="AN168" s="41"/>
      <c r="AO168" s="41"/>
      <c r="AP168" s="130"/>
    </row>
    <row r="169" spans="1:42" s="27" customFormat="1">
      <c r="A169" s="46" t="s">
        <v>222</v>
      </c>
      <c r="C169" s="223">
        <v>0.72674226760864302</v>
      </c>
      <c r="D169" s="43">
        <v>0.63835299999999995</v>
      </c>
      <c r="E169" s="43">
        <v>0.498996</v>
      </c>
      <c r="F169" s="43">
        <v>0.43620599999999998</v>
      </c>
      <c r="G169" s="43">
        <v>0.39062000000000002</v>
      </c>
      <c r="H169" s="43">
        <v>0.34983500000000001</v>
      </c>
      <c r="I169" s="43">
        <v>0.29919800000000002</v>
      </c>
      <c r="J169" s="43">
        <v>0.27627400000000002</v>
      </c>
      <c r="L169" s="42"/>
      <c r="M169" s="42"/>
      <c r="N169" s="42"/>
      <c r="O169" s="42"/>
      <c r="P169" s="42"/>
      <c r="Q169" s="42"/>
      <c r="R169" s="42"/>
      <c r="S169" s="42"/>
      <c r="T169" s="41"/>
      <c r="U169" s="41"/>
      <c r="V169" s="41"/>
      <c r="W169" s="41"/>
      <c r="X169" s="41"/>
      <c r="Y169" s="41"/>
      <c r="Z169" s="41"/>
      <c r="AA169" s="41"/>
      <c r="AB169" s="41"/>
      <c r="AC169" s="41"/>
      <c r="AD169" s="41"/>
      <c r="AE169" s="41"/>
      <c r="AF169" s="41"/>
      <c r="AG169" s="41"/>
      <c r="AH169" s="41"/>
      <c r="AI169" s="41"/>
      <c r="AJ169" s="41"/>
      <c r="AK169" s="41"/>
      <c r="AL169" s="41"/>
      <c r="AM169" s="41"/>
      <c r="AN169" s="41"/>
      <c r="AO169" s="41"/>
      <c r="AP169" s="130"/>
    </row>
    <row r="170" spans="1:42" s="27" customFormat="1">
      <c r="A170" s="46" t="s">
        <v>223</v>
      </c>
      <c r="C170" s="223">
        <v>3.4679807722568498E-2</v>
      </c>
      <c r="D170" s="43">
        <v>3.1628999999999997E-2</v>
      </c>
      <c r="E170" s="43">
        <v>3.0263000000000002E-2</v>
      </c>
      <c r="F170" s="43">
        <v>2.5973E-2</v>
      </c>
      <c r="G170" s="43">
        <v>2.2155999999999999E-2</v>
      </c>
      <c r="H170" s="43">
        <v>2.0947E-2</v>
      </c>
      <c r="I170" s="43">
        <v>2.147E-2</v>
      </c>
      <c r="J170" s="43">
        <v>2.2419999999999999E-2</v>
      </c>
      <c r="L170" s="42"/>
      <c r="M170" s="42"/>
      <c r="N170" s="42"/>
      <c r="O170" s="42"/>
      <c r="P170" s="42"/>
      <c r="Q170" s="42"/>
      <c r="R170" s="42"/>
      <c r="S170" s="42"/>
      <c r="T170" s="41"/>
      <c r="U170" s="41"/>
      <c r="V170" s="41"/>
      <c r="W170" s="41"/>
      <c r="X170" s="41"/>
      <c r="Y170" s="41"/>
      <c r="Z170" s="41"/>
      <c r="AA170" s="41"/>
      <c r="AB170" s="41"/>
      <c r="AC170" s="41"/>
      <c r="AD170" s="41"/>
      <c r="AE170" s="41"/>
      <c r="AF170" s="41"/>
      <c r="AG170" s="41"/>
      <c r="AH170" s="41"/>
      <c r="AI170" s="41"/>
      <c r="AJ170" s="41"/>
      <c r="AK170" s="41"/>
      <c r="AL170" s="41"/>
      <c r="AM170" s="41"/>
      <c r="AN170" s="41"/>
      <c r="AO170" s="41"/>
      <c r="AP170" s="130"/>
    </row>
    <row r="171" spans="1:42" s="27" customFormat="1">
      <c r="A171" s="46" t="s">
        <v>224</v>
      </c>
      <c r="C171" s="223">
        <v>9.5851413905620603E-2</v>
      </c>
      <c r="D171" s="43">
        <v>9.9588999999999997E-2</v>
      </c>
      <c r="E171" s="43">
        <v>9.8664000000000002E-2</v>
      </c>
      <c r="F171" s="43">
        <v>9.7799999999999998E-2</v>
      </c>
      <c r="G171" s="43">
        <v>9.7684999999999994E-2</v>
      </c>
      <c r="H171" s="43">
        <v>0.104022</v>
      </c>
      <c r="I171" s="43">
        <v>0.111884</v>
      </c>
      <c r="J171" s="43">
        <v>0.1197</v>
      </c>
      <c r="L171" s="42"/>
      <c r="M171" s="42"/>
      <c r="N171" s="42"/>
      <c r="O171" s="42"/>
      <c r="P171" s="42"/>
      <c r="Q171" s="42"/>
      <c r="R171" s="42"/>
      <c r="S171" s="42"/>
      <c r="T171" s="41"/>
      <c r="U171" s="41"/>
      <c r="V171" s="41"/>
      <c r="W171" s="41"/>
      <c r="X171" s="41"/>
      <c r="Y171" s="41"/>
      <c r="Z171" s="41"/>
      <c r="AA171" s="41"/>
      <c r="AB171" s="41"/>
      <c r="AC171" s="41"/>
      <c r="AD171" s="41"/>
      <c r="AE171" s="41"/>
      <c r="AF171" s="41"/>
      <c r="AG171" s="41"/>
      <c r="AH171" s="41"/>
      <c r="AI171" s="41"/>
      <c r="AJ171" s="41"/>
      <c r="AK171" s="41"/>
      <c r="AL171" s="41"/>
      <c r="AM171" s="41"/>
      <c r="AN171" s="41"/>
      <c r="AO171" s="41"/>
      <c r="AP171" s="130"/>
    </row>
    <row r="172" spans="1:42" s="27" customFormat="1">
      <c r="A172" s="46" t="s">
        <v>225</v>
      </c>
      <c r="C172" s="223">
        <v>0.29940426349639898</v>
      </c>
      <c r="D172" s="43">
        <v>0.33408399999999999</v>
      </c>
      <c r="E172" s="43">
        <v>0.32941999999999999</v>
      </c>
      <c r="F172" s="43">
        <v>0.32728299999999999</v>
      </c>
      <c r="G172" s="43">
        <v>0.33494699999999999</v>
      </c>
      <c r="H172" s="43">
        <v>0.35036</v>
      </c>
      <c r="I172" s="43">
        <v>0.37098100000000001</v>
      </c>
      <c r="J172" s="43">
        <v>0.38829999999999998</v>
      </c>
      <c r="L172" s="42"/>
      <c r="M172" s="42"/>
      <c r="N172" s="42"/>
      <c r="O172" s="42"/>
      <c r="P172" s="42"/>
      <c r="Q172" s="42"/>
      <c r="R172" s="42"/>
      <c r="S172" s="42"/>
      <c r="T172" s="41"/>
      <c r="U172" s="41"/>
      <c r="V172" s="41"/>
      <c r="W172" s="41"/>
      <c r="X172" s="41"/>
      <c r="Y172" s="41"/>
      <c r="Z172" s="41"/>
      <c r="AA172" s="41"/>
      <c r="AB172" s="41"/>
      <c r="AC172" s="41"/>
      <c r="AD172" s="41"/>
      <c r="AE172" s="41"/>
      <c r="AF172" s="41"/>
      <c r="AG172" s="41"/>
      <c r="AH172" s="41"/>
      <c r="AI172" s="41"/>
      <c r="AJ172" s="41"/>
      <c r="AK172" s="41"/>
      <c r="AL172" s="41"/>
      <c r="AM172" s="41"/>
      <c r="AN172" s="41"/>
      <c r="AO172" s="41"/>
      <c r="AP172" s="130"/>
    </row>
    <row r="173" spans="1:42" s="27" customFormat="1">
      <c r="A173" s="46" t="s">
        <v>226</v>
      </c>
      <c r="C173" s="223">
        <v>6.5222315490245805E-2</v>
      </c>
      <c r="D173" s="43">
        <v>0.12784400000000001</v>
      </c>
      <c r="E173" s="43">
        <v>0.11465599999999999</v>
      </c>
      <c r="F173" s="43">
        <v>9.7959000000000004E-2</v>
      </c>
      <c r="G173" s="43">
        <v>8.3530999999999994E-2</v>
      </c>
      <c r="H173" s="43">
        <v>7.1593000000000004E-2</v>
      </c>
      <c r="I173" s="43">
        <v>6.1940000000000002E-2</v>
      </c>
      <c r="J173" s="43">
        <v>5.2770999999999998E-2</v>
      </c>
      <c r="L173" s="42"/>
      <c r="M173" s="42"/>
      <c r="N173" s="42"/>
      <c r="O173" s="42"/>
      <c r="P173" s="42"/>
      <c r="Q173" s="42"/>
      <c r="R173" s="42"/>
      <c r="S173" s="42"/>
      <c r="T173" s="140"/>
      <c r="U173" s="140"/>
      <c r="V173" s="140"/>
      <c r="W173" s="140"/>
      <c r="X173" s="140"/>
      <c r="Y173" s="140"/>
      <c r="Z173" s="140"/>
      <c r="AA173" s="140"/>
      <c r="AB173" s="140"/>
      <c r="AC173" s="140"/>
      <c r="AD173" s="140"/>
      <c r="AE173" s="140"/>
      <c r="AF173" s="140"/>
      <c r="AG173" s="140"/>
      <c r="AH173" s="140"/>
      <c r="AI173" s="140"/>
      <c r="AJ173" s="140"/>
      <c r="AK173" s="140"/>
      <c r="AL173" s="140"/>
      <c r="AM173" s="140"/>
      <c r="AN173" s="140"/>
      <c r="AO173" s="140"/>
      <c r="AP173" s="224"/>
    </row>
    <row r="174" spans="1:42" s="27" customFormat="1">
      <c r="A174" s="46" t="s">
        <v>227</v>
      </c>
      <c r="C174" s="223">
        <v>5.9013724327087402E-2</v>
      </c>
      <c r="D174" s="43">
        <v>0.11804000000000001</v>
      </c>
      <c r="E174" s="43">
        <v>0.113596</v>
      </c>
      <c r="F174" s="43">
        <v>0.115033</v>
      </c>
      <c r="G174" s="43">
        <v>0.116506</v>
      </c>
      <c r="H174" s="43">
        <v>0.117882</v>
      </c>
      <c r="I174" s="43">
        <v>0.118399</v>
      </c>
      <c r="J174" s="43">
        <v>0.118285</v>
      </c>
      <c r="L174" s="44"/>
      <c r="M174" s="44"/>
      <c r="N174" s="44"/>
      <c r="O174" s="44"/>
      <c r="P174" s="44"/>
      <c r="Q174" s="44"/>
      <c r="R174" s="44"/>
      <c r="S174" s="44"/>
    </row>
    <row r="175" spans="1:42" s="27" customFormat="1">
      <c r="A175" s="46" t="s">
        <v>228</v>
      </c>
      <c r="C175" s="223">
        <v>1.1602649688720701</v>
      </c>
      <c r="D175" s="43">
        <v>1.398703</v>
      </c>
      <c r="E175" s="43">
        <v>1.4423900000000001</v>
      </c>
      <c r="F175" s="43">
        <v>1.5337240000000001</v>
      </c>
      <c r="G175" s="43">
        <v>1.6330979999999999</v>
      </c>
      <c r="H175" s="43">
        <v>1.744796</v>
      </c>
      <c r="I175" s="43">
        <v>1.858017</v>
      </c>
      <c r="J175" s="43">
        <v>1.9823489999999999</v>
      </c>
      <c r="L175" s="42"/>
      <c r="M175" s="42"/>
      <c r="T175" s="140"/>
      <c r="U175" s="140"/>
      <c r="V175" s="140"/>
      <c r="W175" s="140"/>
      <c r="X175" s="140"/>
      <c r="Y175" s="140"/>
      <c r="Z175" s="140"/>
      <c r="AA175" s="140"/>
      <c r="AB175" s="140"/>
      <c r="AC175" s="140"/>
      <c r="AD175" s="140"/>
      <c r="AE175" s="140"/>
      <c r="AF175" s="140"/>
      <c r="AG175" s="140"/>
      <c r="AH175" s="140"/>
      <c r="AI175" s="140"/>
      <c r="AJ175" s="140"/>
      <c r="AK175" s="140"/>
      <c r="AL175" s="140"/>
      <c r="AM175" s="140"/>
      <c r="AN175" s="140"/>
      <c r="AO175" s="140"/>
      <c r="AP175" s="224"/>
    </row>
    <row r="176" spans="1:42" s="27" customFormat="1">
      <c r="A176" s="46" t="s">
        <v>229</v>
      </c>
      <c r="C176" s="223">
        <v>11.516374588012701</v>
      </c>
      <c r="D176" s="45">
        <v>11.260408999999999</v>
      </c>
      <c r="E176" s="45">
        <v>10.810661</v>
      </c>
      <c r="F176" s="45">
        <v>10.742025999999999</v>
      </c>
      <c r="G176" s="45">
        <v>10.773243000000001</v>
      </c>
      <c r="H176" s="45">
        <v>10.830589</v>
      </c>
      <c r="I176" s="45">
        <v>10.861997000000001</v>
      </c>
      <c r="J176" s="45">
        <v>10.936849</v>
      </c>
      <c r="L176" s="44"/>
      <c r="M176" s="44"/>
      <c r="N176" s="44"/>
      <c r="O176" s="44"/>
      <c r="P176" s="44"/>
      <c r="Q176" s="44"/>
      <c r="R176" s="44"/>
      <c r="S176" s="44"/>
    </row>
    <row r="177" spans="1:42" s="27" customFormat="1">
      <c r="D177" s="41"/>
      <c r="E177" s="41"/>
      <c r="F177" s="41"/>
      <c r="G177" s="41"/>
      <c r="H177" s="41"/>
      <c r="I177" s="41"/>
      <c r="J177" s="41"/>
      <c r="L177" s="42"/>
      <c r="M177" s="42"/>
    </row>
    <row r="178" spans="1:42" s="27" customFormat="1">
      <c r="A178" s="46" t="s">
        <v>230</v>
      </c>
      <c r="C178" s="223">
        <v>10.1245260238647</v>
      </c>
      <c r="D178" s="45">
        <v>10.131798</v>
      </c>
      <c r="E178" s="45">
        <v>9.7391939999999995</v>
      </c>
      <c r="F178" s="45">
        <v>9.6412230000000001</v>
      </c>
      <c r="G178" s="45">
        <v>9.8094280000000005</v>
      </c>
      <c r="H178" s="45">
        <v>10.000724999999999</v>
      </c>
      <c r="I178" s="45">
        <v>10.224086</v>
      </c>
      <c r="J178" s="45">
        <v>10.546246999999999</v>
      </c>
      <c r="L178" s="44"/>
      <c r="M178" s="44"/>
      <c r="T178" s="41"/>
      <c r="U178" s="41"/>
      <c r="V178" s="41"/>
      <c r="W178" s="41"/>
      <c r="X178" s="41"/>
      <c r="Y178" s="41"/>
      <c r="Z178" s="41"/>
      <c r="AA178" s="41"/>
      <c r="AB178" s="41"/>
      <c r="AC178" s="41"/>
      <c r="AD178" s="41"/>
      <c r="AE178" s="41"/>
      <c r="AF178" s="41"/>
      <c r="AG178" s="41"/>
      <c r="AH178" s="41"/>
      <c r="AI178" s="41"/>
      <c r="AJ178" s="41"/>
      <c r="AK178" s="41"/>
      <c r="AL178" s="41"/>
      <c r="AM178" s="41"/>
      <c r="AN178" s="41"/>
      <c r="AO178" s="41"/>
      <c r="AP178" s="130"/>
    </row>
    <row r="179" spans="1:42" s="27" customFormat="1">
      <c r="D179" s="41"/>
      <c r="E179" s="41"/>
      <c r="F179" s="41"/>
      <c r="G179" s="41"/>
      <c r="H179" s="41"/>
      <c r="I179" s="41"/>
      <c r="J179" s="41"/>
      <c r="L179" s="42"/>
      <c r="M179" s="42"/>
      <c r="N179" s="42"/>
      <c r="O179" s="42"/>
      <c r="P179" s="42"/>
      <c r="Q179" s="42"/>
      <c r="R179" s="42"/>
      <c r="S179" s="42"/>
      <c r="T179" s="41"/>
      <c r="U179" s="41"/>
      <c r="V179" s="41"/>
      <c r="W179" s="41"/>
      <c r="X179" s="41"/>
      <c r="Y179" s="41"/>
      <c r="Z179" s="41"/>
      <c r="AA179" s="41"/>
      <c r="AB179" s="41"/>
      <c r="AC179" s="41"/>
      <c r="AD179" s="41"/>
      <c r="AE179" s="41"/>
      <c r="AF179" s="41"/>
      <c r="AG179" s="41"/>
      <c r="AH179" s="41"/>
      <c r="AI179" s="41"/>
      <c r="AJ179" s="41"/>
      <c r="AK179" s="41"/>
      <c r="AL179" s="41"/>
      <c r="AM179" s="41"/>
      <c r="AN179" s="41"/>
      <c r="AO179" s="41"/>
      <c r="AP179" s="130"/>
    </row>
    <row r="180" spans="1:42" s="27" customFormat="1">
      <c r="A180" s="46" t="s">
        <v>231</v>
      </c>
      <c r="D180" s="41"/>
      <c r="E180" s="41"/>
      <c r="F180" s="41"/>
      <c r="G180" s="41"/>
      <c r="H180" s="41"/>
      <c r="I180" s="41"/>
      <c r="J180" s="41"/>
      <c r="L180" s="42"/>
      <c r="M180" s="42"/>
      <c r="N180" s="42"/>
      <c r="O180" s="42"/>
      <c r="P180" s="42"/>
      <c r="Q180" s="42"/>
      <c r="R180" s="42"/>
      <c r="S180" s="42"/>
      <c r="T180" s="41"/>
      <c r="U180" s="41"/>
      <c r="V180" s="41"/>
      <c r="W180" s="41"/>
      <c r="X180" s="41"/>
      <c r="Y180" s="41"/>
      <c r="Z180" s="41"/>
      <c r="AA180" s="41"/>
      <c r="AB180" s="41"/>
      <c r="AC180" s="41"/>
      <c r="AD180" s="41"/>
      <c r="AE180" s="41"/>
      <c r="AF180" s="41"/>
      <c r="AG180" s="41"/>
      <c r="AH180" s="41"/>
      <c r="AI180" s="41"/>
      <c r="AJ180" s="41"/>
      <c r="AK180" s="41"/>
      <c r="AL180" s="41"/>
      <c r="AM180" s="41"/>
      <c r="AN180" s="41"/>
      <c r="AO180" s="41"/>
      <c r="AP180" s="130"/>
    </row>
    <row r="181" spans="1:42" s="27" customFormat="1">
      <c r="A181" s="46" t="s">
        <v>215</v>
      </c>
      <c r="C181" s="223">
        <v>6.1418976783752397</v>
      </c>
      <c r="D181" s="43">
        <v>5.6260519999999996</v>
      </c>
      <c r="E181" s="43">
        <v>5.2368370000000004</v>
      </c>
      <c r="F181" s="43">
        <v>5.0540130000000003</v>
      </c>
      <c r="G181" s="43">
        <v>4.9045069999999997</v>
      </c>
      <c r="H181" s="43">
        <v>4.740888</v>
      </c>
      <c r="I181" s="43">
        <v>4.5730620000000002</v>
      </c>
      <c r="J181" s="43">
        <v>4.4082090000000003</v>
      </c>
      <c r="L181" s="42"/>
      <c r="M181" s="42"/>
      <c r="N181" s="42"/>
      <c r="O181" s="42"/>
      <c r="P181" s="42"/>
      <c r="Q181" s="42"/>
      <c r="R181" s="42"/>
      <c r="S181" s="42"/>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130"/>
    </row>
    <row r="182" spans="1:42" s="27" customFormat="1">
      <c r="A182" s="46" t="s">
        <v>216</v>
      </c>
      <c r="C182" s="223">
        <v>2.61447978019714</v>
      </c>
      <c r="D182" s="43">
        <v>2.575663</v>
      </c>
      <c r="E182" s="43">
        <v>2.5343770000000001</v>
      </c>
      <c r="F182" s="43">
        <v>2.680145</v>
      </c>
      <c r="G182" s="43">
        <v>2.9100769999999998</v>
      </c>
      <c r="H182" s="43">
        <v>3.1374019999999998</v>
      </c>
      <c r="I182" s="43">
        <v>3.3717700000000002</v>
      </c>
      <c r="J182" s="43">
        <v>3.6086529999999999</v>
      </c>
      <c r="L182" s="42"/>
      <c r="M182" s="42"/>
      <c r="N182" s="42"/>
      <c r="O182" s="42"/>
      <c r="P182" s="42"/>
      <c r="Q182" s="42"/>
      <c r="R182" s="42"/>
      <c r="S182" s="42"/>
      <c r="T182" s="41"/>
      <c r="U182" s="41"/>
      <c r="V182" s="41"/>
      <c r="W182" s="41"/>
      <c r="X182" s="41"/>
      <c r="Y182" s="41"/>
      <c r="Z182" s="41"/>
      <c r="AA182" s="41"/>
      <c r="AB182" s="41"/>
      <c r="AC182" s="41"/>
      <c r="AD182" s="41"/>
      <c r="AE182" s="41"/>
      <c r="AF182" s="41"/>
      <c r="AG182" s="41"/>
      <c r="AH182" s="41"/>
      <c r="AI182" s="41"/>
      <c r="AJ182" s="41"/>
      <c r="AK182" s="41"/>
      <c r="AL182" s="41"/>
      <c r="AM182" s="41"/>
      <c r="AN182" s="41"/>
      <c r="AO182" s="41"/>
      <c r="AP182" s="130"/>
    </row>
    <row r="183" spans="1:42" s="27" customFormat="1">
      <c r="A183" s="46" t="s">
        <v>217</v>
      </c>
      <c r="C183" s="223">
        <v>2.4715871810913099</v>
      </c>
      <c r="D183" s="43">
        <v>2.680018</v>
      </c>
      <c r="E183" s="43">
        <v>2.7174230000000001</v>
      </c>
      <c r="F183" s="43">
        <v>2.7117589999999998</v>
      </c>
      <c r="G183" s="43">
        <v>2.7428270000000001</v>
      </c>
      <c r="H183" s="43">
        <v>2.7396630000000002</v>
      </c>
      <c r="I183" s="43">
        <v>2.6922350000000002</v>
      </c>
      <c r="J183" s="43">
        <v>2.64872</v>
      </c>
      <c r="L183" s="42"/>
      <c r="M183" s="42"/>
      <c r="N183" s="42"/>
      <c r="O183" s="42"/>
      <c r="P183" s="42"/>
      <c r="Q183" s="42"/>
      <c r="R183" s="42"/>
      <c r="S183" s="42"/>
      <c r="T183" s="41"/>
      <c r="U183" s="41"/>
      <c r="V183" s="41"/>
      <c r="W183" s="41"/>
      <c r="X183" s="41"/>
      <c r="Y183" s="41"/>
      <c r="Z183" s="41"/>
      <c r="AA183" s="41"/>
      <c r="AB183" s="41"/>
      <c r="AC183" s="41"/>
      <c r="AD183" s="41"/>
      <c r="AE183" s="41"/>
      <c r="AF183" s="41"/>
      <c r="AG183" s="41"/>
      <c r="AH183" s="41"/>
      <c r="AI183" s="41"/>
      <c r="AJ183" s="41"/>
      <c r="AK183" s="41"/>
      <c r="AL183" s="41"/>
      <c r="AM183" s="41"/>
      <c r="AN183" s="41"/>
      <c r="AO183" s="41"/>
      <c r="AP183" s="130"/>
    </row>
    <row r="184" spans="1:42" s="27" customFormat="1">
      <c r="A184" s="46" t="s">
        <v>218</v>
      </c>
      <c r="C184" s="223">
        <v>1.25530982017517</v>
      </c>
      <c r="D184" s="43">
        <v>1.16662</v>
      </c>
      <c r="E184" s="43">
        <v>1.150711</v>
      </c>
      <c r="F184" s="43">
        <v>1.123723</v>
      </c>
      <c r="G184" s="43">
        <v>1.115604</v>
      </c>
      <c r="H184" s="43">
        <v>1.121726</v>
      </c>
      <c r="I184" s="43">
        <v>1.1467970000000001</v>
      </c>
      <c r="J184" s="43">
        <v>1.185754</v>
      </c>
      <c r="L184" s="42"/>
      <c r="M184" s="42"/>
      <c r="N184" s="42"/>
      <c r="O184" s="42"/>
      <c r="P184" s="42"/>
      <c r="Q184" s="42"/>
      <c r="R184" s="42"/>
      <c r="S184" s="42"/>
      <c r="T184" s="41"/>
      <c r="U184" s="41"/>
      <c r="V184" s="41"/>
      <c r="W184" s="41"/>
      <c r="X184" s="41"/>
      <c r="Y184" s="41"/>
      <c r="Z184" s="41"/>
      <c r="AA184" s="41"/>
      <c r="AB184" s="41"/>
      <c r="AC184" s="41"/>
      <c r="AD184" s="41"/>
      <c r="AE184" s="41"/>
      <c r="AF184" s="41"/>
      <c r="AG184" s="41"/>
      <c r="AH184" s="41"/>
      <c r="AI184" s="41"/>
      <c r="AJ184" s="41"/>
      <c r="AK184" s="41"/>
      <c r="AL184" s="41"/>
      <c r="AM184" s="41"/>
      <c r="AN184" s="41"/>
      <c r="AO184" s="41"/>
      <c r="AP184" s="130"/>
    </row>
    <row r="185" spans="1:42" s="27" customFormat="1">
      <c r="A185" s="46" t="s">
        <v>232</v>
      </c>
      <c r="C185" s="223">
        <v>0.57268238067626998</v>
      </c>
      <c r="D185" s="43">
        <v>0.56416900000000003</v>
      </c>
      <c r="E185" s="43">
        <v>0.56974199999999997</v>
      </c>
      <c r="F185" s="43">
        <v>0.58692800000000001</v>
      </c>
      <c r="G185" s="43">
        <v>0.60456600000000005</v>
      </c>
      <c r="H185" s="43">
        <v>0.62226000000000004</v>
      </c>
      <c r="I185" s="43">
        <v>0.64125500000000002</v>
      </c>
      <c r="J185" s="43">
        <v>0.66046499999999997</v>
      </c>
      <c r="L185" s="42"/>
      <c r="M185" s="42"/>
      <c r="N185" s="42"/>
      <c r="O185" s="42"/>
      <c r="P185" s="42"/>
      <c r="Q185" s="42"/>
      <c r="R185" s="42"/>
      <c r="S185" s="42"/>
      <c r="T185" s="41"/>
      <c r="U185" s="41"/>
      <c r="V185" s="41"/>
      <c r="W185" s="41"/>
      <c r="X185" s="41"/>
      <c r="Y185" s="41"/>
      <c r="Z185" s="41"/>
      <c r="AA185" s="41"/>
      <c r="AB185" s="41"/>
      <c r="AC185" s="41"/>
      <c r="AD185" s="41"/>
      <c r="AE185" s="41"/>
      <c r="AF185" s="41"/>
      <c r="AG185" s="41"/>
      <c r="AH185" s="41"/>
      <c r="AI185" s="41"/>
      <c r="AJ185" s="41"/>
      <c r="AK185" s="41"/>
      <c r="AL185" s="41"/>
      <c r="AM185" s="41"/>
      <c r="AN185" s="41"/>
      <c r="AO185" s="41"/>
      <c r="AP185" s="130"/>
    </row>
    <row r="186" spans="1:42" s="27" customFormat="1">
      <c r="A186" s="46" t="s">
        <v>233</v>
      </c>
      <c r="C186" s="223">
        <v>0.87609779834747303</v>
      </c>
      <c r="D186" s="43">
        <v>0.66257600000000005</v>
      </c>
      <c r="E186" s="43">
        <v>0.67711200000000005</v>
      </c>
      <c r="F186" s="43">
        <v>0.68670699999999996</v>
      </c>
      <c r="G186" s="43">
        <v>0.70799500000000004</v>
      </c>
      <c r="H186" s="43">
        <v>0.729993</v>
      </c>
      <c r="I186" s="43">
        <v>0.756081</v>
      </c>
      <c r="J186" s="43">
        <v>0.78313600000000005</v>
      </c>
      <c r="L186" s="42"/>
      <c r="M186" s="42"/>
      <c r="N186" s="42"/>
      <c r="O186" s="42"/>
      <c r="P186" s="42"/>
      <c r="Q186" s="42"/>
      <c r="R186" s="42"/>
      <c r="S186" s="42"/>
      <c r="T186" s="41"/>
      <c r="U186" s="41"/>
      <c r="V186" s="41"/>
      <c r="W186" s="41"/>
      <c r="X186" s="41"/>
      <c r="Y186" s="41"/>
      <c r="Z186" s="41"/>
      <c r="AA186" s="41"/>
      <c r="AB186" s="41"/>
      <c r="AC186" s="41"/>
      <c r="AD186" s="41"/>
      <c r="AE186" s="41"/>
      <c r="AF186" s="41"/>
      <c r="AG186" s="41"/>
      <c r="AH186" s="41"/>
      <c r="AI186" s="41"/>
      <c r="AJ186" s="41"/>
      <c r="AK186" s="41"/>
      <c r="AL186" s="41"/>
      <c r="AM186" s="41"/>
      <c r="AN186" s="41"/>
      <c r="AO186" s="41"/>
      <c r="AP186" s="130"/>
    </row>
    <row r="187" spans="1:42" s="27" customFormat="1">
      <c r="A187" s="46" t="s">
        <v>221</v>
      </c>
      <c r="C187" s="223">
        <v>0.26588606834411599</v>
      </c>
      <c r="D187" s="43">
        <v>0.245808</v>
      </c>
      <c r="E187" s="43">
        <v>0.245028</v>
      </c>
      <c r="F187" s="43">
        <v>0.23858699999999999</v>
      </c>
      <c r="G187" s="43">
        <v>0.23278699999999999</v>
      </c>
      <c r="H187" s="43">
        <v>0.22756999999999999</v>
      </c>
      <c r="I187" s="43">
        <v>0.22464100000000001</v>
      </c>
      <c r="J187" s="43">
        <v>0.225691</v>
      </c>
      <c r="L187" s="42"/>
      <c r="M187" s="42"/>
      <c r="N187" s="42"/>
      <c r="O187" s="42"/>
      <c r="P187" s="42"/>
      <c r="Q187" s="42"/>
      <c r="R187" s="42"/>
      <c r="S187" s="42"/>
      <c r="T187" s="41"/>
      <c r="U187" s="41"/>
      <c r="V187" s="41"/>
      <c r="W187" s="41"/>
      <c r="X187" s="41"/>
      <c r="Y187" s="41"/>
      <c r="Z187" s="41"/>
      <c r="AA187" s="41"/>
      <c r="AB187" s="41"/>
      <c r="AC187" s="41"/>
      <c r="AD187" s="41"/>
      <c r="AE187" s="41"/>
      <c r="AF187" s="41"/>
      <c r="AG187" s="41"/>
      <c r="AH187" s="41"/>
      <c r="AI187" s="41"/>
      <c r="AJ187" s="41"/>
      <c r="AK187" s="41"/>
      <c r="AL187" s="41"/>
      <c r="AM187" s="41"/>
      <c r="AN187" s="41"/>
      <c r="AO187" s="41"/>
      <c r="AP187" s="130"/>
    </row>
    <row r="188" spans="1:42" s="27" customFormat="1">
      <c r="A188" s="46" t="s">
        <v>222</v>
      </c>
      <c r="C188" s="223">
        <v>2.3133287429809601</v>
      </c>
      <c r="D188" s="43">
        <v>1.970631</v>
      </c>
      <c r="E188" s="43">
        <v>1.5233319999999999</v>
      </c>
      <c r="F188" s="43">
        <v>1.305347</v>
      </c>
      <c r="G188" s="43">
        <v>1.156374</v>
      </c>
      <c r="H188" s="43">
        <v>1.0217590000000001</v>
      </c>
      <c r="I188" s="43">
        <v>0.86472099999999996</v>
      </c>
      <c r="J188" s="43">
        <v>0.79175399999999996</v>
      </c>
      <c r="L188" s="42"/>
      <c r="M188" s="42"/>
      <c r="N188" s="42"/>
      <c r="O188" s="42"/>
      <c r="P188" s="42"/>
      <c r="Q188" s="42"/>
      <c r="R188" s="42"/>
      <c r="S188" s="42"/>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130"/>
    </row>
    <row r="189" spans="1:42" s="27" customFormat="1">
      <c r="A189" s="46" t="s">
        <v>223</v>
      </c>
      <c r="C189" s="223">
        <v>0.110390990972519</v>
      </c>
      <c r="D189" s="43">
        <v>9.7642000000000007E-2</v>
      </c>
      <c r="E189" s="43">
        <v>9.2385999999999996E-2</v>
      </c>
      <c r="F189" s="43">
        <v>7.7723E-2</v>
      </c>
      <c r="G189" s="43">
        <v>6.5588999999999995E-2</v>
      </c>
      <c r="H189" s="43">
        <v>6.1179999999999998E-2</v>
      </c>
      <c r="I189" s="43">
        <v>6.2051000000000002E-2</v>
      </c>
      <c r="J189" s="43">
        <v>6.4252000000000004E-2</v>
      </c>
      <c r="L189" s="42"/>
      <c r="M189" s="42"/>
      <c r="N189" s="42"/>
      <c r="O189" s="42"/>
      <c r="P189" s="42"/>
      <c r="Q189" s="42"/>
      <c r="R189" s="42"/>
      <c r="S189" s="42"/>
      <c r="T189" s="41"/>
      <c r="U189" s="41"/>
      <c r="V189" s="41"/>
      <c r="W189" s="41"/>
      <c r="X189" s="41"/>
      <c r="Y189" s="41"/>
      <c r="Z189" s="41"/>
      <c r="AA189" s="41"/>
      <c r="AB189" s="41"/>
      <c r="AC189" s="41"/>
      <c r="AD189" s="41"/>
      <c r="AE189" s="41"/>
      <c r="AF189" s="41"/>
      <c r="AG189" s="41"/>
      <c r="AH189" s="41"/>
      <c r="AI189" s="41"/>
      <c r="AJ189" s="41"/>
      <c r="AK189" s="41"/>
      <c r="AL189" s="41"/>
      <c r="AM189" s="41"/>
      <c r="AN189" s="41"/>
      <c r="AO189" s="41"/>
      <c r="AP189" s="130"/>
    </row>
    <row r="190" spans="1:42" s="27" customFormat="1">
      <c r="A190" s="46" t="s">
        <v>224</v>
      </c>
      <c r="C190" s="223">
        <v>0.305109322071075</v>
      </c>
      <c r="D190" s="43">
        <v>0.30743700000000002</v>
      </c>
      <c r="E190" s="43">
        <v>0.30120000000000002</v>
      </c>
      <c r="F190" s="43">
        <v>0.29266599999999998</v>
      </c>
      <c r="G190" s="43">
        <v>0.28918199999999999</v>
      </c>
      <c r="H190" s="43">
        <v>0.303815</v>
      </c>
      <c r="I190" s="43">
        <v>0.32335799999999998</v>
      </c>
      <c r="J190" s="43">
        <v>0.34304099999999998</v>
      </c>
      <c r="L190" s="42"/>
      <c r="M190" s="42"/>
      <c r="N190" s="42"/>
      <c r="O190" s="42"/>
      <c r="P190" s="42"/>
      <c r="Q190" s="42"/>
      <c r="R190" s="42"/>
      <c r="S190" s="42"/>
      <c r="T190" s="41"/>
      <c r="U190" s="41"/>
      <c r="V190" s="41"/>
      <c r="W190" s="41"/>
      <c r="X190" s="41"/>
      <c r="Y190" s="41"/>
      <c r="Z190" s="41"/>
      <c r="AA190" s="41"/>
      <c r="AB190" s="41"/>
      <c r="AC190" s="41"/>
      <c r="AD190" s="41"/>
      <c r="AE190" s="41"/>
      <c r="AF190" s="41"/>
      <c r="AG190" s="41"/>
      <c r="AH190" s="41"/>
      <c r="AI190" s="41"/>
      <c r="AJ190" s="41"/>
      <c r="AK190" s="41"/>
      <c r="AL190" s="41"/>
      <c r="AM190" s="41"/>
      <c r="AN190" s="41"/>
      <c r="AO190" s="41"/>
      <c r="AP190" s="130"/>
    </row>
    <row r="191" spans="1:42" s="27" customFormat="1">
      <c r="A191" s="46" t="s">
        <v>225</v>
      </c>
      <c r="C191" s="223">
        <v>0.95304834842681896</v>
      </c>
      <c r="D191" s="43">
        <v>1.031336</v>
      </c>
      <c r="E191" s="43">
        <v>1.005652</v>
      </c>
      <c r="F191" s="43">
        <v>0.97939600000000004</v>
      </c>
      <c r="G191" s="43">
        <v>0.99156299999999997</v>
      </c>
      <c r="H191" s="43">
        <v>1.0232920000000001</v>
      </c>
      <c r="I191" s="43">
        <v>1.072184</v>
      </c>
      <c r="J191" s="43">
        <v>1.1128020000000001</v>
      </c>
      <c r="L191" s="42"/>
      <c r="M191" s="42"/>
      <c r="N191" s="42"/>
      <c r="O191" s="42"/>
      <c r="P191" s="42"/>
      <c r="Q191" s="42"/>
      <c r="R191" s="42"/>
      <c r="S191" s="42"/>
      <c r="T191" s="41"/>
      <c r="U191" s="41"/>
      <c r="V191" s="41"/>
      <c r="W191" s="41"/>
      <c r="X191" s="41"/>
      <c r="Y191" s="41"/>
      <c r="Z191" s="41"/>
      <c r="AA191" s="41"/>
      <c r="AB191" s="41"/>
      <c r="AC191" s="41"/>
      <c r="AD191" s="41"/>
      <c r="AE191" s="41"/>
      <c r="AF191" s="41"/>
      <c r="AG191" s="41"/>
      <c r="AH191" s="41"/>
      <c r="AI191" s="41"/>
      <c r="AJ191" s="41"/>
      <c r="AK191" s="41"/>
      <c r="AL191" s="41"/>
      <c r="AM191" s="41"/>
      <c r="AN191" s="41"/>
      <c r="AO191" s="41"/>
      <c r="AP191" s="130"/>
    </row>
    <row r="192" spans="1:42" s="27" customFormat="1">
      <c r="A192" s="46" t="s">
        <v>226</v>
      </c>
      <c r="C192" s="223">
        <v>0.20761233568191501</v>
      </c>
      <c r="D192" s="43">
        <v>0.39466099999999998</v>
      </c>
      <c r="E192" s="43">
        <v>0.35002100000000003</v>
      </c>
      <c r="F192" s="43">
        <v>0.29314400000000002</v>
      </c>
      <c r="G192" s="43">
        <v>0.247283</v>
      </c>
      <c r="H192" s="43">
        <v>0.20910100000000001</v>
      </c>
      <c r="I192" s="43">
        <v>0.17901500000000001</v>
      </c>
      <c r="J192" s="43">
        <v>0.15123200000000001</v>
      </c>
      <c r="L192" s="42"/>
      <c r="M192" s="42"/>
      <c r="N192" s="42"/>
      <c r="O192" s="42"/>
      <c r="P192" s="42"/>
      <c r="Q192" s="42"/>
      <c r="R192" s="42"/>
      <c r="S192" s="42"/>
      <c r="T192" s="140"/>
      <c r="U192" s="140"/>
      <c r="V192" s="140"/>
      <c r="W192" s="140"/>
      <c r="X192" s="140"/>
      <c r="Y192" s="140"/>
      <c r="Z192" s="140"/>
      <c r="AA192" s="140"/>
      <c r="AB192" s="140"/>
      <c r="AC192" s="140"/>
      <c r="AD192" s="140"/>
      <c r="AE192" s="140"/>
      <c r="AF192" s="140"/>
      <c r="AG192" s="140"/>
      <c r="AH192" s="140"/>
      <c r="AI192" s="140"/>
      <c r="AJ192" s="140"/>
      <c r="AK192" s="140"/>
      <c r="AL192" s="140"/>
      <c r="AM192" s="140"/>
      <c r="AN192" s="140"/>
      <c r="AO192" s="140"/>
      <c r="AP192" s="224"/>
    </row>
    <row r="193" spans="1:42" s="27" customFormat="1">
      <c r="A193" s="46" t="s">
        <v>234</v>
      </c>
      <c r="C193" s="223">
        <v>0.187849476933479</v>
      </c>
      <c r="D193" s="43">
        <v>0.36439500000000002</v>
      </c>
      <c r="E193" s="43">
        <v>0.34678599999999998</v>
      </c>
      <c r="F193" s="43">
        <v>0.34423599999999999</v>
      </c>
      <c r="G193" s="43">
        <v>0.34489900000000001</v>
      </c>
      <c r="H193" s="43">
        <v>0.34429799999999999</v>
      </c>
      <c r="I193" s="43">
        <v>0.34218900000000002</v>
      </c>
      <c r="J193" s="43">
        <v>0.33898400000000001</v>
      </c>
      <c r="L193" s="44"/>
      <c r="M193" s="44"/>
      <c r="N193" s="44"/>
      <c r="O193" s="44"/>
      <c r="P193" s="44"/>
      <c r="Q193" s="44"/>
      <c r="R193" s="44"/>
      <c r="S193" s="44"/>
    </row>
    <row r="194" spans="1:42" s="27" customFormat="1">
      <c r="A194" s="46" t="s">
        <v>235</v>
      </c>
      <c r="C194" s="223">
        <v>3.3656198978424099</v>
      </c>
      <c r="D194" s="43">
        <v>3.7051949999999998</v>
      </c>
      <c r="E194" s="43">
        <v>3.7992490000000001</v>
      </c>
      <c r="F194" s="43">
        <v>4.0088739999999996</v>
      </c>
      <c r="G194" s="43">
        <v>4.2694169999999998</v>
      </c>
      <c r="H194" s="43">
        <v>4.5483659999999997</v>
      </c>
      <c r="I194" s="43">
        <v>4.8367230000000001</v>
      </c>
      <c r="J194" s="43">
        <v>5.1604020000000004</v>
      </c>
      <c r="L194" s="42"/>
      <c r="M194" s="42"/>
    </row>
    <row r="195" spans="1:42" s="27" customFormat="1">
      <c r="A195" s="46" t="s">
        <v>236</v>
      </c>
      <c r="C195" s="223">
        <v>21.6409015655518</v>
      </c>
      <c r="D195" s="45">
        <v>21.392208</v>
      </c>
      <c r="E195" s="45">
        <v>20.549854</v>
      </c>
      <c r="F195" s="45">
        <v>20.383248999999999</v>
      </c>
      <c r="G195" s="45">
        <v>20.582671999999999</v>
      </c>
      <c r="H195" s="45">
        <v>20.831313999999999</v>
      </c>
      <c r="I195" s="45">
        <v>21.086082000000001</v>
      </c>
      <c r="J195" s="45">
        <v>21.483097000000001</v>
      </c>
      <c r="L195" s="44"/>
      <c r="M195" s="44"/>
      <c r="T195" s="41"/>
      <c r="U195" s="41"/>
      <c r="V195" s="41"/>
      <c r="W195" s="41"/>
      <c r="X195" s="41"/>
      <c r="Y195" s="41"/>
      <c r="Z195" s="41"/>
      <c r="AA195" s="41"/>
      <c r="AB195" s="41"/>
      <c r="AC195" s="41"/>
      <c r="AD195" s="41"/>
      <c r="AE195" s="41"/>
      <c r="AF195" s="41"/>
      <c r="AG195" s="41"/>
      <c r="AH195" s="41"/>
      <c r="AI195" s="41"/>
      <c r="AJ195" s="41"/>
      <c r="AK195" s="41"/>
      <c r="AL195" s="41"/>
      <c r="AM195" s="41"/>
      <c r="AN195" s="41"/>
      <c r="AO195" s="41"/>
      <c r="AP195" s="130"/>
    </row>
    <row r="196" spans="1:42" s="27" customFormat="1">
      <c r="D196" s="41"/>
      <c r="E196" s="41"/>
      <c r="F196" s="41"/>
      <c r="G196" s="41"/>
      <c r="H196" s="41"/>
      <c r="I196" s="41"/>
      <c r="J196" s="41"/>
      <c r="L196" s="42"/>
      <c r="M196" s="42"/>
      <c r="N196" s="42"/>
      <c r="O196" s="42"/>
      <c r="P196" s="42"/>
      <c r="Q196" s="42"/>
      <c r="R196" s="42"/>
      <c r="S196" s="42"/>
      <c r="T196" s="41"/>
      <c r="U196" s="41"/>
      <c r="V196" s="41"/>
      <c r="W196" s="41"/>
      <c r="X196" s="41"/>
      <c r="Y196" s="41"/>
      <c r="Z196" s="41"/>
      <c r="AA196" s="41"/>
      <c r="AB196" s="41"/>
      <c r="AC196" s="41"/>
      <c r="AD196" s="41"/>
      <c r="AE196" s="41"/>
      <c r="AF196" s="41"/>
      <c r="AG196" s="41"/>
      <c r="AH196" s="41"/>
      <c r="AI196" s="41"/>
      <c r="AJ196" s="41"/>
      <c r="AK196" s="41"/>
      <c r="AL196" s="41"/>
      <c r="AM196" s="41"/>
      <c r="AN196" s="41"/>
      <c r="AO196" s="41"/>
      <c r="AP196" s="130"/>
    </row>
    <row r="197" spans="1:42" s="27" customFormat="1">
      <c r="A197" s="46" t="s">
        <v>237</v>
      </c>
      <c r="D197" s="41"/>
      <c r="E197" s="41"/>
      <c r="F197" s="41"/>
      <c r="G197" s="41"/>
      <c r="H197" s="41"/>
      <c r="I197" s="41"/>
      <c r="J197" s="41"/>
      <c r="L197" s="42"/>
      <c r="M197" s="42"/>
      <c r="N197" s="42"/>
      <c r="O197" s="42"/>
      <c r="P197" s="42"/>
      <c r="Q197" s="42"/>
      <c r="R197" s="42"/>
      <c r="S197" s="42"/>
      <c r="T197" s="41"/>
      <c r="U197" s="41"/>
      <c r="V197" s="41"/>
      <c r="W197" s="41"/>
      <c r="X197" s="41"/>
      <c r="Y197" s="41"/>
      <c r="Z197" s="41"/>
      <c r="AA197" s="41"/>
      <c r="AB197" s="41"/>
      <c r="AC197" s="41"/>
      <c r="AD197" s="41"/>
      <c r="AE197" s="41"/>
      <c r="AF197" s="41"/>
      <c r="AG197" s="41"/>
      <c r="AH197" s="41"/>
      <c r="AI197" s="41"/>
      <c r="AJ197" s="41"/>
      <c r="AK197" s="41"/>
      <c r="AL197" s="41"/>
      <c r="AM197" s="41"/>
      <c r="AN197" s="41"/>
      <c r="AO197" s="41"/>
      <c r="AP197" s="130"/>
    </row>
    <row r="198" spans="1:42" s="27" customFormat="1">
      <c r="A198" s="27" t="s">
        <v>1075</v>
      </c>
      <c r="C198" s="223">
        <v>3.2191900536418E-3</v>
      </c>
      <c r="D198" s="43">
        <v>1.0892000000000001E-2</v>
      </c>
      <c r="E198" s="43">
        <v>1.4688E-2</v>
      </c>
      <c r="F198" s="43">
        <v>1.9826E-2</v>
      </c>
      <c r="G198" s="43">
        <v>2.1811000000000001E-2</v>
      </c>
      <c r="H198" s="43">
        <v>2.2950000000000002E-2</v>
      </c>
      <c r="I198" s="43">
        <v>2.3990000000000001E-2</v>
      </c>
      <c r="J198" s="43">
        <v>2.5647E-2</v>
      </c>
      <c r="L198" s="42"/>
      <c r="M198" s="42"/>
      <c r="N198" s="42"/>
      <c r="O198" s="42"/>
      <c r="P198" s="42"/>
      <c r="Q198" s="42"/>
      <c r="R198" s="42"/>
      <c r="S198" s="42"/>
      <c r="T198" s="41"/>
      <c r="U198" s="41"/>
      <c r="V198" s="41"/>
      <c r="W198" s="41"/>
      <c r="X198" s="41"/>
      <c r="Y198" s="41"/>
      <c r="Z198" s="41"/>
      <c r="AA198" s="41"/>
      <c r="AB198" s="41"/>
      <c r="AC198" s="41"/>
      <c r="AD198" s="41"/>
      <c r="AE198" s="41"/>
      <c r="AF198" s="41"/>
      <c r="AG198" s="41"/>
      <c r="AH198" s="41"/>
      <c r="AI198" s="41"/>
      <c r="AJ198" s="41"/>
      <c r="AK198" s="41"/>
      <c r="AL198" s="41"/>
      <c r="AM198" s="41"/>
      <c r="AN198" s="41"/>
      <c r="AO198" s="41"/>
      <c r="AP198" s="130"/>
    </row>
    <row r="199" spans="1:42" s="27" customFormat="1">
      <c r="A199" s="27" t="s">
        <v>1076</v>
      </c>
      <c r="C199" s="223">
        <v>9.8772877827286703E-3</v>
      </c>
      <c r="D199" s="43">
        <v>4.7939999999999997E-3</v>
      </c>
      <c r="E199" s="43">
        <v>9.8549999999999992E-3</v>
      </c>
      <c r="F199" s="43">
        <v>1.111E-2</v>
      </c>
      <c r="G199" s="43">
        <v>1.1153E-2</v>
      </c>
      <c r="H199" s="43">
        <v>1.1258000000000001E-2</v>
      </c>
      <c r="I199" s="43">
        <v>1.1545E-2</v>
      </c>
      <c r="J199" s="43">
        <v>1.1861E-2</v>
      </c>
      <c r="L199" s="42"/>
      <c r="M199" s="42"/>
      <c r="N199" s="42"/>
      <c r="O199" s="42"/>
      <c r="P199" s="42"/>
      <c r="Q199" s="42"/>
      <c r="R199" s="42"/>
      <c r="S199" s="42"/>
      <c r="T199" s="140"/>
      <c r="U199" s="140"/>
      <c r="V199" s="140"/>
      <c r="W199" s="140"/>
      <c r="X199" s="140"/>
      <c r="Y199" s="140"/>
      <c r="Z199" s="140"/>
      <c r="AA199" s="140"/>
      <c r="AB199" s="140"/>
      <c r="AC199" s="140"/>
      <c r="AD199" s="140"/>
      <c r="AE199" s="140"/>
      <c r="AF199" s="140"/>
      <c r="AG199" s="140"/>
      <c r="AH199" s="140"/>
      <c r="AI199" s="140"/>
      <c r="AJ199" s="140"/>
      <c r="AK199" s="140"/>
      <c r="AL199" s="140"/>
      <c r="AM199" s="140"/>
      <c r="AN199" s="140"/>
      <c r="AO199" s="140"/>
      <c r="AP199" s="229"/>
    </row>
    <row r="200" spans="1:42" s="27" customFormat="1">
      <c r="A200" s="27" t="s">
        <v>1077</v>
      </c>
      <c r="C200" s="223">
        <v>1.0117285273736299E-4</v>
      </c>
      <c r="D200" s="43">
        <v>1.5768000000000001E-2</v>
      </c>
      <c r="E200" s="43">
        <v>6.6061999999999996E-2</v>
      </c>
      <c r="F200" s="43">
        <v>9.6735000000000002E-2</v>
      </c>
      <c r="G200" s="43">
        <v>0.115691</v>
      </c>
      <c r="H200" s="43">
        <v>0.14494299999999999</v>
      </c>
      <c r="I200" s="43">
        <v>0.18159900000000001</v>
      </c>
      <c r="J200" s="43">
        <v>0.22465099999999999</v>
      </c>
      <c r="L200" s="44"/>
      <c r="M200" s="44"/>
      <c r="N200" s="44"/>
      <c r="O200" s="44"/>
      <c r="P200" s="44"/>
      <c r="Q200" s="44"/>
      <c r="R200" s="44"/>
      <c r="S200" s="44"/>
    </row>
    <row r="201" spans="1:42" s="27" customFormat="1">
      <c r="A201" s="27" t="s">
        <v>1078</v>
      </c>
      <c r="C201" s="223"/>
      <c r="D201" s="43">
        <v>5.7700000000000004E-4</v>
      </c>
      <c r="E201" s="43">
        <v>5.6470000000000001E-3</v>
      </c>
      <c r="F201" s="43">
        <v>7.9830000000000005E-3</v>
      </c>
      <c r="G201" s="43">
        <v>7.9830000000000005E-3</v>
      </c>
      <c r="H201" s="43">
        <v>7.9830000000000005E-3</v>
      </c>
      <c r="I201" s="43">
        <v>8.0180000000000008E-3</v>
      </c>
      <c r="J201" s="43">
        <v>8.2620000000000002E-3</v>
      </c>
      <c r="L201" s="42"/>
      <c r="M201" s="42"/>
    </row>
    <row r="202" spans="1:42" s="27" customFormat="1">
      <c r="A202" s="46" t="s">
        <v>236</v>
      </c>
      <c r="C202" s="223">
        <v>1.3197651132941199E-2</v>
      </c>
      <c r="D202" s="45">
        <v>3.2031999999999998E-2</v>
      </c>
      <c r="E202" s="45">
        <v>9.6252000000000004E-2</v>
      </c>
      <c r="F202" s="45">
        <v>0.135653</v>
      </c>
      <c r="G202" s="45">
        <v>0.156638</v>
      </c>
      <c r="H202" s="45">
        <v>0.18713299999999999</v>
      </c>
      <c r="I202" s="45">
        <v>0.22515099999999999</v>
      </c>
      <c r="J202" s="45">
        <v>0.27041999999999999</v>
      </c>
      <c r="L202" s="44"/>
      <c r="M202" s="44"/>
    </row>
    <row r="203" spans="1:42">
      <c r="A203" s="27"/>
      <c r="B203" s="27"/>
      <c r="C203" s="27"/>
      <c r="D203" s="27"/>
      <c r="E203" s="27"/>
      <c r="F203" s="27"/>
      <c r="G203" s="27"/>
      <c r="H203" s="27"/>
      <c r="I203" s="27"/>
      <c r="J203" s="27"/>
      <c r="K203" s="27"/>
      <c r="L203" s="42"/>
      <c r="M203" s="42"/>
      <c r="N203" s="42"/>
      <c r="O203" s="42"/>
      <c r="P203" s="42"/>
      <c r="Q203" s="42"/>
      <c r="R203" s="42"/>
      <c r="S203" s="42"/>
    </row>
    <row r="204" spans="1:42">
      <c r="A204" s="27"/>
      <c r="B204" s="27"/>
      <c r="C204" s="27"/>
      <c r="D204" s="27"/>
      <c r="L204" s="42"/>
      <c r="M204" s="42"/>
      <c r="N204" s="42"/>
      <c r="O204" s="42"/>
      <c r="P204" s="42"/>
      <c r="Q204" s="42"/>
      <c r="R204" s="42"/>
      <c r="S204" s="42"/>
    </row>
    <row r="205" spans="1:42">
      <c r="A205" s="843" t="s">
        <v>238</v>
      </c>
      <c r="B205" s="843"/>
      <c r="C205" s="211">
        <v>2005</v>
      </c>
      <c r="D205" s="211">
        <v>2010</v>
      </c>
      <c r="E205" s="211">
        <v>2015</v>
      </c>
      <c r="F205" s="211">
        <v>2020</v>
      </c>
      <c r="G205" s="211">
        <v>2025</v>
      </c>
      <c r="H205" s="211">
        <v>2030</v>
      </c>
      <c r="I205" s="211">
        <v>2035</v>
      </c>
      <c r="J205" s="211">
        <v>2040</v>
      </c>
      <c r="L205" s="42"/>
      <c r="M205" s="42"/>
      <c r="N205" s="42"/>
      <c r="O205" s="42"/>
      <c r="P205" s="42"/>
      <c r="Q205" s="42"/>
      <c r="R205" s="42"/>
      <c r="S205" s="42"/>
    </row>
    <row r="206" spans="1:42">
      <c r="B206" s="46" t="s">
        <v>232</v>
      </c>
      <c r="C206" s="230">
        <f>C124/(C124+C140)</f>
        <v>0.32031787925660898</v>
      </c>
      <c r="D206" s="230">
        <f>D124/(D124+D140)</f>
        <v>0.33423176314469483</v>
      </c>
      <c r="E206" s="230">
        <f t="shared" ref="E206:I207" si="90">E124/(E124+E140)</f>
        <v>0.34334854445318652</v>
      </c>
      <c r="F206" s="230">
        <f t="shared" si="90"/>
        <v>0.35810690981586463</v>
      </c>
      <c r="G206" s="230">
        <f t="shared" si="90"/>
        <v>0.3714975845410628</v>
      </c>
      <c r="H206" s="230">
        <f t="shared" si="90"/>
        <v>0.38277944830905825</v>
      </c>
      <c r="I206" s="230">
        <f t="shared" si="90"/>
        <v>0.39112021588827384</v>
      </c>
      <c r="J206" s="230">
        <f>J124/(J124+J140)</f>
        <v>0.3989003808477074</v>
      </c>
      <c r="L206" s="42"/>
      <c r="M206" s="42"/>
      <c r="N206" s="42"/>
      <c r="O206" s="42"/>
      <c r="P206" s="42"/>
      <c r="Q206" s="42"/>
      <c r="R206" s="42"/>
      <c r="S206" s="42"/>
    </row>
    <row r="207" spans="1:42">
      <c r="B207" s="46" t="s">
        <v>233</v>
      </c>
      <c r="C207" s="230">
        <f>C125/(C125+C141)</f>
        <v>0.77819802323483911</v>
      </c>
      <c r="D207" s="230">
        <f>D125/(D125+D141)</f>
        <v>0.80021519502552918</v>
      </c>
      <c r="E207" s="230">
        <f t="shared" si="90"/>
        <v>0.79841764751734345</v>
      </c>
      <c r="F207" s="230">
        <f t="shared" si="90"/>
        <v>0.7954767891828407</v>
      </c>
      <c r="G207" s="230">
        <f t="shared" si="90"/>
        <v>0.79581416876392141</v>
      </c>
      <c r="H207" s="230">
        <f t="shared" si="90"/>
        <v>0.79807985899072886</v>
      </c>
      <c r="I207" s="230">
        <f t="shared" si="90"/>
        <v>0.80182191420767035</v>
      </c>
      <c r="J207" s="230">
        <f t="shared" ref="J207" si="91">J125/(J125+J141)</f>
        <v>0.80492425452524108</v>
      </c>
      <c r="L207" s="42"/>
      <c r="M207" s="42"/>
      <c r="N207" s="42"/>
      <c r="O207" s="42"/>
      <c r="P207" s="42"/>
      <c r="Q207" s="42"/>
      <c r="R207" s="42"/>
      <c r="S207" s="42"/>
    </row>
    <row r="208" spans="1:42">
      <c r="B208" s="46" t="s">
        <v>239</v>
      </c>
      <c r="C208" s="230">
        <f>C133/(C133+C142+C148+C155)</f>
        <v>0.77102234896099586</v>
      </c>
      <c r="D208" s="230">
        <f t="shared" ref="D208:J208" si="92">D133/(D133+D142+D148+D155)</f>
        <v>0.79011856690193216</v>
      </c>
      <c r="E208" s="230">
        <f t="shared" si="92"/>
        <v>0.7959851357815847</v>
      </c>
      <c r="F208" s="230">
        <f t="shared" si="92"/>
        <v>0.80994494446197618</v>
      </c>
      <c r="G208" s="230">
        <f t="shared" si="92"/>
        <v>0.82347549046322355</v>
      </c>
      <c r="H208" s="230">
        <f t="shared" si="92"/>
        <v>0.83658385474069474</v>
      </c>
      <c r="I208" s="230">
        <f t="shared" si="92"/>
        <v>0.84817738481402483</v>
      </c>
      <c r="J208" s="230">
        <f t="shared" si="92"/>
        <v>0.85922811775323116</v>
      </c>
      <c r="L208" s="42"/>
      <c r="M208" s="42"/>
      <c r="N208" s="42"/>
      <c r="O208" s="42"/>
      <c r="P208" s="42"/>
      <c r="Q208" s="42"/>
      <c r="R208" s="42"/>
      <c r="S208" s="42"/>
      <c r="AJ208" s="28" t="s">
        <v>173</v>
      </c>
    </row>
    <row r="209" spans="1:36">
      <c r="L209" s="42"/>
      <c r="M209" s="42"/>
      <c r="N209" s="42"/>
      <c r="O209" s="42"/>
      <c r="P209" s="42"/>
      <c r="Q209" s="42"/>
      <c r="R209" s="42"/>
      <c r="S209" s="42"/>
      <c r="AJ209" s="28" t="s">
        <v>174</v>
      </c>
    </row>
    <row r="210" spans="1:36">
      <c r="L210" s="42"/>
      <c r="M210" s="42"/>
      <c r="N210" s="42"/>
      <c r="O210" s="42"/>
      <c r="P210" s="42"/>
      <c r="Q210" s="42"/>
      <c r="R210" s="42"/>
      <c r="S210" s="42"/>
      <c r="T210" s="27"/>
      <c r="U210" s="205"/>
    </row>
    <row r="211" spans="1:36" ht="12.75" customHeight="1">
      <c r="A211" s="247" t="s">
        <v>1097</v>
      </c>
      <c r="B211" s="247"/>
      <c r="C211" s="247"/>
      <c r="D211" s="247"/>
      <c r="E211" s="247"/>
      <c r="F211" s="247"/>
      <c r="G211" s="247"/>
      <c r="H211" s="247"/>
      <c r="I211" s="247"/>
      <c r="J211" s="247"/>
      <c r="L211" s="42"/>
      <c r="M211" s="42"/>
      <c r="N211" s="42"/>
      <c r="O211" s="42"/>
      <c r="P211" s="42"/>
      <c r="Q211" s="42"/>
      <c r="R211" s="42"/>
      <c r="S211" s="42"/>
      <c r="T211" s="48"/>
      <c r="U211" s="48"/>
    </row>
    <row r="212" spans="1:36" ht="15" customHeight="1">
      <c r="A212" s="247"/>
      <c r="B212" s="247"/>
      <c r="C212" s="247">
        <v>2005</v>
      </c>
      <c r="D212" s="247">
        <v>2010</v>
      </c>
      <c r="E212" s="247">
        <v>2015</v>
      </c>
      <c r="F212" s="247">
        <v>2020</v>
      </c>
      <c r="G212" s="247">
        <v>2025</v>
      </c>
      <c r="H212" s="247">
        <v>2030</v>
      </c>
      <c r="I212" s="247">
        <v>2035</v>
      </c>
      <c r="J212" s="247">
        <v>2040</v>
      </c>
      <c r="L212" s="44"/>
      <c r="M212" s="44"/>
      <c r="N212" s="44"/>
      <c r="O212" s="44"/>
      <c r="P212" s="44"/>
      <c r="Q212" s="44"/>
      <c r="R212" s="44"/>
      <c r="S212" s="44"/>
      <c r="T212" s="27"/>
      <c r="U212" s="27"/>
    </row>
    <row r="213" spans="1:36">
      <c r="A213" s="48" t="s">
        <v>240</v>
      </c>
      <c r="C213" s="27"/>
      <c r="D213" s="27"/>
      <c r="E213" s="27"/>
      <c r="F213" s="27"/>
      <c r="G213" s="27"/>
      <c r="L213" s="42"/>
      <c r="M213" s="42"/>
      <c r="N213" s="27"/>
      <c r="O213" s="27"/>
      <c r="P213" s="27"/>
      <c r="Q213" s="27"/>
      <c r="R213" s="27"/>
      <c r="S213" s="27"/>
      <c r="T213" s="41"/>
      <c r="U213" s="27"/>
    </row>
    <row r="214" spans="1:36">
      <c r="A214" s="48" t="s">
        <v>241</v>
      </c>
      <c r="C214" s="27"/>
      <c r="D214" s="27"/>
      <c r="E214" s="27"/>
      <c r="F214" s="27"/>
      <c r="G214" s="27"/>
      <c r="L214" s="44"/>
      <c r="M214" s="44"/>
      <c r="N214" s="27"/>
      <c r="O214" s="27"/>
      <c r="P214" s="27"/>
      <c r="Q214" s="27"/>
      <c r="R214" s="27"/>
      <c r="S214" s="27"/>
      <c r="T214" s="41"/>
      <c r="U214" s="130"/>
    </row>
    <row r="215" spans="1:36">
      <c r="A215" s="46" t="s">
        <v>242</v>
      </c>
      <c r="C215" s="223">
        <v>9.0129785537719709</v>
      </c>
      <c r="D215" s="43">
        <v>9.4284479999999995</v>
      </c>
      <c r="E215" s="43">
        <v>10.782083999999999</v>
      </c>
      <c r="F215" s="43">
        <v>13.210682</v>
      </c>
      <c r="G215" s="43">
        <v>15.564698999999999</v>
      </c>
      <c r="H215" s="43">
        <v>17.948681000000001</v>
      </c>
      <c r="I215" s="43">
        <v>20.221375999999999</v>
      </c>
      <c r="J215" s="43">
        <v>22.454535</v>
      </c>
      <c r="L215" s="42"/>
      <c r="M215" s="42"/>
      <c r="N215" s="42"/>
      <c r="O215" s="42"/>
      <c r="P215" s="42"/>
      <c r="Q215" s="42"/>
      <c r="R215" s="42"/>
      <c r="S215" s="42"/>
      <c r="T215" s="130"/>
    </row>
    <row r="216" spans="1:36">
      <c r="A216" s="46" t="s">
        <v>243</v>
      </c>
      <c r="C216" s="223">
        <v>24.643083572387699</v>
      </c>
      <c r="D216" s="43">
        <v>29.383524000000001</v>
      </c>
      <c r="E216" s="43">
        <v>29.266096000000001</v>
      </c>
      <c r="F216" s="43">
        <v>29.599385999999999</v>
      </c>
      <c r="G216" s="43">
        <v>29.984966</v>
      </c>
      <c r="H216" s="43">
        <v>30.457101999999999</v>
      </c>
      <c r="I216" s="43">
        <v>30.938476999999999</v>
      </c>
      <c r="J216" s="43">
        <v>31.437695999999999</v>
      </c>
      <c r="L216" s="42"/>
      <c r="M216" s="42"/>
      <c r="N216" s="42"/>
      <c r="O216" s="42"/>
      <c r="P216" s="42"/>
      <c r="Q216" s="42"/>
      <c r="R216" s="42"/>
      <c r="S216" s="42"/>
      <c r="T216" s="228"/>
    </row>
    <row r="217" spans="1:36">
      <c r="A217" s="46" t="s">
        <v>244</v>
      </c>
      <c r="C217" s="223">
        <v>0</v>
      </c>
      <c r="D217" s="43">
        <v>0.40661399999999998</v>
      </c>
      <c r="E217" s="43">
        <v>0.40098899999999998</v>
      </c>
      <c r="F217" s="43">
        <v>0.39396999999999999</v>
      </c>
      <c r="G217" s="43">
        <v>0.38708300000000001</v>
      </c>
      <c r="H217" s="43">
        <v>0.38032700000000003</v>
      </c>
      <c r="I217" s="43">
        <v>0.373695</v>
      </c>
      <c r="J217" s="43">
        <v>0.36718699999999999</v>
      </c>
      <c r="L217" s="42"/>
      <c r="M217" s="42"/>
      <c r="N217" s="42"/>
      <c r="O217" s="42"/>
      <c r="P217" s="42"/>
      <c r="Q217" s="42"/>
      <c r="R217" s="42"/>
      <c r="S217" s="42"/>
      <c r="T217" s="130"/>
    </row>
    <row r="218" spans="1:36">
      <c r="A218" s="46" t="s">
        <v>245</v>
      </c>
      <c r="C218" s="223">
        <v>58.612491607666001</v>
      </c>
      <c r="D218" s="43">
        <v>56.362037999999998</v>
      </c>
      <c r="E218" s="43">
        <v>57.758724000000001</v>
      </c>
      <c r="F218" s="43">
        <v>60.771011000000001</v>
      </c>
      <c r="G218" s="43">
        <v>63.648304000000003</v>
      </c>
      <c r="H218" s="43">
        <v>66.507378000000003</v>
      </c>
      <c r="I218" s="43">
        <v>69.147659000000004</v>
      </c>
      <c r="J218" s="43">
        <v>71.724120999999997</v>
      </c>
      <c r="L218" s="42"/>
      <c r="M218" s="42"/>
      <c r="N218" s="42"/>
      <c r="O218" s="42"/>
      <c r="P218" s="42"/>
      <c r="Q218" s="42"/>
      <c r="R218" s="42"/>
      <c r="S218" s="42"/>
      <c r="T218" s="130"/>
    </row>
    <row r="219" spans="1:36">
      <c r="A219" s="46" t="s">
        <v>643</v>
      </c>
      <c r="C219" s="223">
        <v>7.76714992523193</v>
      </c>
      <c r="D219" s="43">
        <v>6.7947689999999996</v>
      </c>
      <c r="E219" s="43">
        <v>6.5325879999999996</v>
      </c>
      <c r="F219" s="43">
        <v>6.2292730000000001</v>
      </c>
      <c r="G219" s="43">
        <v>5.9322910000000002</v>
      </c>
      <c r="H219" s="43">
        <v>5.6429720000000003</v>
      </c>
      <c r="I219" s="43">
        <v>5.3817180000000002</v>
      </c>
      <c r="J219" s="43">
        <v>5.1507170000000002</v>
      </c>
      <c r="L219" s="42"/>
      <c r="M219" s="42"/>
      <c r="N219" s="42"/>
      <c r="O219" s="42"/>
      <c r="P219" s="42"/>
      <c r="Q219" s="42"/>
      <c r="R219" s="42"/>
      <c r="S219" s="42"/>
      <c r="T219" s="130"/>
    </row>
    <row r="220" spans="1:36">
      <c r="A220" s="46" t="s">
        <v>644</v>
      </c>
      <c r="C220" s="223">
        <v>6.0340309143066397</v>
      </c>
      <c r="D220" s="43">
        <v>5.5439420000000004</v>
      </c>
      <c r="E220" s="43">
        <v>5.4402140000000001</v>
      </c>
      <c r="F220" s="43">
        <v>5.3711200000000003</v>
      </c>
      <c r="G220" s="43">
        <v>5.3105890000000002</v>
      </c>
      <c r="H220" s="43">
        <v>5.2659539999999998</v>
      </c>
      <c r="I220" s="43">
        <v>5.2271320000000001</v>
      </c>
      <c r="J220" s="43">
        <v>5.1974900000000002</v>
      </c>
      <c r="L220" s="42"/>
      <c r="M220" s="42"/>
      <c r="N220" s="42"/>
      <c r="O220" s="42"/>
      <c r="P220" s="42"/>
      <c r="Q220" s="42"/>
      <c r="R220" s="42"/>
      <c r="S220" s="42"/>
      <c r="T220" s="130"/>
    </row>
    <row r="221" spans="1:36">
      <c r="A221" s="46" t="s">
        <v>246</v>
      </c>
      <c r="C221" s="223">
        <v>0.68602198362350497</v>
      </c>
      <c r="D221" s="43">
        <v>0.48496600000000001</v>
      </c>
      <c r="E221" s="43">
        <v>0.464974</v>
      </c>
      <c r="F221" s="43">
        <v>0.45170500000000002</v>
      </c>
      <c r="G221" s="43">
        <v>0.43881900000000001</v>
      </c>
      <c r="H221" s="43">
        <v>0.426759</v>
      </c>
      <c r="I221" s="43">
        <v>0.414599</v>
      </c>
      <c r="J221" s="43">
        <v>0.40295300000000001</v>
      </c>
      <c r="L221" s="42"/>
      <c r="M221" s="42"/>
      <c r="N221" s="42"/>
      <c r="O221" s="42"/>
      <c r="P221" s="42"/>
      <c r="Q221" s="42"/>
      <c r="R221" s="42"/>
      <c r="S221" s="42"/>
      <c r="T221" s="130"/>
    </row>
    <row r="222" spans="1:36">
      <c r="A222" s="46" t="s">
        <v>247</v>
      </c>
      <c r="C222" s="223">
        <v>2.8879349231720002</v>
      </c>
      <c r="D222" s="43">
        <v>2.8175810000000001</v>
      </c>
      <c r="E222" s="43">
        <v>2.7498459999999998</v>
      </c>
      <c r="F222" s="43">
        <v>2.674153</v>
      </c>
      <c r="G222" s="43">
        <v>2.6052550000000001</v>
      </c>
      <c r="H222" s="43">
        <v>2.5417290000000001</v>
      </c>
      <c r="I222" s="43">
        <v>2.4828260000000002</v>
      </c>
      <c r="J222" s="43">
        <v>2.427972</v>
      </c>
      <c r="L222" s="42"/>
      <c r="M222" s="42"/>
      <c r="N222" s="42"/>
      <c r="O222" s="42"/>
      <c r="P222" s="42"/>
      <c r="Q222" s="42"/>
      <c r="R222" s="42"/>
      <c r="S222" s="42"/>
      <c r="T222" s="130"/>
    </row>
    <row r="223" spans="1:36">
      <c r="A223" s="46" t="s">
        <v>248</v>
      </c>
      <c r="C223" s="223">
        <v>0.15187999606132499</v>
      </c>
      <c r="D223" s="43">
        <v>0.79883800000000005</v>
      </c>
      <c r="E223" s="43">
        <v>1.157117</v>
      </c>
      <c r="F223" s="43">
        <v>1.6737040000000001</v>
      </c>
      <c r="G223" s="43">
        <v>1.962008</v>
      </c>
      <c r="H223" s="43">
        <v>2.1602030000000001</v>
      </c>
      <c r="I223" s="43">
        <v>2.303741</v>
      </c>
      <c r="J223" s="43">
        <v>2.4254709999999999</v>
      </c>
      <c r="L223" s="42"/>
      <c r="M223" s="42"/>
      <c r="N223" s="42"/>
      <c r="O223" s="42"/>
      <c r="P223" s="42"/>
      <c r="Q223" s="42"/>
      <c r="R223" s="42"/>
      <c r="S223" s="42"/>
      <c r="T223" s="224"/>
    </row>
    <row r="224" spans="1:36">
      <c r="A224" s="46" t="s">
        <v>636</v>
      </c>
      <c r="C224" s="231">
        <v>109.79556274414099</v>
      </c>
      <c r="D224" s="45">
        <v>112.02072099999999</v>
      </c>
      <c r="E224" s="45">
        <v>114.552635</v>
      </c>
      <c r="F224" s="45">
        <v>120.37500799999999</v>
      </c>
      <c r="G224" s="45">
        <v>125.834007</v>
      </c>
      <c r="H224" s="45">
        <v>131.33109999999999</v>
      </c>
      <c r="I224" s="45">
        <v>136.49121099999999</v>
      </c>
      <c r="J224" s="45">
        <v>141.58815000000001</v>
      </c>
      <c r="L224" s="44"/>
      <c r="M224" s="44"/>
      <c r="N224" s="44"/>
      <c r="O224" s="44"/>
      <c r="P224" s="44"/>
      <c r="Q224" s="44"/>
      <c r="R224" s="44"/>
      <c r="S224" s="44"/>
      <c r="T224" s="27"/>
    </row>
    <row r="225" spans="1:20">
      <c r="A225" s="27"/>
      <c r="C225" s="27"/>
      <c r="D225" s="41"/>
      <c r="E225" s="27"/>
      <c r="F225" s="27"/>
      <c r="G225" s="27"/>
      <c r="H225" s="27"/>
      <c r="I225" s="27"/>
      <c r="J225" s="27"/>
      <c r="L225" s="42"/>
      <c r="M225" s="42"/>
      <c r="N225" s="27"/>
      <c r="O225" s="27"/>
      <c r="P225" s="27"/>
      <c r="Q225" s="27"/>
      <c r="R225" s="27"/>
      <c r="S225" s="27"/>
      <c r="T225" s="27"/>
    </row>
    <row r="226" spans="1:20">
      <c r="A226" s="48" t="s">
        <v>249</v>
      </c>
      <c r="C226" s="27"/>
      <c r="D226" s="41"/>
      <c r="E226" s="27"/>
      <c r="F226" s="27"/>
      <c r="G226" s="27"/>
      <c r="H226" s="27"/>
      <c r="I226" s="27"/>
      <c r="J226" s="27"/>
      <c r="L226" s="44"/>
      <c r="M226" s="44"/>
      <c r="N226" s="27"/>
      <c r="O226" s="27"/>
      <c r="P226" s="27"/>
      <c r="Q226" s="27"/>
      <c r="R226" s="27"/>
      <c r="S226" s="27"/>
      <c r="T226" s="130"/>
    </row>
    <row r="227" spans="1:20">
      <c r="A227" s="46" t="s">
        <v>242</v>
      </c>
      <c r="C227" s="223">
        <v>9.0129785537719709</v>
      </c>
      <c r="D227" s="43">
        <v>9.4284490000000005</v>
      </c>
      <c r="E227" s="43">
        <v>10.782088</v>
      </c>
      <c r="F227" s="43">
        <v>13.210680999999999</v>
      </c>
      <c r="G227" s="43">
        <v>15.564704000000001</v>
      </c>
      <c r="H227" s="43">
        <v>17.948687</v>
      </c>
      <c r="I227" s="43">
        <v>20.221384</v>
      </c>
      <c r="J227" s="43">
        <v>22.454535</v>
      </c>
      <c r="L227" s="42"/>
      <c r="M227" s="42"/>
      <c r="N227" s="42"/>
      <c r="O227" s="42"/>
      <c r="P227" s="42"/>
      <c r="Q227" s="42"/>
      <c r="R227" s="42"/>
      <c r="S227" s="42"/>
      <c r="T227" s="228"/>
    </row>
    <row r="228" spans="1:20">
      <c r="A228" s="46" t="s">
        <v>244</v>
      </c>
      <c r="C228" s="223">
        <v>9.9999999747524292E-7</v>
      </c>
      <c r="D228" s="43">
        <v>0.40661399999999998</v>
      </c>
      <c r="E228" s="43">
        <v>0.40098899999999998</v>
      </c>
      <c r="F228" s="43">
        <v>0.39396999999999999</v>
      </c>
      <c r="G228" s="43">
        <v>0.38708300000000001</v>
      </c>
      <c r="H228" s="43">
        <v>0.38032700000000003</v>
      </c>
      <c r="I228" s="43">
        <v>0.373695</v>
      </c>
      <c r="J228" s="43">
        <v>0.36718699999999999</v>
      </c>
      <c r="L228" s="42"/>
      <c r="M228" s="42"/>
      <c r="N228" s="42"/>
      <c r="O228" s="42"/>
      <c r="P228" s="42"/>
      <c r="Q228" s="42"/>
      <c r="R228" s="42"/>
      <c r="S228" s="42"/>
      <c r="T228" s="130"/>
    </row>
    <row r="229" spans="1:20">
      <c r="A229" s="46" t="s">
        <v>248</v>
      </c>
      <c r="C229" s="223">
        <v>0.15187999606132499</v>
      </c>
      <c r="D229" s="43">
        <v>0.79883800000000005</v>
      </c>
      <c r="E229" s="43">
        <v>1.157117</v>
      </c>
      <c r="F229" s="43">
        <v>1.6737029999999999</v>
      </c>
      <c r="G229" s="43">
        <v>1.962008</v>
      </c>
      <c r="H229" s="43">
        <v>2.1602030000000001</v>
      </c>
      <c r="I229" s="43">
        <v>2.3037420000000002</v>
      </c>
      <c r="J229" s="43">
        <v>2.4254720000000001</v>
      </c>
      <c r="L229" s="42"/>
      <c r="M229" s="42"/>
      <c r="N229" s="42"/>
      <c r="O229" s="42"/>
      <c r="P229" s="42"/>
      <c r="Q229" s="42"/>
      <c r="R229" s="42"/>
      <c r="S229" s="42"/>
      <c r="T229" s="130"/>
    </row>
    <row r="230" spans="1:20">
      <c r="A230" s="46" t="s">
        <v>250</v>
      </c>
      <c r="C230" s="223">
        <v>56.698097229003899</v>
      </c>
      <c r="D230" s="43">
        <v>63.027839999999998</v>
      </c>
      <c r="E230" s="43">
        <v>67.554817</v>
      </c>
      <c r="F230" s="43">
        <v>74.527168000000003</v>
      </c>
      <c r="G230" s="43">
        <v>81.311194999999998</v>
      </c>
      <c r="H230" s="43">
        <v>88.018906000000001</v>
      </c>
      <c r="I230" s="43">
        <v>94.422957999999994</v>
      </c>
      <c r="J230" s="43">
        <v>100.67227200000001</v>
      </c>
      <c r="L230" s="42"/>
      <c r="M230" s="42"/>
      <c r="N230" s="42"/>
      <c r="O230" s="42"/>
      <c r="P230" s="42"/>
      <c r="Q230" s="42"/>
      <c r="R230" s="42"/>
      <c r="S230" s="42"/>
      <c r="T230" s="130"/>
    </row>
    <row r="231" spans="1:20">
      <c r="A231" s="46" t="s">
        <v>251</v>
      </c>
      <c r="C231" s="223">
        <v>51.317440032958999</v>
      </c>
      <c r="D231" s="43">
        <v>48.668446000000003</v>
      </c>
      <c r="E231" s="43">
        <v>48.105705</v>
      </c>
      <c r="F231" s="43">
        <v>47.775635000000001</v>
      </c>
      <c r="G231" s="43">
        <v>47.474727999999999</v>
      </c>
      <c r="H231" s="43">
        <v>47.236697999999997</v>
      </c>
      <c r="I231" s="43">
        <v>47.008338999999999</v>
      </c>
      <c r="J231" s="43">
        <v>46.804248999999999</v>
      </c>
      <c r="L231" s="42"/>
      <c r="M231" s="42"/>
      <c r="N231" s="42"/>
      <c r="O231" s="42"/>
      <c r="P231" s="42"/>
      <c r="Q231" s="42"/>
      <c r="R231" s="42"/>
      <c r="S231" s="42"/>
      <c r="T231" s="224"/>
    </row>
    <row r="232" spans="1:20">
      <c r="A232" s="46" t="s">
        <v>636</v>
      </c>
      <c r="C232" s="231">
        <v>117.18040466308599</v>
      </c>
      <c r="D232" s="45">
        <v>122.330185</v>
      </c>
      <c r="E232" s="45">
        <v>128.00071700000001</v>
      </c>
      <c r="F232" s="45">
        <v>137.58116100000001</v>
      </c>
      <c r="G232" s="45">
        <v>146.69972200000001</v>
      </c>
      <c r="H232" s="45">
        <v>155.74482699999999</v>
      </c>
      <c r="I232" s="45">
        <v>164.33010899999999</v>
      </c>
      <c r="J232" s="45">
        <v>172.72370900000001</v>
      </c>
      <c r="L232" s="44"/>
      <c r="M232" s="44"/>
      <c r="N232" s="44"/>
      <c r="O232" s="44"/>
      <c r="P232" s="44"/>
      <c r="Q232" s="44"/>
      <c r="R232" s="44"/>
      <c r="S232" s="44"/>
      <c r="T232" s="27"/>
    </row>
    <row r="233" spans="1:20">
      <c r="A233" s="27"/>
      <c r="C233" s="27"/>
      <c r="D233" s="41"/>
      <c r="E233" s="41"/>
      <c r="F233" s="41"/>
      <c r="G233" s="41"/>
      <c r="H233" s="41"/>
      <c r="I233" s="41"/>
      <c r="J233" s="41"/>
      <c r="L233" s="42"/>
      <c r="M233" s="42"/>
      <c r="N233" s="27"/>
      <c r="O233" s="27"/>
      <c r="P233" s="27"/>
      <c r="Q233" s="27"/>
      <c r="R233" s="27"/>
      <c r="S233" s="27"/>
      <c r="T233" s="27"/>
    </row>
    <row r="234" spans="1:20">
      <c r="A234" s="48" t="s">
        <v>632</v>
      </c>
      <c r="C234" s="27"/>
      <c r="D234" s="41"/>
      <c r="E234" s="41"/>
      <c r="F234" s="41"/>
      <c r="G234" s="41"/>
      <c r="H234" s="41"/>
      <c r="I234" s="41"/>
      <c r="J234" s="41"/>
      <c r="L234" s="44"/>
      <c r="M234" s="44"/>
      <c r="N234" s="27"/>
      <c r="O234" s="27"/>
      <c r="P234" s="27"/>
      <c r="Q234" s="27"/>
      <c r="R234" s="27"/>
      <c r="S234" s="27"/>
      <c r="T234" s="130"/>
    </row>
    <row r="235" spans="1:20">
      <c r="A235" s="46" t="s">
        <v>633</v>
      </c>
      <c r="C235" s="223">
        <v>43.052391052246101</v>
      </c>
      <c r="D235" s="43">
        <v>47.497748999999999</v>
      </c>
      <c r="E235" s="43">
        <v>50.246932999999999</v>
      </c>
      <c r="F235" s="43">
        <v>54.931561000000002</v>
      </c>
      <c r="G235" s="43">
        <v>59.051430000000003</v>
      </c>
      <c r="H235" s="43">
        <v>63.069358999999999</v>
      </c>
      <c r="I235" s="43">
        <v>66.807533000000006</v>
      </c>
      <c r="J235" s="43">
        <v>70.429862999999997</v>
      </c>
      <c r="L235" s="42"/>
      <c r="M235" s="42"/>
      <c r="N235" s="42"/>
      <c r="O235" s="42"/>
      <c r="P235" s="42"/>
      <c r="Q235" s="42"/>
      <c r="R235" s="42"/>
      <c r="S235" s="42"/>
      <c r="T235" s="130"/>
    </row>
    <row r="236" spans="1:20">
      <c r="A236" s="46" t="s">
        <v>634</v>
      </c>
      <c r="C236" s="223">
        <v>58.660655975341797</v>
      </c>
      <c r="D236" s="43">
        <v>58.053196</v>
      </c>
      <c r="E236" s="43">
        <v>58.583553000000002</v>
      </c>
      <c r="F236" s="43">
        <v>60.630791000000002</v>
      </c>
      <c r="G236" s="43">
        <v>62.595528000000002</v>
      </c>
      <c r="H236" s="43">
        <v>64.532852000000005</v>
      </c>
      <c r="I236" s="43">
        <v>66.265884</v>
      </c>
      <c r="J236" s="43">
        <v>67.936592000000005</v>
      </c>
      <c r="L236" s="42"/>
      <c r="M236" s="42"/>
      <c r="N236" s="42"/>
      <c r="O236" s="42"/>
      <c r="P236" s="42"/>
      <c r="Q236" s="42"/>
      <c r="R236" s="42"/>
      <c r="S236" s="42"/>
      <c r="T236" s="130"/>
    </row>
    <row r="237" spans="1:20">
      <c r="A237" s="46" t="s">
        <v>643</v>
      </c>
      <c r="C237" s="223">
        <v>4.0430588722229004</v>
      </c>
      <c r="D237" s="43">
        <v>3.3306969999999998</v>
      </c>
      <c r="E237" s="43">
        <v>2.7731840000000001</v>
      </c>
      <c r="F237" s="43">
        <v>2.2372459999999998</v>
      </c>
      <c r="G237" s="43">
        <v>1.9014990000000001</v>
      </c>
      <c r="H237" s="43">
        <v>1.6495230000000001</v>
      </c>
      <c r="I237" s="43">
        <v>1.4673179999999999</v>
      </c>
      <c r="J237" s="43">
        <v>1.3398429999999999</v>
      </c>
      <c r="L237" s="42"/>
      <c r="M237" s="42"/>
      <c r="N237" s="42"/>
      <c r="O237" s="42"/>
      <c r="P237" s="42"/>
      <c r="Q237" s="42"/>
      <c r="R237" s="42"/>
      <c r="S237" s="42"/>
      <c r="T237" s="130"/>
    </row>
    <row r="238" spans="1:20">
      <c r="A238" s="46" t="s">
        <v>644</v>
      </c>
      <c r="C238" s="223">
        <v>4.0272889137268102</v>
      </c>
      <c r="D238" s="43">
        <v>3.8712740000000001</v>
      </c>
      <c r="E238" s="43">
        <v>3.2968899999999999</v>
      </c>
      <c r="F238" s="43">
        <v>2.8075749999999999</v>
      </c>
      <c r="G238" s="43">
        <v>2.490259</v>
      </c>
      <c r="H238" s="43">
        <v>2.2539639999999999</v>
      </c>
      <c r="I238" s="43">
        <v>2.0837430000000001</v>
      </c>
      <c r="J238" s="43">
        <v>1.9728140000000001</v>
      </c>
      <c r="L238" s="42"/>
      <c r="M238" s="42"/>
      <c r="N238" s="42"/>
      <c r="O238" s="42"/>
      <c r="P238" s="42"/>
      <c r="Q238" s="42"/>
      <c r="R238" s="42"/>
      <c r="S238" s="42"/>
      <c r="T238" s="130"/>
    </row>
    <row r="239" spans="1:20">
      <c r="A239" s="46" t="s">
        <v>635</v>
      </c>
      <c r="C239" s="223">
        <v>0.17044399678707101</v>
      </c>
      <c r="D239" s="43">
        <v>0.35251500000000002</v>
      </c>
      <c r="E239" s="43">
        <v>0.71553900000000004</v>
      </c>
      <c r="F239" s="43">
        <v>0.80603499999999995</v>
      </c>
      <c r="G239" s="43">
        <v>0.80945999999999996</v>
      </c>
      <c r="H239" s="43">
        <v>0.81655800000000001</v>
      </c>
      <c r="I239" s="43">
        <v>0.83592900000000003</v>
      </c>
      <c r="J239" s="43">
        <v>0.857124</v>
      </c>
      <c r="L239" s="42"/>
      <c r="M239" s="42"/>
      <c r="N239" s="42"/>
      <c r="O239" s="42"/>
      <c r="P239" s="42"/>
      <c r="Q239" s="42"/>
      <c r="R239" s="42"/>
      <c r="S239" s="42"/>
      <c r="T239" s="224"/>
    </row>
    <row r="240" spans="1:20">
      <c r="A240" s="46" t="s">
        <v>636</v>
      </c>
      <c r="C240" s="231">
        <v>109.95383453369099</v>
      </c>
      <c r="D240" s="45">
        <v>113.10543800000001</v>
      </c>
      <c r="E240" s="45">
        <v>115.61610400000001</v>
      </c>
      <c r="F240" s="45">
        <v>121.4132</v>
      </c>
      <c r="G240" s="45">
        <v>126.848175</v>
      </c>
      <c r="H240" s="45">
        <v>132.32226600000001</v>
      </c>
      <c r="I240" s="45">
        <v>137.46040300000001</v>
      </c>
      <c r="J240" s="45">
        <v>142.536224</v>
      </c>
      <c r="L240" s="44"/>
      <c r="M240" s="44"/>
      <c r="N240" s="44"/>
      <c r="O240" s="44"/>
      <c r="P240" s="44"/>
      <c r="Q240" s="44"/>
      <c r="R240" s="44"/>
      <c r="S240" s="44"/>
      <c r="T240" s="27"/>
    </row>
    <row r="241" spans="1:20">
      <c r="A241" s="27"/>
      <c r="C241" s="27"/>
      <c r="D241" s="41"/>
      <c r="E241" s="41"/>
      <c r="F241" s="41"/>
      <c r="G241" s="41"/>
      <c r="H241" s="41"/>
      <c r="I241" s="41"/>
      <c r="J241" s="41"/>
      <c r="L241" s="42"/>
      <c r="M241" s="42"/>
      <c r="N241" s="27"/>
      <c r="O241" s="27"/>
      <c r="P241" s="27"/>
      <c r="Q241" s="27"/>
      <c r="R241" s="27"/>
      <c r="S241" s="27"/>
      <c r="T241" s="27"/>
    </row>
    <row r="242" spans="1:20">
      <c r="A242" s="48" t="s">
        <v>252</v>
      </c>
      <c r="C242" s="27"/>
      <c r="D242" s="41"/>
      <c r="E242" s="41"/>
      <c r="F242" s="41"/>
      <c r="G242" s="41"/>
      <c r="H242" s="41"/>
      <c r="I242" s="41"/>
      <c r="J242" s="41"/>
      <c r="L242" s="44"/>
      <c r="M242" s="44"/>
      <c r="N242" s="27"/>
      <c r="O242" s="27"/>
      <c r="P242" s="27"/>
      <c r="Q242" s="27"/>
      <c r="R242" s="27"/>
      <c r="S242" s="27"/>
      <c r="T242" s="130"/>
    </row>
    <row r="243" spans="1:20">
      <c r="A243" s="46" t="s">
        <v>633</v>
      </c>
      <c r="C243" s="223">
        <v>65.712928771972699</v>
      </c>
      <c r="D243" s="43">
        <v>68.440392000000003</v>
      </c>
      <c r="E243" s="43">
        <v>70.955269000000001</v>
      </c>
      <c r="F243" s="43">
        <v>76.152602999999999</v>
      </c>
      <c r="G243" s="43">
        <v>81.020904999999999</v>
      </c>
      <c r="H243" s="43">
        <v>85.902023</v>
      </c>
      <c r="I243" s="43">
        <v>90.517882999999998</v>
      </c>
      <c r="J243" s="43">
        <v>95.074959000000007</v>
      </c>
      <c r="L243" s="42"/>
      <c r="M243" s="42"/>
      <c r="N243" s="42"/>
      <c r="O243" s="42"/>
      <c r="P243" s="42"/>
      <c r="Q243" s="42"/>
      <c r="R243" s="42"/>
      <c r="S243" s="42"/>
      <c r="T243" s="130"/>
    </row>
    <row r="244" spans="1:20">
      <c r="A244" s="46" t="s">
        <v>634</v>
      </c>
      <c r="C244" s="223">
        <v>38.655399322509801</v>
      </c>
      <c r="D244" s="43">
        <v>38.221214000000003</v>
      </c>
      <c r="E244" s="43">
        <v>38.450915999999999</v>
      </c>
      <c r="F244" s="43">
        <v>39.286732000000001</v>
      </c>
      <c r="G244" s="43">
        <v>40.089008</v>
      </c>
      <c r="H244" s="43">
        <v>40.882496000000003</v>
      </c>
      <c r="I244" s="43">
        <v>41.560799000000003</v>
      </c>
      <c r="J244" s="43">
        <v>42.239319000000002</v>
      </c>
      <c r="L244" s="42"/>
      <c r="M244" s="42"/>
      <c r="N244" s="42"/>
      <c r="O244" s="42"/>
      <c r="P244" s="42"/>
      <c r="Q244" s="42"/>
      <c r="R244" s="42"/>
      <c r="S244" s="42"/>
      <c r="T244" s="130"/>
    </row>
    <row r="245" spans="1:20">
      <c r="A245" s="46" t="s">
        <v>644</v>
      </c>
      <c r="C245" s="223">
        <v>5.6207227706909197</v>
      </c>
      <c r="D245" s="43">
        <v>5.338425</v>
      </c>
      <c r="E245" s="43">
        <v>5.1353</v>
      </c>
      <c r="F245" s="43">
        <v>4.9346410000000001</v>
      </c>
      <c r="G245" s="43">
        <v>4.73156</v>
      </c>
      <c r="H245" s="43">
        <v>4.5610169999999997</v>
      </c>
      <c r="I245" s="43">
        <v>4.4326970000000001</v>
      </c>
      <c r="J245" s="43">
        <v>4.298832</v>
      </c>
      <c r="L245" s="42"/>
      <c r="M245" s="42"/>
      <c r="N245" s="42"/>
      <c r="O245" s="42"/>
      <c r="P245" s="42"/>
      <c r="Q245" s="42"/>
      <c r="R245" s="42"/>
      <c r="S245" s="42"/>
      <c r="T245" s="224"/>
    </row>
    <row r="246" spans="1:20">
      <c r="A246" s="46" t="s">
        <v>636</v>
      </c>
      <c r="C246" s="231">
        <v>109.989051818848</v>
      </c>
      <c r="D246" s="45">
        <v>112.00003100000001</v>
      </c>
      <c r="E246" s="45">
        <v>114.541489</v>
      </c>
      <c r="F246" s="45">
        <v>120.37397</v>
      </c>
      <c r="G246" s="45">
        <v>125.841469</v>
      </c>
      <c r="H246" s="45">
        <v>131.34553500000001</v>
      </c>
      <c r="I246" s="45">
        <v>136.511368</v>
      </c>
      <c r="J246" s="45">
        <v>141.61309800000001</v>
      </c>
      <c r="L246" s="44"/>
      <c r="M246" s="44"/>
      <c r="N246" s="44"/>
      <c r="O246" s="44"/>
      <c r="P246" s="44"/>
      <c r="Q246" s="44"/>
      <c r="R246" s="44"/>
      <c r="S246" s="44"/>
      <c r="T246" s="27"/>
    </row>
    <row r="247" spans="1:20">
      <c r="A247" s="27"/>
      <c r="C247" s="27"/>
      <c r="D247" s="41"/>
      <c r="E247" s="41"/>
      <c r="F247" s="41"/>
      <c r="G247" s="41"/>
      <c r="H247" s="41"/>
      <c r="I247" s="41"/>
      <c r="J247" s="41"/>
      <c r="L247" s="42"/>
      <c r="M247" s="42"/>
      <c r="N247" s="27"/>
      <c r="O247" s="27"/>
      <c r="P247" s="27"/>
      <c r="Q247" s="27"/>
      <c r="R247" s="27"/>
      <c r="S247" s="27"/>
      <c r="T247" s="27"/>
    </row>
    <row r="248" spans="1:20">
      <c r="A248" s="48" t="s">
        <v>253</v>
      </c>
      <c r="C248" s="27"/>
      <c r="D248" s="41"/>
      <c r="E248" s="41"/>
      <c r="F248" s="41"/>
      <c r="G248" s="41"/>
      <c r="H248" s="41"/>
      <c r="I248" s="41"/>
      <c r="J248" s="41"/>
      <c r="L248" s="44"/>
      <c r="M248" s="44"/>
      <c r="N248" s="27"/>
      <c r="O248" s="27"/>
      <c r="P248" s="27"/>
      <c r="Q248" s="27"/>
      <c r="R248" s="27"/>
      <c r="S248" s="27"/>
      <c r="T248" s="130"/>
    </row>
    <row r="249" spans="1:20">
      <c r="A249" s="46" t="s">
        <v>633</v>
      </c>
      <c r="C249" s="223">
        <v>67.225288391113295</v>
      </c>
      <c r="D249" s="43">
        <v>72.276854999999998</v>
      </c>
      <c r="E249" s="43">
        <v>75.299537999999998</v>
      </c>
      <c r="F249" s="43">
        <v>81.210144</v>
      </c>
      <c r="G249" s="43">
        <v>86.877662999999998</v>
      </c>
      <c r="H249" s="43">
        <v>92.593520999999996</v>
      </c>
      <c r="I249" s="43">
        <v>98.021736000000004</v>
      </c>
      <c r="J249" s="43">
        <v>103.37975299999999</v>
      </c>
      <c r="L249" s="42"/>
      <c r="M249" s="42"/>
      <c r="N249" s="42"/>
      <c r="O249" s="42"/>
      <c r="P249" s="42"/>
      <c r="Q249" s="42"/>
      <c r="R249" s="42"/>
      <c r="S249" s="42"/>
      <c r="T249" s="130"/>
    </row>
    <row r="250" spans="1:20">
      <c r="A250" s="46" t="s">
        <v>634</v>
      </c>
      <c r="C250" s="223">
        <v>19.374872207641602</v>
      </c>
      <c r="D250" s="43">
        <v>17.526484</v>
      </c>
      <c r="E250" s="43">
        <v>18.012087000000001</v>
      </c>
      <c r="F250" s="43">
        <v>18.997999</v>
      </c>
      <c r="G250" s="43">
        <v>19.903658</v>
      </c>
      <c r="H250" s="43">
        <v>20.775611999999999</v>
      </c>
      <c r="I250" s="43">
        <v>21.578047000000002</v>
      </c>
      <c r="J250" s="43">
        <v>22.370708</v>
      </c>
      <c r="L250" s="42"/>
      <c r="M250" s="42"/>
      <c r="N250" s="42"/>
      <c r="O250" s="42"/>
      <c r="P250" s="42"/>
      <c r="Q250" s="42"/>
      <c r="R250" s="42"/>
      <c r="S250" s="42"/>
      <c r="T250" s="224"/>
    </row>
    <row r="251" spans="1:20">
      <c r="A251" s="46" t="s">
        <v>636</v>
      </c>
      <c r="C251" s="231">
        <v>86.600158691406307</v>
      </c>
      <c r="D251" s="45">
        <v>89.803336999999999</v>
      </c>
      <c r="E251" s="45">
        <v>93.311622999999997</v>
      </c>
      <c r="F251" s="45">
        <v>100.208145</v>
      </c>
      <c r="G251" s="45">
        <v>106.781319</v>
      </c>
      <c r="H251" s="45">
        <v>113.36913300000001</v>
      </c>
      <c r="I251" s="45">
        <v>119.599785</v>
      </c>
      <c r="J251" s="45">
        <v>125.75045799999999</v>
      </c>
      <c r="L251" s="44"/>
      <c r="M251" s="44"/>
      <c r="N251" s="44"/>
      <c r="O251" s="44"/>
      <c r="P251" s="44"/>
      <c r="Q251" s="44"/>
      <c r="R251" s="44"/>
      <c r="S251" s="44"/>
      <c r="T251" s="27"/>
    </row>
    <row r="252" spans="1:20">
      <c r="A252" s="27"/>
      <c r="C252" s="27"/>
      <c r="D252" s="41"/>
      <c r="E252" s="41"/>
      <c r="F252" s="41"/>
      <c r="G252" s="41"/>
      <c r="H252" s="41"/>
      <c r="I252" s="41"/>
      <c r="J252" s="41"/>
      <c r="L252" s="42"/>
      <c r="M252" s="42"/>
      <c r="N252" s="27"/>
      <c r="O252" s="27"/>
      <c r="P252" s="27"/>
      <c r="Q252" s="27"/>
      <c r="R252" s="27"/>
      <c r="S252" s="27"/>
      <c r="T252" s="27"/>
    </row>
    <row r="253" spans="1:20">
      <c r="A253" s="48" t="s">
        <v>254</v>
      </c>
      <c r="C253" s="27"/>
      <c r="D253" s="41"/>
      <c r="E253" s="41"/>
      <c r="F253" s="41"/>
      <c r="G253" s="41"/>
      <c r="H253" s="41"/>
      <c r="I253" s="41"/>
      <c r="J253" s="41"/>
      <c r="L253" s="44"/>
      <c r="M253" s="44"/>
      <c r="N253" s="27"/>
      <c r="O253" s="27"/>
      <c r="P253" s="27"/>
      <c r="Q253" s="27"/>
      <c r="R253" s="27"/>
      <c r="S253" s="27"/>
      <c r="T253" s="130"/>
    </row>
    <row r="254" spans="1:20">
      <c r="A254" s="46" t="s">
        <v>255</v>
      </c>
      <c r="C254" s="231">
        <v>137.59495544433599</v>
      </c>
      <c r="D254" s="43">
        <v>142.74478099999999</v>
      </c>
      <c r="E254" s="43">
        <v>146.25145000000001</v>
      </c>
      <c r="F254" s="43">
        <v>154.08332799999999</v>
      </c>
      <c r="G254" s="43">
        <v>161.34394800000001</v>
      </c>
      <c r="H254" s="43">
        <v>168.56379699999999</v>
      </c>
      <c r="I254" s="43">
        <v>175.27842699999999</v>
      </c>
      <c r="J254" s="43">
        <v>181.908264</v>
      </c>
      <c r="L254" s="42"/>
      <c r="M254" s="42"/>
      <c r="N254" s="42"/>
      <c r="O254" s="42"/>
      <c r="P254" s="42"/>
      <c r="Q254" s="42"/>
      <c r="R254" s="42"/>
      <c r="S254" s="42"/>
      <c r="T254" s="130"/>
    </row>
    <row r="255" spans="1:20">
      <c r="A255" s="46" t="s">
        <v>200</v>
      </c>
      <c r="C255" s="231">
        <v>38.425449371337898</v>
      </c>
      <c r="D255" s="43">
        <v>38.009281000000001</v>
      </c>
      <c r="E255" s="43">
        <v>38.799267</v>
      </c>
      <c r="F255" s="43">
        <v>40.689968</v>
      </c>
      <c r="G255" s="43">
        <v>42.401108000000001</v>
      </c>
      <c r="H255" s="43">
        <v>44.059565999999997</v>
      </c>
      <c r="I255" s="43">
        <v>45.560253000000003</v>
      </c>
      <c r="J255" s="43">
        <v>47.049377</v>
      </c>
      <c r="L255" s="42"/>
      <c r="M255" s="42"/>
      <c r="N255" s="42"/>
      <c r="O255" s="42"/>
      <c r="P255" s="42"/>
      <c r="Q255" s="42"/>
      <c r="R255" s="42"/>
      <c r="S255" s="42"/>
      <c r="T255" s="27"/>
    </row>
    <row r="256" spans="1:20">
      <c r="A256" s="27"/>
      <c r="C256" s="27"/>
      <c r="D256" s="27"/>
      <c r="E256" s="27"/>
      <c r="F256" s="27"/>
      <c r="G256" s="27"/>
      <c r="H256" s="27"/>
      <c r="L256" s="42"/>
      <c r="M256" s="42"/>
      <c r="N256" s="27"/>
      <c r="O256" s="27"/>
      <c r="P256" s="27"/>
      <c r="Q256" s="27"/>
      <c r="R256" s="27"/>
      <c r="S256" s="27"/>
      <c r="T256" s="27"/>
    </row>
    <row r="257" spans="1:22">
      <c r="A257" s="47" t="s">
        <v>637</v>
      </c>
      <c r="C257" s="27"/>
      <c r="D257" s="27"/>
      <c r="E257" s="27"/>
      <c r="F257" s="27"/>
      <c r="G257" s="27"/>
      <c r="H257" s="27"/>
      <c r="L257" s="44"/>
      <c r="M257" s="44"/>
      <c r="N257" s="27"/>
      <c r="O257" s="27"/>
      <c r="P257" s="27"/>
      <c r="Q257" s="27"/>
      <c r="R257" s="27"/>
      <c r="S257" s="27"/>
      <c r="T257" s="27"/>
    </row>
    <row r="258" spans="1:22">
      <c r="A258" s="48" t="s">
        <v>241</v>
      </c>
      <c r="C258" s="27"/>
      <c r="D258" s="27"/>
      <c r="E258" s="27"/>
      <c r="F258" s="27"/>
      <c r="G258" s="27"/>
      <c r="H258" s="27"/>
      <c r="L258" s="44"/>
      <c r="M258" s="44"/>
      <c r="N258" s="27"/>
      <c r="O258" s="27"/>
      <c r="P258" s="27"/>
      <c r="Q258" s="27"/>
      <c r="R258" s="27"/>
      <c r="S258" s="27"/>
      <c r="T258" s="130"/>
    </row>
    <row r="259" spans="1:22">
      <c r="A259" s="46" t="s">
        <v>256</v>
      </c>
      <c r="C259" s="223">
        <v>7.73056840896606</v>
      </c>
      <c r="D259" s="43">
        <v>7.4495990000000001</v>
      </c>
      <c r="E259" s="42">
        <v>7.628679</v>
      </c>
      <c r="F259" s="42">
        <v>7.964467</v>
      </c>
      <c r="G259" s="42">
        <v>8.1679739999999992</v>
      </c>
      <c r="H259" s="42">
        <v>8.2638839999999991</v>
      </c>
      <c r="I259" s="42">
        <v>8.287077</v>
      </c>
      <c r="J259" s="42">
        <v>8.2947190000000006</v>
      </c>
      <c r="K259" s="220"/>
      <c r="L259" s="220"/>
      <c r="M259" s="220"/>
      <c r="N259" s="220"/>
      <c r="O259" s="220"/>
      <c r="P259" s="220"/>
      <c r="Q259" s="42"/>
      <c r="R259" s="42"/>
      <c r="S259" s="42"/>
      <c r="T259" s="130"/>
    </row>
    <row r="260" spans="1:22" ht="48" customHeight="1">
      <c r="A260" s="46" t="s">
        <v>257</v>
      </c>
      <c r="C260" s="232">
        <f t="shared" ref="C260:J260" si="93">C259/3.412</f>
        <v>2.2657000026278018</v>
      </c>
      <c r="D260" s="232">
        <f t="shared" si="93"/>
        <v>2.1833525791324737</v>
      </c>
      <c r="E260" s="232">
        <f t="shared" si="93"/>
        <v>2.2358379249706917</v>
      </c>
      <c r="F260" s="232">
        <f t="shared" si="93"/>
        <v>2.334251758499414</v>
      </c>
      <c r="G260" s="232">
        <f t="shared" si="93"/>
        <v>2.3938962485345838</v>
      </c>
      <c r="H260" s="232">
        <f t="shared" si="93"/>
        <v>2.4220058616647124</v>
      </c>
      <c r="I260" s="232">
        <f t="shared" si="93"/>
        <v>2.4288033411488863</v>
      </c>
      <c r="J260" s="232">
        <f t="shared" si="93"/>
        <v>2.4310430832356391</v>
      </c>
      <c r="K260" s="130"/>
      <c r="L260" s="842"/>
      <c r="M260" s="842"/>
      <c r="N260" s="842"/>
      <c r="O260" s="842"/>
      <c r="P260" s="842"/>
      <c r="Q260" s="842"/>
      <c r="R260" s="842"/>
      <c r="S260" s="42"/>
      <c r="T260" s="42"/>
      <c r="U260" s="130"/>
    </row>
    <row r="261" spans="1:22">
      <c r="A261" s="46" t="s">
        <v>258</v>
      </c>
      <c r="C261" s="232">
        <v>1.29999995231628</v>
      </c>
      <c r="D261" s="233">
        <v>3.3371379999999999</v>
      </c>
      <c r="E261" s="233">
        <v>1.3</v>
      </c>
      <c r="F261" s="233">
        <v>1.307302</v>
      </c>
      <c r="G261" s="233">
        <v>1.341648</v>
      </c>
      <c r="H261" s="233">
        <v>1.3713550000000001</v>
      </c>
      <c r="I261" s="233">
        <v>1.38872</v>
      </c>
      <c r="J261" s="233">
        <v>1.397397</v>
      </c>
      <c r="K261" s="130"/>
      <c r="L261" s="220"/>
      <c r="M261" s="220"/>
      <c r="N261" s="220"/>
      <c r="O261" s="220"/>
      <c r="P261" s="220"/>
      <c r="Q261" s="220"/>
      <c r="R261" s="42"/>
      <c r="S261" s="42"/>
      <c r="T261" s="42"/>
      <c r="U261" s="130"/>
    </row>
    <row r="262" spans="1:22">
      <c r="A262" s="46" t="s">
        <v>259</v>
      </c>
      <c r="C262" s="232">
        <v>3.2999999523162802</v>
      </c>
      <c r="D262" s="233">
        <v>0.83544200000000002</v>
      </c>
      <c r="E262" s="233">
        <v>3.3554550000000001</v>
      </c>
      <c r="F262" s="233">
        <v>3.3585099999999999</v>
      </c>
      <c r="G262" s="233">
        <v>3.3625889999999998</v>
      </c>
      <c r="H262" s="233">
        <v>3.3681920000000001</v>
      </c>
      <c r="I262" s="233">
        <v>3.3748429999999998</v>
      </c>
      <c r="J262" s="233">
        <v>3.3813490000000002</v>
      </c>
      <c r="K262" s="130"/>
      <c r="L262" s="234"/>
      <c r="M262" s="234"/>
      <c r="N262" s="234"/>
      <c r="O262" s="234"/>
      <c r="P262" s="234"/>
      <c r="Q262" s="234"/>
      <c r="R262" s="234"/>
      <c r="S262" s="234"/>
      <c r="T262" s="42"/>
      <c r="U262" s="130"/>
    </row>
    <row r="263" spans="1:22" ht="51">
      <c r="A263" s="46" t="s">
        <v>301</v>
      </c>
      <c r="C263" s="232">
        <v>0.81440001726150502</v>
      </c>
      <c r="D263" s="233">
        <v>0.85495900000000002</v>
      </c>
      <c r="E263" s="233">
        <v>0.84223000000000003</v>
      </c>
      <c r="F263" s="233">
        <v>0.85233000000000003</v>
      </c>
      <c r="G263" s="233">
        <v>0.86061200000000004</v>
      </c>
      <c r="H263" s="233">
        <v>0.86551999999999996</v>
      </c>
      <c r="I263" s="233">
        <v>0.86780100000000004</v>
      </c>
      <c r="J263" s="233">
        <v>0.86960499999999996</v>
      </c>
      <c r="K263" s="130"/>
      <c r="L263" s="220"/>
      <c r="M263" s="220" t="s">
        <v>1209</v>
      </c>
      <c r="N263" s="220"/>
      <c r="O263" s="220"/>
      <c r="P263" s="220"/>
      <c r="Q263" s="220"/>
      <c r="R263" s="220"/>
      <c r="S263" s="220"/>
      <c r="T263" s="42"/>
      <c r="U263" s="130"/>
    </row>
    <row r="264" spans="1:22">
      <c r="A264" s="46" t="s">
        <v>302</v>
      </c>
      <c r="C264" s="232">
        <v>0.81739997863769498</v>
      </c>
      <c r="D264" s="233">
        <v>0.85</v>
      </c>
      <c r="E264" s="233">
        <v>0.86740499999999998</v>
      </c>
      <c r="F264" s="233">
        <v>0.87943700000000002</v>
      </c>
      <c r="G264" s="233">
        <v>0.88865000000000005</v>
      </c>
      <c r="H264" s="233">
        <v>0.89278800000000003</v>
      </c>
      <c r="I264" s="233">
        <v>0.89288100000000004</v>
      </c>
      <c r="J264" s="233">
        <v>0.89261299999999999</v>
      </c>
      <c r="K264" s="130"/>
      <c r="M264" s="235"/>
      <c r="N264" s="235"/>
      <c r="O264" s="235"/>
      <c r="P264" s="235"/>
      <c r="Q264" s="235"/>
      <c r="R264" s="235"/>
      <c r="S264" s="235"/>
      <c r="T264" s="42"/>
      <c r="U264" s="27"/>
    </row>
    <row r="265" spans="1:22" ht="27.75" customHeight="1">
      <c r="A265" s="46"/>
      <c r="B265" s="236" t="s">
        <v>8</v>
      </c>
      <c r="C265" s="237">
        <f>(C260*C215 + C262*C223 + C263*C218 + C264*(C219+C221)+C220*0.78+C222 + C216)/C224</f>
        <v>0.981853056187732</v>
      </c>
      <c r="D265" s="231">
        <f>D260*D215/D224 + D262*D223/D224 + D263*D218/D224 + D264*(D219+D220+D221+D222)/D224 + D216/D224</f>
        <v>1.0008758470752426</v>
      </c>
      <c r="E265" s="231">
        <f>E260*E215/E224 + E262*E223/E224 + E263*E218/E224 + E264*(E219+E220+E221+E222)/E224 +E216/E224</f>
        <v>1.0394845279297567</v>
      </c>
      <c r="F265" s="231">
        <f>F260*F215/F224 + F262*F223/F224 + F263*F218/F224 + F264*(F219+F220+F221+F222)/F224 + F216/F224</f>
        <v>1.0866488259492666</v>
      </c>
      <c r="G265" s="231">
        <f>G260*G215/G224 + G262*G223/G224 + G263*G218/G224 + G264*(G219+G220+G221+G222)/G224 +G216/G224</f>
        <v>1.1230291898638338</v>
      </c>
      <c r="H265" s="231">
        <f>H260*H215/H224 + H262*H223/H224 + H263*H218/H224 + H264*(H219+H220+H221+H222)/H224 +H216/H224</f>
        <v>1.1509683962969781</v>
      </c>
      <c r="I265" s="231">
        <f>I260*I215/I224 + I262*I223/I224 + I263*I218/I224 + I264*(I219+I220+I221+I222)/I224 +I216/I224</f>
        <v>1.171451916674876</v>
      </c>
      <c r="J265" s="231">
        <f>J260*J215/J224 + J262*J223/J224 + J263*J218/J224 + J264*(J219+J220+J221+J222)/J224 + J216/J224</f>
        <v>1.1891003642149611</v>
      </c>
      <c r="K265" s="27"/>
      <c r="L265" s="248"/>
      <c r="M265" s="235">
        <v>0.98199999999999998</v>
      </c>
      <c r="N265" s="248">
        <f>M265*D265/C265</f>
        <v>1.0010256378322702</v>
      </c>
      <c r="O265" s="248">
        <f t="shared" ref="O265:T265" si="94">N265*E265/D265</f>
        <v>1.0396400968495303</v>
      </c>
      <c r="P265" s="248">
        <f t="shared" si="94"/>
        <v>1.0868114534626967</v>
      </c>
      <c r="Q265" s="248">
        <f t="shared" si="94"/>
        <v>1.1231972620508142</v>
      </c>
      <c r="R265" s="248">
        <f t="shared" si="94"/>
        <v>1.1511406498565979</v>
      </c>
      <c r="S265" s="248">
        <f t="shared" si="94"/>
        <v>1.1716272357915605</v>
      </c>
      <c r="T265" s="248">
        <f t="shared" si="94"/>
        <v>1.1892783245926224</v>
      </c>
      <c r="U265" s="248"/>
    </row>
    <row r="266" spans="1:22">
      <c r="A266" s="46"/>
      <c r="B266" s="236"/>
      <c r="C266" s="231"/>
      <c r="D266" s="231"/>
      <c r="E266" s="231"/>
      <c r="F266" s="231"/>
      <c r="G266" s="231"/>
      <c r="H266" s="231"/>
      <c r="I266" s="231"/>
      <c r="J266" s="27"/>
      <c r="K266" s="27"/>
      <c r="L266" s="238"/>
      <c r="M266" s="43"/>
      <c r="N266" s="43"/>
      <c r="O266" s="41"/>
      <c r="P266" s="41"/>
      <c r="Q266" s="41"/>
      <c r="R266" s="41"/>
      <c r="S266" s="41"/>
      <c r="T266" s="41"/>
      <c r="U266" s="41"/>
      <c r="V266" s="238"/>
    </row>
    <row r="267" spans="1:22">
      <c r="A267" s="48" t="s">
        <v>216</v>
      </c>
      <c r="C267" s="27"/>
      <c r="D267" s="27"/>
      <c r="E267" s="27"/>
      <c r="F267" s="27"/>
      <c r="G267" s="27"/>
      <c r="H267" s="27"/>
      <c r="I267" s="27"/>
      <c r="J267" s="27"/>
      <c r="K267" s="27"/>
      <c r="M267" s="44"/>
      <c r="N267" s="44"/>
      <c r="O267" s="27"/>
      <c r="P267" s="27"/>
      <c r="Q267" s="27"/>
      <c r="R267" s="27"/>
      <c r="S267" s="27"/>
      <c r="T267" s="27"/>
      <c r="U267" s="130"/>
    </row>
    <row r="268" spans="1:22">
      <c r="A268" s="46" t="s">
        <v>303</v>
      </c>
      <c r="C268" s="223">
        <v>11.3684425354004</v>
      </c>
      <c r="D268" s="43">
        <v>12.490154</v>
      </c>
      <c r="E268" s="43">
        <v>12.887708</v>
      </c>
      <c r="F268" s="43">
        <v>13.589295</v>
      </c>
      <c r="G268" s="43">
        <v>13.989630999999999</v>
      </c>
      <c r="H268" s="43">
        <v>14.168240000000001</v>
      </c>
      <c r="I268" s="43">
        <v>14.204084</v>
      </c>
      <c r="J268" s="43">
        <v>14.216915999999999</v>
      </c>
      <c r="K268" s="130"/>
      <c r="M268" s="42"/>
      <c r="N268" s="42"/>
      <c r="O268" s="42"/>
      <c r="P268" s="42"/>
      <c r="Q268" s="42"/>
      <c r="R268" s="42"/>
      <c r="S268" s="42"/>
      <c r="T268" s="42"/>
      <c r="U268" s="130"/>
    </row>
    <row r="269" spans="1:22">
      <c r="A269" s="46" t="s">
        <v>257</v>
      </c>
      <c r="C269" s="223">
        <f t="shared" ref="C269:J269" si="95">C268/3.792</f>
        <v>2.9980069977321731</v>
      </c>
      <c r="D269" s="223">
        <f t="shared" si="95"/>
        <v>3.2938169831223632</v>
      </c>
      <c r="E269" s="41">
        <f t="shared" si="95"/>
        <v>3.3986571729957809</v>
      </c>
      <c r="F269" s="41">
        <f t="shared" si="95"/>
        <v>3.5836748417721522</v>
      </c>
      <c r="G269" s="41">
        <f t="shared" si="95"/>
        <v>3.6892486814345991</v>
      </c>
      <c r="H269" s="41">
        <f t="shared" si="95"/>
        <v>3.7363502109704645</v>
      </c>
      <c r="I269" s="41">
        <f t="shared" si="95"/>
        <v>3.7458027426160339</v>
      </c>
      <c r="J269" s="41">
        <f t="shared" si="95"/>
        <v>3.7491867088607593</v>
      </c>
      <c r="K269" s="130"/>
      <c r="T269" s="42"/>
      <c r="U269" s="130"/>
    </row>
    <row r="270" spans="1:22">
      <c r="A270" s="46" t="s">
        <v>258</v>
      </c>
      <c r="C270" s="223">
        <v>0.67000001668930098</v>
      </c>
      <c r="D270" s="43">
        <v>0.66283599999999998</v>
      </c>
      <c r="E270" s="43">
        <v>0.64683299999999999</v>
      </c>
      <c r="F270" s="43">
        <v>0.63121400000000005</v>
      </c>
      <c r="G270" s="43">
        <v>0.64742500000000003</v>
      </c>
      <c r="H270" s="43">
        <v>0.66974</v>
      </c>
      <c r="I270" s="43">
        <v>0.68790200000000001</v>
      </c>
      <c r="J270" s="43">
        <v>0.69718599999999997</v>
      </c>
      <c r="K270" s="130"/>
      <c r="M270" s="42"/>
      <c r="N270" s="42"/>
      <c r="O270" s="42"/>
      <c r="P270" s="42"/>
      <c r="Q270" s="42"/>
      <c r="R270" s="42"/>
      <c r="S270" s="42"/>
      <c r="T270" s="42"/>
      <c r="U270" s="130"/>
    </row>
    <row r="271" spans="1:22">
      <c r="A271" s="46" t="s">
        <v>304</v>
      </c>
      <c r="C271" s="223">
        <v>13.800000190734901</v>
      </c>
      <c r="D271" s="43">
        <v>14.202239000000001</v>
      </c>
      <c r="E271" s="43">
        <v>14.325847</v>
      </c>
      <c r="F271" s="43">
        <v>14.372543</v>
      </c>
      <c r="G271" s="43">
        <v>14.437117000000001</v>
      </c>
      <c r="H271" s="43">
        <v>14.503729999999999</v>
      </c>
      <c r="I271" s="43">
        <v>14.572488</v>
      </c>
      <c r="J271" s="43">
        <v>14.633620000000001</v>
      </c>
      <c r="K271" s="130"/>
      <c r="M271" s="42"/>
      <c r="N271" s="42"/>
      <c r="O271" s="42"/>
      <c r="P271" s="42"/>
      <c r="Q271" s="42"/>
      <c r="R271" s="42"/>
      <c r="S271" s="42"/>
      <c r="T271" s="42"/>
      <c r="U271" s="130"/>
    </row>
    <row r="272" spans="1:22">
      <c r="A272" s="46" t="s">
        <v>259</v>
      </c>
      <c r="C272" s="223">
        <f t="shared" ref="C272:J272" si="96">C271/3.413</f>
        <v>4.0433636656123353</v>
      </c>
      <c r="D272" s="223">
        <f t="shared" si="96"/>
        <v>4.161218576032816</v>
      </c>
      <c r="E272" s="223">
        <f t="shared" si="96"/>
        <v>4.1974353940814533</v>
      </c>
      <c r="F272" s="223">
        <f t="shared" si="96"/>
        <v>4.2111171989452094</v>
      </c>
      <c r="G272" s="223">
        <f t="shared" si="96"/>
        <v>4.2300372106651043</v>
      </c>
      <c r="H272" s="223">
        <f t="shared" si="96"/>
        <v>4.2495546440082039</v>
      </c>
      <c r="I272" s="223">
        <f t="shared" si="96"/>
        <v>4.2697005566949899</v>
      </c>
      <c r="J272" s="223">
        <f t="shared" si="96"/>
        <v>4.287612071491357</v>
      </c>
      <c r="K272" s="130"/>
      <c r="M272" s="42"/>
      <c r="N272" s="42"/>
      <c r="O272" s="42"/>
      <c r="P272" s="42"/>
      <c r="Q272" s="42"/>
      <c r="R272" s="42"/>
      <c r="S272" s="42"/>
      <c r="T272" s="42"/>
      <c r="U272" s="130"/>
    </row>
    <row r="273" spans="1:25">
      <c r="A273" s="46" t="s">
        <v>305</v>
      </c>
      <c r="C273" s="223">
        <v>11.0634098052979</v>
      </c>
      <c r="D273" s="43">
        <v>13.09069</v>
      </c>
      <c r="E273" s="43">
        <v>13.508846999999999</v>
      </c>
      <c r="F273" s="43">
        <v>14.031323</v>
      </c>
      <c r="G273" s="43">
        <v>14.363262000000001</v>
      </c>
      <c r="H273" s="43">
        <v>14.497761000000001</v>
      </c>
      <c r="I273" s="43">
        <v>14.52397</v>
      </c>
      <c r="J273" s="43">
        <v>14.546241</v>
      </c>
      <c r="K273" s="130"/>
      <c r="M273" s="42"/>
      <c r="N273" s="42"/>
      <c r="O273" s="42"/>
      <c r="P273" s="42"/>
      <c r="Q273" s="42"/>
      <c r="R273" s="42"/>
      <c r="S273" s="42"/>
      <c r="T273" s="42"/>
      <c r="U273" s="130"/>
    </row>
    <row r="274" spans="1:25">
      <c r="A274" s="46" t="s">
        <v>306</v>
      </c>
      <c r="C274" s="223">
        <f t="shared" ref="C274:J274" si="97">C273/3.792</f>
        <v>2.9175658769245518</v>
      </c>
      <c r="D274" s="223">
        <f t="shared" si="97"/>
        <v>3.4521861814345995</v>
      </c>
      <c r="E274" s="223">
        <f t="shared" si="97"/>
        <v>3.5624596518987341</v>
      </c>
      <c r="F274" s="223">
        <f t="shared" si="97"/>
        <v>3.7002434071729962</v>
      </c>
      <c r="G274" s="223">
        <f t="shared" si="97"/>
        <v>3.7877800632911396</v>
      </c>
      <c r="H274" s="223">
        <f t="shared" si="97"/>
        <v>3.8232492088607599</v>
      </c>
      <c r="I274" s="223">
        <f t="shared" si="97"/>
        <v>3.8301608649789034</v>
      </c>
      <c r="J274" s="223">
        <f t="shared" si="97"/>
        <v>3.8360340189873421</v>
      </c>
      <c r="K274" s="130"/>
      <c r="M274" s="42"/>
      <c r="N274" s="42"/>
      <c r="O274" s="42"/>
      <c r="P274" s="42"/>
      <c r="Q274" s="42"/>
      <c r="R274" s="42"/>
      <c r="S274" s="42"/>
      <c r="T274" s="42"/>
      <c r="U274" s="130"/>
    </row>
    <row r="275" spans="1:25">
      <c r="A275" s="46" t="s">
        <v>307</v>
      </c>
      <c r="C275" s="223">
        <v>9.36389255523682</v>
      </c>
      <c r="D275" s="43">
        <v>9.8480220000000003</v>
      </c>
      <c r="E275" s="43">
        <v>10.179399999999999</v>
      </c>
      <c r="F275" s="43">
        <v>10.866448999999999</v>
      </c>
      <c r="G275" s="43">
        <v>11.33005</v>
      </c>
      <c r="H275" s="43">
        <v>11.462763000000001</v>
      </c>
      <c r="I275" s="43">
        <v>11.567854000000001</v>
      </c>
      <c r="J275" s="43">
        <v>11.628211</v>
      </c>
      <c r="K275" s="130"/>
      <c r="M275" s="220"/>
      <c r="N275" s="220"/>
      <c r="O275" s="220"/>
      <c r="P275" s="220"/>
      <c r="Q275" s="220"/>
      <c r="R275" s="220"/>
      <c r="S275" s="220"/>
      <c r="T275" s="42"/>
      <c r="U275" s="130"/>
    </row>
    <row r="276" spans="1:25">
      <c r="A276" s="46" t="s">
        <v>308</v>
      </c>
      <c r="C276" s="223">
        <f t="shared" ref="C276:I276" si="98">C275/3.413</f>
        <v>2.7435958263219513</v>
      </c>
      <c r="D276" s="223">
        <f t="shared" si="98"/>
        <v>2.8854444769997074</v>
      </c>
      <c r="E276" s="223">
        <f t="shared" si="98"/>
        <v>2.9825373571637854</v>
      </c>
      <c r="F276" s="223">
        <f t="shared" si="98"/>
        <v>3.1838409024318781</v>
      </c>
      <c r="G276" s="223">
        <f t="shared" si="98"/>
        <v>3.3196747729270437</v>
      </c>
      <c r="H276" s="223">
        <f t="shared" si="98"/>
        <v>3.3585593319660125</v>
      </c>
      <c r="I276" s="223">
        <f t="shared" si="98"/>
        <v>3.3893507178435396</v>
      </c>
      <c r="J276" s="223">
        <f t="shared" ref="J276" si="99">J275/3.413</f>
        <v>3.4070351596835633</v>
      </c>
      <c r="K276" s="27"/>
      <c r="M276" s="235"/>
      <c r="N276" s="235"/>
      <c r="O276" s="235"/>
      <c r="P276" s="235"/>
      <c r="Q276" s="235"/>
      <c r="R276" s="235"/>
      <c r="S276" s="235"/>
      <c r="T276" s="42"/>
      <c r="U276" s="27"/>
    </row>
    <row r="277" spans="1:25" ht="36" customHeight="1">
      <c r="A277" s="46"/>
      <c r="B277" s="236" t="s">
        <v>8</v>
      </c>
      <c r="C277" s="231">
        <f t="shared" ref="C277:I277" si="100">C269*C227/C232 + C272*C229/C232 + C274*C230/C232 + C276*C231/C232</f>
        <v>2.8490243556160082</v>
      </c>
      <c r="D277" s="231">
        <f t="shared" si="100"/>
        <v>3.2076601696798983</v>
      </c>
      <c r="E277" s="231">
        <f t="shared" si="100"/>
        <v>3.3252932222330323</v>
      </c>
      <c r="F277" s="231">
        <f t="shared" si="100"/>
        <v>3.5053464008167063</v>
      </c>
      <c r="G277" s="231">
        <f t="shared" si="100"/>
        <v>3.6217588114658721</v>
      </c>
      <c r="H277" s="231">
        <f t="shared" si="100"/>
        <v>3.6688727180530574</v>
      </c>
      <c r="I277" s="231">
        <f t="shared" si="100"/>
        <v>3.6911341071891011</v>
      </c>
      <c r="J277" s="231">
        <f t="shared" ref="J277" si="101">J269*J227/J232 + J272*J229/J232 + J274*J230/J232 + J276*J231/J232</f>
        <v>3.7066811095878225</v>
      </c>
      <c r="K277" s="27"/>
      <c r="L277" s="249"/>
      <c r="M277" s="248">
        <v>2.88</v>
      </c>
      <c r="N277" s="248">
        <f>M277*D277/C277</f>
        <v>3.2425350350087405</v>
      </c>
      <c r="O277" s="248">
        <f t="shared" ref="O277" si="102">N277*E277/D277</f>
        <v>3.3614470375282046</v>
      </c>
      <c r="P277" s="248">
        <f t="shared" ref="P277" si="103">O277*F277/E277</f>
        <v>3.543457820728007</v>
      </c>
      <c r="Q277" s="248">
        <f t="shared" ref="Q277" si="104">P277*G277/F277</f>
        <v>3.661135910074178</v>
      </c>
      <c r="R277" s="248">
        <f t="shared" ref="R277" si="105">Q277*H277/G277</f>
        <v>3.7087620564437676</v>
      </c>
      <c r="S277" s="248">
        <f t="shared" ref="S277" si="106">R277*I277/H277</f>
        <v>3.7312654796192932</v>
      </c>
      <c r="T277" s="248">
        <f t="shared" ref="T277" si="107">S277*J277/I277</f>
        <v>3.7469815147665733</v>
      </c>
      <c r="U277" s="27"/>
      <c r="V277" s="27"/>
      <c r="W277" s="27"/>
      <c r="X277" s="27"/>
      <c r="Y277" s="27"/>
    </row>
    <row r="278" spans="1:25">
      <c r="B278" s="209" t="s">
        <v>773</v>
      </c>
      <c r="C278" s="238">
        <f t="shared" ref="C278:I278" si="108">C269/C260</f>
        <v>1.3232144565719326</v>
      </c>
      <c r="D278" s="238">
        <f t="shared" si="108"/>
        <v>1.5086051673940439</v>
      </c>
      <c r="E278" s="238">
        <f t="shared" si="108"/>
        <v>1.5200820842326179</v>
      </c>
      <c r="F278" s="238">
        <f t="shared" si="108"/>
        <v>1.535256353014782</v>
      </c>
      <c r="G278" s="238">
        <f t="shared" si="108"/>
        <v>1.5411063381267927</v>
      </c>
      <c r="H278" s="238">
        <f t="shared" si="108"/>
        <v>1.5426676995745858</v>
      </c>
      <c r="I278" s="238">
        <f t="shared" si="108"/>
        <v>1.5422420906437706</v>
      </c>
      <c r="J278" s="238">
        <f t="shared" ref="J278" si="109">J269/J260</f>
        <v>1.5422131901795479</v>
      </c>
      <c r="K278" s="238"/>
      <c r="L278" s="238"/>
      <c r="M278" s="42"/>
      <c r="N278" s="42"/>
      <c r="O278" s="27"/>
      <c r="P278" s="27"/>
      <c r="Q278" s="27"/>
      <c r="R278" s="27"/>
      <c r="S278" s="27"/>
      <c r="T278" s="27"/>
      <c r="U278" s="27"/>
    </row>
    <row r="279" spans="1:25">
      <c r="A279" s="46"/>
      <c r="B279" s="236"/>
      <c r="C279" s="231"/>
      <c r="D279" s="231"/>
      <c r="E279" s="231"/>
      <c r="F279" s="231"/>
      <c r="G279" s="231"/>
      <c r="H279" s="231"/>
      <c r="I279" s="231"/>
      <c r="J279" s="27"/>
      <c r="K279" s="27"/>
      <c r="M279" s="42"/>
      <c r="N279" s="42"/>
      <c r="O279" s="27"/>
      <c r="P279" s="27"/>
      <c r="Q279" s="27"/>
      <c r="R279" s="27"/>
      <c r="S279" s="27"/>
      <c r="T279" s="27"/>
      <c r="U279" s="27"/>
    </row>
    <row r="280" spans="1:25">
      <c r="A280" s="48" t="s">
        <v>309</v>
      </c>
      <c r="C280" s="27"/>
      <c r="D280" s="27"/>
      <c r="E280" s="27"/>
      <c r="F280" s="27"/>
      <c r="G280" s="27"/>
      <c r="H280" s="27"/>
      <c r="I280" s="27"/>
      <c r="J280" s="27"/>
      <c r="K280" s="27"/>
      <c r="M280" s="44"/>
      <c r="N280" s="44"/>
      <c r="O280" s="27"/>
      <c r="P280" s="27"/>
      <c r="Q280" s="27"/>
      <c r="R280" s="27"/>
      <c r="S280" s="27"/>
      <c r="T280" s="27"/>
      <c r="U280" s="130"/>
    </row>
    <row r="281" spans="1:25">
      <c r="A281" s="46" t="s">
        <v>638</v>
      </c>
      <c r="C281" s="223">
        <v>0.88819998502731301</v>
      </c>
      <c r="D281" s="43">
        <v>0.894876</v>
      </c>
      <c r="E281" s="43">
        <v>0.90670899999999999</v>
      </c>
      <c r="F281" s="43">
        <v>0.94383300000000003</v>
      </c>
      <c r="G281" s="43">
        <v>0.97332099999999999</v>
      </c>
      <c r="H281" s="43">
        <v>0.99224900000000005</v>
      </c>
      <c r="I281" s="43">
        <v>0.99913300000000005</v>
      </c>
      <c r="J281" s="43">
        <v>1.0006139999999999</v>
      </c>
      <c r="K281" s="130"/>
      <c r="M281" s="42"/>
      <c r="N281" s="42"/>
      <c r="O281" s="42"/>
      <c r="P281" s="42"/>
      <c r="Q281" s="42"/>
      <c r="R281" s="42"/>
      <c r="S281" s="42"/>
      <c r="T281" s="42"/>
      <c r="U281" s="130"/>
    </row>
    <row r="282" spans="1:25">
      <c r="A282" s="46" t="s">
        <v>639</v>
      </c>
      <c r="C282" s="223">
        <v>0.57569998502731301</v>
      </c>
      <c r="D282" s="43">
        <v>0.60911400000000004</v>
      </c>
      <c r="E282" s="43">
        <v>0.60935300000000003</v>
      </c>
      <c r="F282" s="43">
        <v>0.62057200000000001</v>
      </c>
      <c r="G282" s="43">
        <v>0.62537799999999999</v>
      </c>
      <c r="H282" s="43">
        <v>0.62715299999999996</v>
      </c>
      <c r="I282" s="43">
        <v>0.62755099999999997</v>
      </c>
      <c r="J282" s="43">
        <v>0.62778400000000001</v>
      </c>
      <c r="K282" s="130"/>
      <c r="M282" s="42"/>
      <c r="N282" s="42"/>
      <c r="O282" s="42"/>
      <c r="P282" s="42"/>
      <c r="Q282" s="42"/>
      <c r="R282" s="42"/>
      <c r="S282" s="42"/>
      <c r="T282" s="42"/>
      <c r="U282" s="130"/>
    </row>
    <row r="283" spans="1:25">
      <c r="A283" s="46" t="s">
        <v>116</v>
      </c>
      <c r="C283" s="223">
        <v>0.54500001668930098</v>
      </c>
      <c r="D283" s="43">
        <v>0.57744099999999998</v>
      </c>
      <c r="E283" s="43">
        <v>0.59846500000000002</v>
      </c>
      <c r="F283" s="43">
        <v>0.63297300000000001</v>
      </c>
      <c r="G283" s="43">
        <v>0.64751599999999998</v>
      </c>
      <c r="H283" s="43">
        <v>0.65087899999999999</v>
      </c>
      <c r="I283" s="43">
        <v>0.65167299999999995</v>
      </c>
      <c r="J283" s="43">
        <v>0.65205100000000005</v>
      </c>
      <c r="K283" s="130"/>
      <c r="M283" s="220"/>
      <c r="N283" s="220"/>
      <c r="O283" s="220"/>
      <c r="P283" s="220"/>
      <c r="Q283" s="220"/>
      <c r="R283" s="220"/>
      <c r="S283" s="220"/>
      <c r="T283" s="42"/>
      <c r="U283" s="130"/>
    </row>
    <row r="284" spans="1:25">
      <c r="A284" s="46" t="s">
        <v>117</v>
      </c>
      <c r="C284" s="223">
        <v>0.57480001449585005</v>
      </c>
      <c r="D284" s="43">
        <v>0.65538200000000002</v>
      </c>
      <c r="E284" s="43">
        <v>0.65606699999999996</v>
      </c>
      <c r="F284" s="43">
        <v>0.64164500000000002</v>
      </c>
      <c r="G284" s="43">
        <v>0.62695800000000002</v>
      </c>
      <c r="H284" s="43">
        <v>0.62204000000000004</v>
      </c>
      <c r="I284" s="43">
        <v>0.62138800000000005</v>
      </c>
      <c r="J284" s="43">
        <v>0.62141900000000005</v>
      </c>
      <c r="K284" s="130"/>
      <c r="M284" s="235"/>
      <c r="N284" s="235"/>
      <c r="O284" s="235"/>
      <c r="P284" s="235"/>
      <c r="Q284" s="235"/>
      <c r="R284" s="235"/>
      <c r="S284" s="235"/>
      <c r="T284" s="42"/>
      <c r="U284" s="27"/>
    </row>
    <row r="285" spans="1:25" ht="24" customHeight="1">
      <c r="A285" s="46"/>
      <c r="B285" s="236" t="s">
        <v>8</v>
      </c>
      <c r="C285" s="231">
        <f>C281*C235/C240 + C282*C236/C240 + C283*C237/C240 + C284*C238/C240+1*C239/C240</f>
        <v>0.69755519719327141</v>
      </c>
      <c r="D285" s="231">
        <f t="shared" ref="D285:J285" si="110">D281*D235/D240 + D282*D236/D240 + D283*D237/D240 + D284*D238/D240+1*D239/D240</f>
        <v>0.73098668664819633</v>
      </c>
      <c r="E285" s="231">
        <f t="shared" si="110"/>
        <v>0.74207295065829237</v>
      </c>
      <c r="F285" s="231">
        <f t="shared" si="110"/>
        <v>0.77006131968351055</v>
      </c>
      <c r="G285" s="231">
        <f t="shared" si="110"/>
        <v>0.79010881975416669</v>
      </c>
      <c r="H285" s="231">
        <f t="shared" si="110"/>
        <v>0.80367981134803124</v>
      </c>
      <c r="I285" s="231">
        <f t="shared" si="110"/>
        <v>0.81057368977210831</v>
      </c>
      <c r="J285" s="231">
        <f t="shared" si="110"/>
        <v>0.8143847453056493</v>
      </c>
      <c r="K285" s="27"/>
      <c r="L285" s="250"/>
      <c r="M285" s="248">
        <v>0.65</v>
      </c>
      <c r="N285" s="248">
        <f>M285*D285/C285</f>
        <v>0.68115232777726742</v>
      </c>
      <c r="O285" s="248">
        <f t="shared" ref="O285" si="111">N285*E285/D285</f>
        <v>0.6914827957252625</v>
      </c>
      <c r="P285" s="248">
        <f t="shared" ref="P285" si="112">O285*F285/E285</f>
        <v>0.71756308290481785</v>
      </c>
      <c r="Q285" s="248">
        <f t="shared" ref="Q285" si="113">P285*G285/F285</f>
        <v>0.73624386271745257</v>
      </c>
      <c r="R285" s="248">
        <f t="shared" ref="R285" si="114">Q285*H285/G285</f>
        <v>0.7488896641844982</v>
      </c>
      <c r="S285" s="248">
        <f t="shared" ref="S285" si="115">R285*I285/H285</f>
        <v>0.75531355865719407</v>
      </c>
      <c r="T285" s="248">
        <f t="shared" ref="T285" si="116">S285*J285/I285</f>
        <v>0.75886479891283121</v>
      </c>
      <c r="U285" s="27"/>
    </row>
    <row r="286" spans="1:25">
      <c r="A286" s="46"/>
      <c r="B286" s="236"/>
      <c r="C286" s="231"/>
      <c r="D286" s="231"/>
      <c r="E286" s="231"/>
      <c r="F286" s="231"/>
      <c r="G286" s="231"/>
      <c r="H286" s="231"/>
      <c r="I286" s="231"/>
      <c r="J286" s="27"/>
      <c r="K286" s="27"/>
      <c r="M286" s="42"/>
      <c r="N286" s="42"/>
      <c r="O286" s="27"/>
      <c r="P286" s="27"/>
      <c r="Q286" s="27"/>
      <c r="R286" s="27"/>
      <c r="S286" s="27"/>
      <c r="T286" s="27"/>
      <c r="U286" s="27"/>
    </row>
    <row r="287" spans="1:25">
      <c r="A287" s="48" t="s">
        <v>310</v>
      </c>
      <c r="C287" s="27"/>
      <c r="D287" s="27"/>
      <c r="E287" s="27"/>
      <c r="F287" s="27"/>
      <c r="G287" s="27"/>
      <c r="H287" s="27"/>
      <c r="I287" s="27"/>
      <c r="J287" s="27"/>
      <c r="K287" s="27"/>
      <c r="M287" s="44"/>
      <c r="N287" s="44"/>
      <c r="O287" s="27"/>
      <c r="P287" s="27"/>
      <c r="Q287" s="27"/>
      <c r="R287" s="27"/>
      <c r="S287" s="27"/>
      <c r="T287" s="27"/>
      <c r="U287" s="130"/>
    </row>
    <row r="288" spans="1:25">
      <c r="A288" s="46" t="s">
        <v>255</v>
      </c>
      <c r="C288" s="223">
        <v>673.06201171875</v>
      </c>
      <c r="D288" s="43">
        <v>618.44274900000005</v>
      </c>
      <c r="E288" s="43">
        <v>601.20519999999999</v>
      </c>
      <c r="F288" s="43">
        <v>565.92767300000003</v>
      </c>
      <c r="G288" s="43">
        <v>538.84704599999998</v>
      </c>
      <c r="H288" s="43">
        <v>521.03576699999996</v>
      </c>
      <c r="I288" s="43">
        <v>512.76214600000003</v>
      </c>
      <c r="J288" s="43">
        <v>510.818085</v>
      </c>
      <c r="K288" s="130"/>
      <c r="M288" s="217"/>
      <c r="N288" s="248"/>
      <c r="O288" s="248"/>
      <c r="P288" s="248"/>
      <c r="Q288" s="248"/>
      <c r="R288" s="248"/>
      <c r="S288" s="248"/>
      <c r="T288" s="248"/>
      <c r="U288" s="130"/>
    </row>
    <row r="289" spans="1:21">
      <c r="A289" s="46" t="s">
        <v>200</v>
      </c>
      <c r="C289" s="223">
        <v>481.41000366210898</v>
      </c>
      <c r="D289" s="43">
        <v>516.68060300000002</v>
      </c>
      <c r="E289" s="43">
        <v>510.20761099999999</v>
      </c>
      <c r="F289" s="43">
        <v>483.23846400000002</v>
      </c>
      <c r="G289" s="43">
        <v>457.36019900000002</v>
      </c>
      <c r="H289" s="43">
        <v>436.10687300000001</v>
      </c>
      <c r="I289" s="43">
        <v>420.70077500000002</v>
      </c>
      <c r="J289" s="43">
        <v>412.74560500000001</v>
      </c>
      <c r="K289" s="130"/>
      <c r="M289" s="217"/>
      <c r="N289" s="248"/>
      <c r="O289" s="248"/>
      <c r="P289" s="248"/>
      <c r="Q289" s="248"/>
      <c r="R289" s="248"/>
      <c r="S289" s="248"/>
      <c r="T289" s="248"/>
      <c r="U289" s="27"/>
    </row>
    <row r="290" spans="1:21">
      <c r="A290" s="27"/>
      <c r="C290" s="27"/>
      <c r="D290" s="27"/>
      <c r="E290" s="41"/>
      <c r="F290" s="41"/>
      <c r="G290" s="41"/>
      <c r="H290" s="41"/>
      <c r="I290" s="41"/>
      <c r="J290" s="41"/>
      <c r="M290" s="42"/>
      <c r="N290" s="42"/>
      <c r="O290" s="27"/>
      <c r="P290" s="27"/>
      <c r="Q290" s="27"/>
      <c r="R290" s="27"/>
      <c r="S290" s="27"/>
      <c r="T290" s="27"/>
      <c r="U290" s="27"/>
    </row>
    <row r="291" spans="1:21">
      <c r="A291" s="48" t="s">
        <v>187</v>
      </c>
      <c r="C291" s="27"/>
      <c r="D291" s="27"/>
      <c r="E291" s="41"/>
      <c r="F291" s="41"/>
      <c r="G291" s="41"/>
      <c r="H291" s="41"/>
      <c r="I291" s="41"/>
      <c r="J291" s="41"/>
      <c r="M291" s="44"/>
      <c r="N291" s="44"/>
      <c r="O291" s="27"/>
      <c r="P291" s="27"/>
      <c r="Q291" s="27"/>
      <c r="R291" s="27"/>
      <c r="S291" s="27"/>
      <c r="T291" s="27"/>
      <c r="U291" s="27"/>
    </row>
    <row r="292" spans="1:21">
      <c r="A292" s="48" t="s">
        <v>215</v>
      </c>
      <c r="C292" s="27"/>
      <c r="D292" s="27"/>
      <c r="E292" s="41"/>
      <c r="F292" s="41"/>
      <c r="G292" s="41"/>
      <c r="H292" s="41"/>
      <c r="I292" s="41"/>
      <c r="J292" s="41"/>
      <c r="M292" s="44"/>
      <c r="N292" s="44"/>
      <c r="O292" s="27"/>
      <c r="P292" s="27"/>
      <c r="Q292" s="27"/>
      <c r="R292" s="27"/>
      <c r="S292" s="27"/>
      <c r="T292" s="27"/>
      <c r="U292" s="130"/>
    </row>
    <row r="293" spans="1:21">
      <c r="A293" s="27" t="s">
        <v>853</v>
      </c>
      <c r="C293" s="41">
        <v>0.97422799999999998</v>
      </c>
      <c r="D293" s="42">
        <v>0.91</v>
      </c>
      <c r="E293" s="43">
        <v>0.95128100000000004</v>
      </c>
      <c r="F293" s="43">
        <v>0.92034499999999997</v>
      </c>
      <c r="G293" s="43">
        <v>0.88965899999999998</v>
      </c>
      <c r="H293" s="43">
        <v>0.85840499999999997</v>
      </c>
      <c r="I293" s="43">
        <v>0.82547899999999996</v>
      </c>
      <c r="J293" s="43">
        <v>0.79220100000000004</v>
      </c>
      <c r="K293" s="130"/>
      <c r="M293" s="42"/>
      <c r="N293" s="42"/>
      <c r="O293" s="42"/>
      <c r="P293" s="42"/>
      <c r="Q293" s="42"/>
      <c r="R293" s="42"/>
      <c r="S293" s="42"/>
      <c r="T293" s="42"/>
      <c r="U293" s="130"/>
    </row>
    <row r="294" spans="1:21">
      <c r="A294" s="27" t="s">
        <v>311</v>
      </c>
      <c r="C294" s="41">
        <v>1.0231920000000001</v>
      </c>
      <c r="D294" s="42">
        <v>0.86</v>
      </c>
      <c r="E294" s="43">
        <v>0.95008300000000001</v>
      </c>
      <c r="F294" s="43">
        <v>0.91624399999999995</v>
      </c>
      <c r="G294" s="43">
        <v>0.92264299999999999</v>
      </c>
      <c r="H294" s="43">
        <v>0.932307</v>
      </c>
      <c r="I294" s="43">
        <v>0.93074699999999999</v>
      </c>
      <c r="J294" s="43">
        <v>0.92602300000000004</v>
      </c>
      <c r="K294" s="130"/>
      <c r="M294" s="42"/>
      <c r="N294" s="42"/>
      <c r="O294" s="42"/>
      <c r="P294" s="42"/>
      <c r="Q294" s="42"/>
      <c r="R294" s="42"/>
      <c r="S294" s="42"/>
      <c r="T294" s="42"/>
      <c r="U294" s="130"/>
    </row>
    <row r="295" spans="1:21">
      <c r="A295" s="27" t="s">
        <v>312</v>
      </c>
      <c r="C295" s="41">
        <v>0.97457899999999997</v>
      </c>
      <c r="D295" s="42">
        <v>0.9</v>
      </c>
      <c r="E295" s="43">
        <v>0.95341200000000004</v>
      </c>
      <c r="F295" s="43">
        <v>0.92342500000000005</v>
      </c>
      <c r="G295" s="43">
        <v>0.89810599999999996</v>
      </c>
      <c r="H295" s="43">
        <v>0.87608200000000003</v>
      </c>
      <c r="I295" s="43">
        <v>0.85571900000000001</v>
      </c>
      <c r="J295" s="43">
        <v>0.83712399999999998</v>
      </c>
      <c r="K295" s="130"/>
      <c r="M295" s="42"/>
      <c r="N295" s="42"/>
      <c r="O295" s="42"/>
      <c r="P295" s="42"/>
      <c r="Q295" s="42"/>
      <c r="R295" s="42"/>
      <c r="S295" s="42"/>
      <c r="T295" s="42"/>
      <c r="U295" s="27"/>
    </row>
    <row r="296" spans="1:21">
      <c r="A296" s="27"/>
      <c r="C296" s="41"/>
      <c r="D296" s="27"/>
      <c r="E296" s="41"/>
      <c r="F296" s="41"/>
      <c r="G296" s="41"/>
      <c r="H296" s="41"/>
      <c r="I296" s="41"/>
      <c r="J296" s="41"/>
      <c r="K296" s="27"/>
      <c r="M296" s="42"/>
      <c r="N296" s="42"/>
      <c r="O296" s="27"/>
      <c r="P296" s="27"/>
      <c r="Q296" s="27"/>
      <c r="R296" s="27"/>
      <c r="S296" s="27"/>
      <c r="T296" s="27"/>
      <c r="U296" s="27"/>
    </row>
    <row r="297" spans="1:21">
      <c r="A297" s="48" t="s">
        <v>216</v>
      </c>
      <c r="C297" s="41"/>
      <c r="D297" s="27"/>
      <c r="E297" s="41"/>
      <c r="F297" s="41"/>
      <c r="G297" s="41"/>
      <c r="H297" s="41"/>
      <c r="I297" s="41"/>
      <c r="J297" s="41"/>
      <c r="K297" s="27"/>
      <c r="M297" s="44"/>
      <c r="N297" s="44"/>
      <c r="O297" s="27"/>
      <c r="P297" s="27"/>
      <c r="Q297" s="27"/>
      <c r="R297" s="27"/>
      <c r="S297" s="27"/>
      <c r="T297" s="27"/>
      <c r="U297" s="130"/>
    </row>
    <row r="298" spans="1:21">
      <c r="A298" s="27" t="s">
        <v>853</v>
      </c>
      <c r="C298" s="41">
        <v>0.985433</v>
      </c>
      <c r="D298" s="42">
        <v>0.96</v>
      </c>
      <c r="E298" s="43">
        <v>0.97746200000000005</v>
      </c>
      <c r="F298" s="43">
        <v>0.96739200000000003</v>
      </c>
      <c r="G298" s="43">
        <v>0.95709200000000005</v>
      </c>
      <c r="H298" s="43">
        <v>0.94655800000000001</v>
      </c>
      <c r="I298" s="43">
        <v>0.93499399999999999</v>
      </c>
      <c r="J298" s="43">
        <v>0.92303800000000003</v>
      </c>
      <c r="K298" s="130"/>
      <c r="M298" s="42"/>
      <c r="N298" s="42"/>
      <c r="O298" s="42"/>
      <c r="P298" s="42"/>
      <c r="Q298" s="42"/>
      <c r="R298" s="42"/>
      <c r="S298" s="42"/>
      <c r="T298" s="42"/>
      <c r="U298" s="130"/>
    </row>
    <row r="299" spans="1:21">
      <c r="A299" s="27" t="s">
        <v>311</v>
      </c>
      <c r="C299" s="41">
        <v>1.0663450000000001</v>
      </c>
      <c r="D299" s="42">
        <v>0.98</v>
      </c>
      <c r="E299" s="43">
        <v>1.0298560000000001</v>
      </c>
      <c r="F299" s="43">
        <v>1.009806</v>
      </c>
      <c r="G299" s="43">
        <v>1.013566</v>
      </c>
      <c r="H299" s="43">
        <v>1.0193810000000001</v>
      </c>
      <c r="I299" s="43">
        <v>1.020062</v>
      </c>
      <c r="J299" s="43">
        <v>1.0193559999999999</v>
      </c>
      <c r="K299" s="130"/>
      <c r="M299" s="42"/>
      <c r="N299" s="42"/>
      <c r="O299" s="42"/>
      <c r="P299" s="42"/>
      <c r="Q299" s="42"/>
      <c r="R299" s="42"/>
      <c r="S299" s="42"/>
      <c r="T299" s="42"/>
      <c r="U299" s="130"/>
    </row>
    <row r="300" spans="1:21">
      <c r="A300" s="27" t="s">
        <v>312</v>
      </c>
      <c r="C300" s="41">
        <v>0.98617900000000003</v>
      </c>
      <c r="D300" s="42">
        <v>0.96</v>
      </c>
      <c r="E300" s="43">
        <v>0.98068299999999997</v>
      </c>
      <c r="F300" s="43">
        <v>0.97319900000000004</v>
      </c>
      <c r="G300" s="43">
        <v>0.96629900000000002</v>
      </c>
      <c r="H300" s="43">
        <v>0.95999199999999996</v>
      </c>
      <c r="I300" s="43">
        <v>0.95335899999999996</v>
      </c>
      <c r="J300" s="43">
        <v>0.94671799999999995</v>
      </c>
      <c r="K300" s="130"/>
      <c r="M300" s="42"/>
      <c r="N300" s="42"/>
      <c r="O300" s="42"/>
      <c r="P300" s="42"/>
      <c r="Q300" s="42"/>
      <c r="R300" s="42"/>
      <c r="S300" s="42"/>
      <c r="T300" s="42"/>
      <c r="U300" s="27"/>
    </row>
    <row r="301" spans="1:21">
      <c r="A301" s="46"/>
      <c r="C301" s="246"/>
      <c r="D301" s="246"/>
      <c r="E301" s="246"/>
      <c r="F301" s="246"/>
      <c r="G301" s="246"/>
      <c r="H301" s="246"/>
      <c r="M301" s="27"/>
      <c r="N301" s="27"/>
      <c r="O301" s="27"/>
      <c r="P301" s="27"/>
      <c r="Q301" s="27"/>
      <c r="R301" s="27"/>
      <c r="S301" s="27"/>
      <c r="T301" s="130"/>
      <c r="U301" s="27"/>
    </row>
    <row r="302" spans="1:21" s="27" customFormat="1" ht="15" customHeight="1">
      <c r="A302" s="42"/>
      <c r="B302" s="42"/>
      <c r="C302" s="42"/>
      <c r="D302" s="42"/>
      <c r="E302" s="42"/>
      <c r="F302" s="42"/>
      <c r="G302" s="42"/>
      <c r="H302" s="42"/>
    </row>
    <row r="303" spans="1:21" s="27" customFormat="1" ht="15" customHeight="1">
      <c r="A303" s="42"/>
      <c r="B303" s="42"/>
      <c r="C303" s="42"/>
      <c r="D303" s="42"/>
      <c r="E303" s="42"/>
      <c r="F303" s="42"/>
      <c r="G303" s="42"/>
      <c r="H303" s="42"/>
    </row>
    <row r="304" spans="1:21" s="27" customFormat="1" ht="15" customHeight="1">
      <c r="A304" s="42"/>
      <c r="B304" s="42"/>
      <c r="C304" s="42"/>
      <c r="D304" s="42"/>
      <c r="E304" s="42"/>
      <c r="F304" s="42"/>
      <c r="G304" s="42"/>
      <c r="H304" s="42"/>
    </row>
    <row r="305" spans="1:8" s="27" customFormat="1" ht="15" customHeight="1">
      <c r="A305" s="42"/>
      <c r="B305" s="42"/>
      <c r="C305" s="42"/>
      <c r="D305" s="42"/>
      <c r="E305" s="42"/>
      <c r="F305" s="42"/>
      <c r="G305" s="42"/>
      <c r="H305" s="42"/>
    </row>
    <row r="306" spans="1:8" s="27" customFormat="1" ht="15" customHeight="1">
      <c r="A306" s="42"/>
      <c r="B306" s="42"/>
      <c r="C306" s="42"/>
      <c r="D306" s="42"/>
      <c r="E306" s="42"/>
      <c r="F306" s="42"/>
      <c r="G306" s="42"/>
      <c r="H306" s="42"/>
    </row>
    <row r="307" spans="1:8" s="27" customFormat="1" ht="15" customHeight="1">
      <c r="A307" s="42"/>
      <c r="B307" s="42"/>
      <c r="C307" s="42"/>
      <c r="D307" s="42"/>
      <c r="E307" s="42"/>
      <c r="F307" s="42"/>
      <c r="G307" s="42"/>
      <c r="H307" s="42"/>
    </row>
    <row r="308" spans="1:8" s="27" customFormat="1" ht="15" customHeight="1">
      <c r="A308" s="42"/>
      <c r="B308" s="42"/>
      <c r="C308" s="42"/>
      <c r="D308" s="42"/>
      <c r="E308" s="42"/>
      <c r="F308" s="42"/>
      <c r="G308" s="42"/>
      <c r="H308" s="42"/>
    </row>
    <row r="309" spans="1:8" s="27" customFormat="1" ht="15" customHeight="1">
      <c r="A309" s="42"/>
      <c r="B309" s="42"/>
      <c r="C309" s="42"/>
      <c r="D309" s="42"/>
      <c r="E309" s="42"/>
      <c r="F309" s="42"/>
      <c r="G309" s="42"/>
      <c r="H309" s="42"/>
    </row>
    <row r="310" spans="1:8" s="27" customFormat="1" ht="15" customHeight="1">
      <c r="A310" s="42"/>
      <c r="B310" s="42"/>
      <c r="C310" s="42"/>
      <c r="D310" s="42"/>
      <c r="E310" s="42"/>
      <c r="F310" s="42"/>
      <c r="G310" s="42"/>
      <c r="H310" s="42"/>
    </row>
    <row r="311" spans="1:8" s="27" customFormat="1" ht="15" customHeight="1">
      <c r="A311" s="42"/>
      <c r="B311" s="42"/>
      <c r="C311" s="42"/>
      <c r="D311" s="42"/>
      <c r="E311" s="42"/>
      <c r="F311" s="42"/>
      <c r="G311" s="42"/>
      <c r="H311" s="42"/>
    </row>
    <row r="312" spans="1:8" s="27" customFormat="1" ht="15" customHeight="1">
      <c r="A312" s="42"/>
      <c r="B312" s="42"/>
      <c r="C312" s="42"/>
      <c r="D312" s="42"/>
      <c r="E312" s="42"/>
      <c r="F312" s="42"/>
      <c r="G312" s="42"/>
      <c r="H312" s="42"/>
    </row>
    <row r="313" spans="1:8" s="27" customFormat="1" ht="15" customHeight="1">
      <c r="A313" s="42"/>
      <c r="B313" s="42"/>
      <c r="C313" s="42"/>
      <c r="D313" s="42"/>
      <c r="E313" s="42"/>
      <c r="F313" s="42"/>
      <c r="G313" s="42"/>
      <c r="H313" s="42"/>
    </row>
    <row r="314" spans="1:8" s="27" customFormat="1" ht="15" customHeight="1">
      <c r="A314" s="42"/>
      <c r="B314" s="42"/>
      <c r="C314" s="42"/>
      <c r="D314" s="42"/>
      <c r="E314" s="42"/>
      <c r="F314" s="42"/>
      <c r="G314" s="42"/>
      <c r="H314" s="42"/>
    </row>
    <row r="315" spans="1:8" s="27" customFormat="1" ht="15" customHeight="1">
      <c r="A315" s="42"/>
      <c r="B315" s="42"/>
      <c r="C315" s="42"/>
      <c r="D315" s="42"/>
      <c r="E315" s="42"/>
      <c r="F315" s="42"/>
      <c r="G315" s="42"/>
      <c r="H315" s="42"/>
    </row>
    <row r="316" spans="1:8" s="27" customFormat="1" ht="15" customHeight="1">
      <c r="A316" s="42"/>
      <c r="B316" s="42"/>
      <c r="C316" s="42"/>
      <c r="D316" s="42"/>
      <c r="E316" s="42"/>
      <c r="F316" s="42"/>
      <c r="G316" s="42"/>
      <c r="H316" s="42"/>
    </row>
    <row r="317" spans="1:8" s="27" customFormat="1" ht="15" customHeight="1">
      <c r="A317" s="42"/>
      <c r="B317" s="42"/>
      <c r="C317" s="42"/>
      <c r="D317" s="42"/>
      <c r="E317" s="42"/>
      <c r="F317" s="42"/>
      <c r="G317" s="42"/>
      <c r="H317" s="42"/>
    </row>
    <row r="318" spans="1:8" s="27" customFormat="1" ht="15" customHeight="1">
      <c r="A318" s="42"/>
      <c r="B318" s="42"/>
      <c r="C318" s="42"/>
      <c r="D318" s="42"/>
      <c r="E318" s="42"/>
      <c r="F318" s="42"/>
      <c r="G318" s="42"/>
      <c r="H318" s="42"/>
    </row>
    <row r="319" spans="1:8" s="27" customFormat="1" ht="15" customHeight="1">
      <c r="A319" s="42"/>
      <c r="B319" s="42"/>
      <c r="C319" s="42"/>
      <c r="D319" s="42"/>
      <c r="E319" s="42"/>
      <c r="F319" s="42"/>
      <c r="G319" s="42"/>
      <c r="H319" s="42"/>
    </row>
    <row r="320" spans="1:8" s="27" customFormat="1" ht="15" customHeight="1">
      <c r="A320" s="42"/>
      <c r="B320" s="42"/>
      <c r="C320" s="42"/>
      <c r="D320" s="42"/>
      <c r="E320" s="42"/>
      <c r="F320" s="42"/>
      <c r="G320" s="42"/>
      <c r="H320" s="42"/>
    </row>
    <row r="321" spans="1:20" s="27" customFormat="1" ht="15" customHeight="1">
      <c r="A321" s="42"/>
      <c r="B321" s="42"/>
      <c r="C321" s="42"/>
      <c r="D321" s="42"/>
      <c r="E321" s="42"/>
      <c r="F321" s="42"/>
      <c r="G321" s="42"/>
      <c r="H321" s="42"/>
    </row>
    <row r="322" spans="1:20" s="27" customFormat="1" ht="15" customHeight="1">
      <c r="A322" s="42"/>
      <c r="B322" s="42"/>
      <c r="C322" s="42"/>
      <c r="D322" s="42"/>
      <c r="E322" s="42"/>
      <c r="F322" s="42"/>
      <c r="G322" s="42"/>
      <c r="H322" s="42"/>
    </row>
    <row r="323" spans="1:20" s="27" customFormat="1" ht="15" customHeight="1">
      <c r="A323" s="42"/>
      <c r="B323" s="42"/>
      <c r="C323" s="42"/>
      <c r="D323" s="42"/>
      <c r="E323" s="42"/>
      <c r="F323" s="42"/>
      <c r="G323" s="42"/>
      <c r="H323" s="42"/>
    </row>
    <row r="324" spans="1:20" s="27" customFormat="1" ht="15" customHeight="1">
      <c r="A324" s="42"/>
      <c r="B324" s="42"/>
      <c r="C324" s="42"/>
      <c r="D324" s="42"/>
      <c r="E324" s="42"/>
      <c r="F324" s="42"/>
      <c r="G324" s="42"/>
      <c r="H324" s="42"/>
    </row>
    <row r="325" spans="1:20" s="27" customFormat="1" ht="15" customHeight="1">
      <c r="A325" s="42"/>
      <c r="B325" s="42"/>
      <c r="C325" s="42"/>
      <c r="D325" s="42"/>
      <c r="E325" s="42"/>
      <c r="F325" s="42"/>
      <c r="G325" s="42"/>
      <c r="H325" s="42"/>
    </row>
    <row r="326" spans="1:20" s="27" customFormat="1" ht="15" customHeight="1">
      <c r="A326" s="42"/>
      <c r="B326" s="42"/>
      <c r="C326" s="42"/>
      <c r="D326" s="42"/>
      <c r="E326" s="42"/>
      <c r="F326" s="42"/>
      <c r="G326" s="42"/>
      <c r="H326" s="42"/>
    </row>
    <row r="327" spans="1:20" s="27" customFormat="1" ht="15" customHeight="1">
      <c r="A327" s="42"/>
      <c r="B327" s="42"/>
      <c r="C327" s="42"/>
      <c r="D327" s="42"/>
      <c r="E327" s="42"/>
      <c r="F327" s="42"/>
      <c r="G327" s="42"/>
      <c r="H327" s="42"/>
    </row>
    <row r="328" spans="1:20" s="27" customFormat="1" ht="15" customHeight="1">
      <c r="A328" s="42"/>
      <c r="B328" s="42"/>
      <c r="C328" s="42"/>
      <c r="D328" s="42"/>
      <c r="E328" s="42"/>
      <c r="F328" s="42"/>
      <c r="G328" s="42"/>
      <c r="H328" s="42"/>
    </row>
    <row r="329" spans="1:20" s="27" customFormat="1"/>
    <row r="330" spans="1:20">
      <c r="B330" s="27"/>
      <c r="C330" s="27"/>
      <c r="D330" s="41"/>
      <c r="E330" s="41"/>
      <c r="F330" s="41"/>
      <c r="G330" s="41"/>
      <c r="H330" s="41"/>
      <c r="I330" s="41"/>
      <c r="J330" s="41"/>
      <c r="K330" s="130"/>
      <c r="L330" s="27"/>
      <c r="M330" s="27"/>
      <c r="N330" s="27"/>
      <c r="O330" s="27"/>
      <c r="P330" s="27"/>
      <c r="Q330" s="27"/>
      <c r="R330" s="27"/>
      <c r="S330" s="27"/>
      <c r="T330" s="27"/>
    </row>
    <row r="331" spans="1:20">
      <c r="B331" s="48"/>
      <c r="C331" s="48"/>
      <c r="D331" s="140"/>
      <c r="E331" s="140"/>
      <c r="F331" s="140"/>
      <c r="G331" s="140"/>
      <c r="H331" s="140"/>
      <c r="I331" s="140"/>
      <c r="J331" s="140"/>
      <c r="K331" s="224"/>
      <c r="L331" s="27"/>
      <c r="M331" s="27"/>
      <c r="N331" s="27"/>
      <c r="O331" s="27"/>
      <c r="P331" s="27"/>
      <c r="Q331" s="27"/>
      <c r="R331" s="27"/>
      <c r="S331" s="27"/>
      <c r="T331" s="27"/>
    </row>
    <row r="332" spans="1:20">
      <c r="B332" s="27"/>
      <c r="C332" s="27"/>
      <c r="D332" s="27"/>
      <c r="E332" s="27"/>
      <c r="F332" s="27"/>
      <c r="G332" s="27"/>
      <c r="H332" s="27"/>
      <c r="I332" s="27"/>
      <c r="J332" s="27"/>
      <c r="K332" s="27"/>
      <c r="N332" s="27"/>
      <c r="O332" s="27"/>
      <c r="P332" s="27"/>
      <c r="Q332" s="27"/>
      <c r="R332" s="27"/>
      <c r="S332" s="27"/>
    </row>
    <row r="333" spans="1:20">
      <c r="B333" s="48"/>
      <c r="C333" s="48"/>
      <c r="D333" s="27"/>
      <c r="E333" s="27"/>
      <c r="F333" s="27"/>
      <c r="G333" s="27"/>
      <c r="H333" s="27"/>
      <c r="I333" s="27"/>
      <c r="J333" s="27"/>
      <c r="K333" s="27"/>
      <c r="N333" s="27"/>
      <c r="O333" s="27"/>
      <c r="P333" s="27"/>
      <c r="Q333" s="27"/>
      <c r="R333" s="27"/>
      <c r="S333" s="27"/>
    </row>
    <row r="334" spans="1:20">
      <c r="B334" s="27"/>
      <c r="C334" s="27"/>
      <c r="D334" s="41"/>
      <c r="E334" s="41"/>
      <c r="F334" s="41"/>
      <c r="G334" s="41"/>
      <c r="H334" s="41"/>
      <c r="I334" s="41"/>
      <c r="J334" s="41"/>
      <c r="K334" s="130"/>
      <c r="N334" s="27"/>
      <c r="O334" s="27"/>
      <c r="P334" s="27"/>
      <c r="Q334" s="27"/>
      <c r="R334" s="27"/>
      <c r="S334" s="27"/>
    </row>
    <row r="335" spans="1:20">
      <c r="B335" s="27"/>
      <c r="C335" s="27"/>
      <c r="D335" s="41"/>
      <c r="E335" s="41"/>
      <c r="F335" s="41"/>
      <c r="G335" s="41"/>
      <c r="H335" s="41"/>
      <c r="I335" s="41"/>
      <c r="J335" s="41"/>
      <c r="K335" s="130"/>
      <c r="N335" s="27"/>
      <c r="O335" s="27"/>
      <c r="P335" s="27"/>
      <c r="Q335" s="27"/>
      <c r="R335" s="27"/>
      <c r="S335" s="27"/>
    </row>
    <row r="336" spans="1:20">
      <c r="B336" s="27"/>
      <c r="C336" s="27"/>
      <c r="D336" s="41"/>
      <c r="E336" s="41"/>
      <c r="F336" s="41"/>
      <c r="G336" s="41"/>
      <c r="H336" s="41"/>
      <c r="I336" s="41"/>
      <c r="J336" s="41"/>
      <c r="K336" s="130"/>
      <c r="N336" s="27"/>
      <c r="O336" s="27"/>
      <c r="P336" s="27"/>
      <c r="Q336" s="27"/>
      <c r="R336" s="27"/>
      <c r="S336" s="27"/>
    </row>
    <row r="337" spans="2:19">
      <c r="B337" s="27"/>
      <c r="C337" s="27"/>
      <c r="D337" s="41"/>
      <c r="E337" s="41"/>
      <c r="F337" s="41"/>
      <c r="G337" s="41"/>
      <c r="H337" s="41"/>
      <c r="I337" s="41"/>
      <c r="J337" s="41"/>
      <c r="K337" s="130"/>
      <c r="N337" s="27"/>
      <c r="O337" s="27"/>
      <c r="P337" s="27"/>
      <c r="Q337" s="27"/>
      <c r="R337" s="27"/>
      <c r="S337" s="27"/>
    </row>
    <row r="338" spans="2:19">
      <c r="B338" s="27"/>
      <c r="C338" s="27"/>
      <c r="D338" s="41"/>
      <c r="E338" s="41"/>
      <c r="F338" s="41"/>
      <c r="G338" s="41"/>
      <c r="H338" s="41"/>
      <c r="I338" s="41"/>
      <c r="J338" s="41"/>
      <c r="K338" s="130"/>
      <c r="N338" s="27"/>
      <c r="O338" s="27"/>
      <c r="P338" s="27"/>
      <c r="Q338" s="27"/>
      <c r="R338" s="27"/>
      <c r="S338" s="27"/>
    </row>
    <row r="339" spans="2:19">
      <c r="B339" s="48"/>
      <c r="C339" s="48"/>
      <c r="D339" s="140"/>
      <c r="E339" s="140"/>
      <c r="F339" s="140"/>
      <c r="G339" s="140"/>
      <c r="H339" s="140"/>
      <c r="I339" s="140"/>
      <c r="J339" s="140"/>
      <c r="K339" s="224"/>
      <c r="N339" s="27"/>
      <c r="S339" s="27"/>
    </row>
    <row r="340" spans="2:19">
      <c r="B340" s="27"/>
      <c r="C340" s="27"/>
      <c r="D340" s="27"/>
      <c r="E340" s="27"/>
      <c r="F340" s="27"/>
      <c r="G340" s="27"/>
      <c r="H340" s="27"/>
      <c r="I340" s="27"/>
      <c r="J340" s="27"/>
      <c r="K340" s="27"/>
      <c r="S340" s="27"/>
    </row>
    <row r="341" spans="2:19">
      <c r="B341" s="48"/>
      <c r="C341" s="48"/>
      <c r="D341" s="27"/>
      <c r="E341" s="27"/>
      <c r="F341" s="27"/>
      <c r="G341" s="27"/>
      <c r="H341" s="27"/>
      <c r="I341" s="27"/>
      <c r="J341" s="27"/>
      <c r="K341" s="27"/>
    </row>
    <row r="342" spans="2:19">
      <c r="B342" s="27"/>
      <c r="C342" s="27"/>
      <c r="D342" s="41"/>
      <c r="E342" s="41"/>
      <c r="F342" s="41"/>
      <c r="G342" s="41"/>
      <c r="H342" s="41"/>
      <c r="I342" s="41"/>
      <c r="J342" s="41"/>
      <c r="K342" s="130"/>
    </row>
    <row r="343" spans="2:19">
      <c r="B343" s="27"/>
      <c r="C343" s="27"/>
      <c r="D343" s="41"/>
      <c r="E343" s="41"/>
      <c r="F343" s="41"/>
      <c r="G343" s="41"/>
      <c r="H343" s="41"/>
      <c r="I343" s="41"/>
      <c r="J343" s="41"/>
      <c r="K343" s="130"/>
    </row>
    <row r="344" spans="2:19">
      <c r="B344" s="27"/>
      <c r="C344" s="27"/>
      <c r="D344" s="41"/>
      <c r="E344" s="41"/>
      <c r="F344" s="41"/>
      <c r="G344" s="41"/>
      <c r="H344" s="41"/>
      <c r="I344" s="41"/>
      <c r="J344" s="41"/>
      <c r="K344" s="130"/>
    </row>
    <row r="345" spans="2:19">
      <c r="B345" s="48"/>
      <c r="C345" s="48"/>
      <c r="D345" s="140"/>
      <c r="E345" s="140"/>
      <c r="F345" s="140"/>
      <c r="G345" s="140"/>
      <c r="H345" s="140"/>
      <c r="I345" s="140"/>
      <c r="J345" s="140"/>
      <c r="K345" s="224"/>
    </row>
    <row r="346" spans="2:19">
      <c r="B346" s="27"/>
      <c r="C346" s="27"/>
      <c r="D346" s="27"/>
      <c r="E346" s="27"/>
      <c r="F346" s="27"/>
      <c r="G346" s="27"/>
      <c r="H346" s="27"/>
      <c r="I346" s="27"/>
      <c r="J346" s="27"/>
      <c r="K346" s="27"/>
    </row>
    <row r="347" spans="2:19">
      <c r="B347" s="48"/>
      <c r="C347" s="48"/>
      <c r="D347" s="27"/>
      <c r="E347" s="27"/>
      <c r="F347" s="27"/>
      <c r="G347" s="27"/>
      <c r="H347" s="27"/>
      <c r="I347" s="27"/>
      <c r="J347" s="27"/>
      <c r="K347" s="27"/>
    </row>
    <row r="348" spans="2:19">
      <c r="B348" s="27"/>
      <c r="C348" s="27"/>
      <c r="D348" s="41"/>
      <c r="E348" s="41"/>
      <c r="F348" s="41"/>
      <c r="G348" s="41"/>
      <c r="H348" s="41"/>
      <c r="I348" s="41"/>
      <c r="J348" s="41"/>
      <c r="K348" s="130"/>
    </row>
    <row r="349" spans="2:19">
      <c r="B349" s="27"/>
      <c r="C349" s="27"/>
      <c r="D349" s="41"/>
      <c r="E349" s="41"/>
      <c r="F349" s="41"/>
      <c r="G349" s="41"/>
      <c r="H349" s="41"/>
      <c r="I349" s="41"/>
      <c r="J349" s="41"/>
      <c r="K349" s="130"/>
    </row>
    <row r="350" spans="2:19">
      <c r="B350" s="48"/>
      <c r="C350" s="48"/>
      <c r="D350" s="140"/>
      <c r="E350" s="140"/>
      <c r="F350" s="140"/>
      <c r="G350" s="140"/>
      <c r="H350" s="140"/>
      <c r="I350" s="140"/>
      <c r="J350" s="140"/>
      <c r="K350" s="224"/>
    </row>
    <row r="351" spans="2:19">
      <c r="B351" s="27"/>
      <c r="C351" s="27"/>
      <c r="D351" s="27"/>
      <c r="E351" s="27"/>
      <c r="F351" s="27"/>
      <c r="G351" s="27"/>
      <c r="H351" s="27"/>
      <c r="I351" s="27"/>
      <c r="J351" s="27"/>
      <c r="K351" s="27"/>
    </row>
    <row r="352" spans="2:19">
      <c r="B352" s="48"/>
      <c r="C352" s="48"/>
      <c r="D352" s="27"/>
      <c r="E352" s="27"/>
      <c r="F352" s="27"/>
      <c r="G352" s="27"/>
      <c r="H352" s="27"/>
      <c r="I352" s="27"/>
      <c r="J352" s="27"/>
      <c r="K352" s="27"/>
    </row>
    <row r="353" spans="2:11">
      <c r="B353" s="27"/>
      <c r="C353" s="27"/>
      <c r="D353" s="41"/>
      <c r="E353" s="41"/>
      <c r="F353" s="41"/>
      <c r="G353" s="41"/>
      <c r="H353" s="41"/>
      <c r="I353" s="41"/>
      <c r="J353" s="41"/>
      <c r="K353" s="130"/>
    </row>
    <row r="354" spans="2:11">
      <c r="B354" s="27"/>
      <c r="C354" s="27"/>
      <c r="D354" s="41"/>
      <c r="E354" s="41"/>
      <c r="F354" s="41"/>
      <c r="G354" s="41"/>
      <c r="H354" s="41"/>
      <c r="I354" s="41"/>
      <c r="J354" s="41"/>
      <c r="K354" s="130"/>
    </row>
    <row r="355" spans="2:11">
      <c r="B355" s="27"/>
      <c r="C355" s="27"/>
      <c r="D355" s="27"/>
      <c r="E355" s="27"/>
      <c r="F355" s="27"/>
      <c r="G355" s="27"/>
      <c r="H355" s="27"/>
      <c r="I355" s="27"/>
      <c r="J355" s="27"/>
      <c r="K355" s="27"/>
    </row>
    <row r="356" spans="2:11">
      <c r="B356" s="48"/>
      <c r="C356" s="48"/>
      <c r="D356" s="27"/>
      <c r="E356" s="27"/>
      <c r="F356" s="27"/>
      <c r="G356" s="27"/>
      <c r="H356" s="27"/>
      <c r="I356" s="27"/>
      <c r="J356" s="27"/>
      <c r="K356" s="27"/>
    </row>
    <row r="357" spans="2:11">
      <c r="B357" s="48"/>
      <c r="C357" s="48"/>
      <c r="D357" s="27"/>
      <c r="E357" s="27"/>
      <c r="F357" s="27"/>
      <c r="G357" s="27"/>
      <c r="H357" s="27"/>
      <c r="I357" s="27"/>
      <c r="J357" s="27"/>
      <c r="K357" s="27"/>
    </row>
    <row r="358" spans="2:11">
      <c r="B358" s="27"/>
      <c r="C358" s="27"/>
      <c r="D358" s="41"/>
      <c r="E358" s="41"/>
      <c r="F358" s="41"/>
      <c r="G358" s="41"/>
      <c r="H358" s="41"/>
      <c r="I358" s="41"/>
      <c r="J358" s="41"/>
      <c r="K358" s="130"/>
    </row>
    <row r="359" spans="2:11">
      <c r="B359" s="27"/>
      <c r="C359" s="27"/>
      <c r="D359" s="41"/>
      <c r="E359" s="41"/>
      <c r="F359" s="41"/>
      <c r="G359" s="41"/>
      <c r="H359" s="41"/>
      <c r="I359" s="41"/>
      <c r="J359" s="41"/>
      <c r="K359" s="130"/>
    </row>
    <row r="360" spans="2:11">
      <c r="B360" s="27"/>
      <c r="C360" s="27"/>
      <c r="D360" s="41"/>
      <c r="E360" s="41"/>
      <c r="F360" s="41"/>
      <c r="G360" s="41"/>
      <c r="H360" s="41"/>
      <c r="I360" s="41"/>
      <c r="J360" s="41"/>
      <c r="K360" s="130"/>
    </row>
    <row r="361" spans="2:11">
      <c r="B361" s="27"/>
      <c r="C361" s="27"/>
      <c r="D361" s="41"/>
      <c r="E361" s="41"/>
      <c r="F361" s="41"/>
      <c r="G361" s="41"/>
      <c r="H361" s="41"/>
      <c r="I361" s="41"/>
      <c r="J361" s="41"/>
      <c r="K361" s="130"/>
    </row>
    <row r="362" spans="2:11">
      <c r="B362" s="27"/>
      <c r="C362" s="27"/>
      <c r="D362" s="41"/>
      <c r="E362" s="41"/>
      <c r="F362" s="41"/>
      <c r="G362" s="41"/>
      <c r="H362" s="41"/>
      <c r="I362" s="41"/>
      <c r="J362" s="41"/>
      <c r="K362" s="130"/>
    </row>
    <row r="363" spans="2:11">
      <c r="B363" s="27"/>
      <c r="C363" s="27"/>
      <c r="D363" s="27"/>
      <c r="E363" s="27"/>
      <c r="F363" s="27"/>
      <c r="G363" s="27"/>
      <c r="H363" s="27"/>
      <c r="I363" s="27"/>
      <c r="J363" s="27"/>
      <c r="K363" s="27"/>
    </row>
    <row r="364" spans="2:11">
      <c r="B364" s="48"/>
      <c r="C364" s="48"/>
      <c r="D364" s="27"/>
      <c r="E364" s="27"/>
      <c r="F364" s="27"/>
      <c r="G364" s="27"/>
      <c r="H364" s="27"/>
      <c r="I364" s="27"/>
      <c r="J364" s="27"/>
      <c r="K364" s="27"/>
    </row>
    <row r="365" spans="2:11">
      <c r="B365" s="27"/>
      <c r="C365" s="27"/>
      <c r="D365" s="41"/>
      <c r="E365" s="41"/>
      <c r="F365" s="41"/>
      <c r="G365" s="41"/>
      <c r="H365" s="41"/>
      <c r="I365" s="41"/>
      <c r="J365" s="41"/>
      <c r="K365" s="130"/>
    </row>
    <row r="366" spans="2:11">
      <c r="B366" s="27"/>
      <c r="C366" s="27"/>
      <c r="D366" s="41"/>
      <c r="E366" s="41"/>
      <c r="F366" s="41"/>
      <c r="G366" s="41"/>
      <c r="H366" s="41"/>
      <c r="I366" s="41"/>
      <c r="J366" s="41"/>
      <c r="K366" s="130"/>
    </row>
    <row r="367" spans="2:11">
      <c r="B367" s="27"/>
      <c r="C367" s="27"/>
      <c r="D367" s="41"/>
      <c r="E367" s="41"/>
      <c r="F367" s="41"/>
      <c r="G367" s="41"/>
      <c r="H367" s="41"/>
      <c r="I367" s="41"/>
      <c r="J367" s="41"/>
      <c r="K367" s="130"/>
    </row>
    <row r="368" spans="2:11">
      <c r="B368" s="27"/>
      <c r="C368" s="27"/>
      <c r="D368" s="41"/>
      <c r="E368" s="41"/>
      <c r="F368" s="41"/>
      <c r="G368" s="41"/>
      <c r="H368" s="41"/>
      <c r="I368" s="41"/>
      <c r="J368" s="41"/>
      <c r="K368" s="130"/>
    </row>
    <row r="369" spans="2:11">
      <c r="B369" s="27"/>
      <c r="C369" s="27"/>
      <c r="D369" s="41"/>
      <c r="E369" s="41"/>
      <c r="F369" s="41"/>
      <c r="G369" s="41"/>
      <c r="H369" s="41"/>
      <c r="I369" s="41"/>
      <c r="J369" s="41"/>
      <c r="K369" s="130"/>
    </row>
    <row r="370" spans="2:11">
      <c r="B370" s="27"/>
      <c r="C370" s="27"/>
      <c r="D370" s="27"/>
      <c r="E370" s="27"/>
      <c r="F370" s="27"/>
      <c r="G370" s="27"/>
      <c r="H370" s="27"/>
      <c r="I370" s="27"/>
      <c r="J370" s="27"/>
      <c r="K370" s="27"/>
    </row>
    <row r="371" spans="2:11">
      <c r="B371" s="48"/>
      <c r="C371" s="48"/>
      <c r="D371" s="27"/>
      <c r="E371" s="27"/>
      <c r="F371" s="27"/>
      <c r="G371" s="27"/>
      <c r="H371" s="27"/>
      <c r="I371" s="27"/>
      <c r="J371" s="27"/>
      <c r="K371" s="27"/>
    </row>
    <row r="372" spans="2:11">
      <c r="B372" s="27"/>
      <c r="C372" s="27"/>
      <c r="D372" s="41"/>
      <c r="E372" s="41"/>
      <c r="F372" s="41"/>
      <c r="G372" s="41"/>
      <c r="H372" s="41"/>
      <c r="I372" s="41"/>
      <c r="J372" s="41"/>
      <c r="K372" s="130"/>
    </row>
    <row r="373" spans="2:11">
      <c r="B373" s="27"/>
      <c r="C373" s="27"/>
      <c r="D373" s="41"/>
      <c r="E373" s="41"/>
      <c r="F373" s="41"/>
      <c r="G373" s="41"/>
      <c r="H373" s="41"/>
      <c r="I373" s="41"/>
      <c r="J373" s="41"/>
      <c r="K373" s="130"/>
    </row>
    <row r="374" spans="2:11">
      <c r="B374" s="27"/>
      <c r="C374" s="27"/>
      <c r="D374" s="41"/>
      <c r="E374" s="41"/>
      <c r="F374" s="41"/>
      <c r="G374" s="41"/>
      <c r="H374" s="41"/>
      <c r="I374" s="41"/>
      <c r="J374" s="41"/>
      <c r="K374" s="130"/>
    </row>
    <row r="375" spans="2:11">
      <c r="B375" s="27"/>
      <c r="C375" s="27"/>
      <c r="D375" s="41"/>
      <c r="E375" s="41"/>
      <c r="F375" s="41"/>
      <c r="G375" s="41"/>
      <c r="H375" s="41"/>
      <c r="I375" s="41"/>
      <c r="J375" s="41"/>
      <c r="K375" s="130"/>
    </row>
    <row r="376" spans="2:11">
      <c r="B376" s="27"/>
      <c r="C376" s="27"/>
      <c r="D376" s="27"/>
      <c r="E376" s="27"/>
      <c r="F376" s="27"/>
      <c r="G376" s="27"/>
      <c r="H376" s="27"/>
      <c r="I376" s="27"/>
      <c r="J376" s="27"/>
      <c r="K376" s="27"/>
    </row>
    <row r="377" spans="2:11">
      <c r="B377" s="48"/>
      <c r="C377" s="48"/>
      <c r="D377" s="27"/>
      <c r="E377" s="27"/>
      <c r="F377" s="27"/>
      <c r="G377" s="27"/>
      <c r="H377" s="27"/>
      <c r="I377" s="27"/>
      <c r="J377" s="27"/>
      <c r="K377" s="27"/>
    </row>
    <row r="378" spans="2:11">
      <c r="B378" s="27"/>
      <c r="C378" s="27"/>
      <c r="D378" s="41"/>
      <c r="E378" s="41"/>
      <c r="F378" s="41"/>
      <c r="G378" s="41"/>
      <c r="H378" s="41"/>
      <c r="I378" s="41"/>
      <c r="J378" s="41"/>
      <c r="K378" s="130"/>
    </row>
    <row r="379" spans="2:11">
      <c r="B379" s="27"/>
      <c r="C379" s="27"/>
      <c r="D379" s="41"/>
      <c r="E379" s="41"/>
      <c r="F379" s="41"/>
      <c r="G379" s="41"/>
      <c r="H379" s="41"/>
      <c r="I379" s="41"/>
      <c r="J379" s="41"/>
      <c r="K379" s="130"/>
    </row>
    <row r="380" spans="2:11">
      <c r="B380" s="27"/>
      <c r="C380" s="27"/>
      <c r="D380" s="27"/>
      <c r="E380" s="27"/>
      <c r="F380" s="27"/>
      <c r="G380" s="27"/>
      <c r="H380" s="27"/>
      <c r="I380" s="27"/>
      <c r="J380" s="27"/>
      <c r="K380" s="27"/>
    </row>
    <row r="381" spans="2:11">
      <c r="B381" s="48"/>
      <c r="C381" s="48"/>
      <c r="D381" s="27"/>
      <c r="E381" s="27"/>
      <c r="F381" s="27"/>
      <c r="G381" s="27"/>
      <c r="H381" s="27"/>
      <c r="I381" s="27"/>
      <c r="J381" s="27"/>
      <c r="K381" s="27"/>
    </row>
    <row r="382" spans="2:11">
      <c r="B382" s="48"/>
      <c r="C382" s="48"/>
      <c r="D382" s="27"/>
      <c r="E382" s="27"/>
      <c r="F382" s="27"/>
      <c r="G382" s="27"/>
      <c r="H382" s="27"/>
      <c r="I382" s="27"/>
      <c r="J382" s="27"/>
      <c r="K382" s="27"/>
    </row>
    <row r="383" spans="2:11">
      <c r="B383" s="27"/>
      <c r="C383" s="27"/>
      <c r="D383" s="41"/>
      <c r="E383" s="41"/>
      <c r="F383" s="41"/>
      <c r="G383" s="41"/>
      <c r="H383" s="41"/>
      <c r="I383" s="41"/>
      <c r="J383" s="41"/>
      <c r="K383" s="130"/>
    </row>
    <row r="384" spans="2:11">
      <c r="B384" s="27"/>
      <c r="C384" s="27"/>
      <c r="D384" s="41"/>
      <c r="E384" s="41"/>
      <c r="F384" s="41"/>
      <c r="G384" s="41"/>
      <c r="H384" s="41"/>
      <c r="I384" s="41"/>
      <c r="J384" s="41"/>
      <c r="K384" s="130"/>
    </row>
    <row r="385" spans="2:32">
      <c r="B385" s="27"/>
      <c r="C385" s="27"/>
      <c r="D385" s="41"/>
      <c r="E385" s="41"/>
      <c r="F385" s="41"/>
      <c r="G385" s="41"/>
      <c r="H385" s="41"/>
      <c r="I385" s="41"/>
      <c r="J385" s="41"/>
      <c r="K385" s="130"/>
    </row>
    <row r="386" spans="2:32">
      <c r="B386" s="27"/>
      <c r="C386" s="27"/>
      <c r="D386" s="27"/>
      <c r="E386" s="27"/>
      <c r="F386" s="27"/>
      <c r="G386" s="27"/>
      <c r="H386" s="27"/>
      <c r="I386" s="27"/>
      <c r="J386" s="27"/>
      <c r="K386" s="27"/>
    </row>
    <row r="387" spans="2:32">
      <c r="B387" s="48"/>
      <c r="C387" s="48"/>
      <c r="D387" s="27"/>
      <c r="E387" s="27"/>
      <c r="F387" s="27"/>
      <c r="G387" s="27"/>
      <c r="H387" s="27"/>
      <c r="I387" s="27"/>
      <c r="J387" s="27"/>
      <c r="K387" s="27"/>
    </row>
    <row r="388" spans="2:32">
      <c r="B388" s="27"/>
      <c r="C388" s="27"/>
      <c r="D388" s="41"/>
      <c r="E388" s="41"/>
      <c r="F388" s="41"/>
      <c r="G388" s="41"/>
      <c r="H388" s="41"/>
      <c r="I388" s="41"/>
      <c r="J388" s="41"/>
      <c r="K388" s="130"/>
    </row>
    <row r="389" spans="2:32">
      <c r="B389" s="27"/>
      <c r="C389" s="27"/>
      <c r="D389" s="41"/>
      <c r="E389" s="41"/>
      <c r="F389" s="41"/>
      <c r="G389" s="41"/>
      <c r="H389" s="41"/>
      <c r="I389" s="41"/>
      <c r="J389" s="41"/>
      <c r="K389" s="130"/>
    </row>
    <row r="390" spans="2:32">
      <c r="B390" s="27"/>
      <c r="C390" s="27"/>
      <c r="D390" s="41"/>
      <c r="E390" s="41"/>
      <c r="F390" s="41"/>
      <c r="G390" s="41"/>
      <c r="H390" s="41"/>
      <c r="I390" s="41"/>
      <c r="J390" s="41"/>
      <c r="K390" s="130"/>
    </row>
    <row r="391" spans="2:32">
      <c r="B391" s="27"/>
      <c r="C391" s="27"/>
      <c r="D391" s="27"/>
      <c r="E391" s="27"/>
      <c r="F391" s="27"/>
      <c r="G391" s="27"/>
      <c r="H391" s="27"/>
      <c r="I391" s="27"/>
      <c r="J391" s="27"/>
      <c r="K391" s="27"/>
    </row>
    <row r="392" spans="2:32">
      <c r="B392" s="27"/>
      <c r="C392" s="27"/>
      <c r="D392" s="27"/>
      <c r="E392" s="27"/>
      <c r="F392" s="27"/>
      <c r="G392" s="27"/>
      <c r="H392" s="27"/>
      <c r="I392" s="27"/>
      <c r="J392" s="27"/>
      <c r="K392" s="27"/>
    </row>
    <row r="393" spans="2:32">
      <c r="B393" s="27"/>
      <c r="C393" s="27"/>
      <c r="D393" s="27"/>
      <c r="E393" s="27"/>
      <c r="F393" s="27"/>
      <c r="G393" s="27"/>
      <c r="H393" s="27"/>
      <c r="I393" s="27"/>
      <c r="J393" s="27"/>
      <c r="K393" s="27"/>
      <c r="W393" s="27"/>
    </row>
    <row r="394" spans="2:32">
      <c r="B394" s="27"/>
      <c r="C394" s="27"/>
      <c r="D394" s="27"/>
      <c r="E394" s="27"/>
      <c r="F394" s="27"/>
      <c r="G394" s="27"/>
      <c r="H394" s="27"/>
      <c r="I394" s="27"/>
      <c r="J394" s="27"/>
      <c r="K394" s="27"/>
      <c r="W394" s="27"/>
      <c r="X394" s="27"/>
      <c r="Y394" s="27"/>
      <c r="Z394" s="27"/>
      <c r="AA394" s="27"/>
      <c r="AB394" s="27"/>
    </row>
    <row r="395" spans="2:32">
      <c r="B395" s="27"/>
      <c r="C395" s="27"/>
      <c r="D395" s="27"/>
      <c r="E395" s="27"/>
      <c r="F395" s="27"/>
      <c r="G395" s="27"/>
      <c r="H395" s="27"/>
      <c r="I395" s="27"/>
      <c r="J395" s="27"/>
      <c r="K395" s="27"/>
      <c r="W395" s="27"/>
      <c r="X395" s="27"/>
      <c r="Y395" s="27"/>
      <c r="Z395" s="27"/>
      <c r="AA395" s="27"/>
      <c r="AB395" s="27"/>
      <c r="AC395" s="27"/>
      <c r="AD395" s="27"/>
      <c r="AE395" s="27"/>
      <c r="AF395" s="27"/>
    </row>
    <row r="396" spans="2:32">
      <c r="B396" s="27"/>
      <c r="C396" s="27"/>
      <c r="D396" s="27"/>
      <c r="E396" s="27"/>
      <c r="F396" s="27"/>
      <c r="G396" s="27"/>
      <c r="H396" s="27"/>
      <c r="I396" s="27"/>
      <c r="J396" s="27"/>
      <c r="K396" s="27"/>
      <c r="W396" s="27"/>
      <c r="X396" s="27"/>
      <c r="Y396" s="27"/>
      <c r="Z396" s="27"/>
      <c r="AA396" s="27"/>
      <c r="AB396" s="27"/>
      <c r="AC396" s="27"/>
      <c r="AD396" s="27"/>
      <c r="AE396" s="27"/>
      <c r="AF396" s="27"/>
    </row>
    <row r="397" spans="2:32">
      <c r="B397" s="27"/>
      <c r="C397" s="27"/>
      <c r="D397" s="27"/>
      <c r="E397" s="27"/>
      <c r="F397" s="27"/>
      <c r="G397" s="27"/>
      <c r="H397" s="27"/>
      <c r="I397" s="27"/>
      <c r="J397" s="27"/>
      <c r="K397" s="27"/>
      <c r="V397" s="27"/>
      <c r="W397" s="27"/>
      <c r="X397" s="27"/>
      <c r="Y397" s="27"/>
      <c r="Z397" s="27"/>
      <c r="AA397" s="27"/>
      <c r="AB397" s="27"/>
      <c r="AC397" s="27"/>
      <c r="AD397" s="27"/>
      <c r="AE397" s="27"/>
      <c r="AF397" s="27"/>
    </row>
    <row r="398" spans="2:32">
      <c r="B398" s="27"/>
      <c r="C398" s="27"/>
      <c r="D398" s="27"/>
      <c r="E398" s="27"/>
      <c r="F398" s="27"/>
      <c r="G398" s="27"/>
      <c r="H398" s="27"/>
      <c r="I398" s="27"/>
      <c r="J398" s="27"/>
      <c r="K398" s="27"/>
      <c r="V398" s="27"/>
      <c r="W398" s="27"/>
      <c r="X398" s="27"/>
      <c r="Y398" s="27"/>
      <c r="Z398" s="27"/>
      <c r="AA398" s="27"/>
      <c r="AB398" s="27"/>
      <c r="AC398" s="27"/>
      <c r="AD398" s="27"/>
      <c r="AE398" s="27"/>
      <c r="AF398" s="27"/>
    </row>
    <row r="399" spans="2:32">
      <c r="B399" s="27"/>
      <c r="C399" s="27"/>
      <c r="D399" s="27"/>
      <c r="E399" s="27"/>
      <c r="F399" s="27"/>
      <c r="G399" s="27"/>
      <c r="H399" s="27"/>
      <c r="I399" s="27"/>
      <c r="J399" s="27"/>
      <c r="K399" s="27"/>
      <c r="V399" s="27"/>
      <c r="W399" s="27"/>
      <c r="X399" s="27"/>
      <c r="Y399" s="27"/>
      <c r="Z399" s="27"/>
      <c r="AA399" s="27"/>
      <c r="AB399" s="27"/>
      <c r="AC399" s="27"/>
      <c r="AD399" s="27"/>
      <c r="AE399" s="27"/>
      <c r="AF399" s="27"/>
    </row>
    <row r="400" spans="2:32">
      <c r="B400" s="27"/>
      <c r="C400" s="27"/>
      <c r="D400" s="27"/>
      <c r="E400" s="27"/>
      <c r="F400" s="27"/>
      <c r="G400" s="27"/>
      <c r="H400" s="27"/>
      <c r="I400" s="27"/>
      <c r="J400" s="27"/>
      <c r="K400" s="27"/>
      <c r="L400" s="27"/>
      <c r="M400" s="27"/>
      <c r="V400" s="27"/>
      <c r="W400" s="27"/>
      <c r="X400" s="27"/>
      <c r="Y400" s="27"/>
      <c r="Z400" s="27"/>
      <c r="AA400" s="27"/>
      <c r="AB400" s="27"/>
      <c r="AC400" s="27"/>
      <c r="AD400" s="27"/>
      <c r="AE400" s="27"/>
      <c r="AF400" s="27"/>
    </row>
    <row r="401" spans="2:32">
      <c r="B401" s="27"/>
      <c r="C401" s="27"/>
      <c r="D401" s="27"/>
      <c r="E401" s="27"/>
      <c r="F401" s="27"/>
      <c r="G401" s="27"/>
      <c r="H401" s="27"/>
      <c r="I401" s="27"/>
      <c r="J401" s="27"/>
      <c r="K401" s="27"/>
      <c r="L401" s="27"/>
      <c r="M401" s="27"/>
      <c r="V401" s="27"/>
      <c r="W401" s="27"/>
      <c r="X401" s="27"/>
      <c r="Y401" s="27"/>
      <c r="Z401" s="27"/>
      <c r="AA401" s="27"/>
      <c r="AB401" s="27"/>
      <c r="AC401" s="27"/>
      <c r="AD401" s="27"/>
      <c r="AE401" s="27"/>
      <c r="AF401" s="27"/>
    </row>
    <row r="402" spans="2:32">
      <c r="B402" s="27"/>
      <c r="C402" s="27"/>
      <c r="D402" s="27"/>
      <c r="E402" s="27"/>
      <c r="F402" s="27"/>
      <c r="G402" s="27"/>
      <c r="H402" s="27"/>
      <c r="I402" s="27"/>
      <c r="J402" s="27"/>
      <c r="K402" s="27"/>
      <c r="L402" s="27"/>
      <c r="M402" s="27"/>
      <c r="V402" s="27"/>
      <c r="W402" s="27"/>
      <c r="X402" s="27"/>
      <c r="Y402" s="27"/>
      <c r="Z402" s="27"/>
      <c r="AA402" s="27"/>
      <c r="AB402" s="27"/>
      <c r="AC402" s="27"/>
      <c r="AD402" s="27"/>
      <c r="AE402" s="27"/>
      <c r="AF402" s="27"/>
    </row>
    <row r="403" spans="2:32">
      <c r="B403" s="27"/>
      <c r="C403" s="27"/>
      <c r="D403" s="27"/>
      <c r="E403" s="27"/>
      <c r="F403" s="27"/>
      <c r="G403" s="27"/>
      <c r="H403" s="27"/>
      <c r="I403" s="27"/>
      <c r="J403" s="27"/>
      <c r="K403" s="27"/>
      <c r="L403" s="27"/>
      <c r="M403" s="27"/>
      <c r="V403" s="27"/>
      <c r="W403" s="27"/>
      <c r="X403" s="27"/>
      <c r="Y403" s="27"/>
      <c r="Z403" s="27"/>
      <c r="AA403" s="27"/>
      <c r="AB403" s="27"/>
      <c r="AC403" s="27"/>
      <c r="AD403" s="27"/>
      <c r="AE403" s="27"/>
      <c r="AF403" s="27"/>
    </row>
    <row r="404" spans="2:32">
      <c r="B404" s="27"/>
      <c r="C404" s="27"/>
      <c r="D404" s="27"/>
      <c r="E404" s="27"/>
      <c r="F404" s="27"/>
      <c r="G404" s="27"/>
      <c r="H404" s="27"/>
      <c r="I404" s="27"/>
      <c r="J404" s="27"/>
      <c r="K404" s="27"/>
      <c r="L404" s="27"/>
      <c r="M404" s="27"/>
      <c r="T404" s="27"/>
      <c r="V404" s="27"/>
      <c r="W404" s="27"/>
      <c r="X404" s="27"/>
      <c r="Y404" s="27"/>
      <c r="Z404" s="27"/>
      <c r="AA404" s="27"/>
      <c r="AB404" s="27"/>
      <c r="AC404" s="27"/>
      <c r="AD404" s="27"/>
      <c r="AE404" s="27"/>
      <c r="AF404" s="27"/>
    </row>
    <row r="405" spans="2:32">
      <c r="B405" s="27"/>
      <c r="C405" s="27"/>
      <c r="D405" s="27"/>
      <c r="E405" s="27"/>
      <c r="F405" s="27"/>
      <c r="G405" s="27"/>
      <c r="H405" s="27"/>
      <c r="I405" s="27"/>
      <c r="J405" s="27"/>
      <c r="K405" s="27"/>
      <c r="L405" s="27"/>
      <c r="M405" s="27"/>
      <c r="T405" s="27"/>
      <c r="U405" s="27"/>
      <c r="V405" s="27"/>
      <c r="W405" s="27"/>
      <c r="X405" s="27"/>
      <c r="Y405" s="27"/>
      <c r="Z405" s="27"/>
      <c r="AA405" s="27"/>
      <c r="AB405" s="27"/>
      <c r="AC405" s="27"/>
      <c r="AD405" s="27"/>
      <c r="AE405" s="27"/>
      <c r="AF405" s="27"/>
    </row>
    <row r="406" spans="2:32">
      <c r="B406" s="27"/>
      <c r="C406" s="27"/>
      <c r="D406" s="27"/>
      <c r="E406" s="27"/>
      <c r="F406" s="27"/>
      <c r="G406" s="27"/>
      <c r="H406" s="27"/>
      <c r="I406" s="27"/>
      <c r="J406" s="27"/>
      <c r="K406" s="27"/>
      <c r="L406" s="27"/>
      <c r="M406" s="27"/>
      <c r="T406" s="27"/>
      <c r="U406" s="27"/>
      <c r="V406" s="27"/>
      <c r="W406" s="27"/>
      <c r="X406" s="27"/>
      <c r="Y406" s="27"/>
      <c r="Z406" s="27"/>
      <c r="AA406" s="27"/>
      <c r="AB406" s="27"/>
      <c r="AC406" s="27"/>
      <c r="AD406" s="27"/>
      <c r="AE406" s="27"/>
      <c r="AF406" s="27"/>
    </row>
    <row r="407" spans="2:32">
      <c r="B407" s="27"/>
      <c r="C407" s="27"/>
      <c r="D407" s="27"/>
      <c r="E407" s="27"/>
      <c r="F407" s="27"/>
      <c r="G407" s="27"/>
      <c r="H407" s="27"/>
      <c r="I407" s="27"/>
      <c r="J407" s="27"/>
      <c r="K407" s="27"/>
      <c r="L407" s="27"/>
      <c r="M407" s="27"/>
      <c r="T407" s="27"/>
      <c r="U407" s="27"/>
      <c r="V407" s="27"/>
      <c r="W407" s="27"/>
      <c r="X407" s="27"/>
      <c r="Y407" s="27"/>
      <c r="Z407" s="27"/>
      <c r="AA407" s="27"/>
      <c r="AB407" s="27"/>
      <c r="AC407" s="27"/>
      <c r="AD407" s="27"/>
      <c r="AE407" s="27"/>
      <c r="AF407" s="27"/>
    </row>
    <row r="408" spans="2:32">
      <c r="B408" s="27"/>
      <c r="C408" s="27"/>
      <c r="D408" s="27"/>
      <c r="E408" s="27"/>
      <c r="F408" s="27"/>
      <c r="G408" s="27"/>
      <c r="H408" s="27"/>
      <c r="I408" s="27"/>
      <c r="J408" s="27"/>
      <c r="K408" s="27"/>
      <c r="L408" s="27"/>
      <c r="M408" s="27"/>
      <c r="T408" s="27"/>
      <c r="U408" s="27"/>
      <c r="V408" s="27"/>
      <c r="W408" s="27"/>
      <c r="X408" s="27"/>
      <c r="Y408" s="27"/>
      <c r="Z408" s="27"/>
      <c r="AA408" s="27"/>
      <c r="AB408" s="27"/>
      <c r="AC408" s="27"/>
      <c r="AD408" s="27"/>
      <c r="AE408" s="27"/>
      <c r="AF408" s="27"/>
    </row>
    <row r="409" spans="2:32">
      <c r="B409" s="27"/>
      <c r="C409" s="27"/>
      <c r="D409" s="27"/>
      <c r="E409" s="27"/>
      <c r="F409" s="27"/>
      <c r="G409" s="27"/>
      <c r="H409" s="27"/>
      <c r="I409" s="27"/>
      <c r="J409" s="27"/>
      <c r="K409" s="27"/>
      <c r="L409" s="27"/>
      <c r="M409" s="27"/>
      <c r="N409" s="27"/>
      <c r="T409" s="27"/>
      <c r="U409" s="27"/>
      <c r="V409" s="27"/>
      <c r="W409" s="27"/>
      <c r="X409" s="27"/>
      <c r="Y409" s="27"/>
      <c r="Z409" s="27"/>
      <c r="AA409" s="27"/>
      <c r="AB409" s="27"/>
      <c r="AC409" s="27"/>
      <c r="AD409" s="27"/>
      <c r="AE409" s="27"/>
      <c r="AF409" s="27"/>
    </row>
    <row r="410" spans="2:32">
      <c r="B410" s="27"/>
      <c r="C410" s="27"/>
      <c r="D410" s="27"/>
      <c r="E410" s="27"/>
      <c r="F410" s="27"/>
      <c r="G410" s="27"/>
      <c r="H410" s="27"/>
      <c r="I410" s="27"/>
      <c r="J410" s="27"/>
      <c r="K410" s="27"/>
      <c r="L410" s="27"/>
      <c r="M410" s="27"/>
      <c r="N410" s="27"/>
      <c r="T410" s="27"/>
      <c r="U410" s="27"/>
      <c r="V410" s="27"/>
      <c r="W410" s="27"/>
      <c r="X410" s="27"/>
      <c r="Y410" s="27"/>
      <c r="Z410" s="27"/>
      <c r="AA410" s="27"/>
      <c r="AB410" s="27"/>
      <c r="AC410" s="27"/>
      <c r="AD410" s="27"/>
      <c r="AE410" s="27"/>
      <c r="AF410" s="27"/>
    </row>
    <row r="411" spans="2:32">
      <c r="B411" s="27"/>
      <c r="C411" s="27"/>
      <c r="D411" s="27"/>
      <c r="E411" s="27"/>
      <c r="F411" s="27"/>
      <c r="G411" s="27"/>
      <c r="H411" s="27"/>
      <c r="I411" s="27"/>
      <c r="J411" s="27"/>
      <c r="K411" s="27"/>
      <c r="L411" s="27"/>
      <c r="M411" s="27"/>
      <c r="N411" s="27"/>
      <c r="P411" s="27"/>
      <c r="Q411" s="27"/>
      <c r="R411" s="27"/>
      <c r="S411" s="27"/>
      <c r="T411" s="27"/>
      <c r="U411" s="27"/>
      <c r="V411" s="27"/>
      <c r="W411" s="27"/>
      <c r="X411" s="27"/>
      <c r="Y411" s="27"/>
      <c r="Z411" s="27"/>
      <c r="AA411" s="27"/>
      <c r="AB411" s="27"/>
      <c r="AC411" s="27"/>
      <c r="AD411" s="27"/>
      <c r="AE411" s="27"/>
      <c r="AF411" s="27"/>
    </row>
    <row r="412" spans="2:32">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row>
    <row r="413" spans="2:32">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row>
    <row r="414" spans="2:32">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row>
    <row r="415" spans="2:32">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row>
    <row r="416" spans="2:32">
      <c r="B416" s="27"/>
      <c r="C416" s="27"/>
      <c r="D416" s="27"/>
      <c r="E416" s="27"/>
      <c r="F416" s="27"/>
      <c r="G416" s="27"/>
      <c r="H416" s="27"/>
      <c r="I416" s="27"/>
      <c r="J416" s="27"/>
      <c r="K416" s="27"/>
      <c r="L416" s="27"/>
      <c r="M416" s="27"/>
      <c r="N416" s="27"/>
      <c r="O416" s="27"/>
      <c r="P416" s="27"/>
      <c r="Q416" s="27"/>
      <c r="R416" s="27"/>
      <c r="S416" s="27"/>
      <c r="T416" s="27"/>
      <c r="U416" s="27"/>
      <c r="V416" s="27"/>
      <c r="X416" s="27"/>
      <c r="Y416" s="27"/>
      <c r="Z416" s="27"/>
      <c r="AA416" s="27"/>
      <c r="AB416" s="27"/>
      <c r="AC416" s="27"/>
      <c r="AD416" s="27"/>
      <c r="AE416" s="27"/>
      <c r="AF416" s="27"/>
    </row>
    <row r="417" spans="2:22">
      <c r="B417" s="27"/>
      <c r="C417" s="27"/>
      <c r="D417" s="27"/>
      <c r="E417" s="27"/>
      <c r="F417" s="27"/>
      <c r="G417" s="27"/>
      <c r="H417" s="27"/>
      <c r="I417" s="27"/>
      <c r="J417" s="27"/>
      <c r="K417" s="27"/>
      <c r="L417" s="27"/>
      <c r="M417" s="27"/>
      <c r="N417" s="27"/>
      <c r="O417" s="27"/>
      <c r="P417" s="27"/>
      <c r="Q417" s="27"/>
      <c r="R417" s="27"/>
      <c r="S417" s="27"/>
      <c r="T417" s="27"/>
      <c r="U417" s="27"/>
      <c r="V417" s="27"/>
    </row>
    <row r="418" spans="2:22">
      <c r="L418" s="27"/>
      <c r="M418" s="27"/>
      <c r="N418" s="27"/>
      <c r="O418" s="27"/>
      <c r="P418" s="27"/>
      <c r="Q418" s="27"/>
      <c r="R418" s="27"/>
      <c r="S418" s="27"/>
      <c r="T418" s="27"/>
      <c r="U418" s="27"/>
      <c r="V418" s="27"/>
    </row>
    <row r="419" spans="2:22">
      <c r="L419" s="27"/>
      <c r="M419" s="27"/>
      <c r="N419" s="27"/>
      <c r="O419" s="27"/>
      <c r="P419" s="27"/>
      <c r="Q419" s="27"/>
      <c r="R419" s="27"/>
      <c r="S419" s="27"/>
      <c r="T419" s="27"/>
      <c r="U419" s="27"/>
      <c r="V419" s="27"/>
    </row>
    <row r="420" spans="2:22">
      <c r="L420" s="27"/>
      <c r="M420" s="27"/>
      <c r="N420" s="27"/>
      <c r="O420" s="27"/>
      <c r="P420" s="27"/>
      <c r="Q420" s="27"/>
      <c r="R420" s="27"/>
      <c r="S420" s="27"/>
      <c r="T420" s="27"/>
      <c r="U420" s="27"/>
    </row>
    <row r="421" spans="2:22">
      <c r="L421" s="27"/>
      <c r="M421" s="27"/>
      <c r="N421" s="27"/>
      <c r="O421" s="27"/>
      <c r="P421" s="27"/>
      <c r="Q421" s="27"/>
      <c r="R421" s="27"/>
      <c r="S421" s="27"/>
      <c r="T421" s="27"/>
      <c r="U421" s="27"/>
    </row>
    <row r="422" spans="2:22">
      <c r="L422" s="27"/>
      <c r="M422" s="27"/>
      <c r="N422" s="27"/>
      <c r="O422" s="27"/>
      <c r="P422" s="27"/>
      <c r="Q422" s="27"/>
      <c r="R422" s="27"/>
      <c r="S422" s="27"/>
      <c r="T422" s="27"/>
      <c r="U422" s="27"/>
    </row>
    <row r="423" spans="2:22">
      <c r="L423" s="27"/>
      <c r="M423" s="27"/>
      <c r="N423" s="27"/>
      <c r="O423" s="27"/>
      <c r="P423" s="27"/>
      <c r="Q423" s="27"/>
      <c r="R423" s="27"/>
      <c r="S423" s="27"/>
      <c r="T423" s="27"/>
      <c r="U423" s="27"/>
    </row>
    <row r="424" spans="2:22">
      <c r="L424" s="27"/>
      <c r="M424" s="27"/>
      <c r="N424" s="27"/>
      <c r="O424" s="27"/>
      <c r="P424" s="27"/>
      <c r="Q424" s="27"/>
      <c r="R424" s="27"/>
      <c r="S424" s="27"/>
      <c r="T424" s="27"/>
      <c r="U424" s="27"/>
    </row>
    <row r="425" spans="2:22">
      <c r="N425" s="27"/>
      <c r="O425" s="27"/>
      <c r="P425" s="27"/>
      <c r="Q425" s="27"/>
      <c r="R425" s="27"/>
      <c r="S425" s="27"/>
      <c r="T425" s="27"/>
      <c r="U425" s="27"/>
    </row>
    <row r="426" spans="2:22">
      <c r="N426" s="27"/>
      <c r="O426" s="27"/>
      <c r="P426" s="27"/>
      <c r="Q426" s="27"/>
      <c r="R426" s="27"/>
      <c r="S426" s="27"/>
      <c r="T426" s="27"/>
      <c r="U426" s="27"/>
    </row>
    <row r="427" spans="2:22">
      <c r="N427" s="27"/>
      <c r="O427" s="27"/>
      <c r="P427" s="27"/>
      <c r="Q427" s="27"/>
      <c r="R427" s="27"/>
      <c r="S427" s="27"/>
      <c r="T427" s="27"/>
      <c r="U427" s="27"/>
    </row>
    <row r="428" spans="2:22">
      <c r="N428" s="27"/>
      <c r="O428" s="27"/>
      <c r="P428" s="27"/>
      <c r="Q428" s="27"/>
      <c r="R428" s="27"/>
      <c r="S428" s="27"/>
    </row>
    <row r="429" spans="2:22">
      <c r="N429" s="27"/>
      <c r="O429" s="27"/>
      <c r="P429" s="27"/>
      <c r="Q429" s="27"/>
      <c r="R429" s="27"/>
      <c r="S429" s="27"/>
    </row>
    <row r="430" spans="2:22">
      <c r="N430" s="27"/>
      <c r="O430" s="27"/>
      <c r="P430" s="27"/>
      <c r="Q430" s="27"/>
      <c r="R430" s="27"/>
      <c r="S430" s="27"/>
    </row>
    <row r="431" spans="2:22">
      <c r="N431" s="27"/>
      <c r="O431" s="27"/>
      <c r="P431" s="27"/>
      <c r="Q431" s="27"/>
      <c r="R431" s="27"/>
      <c r="S431" s="27"/>
    </row>
    <row r="432" spans="2:22">
      <c r="N432" s="27"/>
      <c r="O432" s="27"/>
      <c r="P432" s="27"/>
      <c r="Q432" s="27"/>
      <c r="R432" s="27"/>
      <c r="S432" s="27"/>
    </row>
    <row r="433" spans="15:19">
      <c r="O433" s="27"/>
      <c r="P433" s="27"/>
      <c r="Q433" s="27"/>
      <c r="R433" s="27"/>
      <c r="S433" s="27"/>
    </row>
    <row r="434" spans="15:19">
      <c r="O434" s="27"/>
      <c r="P434" s="27"/>
      <c r="Q434" s="27"/>
      <c r="R434" s="27"/>
      <c r="S434" s="27"/>
    </row>
    <row r="435" spans="15:19">
      <c r="O435" s="27"/>
    </row>
  </sheetData>
  <mergeCells count="10">
    <mergeCell ref="L260:R260"/>
    <mergeCell ref="A1:L1"/>
    <mergeCell ref="A18:L18"/>
    <mergeCell ref="A31:L31"/>
    <mergeCell ref="A205:B205"/>
    <mergeCell ref="A2:B2"/>
    <mergeCell ref="A78:B78"/>
    <mergeCell ref="A88:B88"/>
    <mergeCell ref="A98:H98"/>
    <mergeCell ref="A99:H99"/>
  </mergeCells>
  <phoneticPr fontId="14" type="noConversion"/>
  <pageMargins left="0.75" right="0.75" top="1" bottom="1" header="0.5" footer="0.5"/>
  <pageSetup scale="14" fitToHeight="0" orientation="landscape" horizontalDpi="300" verticalDpi="300" r:id="rId1"/>
  <headerFooter alignWithMargins="0"/>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D250"/>
  <sheetViews>
    <sheetView zoomScale="85" workbookViewId="0">
      <pane ySplit="5" topLeftCell="A192" activePane="bottomLeft" state="frozen"/>
      <selection activeCell="C33" sqref="C33"/>
      <selection pane="bottomLeft" activeCell="C33" sqref="C33"/>
    </sheetView>
  </sheetViews>
  <sheetFormatPr defaultColWidth="9.28515625" defaultRowHeight="12.75"/>
  <cols>
    <col min="1" max="1" width="28.42578125" style="27" customWidth="1"/>
    <col min="2" max="2" width="22.7109375" style="27" bestFit="1" customWidth="1"/>
    <col min="3" max="3" width="47.42578125" style="27" bestFit="1" customWidth="1"/>
    <col min="4" max="4" width="11.7109375" style="27" bestFit="1" customWidth="1"/>
    <col min="5" max="5" width="10.28515625" style="27" bestFit="1" customWidth="1"/>
    <col min="6" max="6" width="10.28515625" style="28" bestFit="1" customWidth="1"/>
    <col min="7" max="7" width="13.7109375" style="28" customWidth="1"/>
    <col min="8" max="8" width="12.28515625" style="28" bestFit="1" customWidth="1"/>
    <col min="9" max="9" width="11.7109375" style="28" bestFit="1" customWidth="1"/>
    <col min="10" max="10" width="11.28515625" style="27" bestFit="1" customWidth="1"/>
    <col min="11" max="11" width="10.5703125" style="27" bestFit="1" customWidth="1"/>
    <col min="12" max="12" width="8.7109375" style="27" bestFit="1" customWidth="1"/>
    <col min="13" max="13" width="5.7109375" style="28" bestFit="1" customWidth="1"/>
    <col min="14" max="14" width="9" style="27" customWidth="1"/>
    <col min="15" max="15" width="14.7109375" style="27" customWidth="1"/>
    <col min="16" max="16" width="9.28515625" style="27"/>
    <col min="17" max="17" width="12.28515625" style="27" customWidth="1"/>
    <col min="18" max="16384" width="9.28515625" style="27"/>
  </cols>
  <sheetData>
    <row r="1" spans="1:15">
      <c r="A1" s="48" t="s">
        <v>81</v>
      </c>
    </row>
    <row r="2" spans="1:15">
      <c r="C2" s="48"/>
      <c r="D2" s="48"/>
      <c r="E2" s="48"/>
      <c r="F2" s="27"/>
      <c r="G2" s="27"/>
      <c r="H2" s="27"/>
      <c r="I2" s="53"/>
      <c r="J2" s="53"/>
      <c r="K2" s="53"/>
      <c r="L2" s="53"/>
      <c r="N2" s="28"/>
    </row>
    <row r="4" spans="1:15" s="44" customFormat="1" ht="25.5">
      <c r="A4" s="44" t="s">
        <v>778</v>
      </c>
      <c r="B4" s="44" t="s">
        <v>90</v>
      </c>
      <c r="C4" s="44" t="s">
        <v>91</v>
      </c>
      <c r="F4" s="50" t="s">
        <v>92</v>
      </c>
      <c r="G4" s="50" t="s">
        <v>92</v>
      </c>
      <c r="H4" s="134" t="s">
        <v>479</v>
      </c>
      <c r="I4" s="50" t="s">
        <v>93</v>
      </c>
      <c r="J4" s="131" t="s">
        <v>478</v>
      </c>
      <c r="K4" s="131" t="s">
        <v>478</v>
      </c>
      <c r="L4" s="131" t="s">
        <v>94</v>
      </c>
      <c r="M4" s="131" t="s">
        <v>482</v>
      </c>
    </row>
    <row r="5" spans="1:15" s="44" customFormat="1" ht="38.25">
      <c r="E5" s="131" t="s">
        <v>856</v>
      </c>
      <c r="F5" s="134" t="s">
        <v>95</v>
      </c>
      <c r="G5" s="134" t="s">
        <v>96</v>
      </c>
      <c r="H5" s="134"/>
      <c r="I5" s="131" t="s">
        <v>1000</v>
      </c>
      <c r="J5" s="131" t="s">
        <v>1001</v>
      </c>
      <c r="K5" s="131" t="s">
        <v>1002</v>
      </c>
      <c r="L5" s="131" t="s">
        <v>97</v>
      </c>
      <c r="M5" s="131"/>
    </row>
    <row r="6" spans="1:15" s="42" customFormat="1">
      <c r="A6" s="42" t="s">
        <v>344</v>
      </c>
      <c r="B6" s="42" t="s">
        <v>793</v>
      </c>
      <c r="C6" s="42" t="s">
        <v>321</v>
      </c>
      <c r="D6" s="27"/>
      <c r="E6" s="27"/>
      <c r="F6" s="135"/>
      <c r="G6" s="135"/>
      <c r="H6" s="136">
        <f>H7</f>
        <v>1</v>
      </c>
      <c r="I6" s="137"/>
      <c r="J6" s="138" t="s">
        <v>486</v>
      </c>
      <c r="K6" s="137"/>
      <c r="L6" s="137">
        <v>50000</v>
      </c>
      <c r="M6" s="137">
        <v>0.16</v>
      </c>
    </row>
    <row r="7" spans="1:15">
      <c r="A7" s="42" t="s">
        <v>344</v>
      </c>
      <c r="B7" s="42" t="s">
        <v>6</v>
      </c>
      <c r="C7" s="42" t="s">
        <v>7</v>
      </c>
      <c r="D7" s="27" t="str">
        <f>'RTEKTY14 agg'!X11</f>
        <v>'ELEC_RAD'</v>
      </c>
      <c r="F7" s="27">
        <f>'RTEKTY14 agg'!K11</f>
        <v>1</v>
      </c>
      <c r="G7" s="27"/>
      <c r="H7" s="27">
        <f>F7</f>
        <v>1</v>
      </c>
      <c r="I7" s="27">
        <f>'RTEKTY14 agg'!L11</f>
        <v>1900</v>
      </c>
      <c r="J7" s="139">
        <f>I7*'Conv Factors'!$C$53/'Conv Factors'!$B$7/L7/'Conv Factors'!$B$2/'Conv Factors'!$B$3/'Conv Factors'!$B$4*'Conv Factors'!$B$6</f>
        <v>3.7369871363896365</v>
      </c>
      <c r="K7" s="51"/>
      <c r="L7" s="137">
        <v>50000</v>
      </c>
      <c r="M7" s="28">
        <v>0.16</v>
      </c>
    </row>
    <row r="8" spans="1:15">
      <c r="B8" s="42"/>
      <c r="C8" s="42"/>
      <c r="F8" s="27"/>
      <c r="G8" s="27"/>
      <c r="H8" s="27"/>
      <c r="I8" s="27"/>
      <c r="J8" s="139"/>
      <c r="K8" s="51"/>
      <c r="L8" s="137"/>
    </row>
    <row r="9" spans="1:15">
      <c r="A9" s="42" t="s">
        <v>344</v>
      </c>
      <c r="B9" s="42" t="s">
        <v>434</v>
      </c>
      <c r="C9" s="42" t="s">
        <v>1</v>
      </c>
      <c r="F9" s="27"/>
      <c r="G9" s="27"/>
      <c r="H9" s="140">
        <f>USDemand!C260</f>
        <v>2.2657000026278018</v>
      </c>
      <c r="I9" s="27"/>
      <c r="J9" s="139"/>
      <c r="K9" s="51"/>
      <c r="L9" s="137"/>
      <c r="M9" s="28">
        <v>0.16</v>
      </c>
    </row>
    <row r="10" spans="1:15" s="44" customFormat="1">
      <c r="A10" s="42" t="s">
        <v>344</v>
      </c>
      <c r="B10" s="42" t="s">
        <v>436</v>
      </c>
      <c r="C10" s="42" t="s">
        <v>779</v>
      </c>
      <c r="D10" s="27" t="str">
        <f>'RTEKTY14 agg'!X12</f>
        <v>'ELEC_HP1'</v>
      </c>
      <c r="E10" s="27">
        <f>'RTEKTY14 agg'!D12</f>
        <v>2010</v>
      </c>
      <c r="F10" s="27">
        <f>'RTEKTY14 agg'!K12</f>
        <v>2.2599999999999998</v>
      </c>
      <c r="G10" s="135"/>
      <c r="H10" s="41">
        <f t="shared" ref="H10:H21" si="0">F10</f>
        <v>2.2599999999999998</v>
      </c>
      <c r="I10" s="27">
        <f>'RTEKTY14 agg'!L12</f>
        <v>2400</v>
      </c>
      <c r="J10" s="139">
        <f>I10*'Conv Factors'!$C$53/'Conv Factors'!$B$7/L10/'Conv Factors'!$B$2/'Conv Factors'!$B$3/'Conv Factors'!$B$4*'Conv Factors'!$B$6</f>
        <v>6.5561177831397135</v>
      </c>
      <c r="K10" s="137"/>
      <c r="L10" s="137">
        <v>36000</v>
      </c>
      <c r="M10" s="28">
        <v>0.16</v>
      </c>
      <c r="O10" s="42"/>
    </row>
    <row r="11" spans="1:15">
      <c r="A11" s="42" t="s">
        <v>344</v>
      </c>
      <c r="B11" s="42" t="s">
        <v>438</v>
      </c>
      <c r="C11" s="42" t="s">
        <v>0</v>
      </c>
      <c r="D11" s="27" t="str">
        <f>'RTEKTY14 agg'!X14</f>
        <v>'ELEC_HP1'</v>
      </c>
      <c r="E11" s="27">
        <f>'RTEKTY14 agg'!D14</f>
        <v>2015</v>
      </c>
      <c r="F11" s="27">
        <f>'RTEKTY14 agg'!K14</f>
        <v>2.4</v>
      </c>
      <c r="G11" s="27"/>
      <c r="H11" s="41">
        <f t="shared" si="0"/>
        <v>2.4</v>
      </c>
      <c r="I11" s="27">
        <f>'RTEKTY14 agg'!L14</f>
        <v>2475</v>
      </c>
      <c r="J11" s="139">
        <f>I11*'Conv Factors'!$C$53/'Conv Factors'!$B$7/L11/'Conv Factors'!$B$2/'Conv Factors'!$B$3/'Conv Factors'!$B$4*'Conv Factors'!$B$6</f>
        <v>6.7609964638628277</v>
      </c>
      <c r="K11" s="51"/>
      <c r="L11" s="137">
        <v>36000</v>
      </c>
      <c r="M11" s="28">
        <v>0.16</v>
      </c>
    </row>
    <row r="12" spans="1:15">
      <c r="A12" s="42" t="s">
        <v>344</v>
      </c>
      <c r="B12" s="42" t="s">
        <v>440</v>
      </c>
      <c r="C12" s="42" t="s">
        <v>124</v>
      </c>
      <c r="D12" s="27" t="str">
        <f>'RTEKTY14 agg'!X18</f>
        <v>'ELEC_HP2'</v>
      </c>
      <c r="E12" s="27">
        <f>'RTEKTY14 agg'!D18</f>
        <v>2010</v>
      </c>
      <c r="F12" s="27">
        <f>'RTEKTY14 agg'!K18</f>
        <v>2.4</v>
      </c>
      <c r="G12" s="27"/>
      <c r="H12" s="41">
        <f t="shared" si="0"/>
        <v>2.4</v>
      </c>
      <c r="I12" s="27">
        <f>'RTEKTY14 agg'!L18</f>
        <v>3225</v>
      </c>
      <c r="J12" s="139">
        <f>I12*'Conv Factors'!$C$53/'Conv Factors'!$B$7/L12/'Conv Factors'!$B$2/'Conv Factors'!$B$3/'Conv Factors'!$B$4*'Conv Factors'!$B$6</f>
        <v>8.8097832710939876</v>
      </c>
      <c r="K12" s="51"/>
      <c r="L12" s="28">
        <v>36000</v>
      </c>
      <c r="M12" s="28">
        <v>0.16</v>
      </c>
    </row>
    <row r="13" spans="1:15">
      <c r="A13" s="42" t="s">
        <v>344</v>
      </c>
      <c r="B13" s="42" t="s">
        <v>442</v>
      </c>
      <c r="C13" s="42" t="s">
        <v>2</v>
      </c>
      <c r="D13" s="27" t="str">
        <f>'RTEKTY14 agg'!X20</f>
        <v>'ELEC_HP2'</v>
      </c>
      <c r="E13" s="27">
        <f>'RTEKTY14 agg'!D20</f>
        <v>2015</v>
      </c>
      <c r="F13" s="27">
        <f>'RTEKTY14 agg'!K20</f>
        <v>2.58</v>
      </c>
      <c r="G13" s="27"/>
      <c r="H13" s="41">
        <f t="shared" si="0"/>
        <v>2.58</v>
      </c>
      <c r="I13" s="27">
        <f>'RTEKTY14 agg'!L20</f>
        <v>3425</v>
      </c>
      <c r="J13" s="139">
        <f>I13*'Conv Factors'!$C$53/'Conv Factors'!$B$7/L13/'Conv Factors'!$B$2/'Conv Factors'!$B$3/'Conv Factors'!$B$4*'Conv Factors'!$B$6</f>
        <v>9.356126419688966</v>
      </c>
      <c r="K13" s="51"/>
      <c r="L13" s="28">
        <v>36000</v>
      </c>
      <c r="M13" s="28">
        <v>0.16</v>
      </c>
    </row>
    <row r="14" spans="1:15">
      <c r="A14" s="42" t="s">
        <v>344</v>
      </c>
      <c r="B14" s="42" t="s">
        <v>444</v>
      </c>
      <c r="C14" s="42" t="s">
        <v>315</v>
      </c>
      <c r="D14" s="27" t="str">
        <f>'RTEKTY14 agg'!X24</f>
        <v>'ELEC_HP3'</v>
      </c>
      <c r="E14" s="27">
        <f>'RTEKTY14 agg'!D24</f>
        <v>2011</v>
      </c>
      <c r="F14" s="41">
        <f>'RTEKTY14 agg'!K24</f>
        <v>2.4900000000000002</v>
      </c>
      <c r="G14" s="27"/>
      <c r="H14" s="41">
        <f t="shared" si="0"/>
        <v>2.4900000000000002</v>
      </c>
      <c r="I14" s="86">
        <f>'RTEKTY14 agg'!L24</f>
        <v>3575</v>
      </c>
      <c r="J14" s="139">
        <f>I14*'Conv Factors'!$C$53/'Conv Factors'!$B$7/L14/'Conv Factors'!$B$2/'Conv Factors'!$B$3/'Conv Factors'!$B$4*'Conv Factors'!$B$6</f>
        <v>9.7658837811351979</v>
      </c>
      <c r="K14" s="51"/>
      <c r="L14" s="28">
        <v>36000</v>
      </c>
      <c r="M14" s="28">
        <v>0.16</v>
      </c>
    </row>
    <row r="15" spans="1:15">
      <c r="A15" s="42" t="s">
        <v>344</v>
      </c>
      <c r="B15" s="42" t="s">
        <v>446</v>
      </c>
      <c r="C15" s="42" t="s">
        <v>777</v>
      </c>
      <c r="D15" s="27" t="str">
        <f>'RTEKTY14 agg'!X30</f>
        <v>'ELEC_HP3'</v>
      </c>
      <c r="E15" s="27">
        <f>'RTEKTY14 agg'!D30</f>
        <v>2014</v>
      </c>
      <c r="F15" s="41">
        <f>'RTEKTY14 agg'!K30</f>
        <v>2.4900000000000002</v>
      </c>
      <c r="G15" s="27"/>
      <c r="H15" s="41">
        <f t="shared" si="0"/>
        <v>2.4900000000000002</v>
      </c>
      <c r="I15" s="86">
        <f>'RTEKTY14 agg'!L30</f>
        <v>3575</v>
      </c>
      <c r="J15" s="139">
        <f>I15*'Conv Factors'!$C$53/'Conv Factors'!$B$7/L15/'Conv Factors'!$B$2/'Conv Factors'!$B$3/'Conv Factors'!$B$4*'Conv Factors'!$B$6</f>
        <v>9.7658837811351979</v>
      </c>
      <c r="K15" s="51"/>
      <c r="L15" s="28">
        <v>36000</v>
      </c>
      <c r="M15" s="28">
        <v>0.16</v>
      </c>
    </row>
    <row r="16" spans="1:15">
      <c r="A16" s="42" t="s">
        <v>344</v>
      </c>
      <c r="B16" s="42" t="s">
        <v>1190</v>
      </c>
      <c r="C16" s="42" t="s">
        <v>1191</v>
      </c>
      <c r="D16" s="27" t="str">
        <f>'RTEKTY14 agg'!X32</f>
        <v>'ELEC_HP3'</v>
      </c>
      <c r="E16" s="27">
        <f>'RTEKTY14 agg'!D32</f>
        <v>2020</v>
      </c>
      <c r="F16" s="41">
        <f>'RTEKTY14 agg'!K32</f>
        <v>2.78</v>
      </c>
      <c r="G16" s="27"/>
      <c r="H16" s="41">
        <f t="shared" ref="H16" si="1">F16</f>
        <v>2.78</v>
      </c>
      <c r="I16" s="86">
        <f>'RTEKTY14 agg'!L32</f>
        <v>3750</v>
      </c>
      <c r="J16" s="139">
        <f>I16*'Conv Factors'!$C$53/'Conv Factors'!$B$7/L16/'Conv Factors'!$B$2/'Conv Factors'!$B$3/'Conv Factors'!$B$4*'Conv Factors'!$B$6</f>
        <v>10.2439340361558</v>
      </c>
      <c r="K16" s="51"/>
      <c r="L16" s="28">
        <v>36000</v>
      </c>
      <c r="M16" s="28">
        <v>0.16</v>
      </c>
    </row>
    <row r="17" spans="1:14">
      <c r="A17" s="42" t="s">
        <v>344</v>
      </c>
      <c r="B17" s="42" t="s">
        <v>1192</v>
      </c>
      <c r="C17" s="42" t="s">
        <v>1193</v>
      </c>
      <c r="D17" s="27" t="str">
        <f>'RTEKTY14 agg'!X33</f>
        <v>'ELEC_HP3'</v>
      </c>
      <c r="E17" s="27">
        <f>'RTEKTY14 agg'!D33</f>
        <v>2030</v>
      </c>
      <c r="F17" s="41">
        <f>'RTEKTY14 agg'!K33</f>
        <v>2.8</v>
      </c>
      <c r="G17" s="27"/>
      <c r="H17" s="41">
        <f t="shared" ref="H17" si="2">F17</f>
        <v>2.8</v>
      </c>
      <c r="I17" s="86">
        <f>'RTEKTY14 agg'!L33</f>
        <v>3750</v>
      </c>
      <c r="J17" s="139">
        <f>I17*'Conv Factors'!$C$53/'Conv Factors'!$B$7/L17/'Conv Factors'!$B$2/'Conv Factors'!$B$3/'Conv Factors'!$B$4*'Conv Factors'!$B$6</f>
        <v>10.2439340361558</v>
      </c>
      <c r="K17" s="51"/>
      <c r="L17" s="28">
        <v>36000</v>
      </c>
      <c r="M17" s="28">
        <v>0.16</v>
      </c>
    </row>
    <row r="18" spans="1:14" s="44" customFormat="1">
      <c r="A18" s="42" t="s">
        <v>344</v>
      </c>
      <c r="B18" s="42" t="s">
        <v>448</v>
      </c>
      <c r="C18" s="42" t="s">
        <v>125</v>
      </c>
      <c r="D18" s="27" t="str">
        <f>'RTEKTY14 agg'!X39</f>
        <v>'ELEC_HP4'</v>
      </c>
      <c r="E18" s="27">
        <f>'RTEKTY14 agg'!D39</f>
        <v>2013</v>
      </c>
      <c r="F18" s="41">
        <f>'RTEKTY14 agg'!K39</f>
        <v>3.14</v>
      </c>
      <c r="G18" s="135"/>
      <c r="H18" s="41">
        <f t="shared" si="0"/>
        <v>3.14</v>
      </c>
      <c r="I18" s="86">
        <f>'RTEKTY14 agg'!L39</f>
        <v>4000</v>
      </c>
      <c r="J18" s="139">
        <f>I18*'Conv Factors'!$C$53/'Conv Factors'!$B$7/L18/'Conv Factors'!$B$2/'Conv Factors'!$B$3/'Conv Factors'!$B$4*'Conv Factors'!$B$6</f>
        <v>10.926862971899521</v>
      </c>
      <c r="K18" s="137"/>
      <c r="L18" s="28">
        <v>36000</v>
      </c>
      <c r="M18" s="28">
        <v>0.16</v>
      </c>
    </row>
    <row r="19" spans="1:14" s="44" customFormat="1">
      <c r="A19" s="42" t="s">
        <v>344</v>
      </c>
      <c r="B19" s="42" t="s">
        <v>450</v>
      </c>
      <c r="C19" s="42" t="s">
        <v>322</v>
      </c>
      <c r="D19" s="27" t="str">
        <f>'RTEKTY14 agg'!X43</f>
        <v>'ELEC_HP4'</v>
      </c>
      <c r="E19" s="27">
        <f>'RTEKTY14 agg'!D43</f>
        <v>2020</v>
      </c>
      <c r="F19" s="41">
        <f>'RTEKTY14 agg'!K43</f>
        <v>3.17</v>
      </c>
      <c r="G19" s="135"/>
      <c r="H19" s="41">
        <f t="shared" si="0"/>
        <v>3.17</v>
      </c>
      <c r="I19" s="86">
        <f>'RTEKTY14 agg'!L43</f>
        <v>4100</v>
      </c>
      <c r="J19" s="139">
        <f>I19*'Conv Factors'!$C$53/'Conv Factors'!$B$7/L19/'Conv Factors'!$B$2/'Conv Factors'!$B$3/'Conv Factors'!$B$4*'Conv Factors'!$B$6</f>
        <v>11.20003454619701</v>
      </c>
      <c r="K19" s="137"/>
      <c r="L19" s="28">
        <v>36000</v>
      </c>
      <c r="M19" s="28">
        <v>0.16</v>
      </c>
      <c r="N19" s="42"/>
    </row>
    <row r="20" spans="1:14" s="44" customFormat="1">
      <c r="A20" s="42" t="s">
        <v>344</v>
      </c>
      <c r="B20" s="42" t="s">
        <v>452</v>
      </c>
      <c r="C20" s="42" t="s">
        <v>126</v>
      </c>
      <c r="D20" s="27" t="str">
        <f>'RTEKTY14 agg'!X45</f>
        <v>'ELEC_HP4'</v>
      </c>
      <c r="E20" s="27">
        <f>'RTEKTY14 agg'!D45</f>
        <v>2030</v>
      </c>
      <c r="F20" s="41">
        <f>'RTEKTY14 agg'!K45</f>
        <v>3.22</v>
      </c>
      <c r="G20" s="135"/>
      <c r="H20" s="41">
        <f t="shared" si="0"/>
        <v>3.22</v>
      </c>
      <c r="I20" s="86">
        <f>'RTEKTY14 agg'!L45</f>
        <v>4125</v>
      </c>
      <c r="J20" s="139">
        <f>I20*'Conv Factors'!$C$53/'Conv Factors'!$B$7/L20/'Conv Factors'!$B$2/'Conv Factors'!$B$3/'Conv Factors'!$B$4*'Conv Factors'!$B$6</f>
        <v>11.268327439771381</v>
      </c>
      <c r="K20" s="137"/>
      <c r="L20" s="28">
        <v>36000</v>
      </c>
      <c r="M20" s="28">
        <v>0.16</v>
      </c>
    </row>
    <row r="21" spans="1:14">
      <c r="A21" s="42" t="s">
        <v>344</v>
      </c>
      <c r="B21" s="42" t="s">
        <v>1003</v>
      </c>
      <c r="C21" s="42" t="s">
        <v>1004</v>
      </c>
      <c r="D21" s="27" t="str">
        <f>'RTEKTY14 agg'!X45</f>
        <v>'ELEC_HP4'</v>
      </c>
      <c r="E21" s="27">
        <f>'RTEKTY14 agg'!D45</f>
        <v>2030</v>
      </c>
      <c r="F21" s="41">
        <f>'RTEKTY14 agg'!K45</f>
        <v>3.22</v>
      </c>
      <c r="G21" s="27"/>
      <c r="H21" s="41">
        <f t="shared" si="0"/>
        <v>3.22</v>
      </c>
      <c r="I21" s="86">
        <f>'RTEKTY14 agg'!L45</f>
        <v>4125</v>
      </c>
      <c r="J21" s="139">
        <f>I21*'Conv Factors'!$C$53/'Conv Factors'!$B$7/L21/'Conv Factors'!$B$2/'Conv Factors'!$B$3/'Conv Factors'!$B$4*'Conv Factors'!$B$6</f>
        <v>11.268327439771381</v>
      </c>
      <c r="K21" s="51"/>
      <c r="L21" s="28">
        <v>36000</v>
      </c>
      <c r="M21" s="28">
        <v>0.16</v>
      </c>
    </row>
    <row r="22" spans="1:14">
      <c r="B22" s="42"/>
      <c r="C22" s="42"/>
      <c r="F22" s="27"/>
      <c r="G22" s="27"/>
      <c r="H22" s="41"/>
      <c r="I22" s="27"/>
      <c r="J22" s="139"/>
      <c r="K22" s="51"/>
      <c r="L22" s="137"/>
    </row>
    <row r="23" spans="1:14">
      <c r="A23" s="42" t="s">
        <v>344</v>
      </c>
      <c r="B23" s="42" t="s">
        <v>792</v>
      </c>
      <c r="C23" s="42" t="s">
        <v>791</v>
      </c>
      <c r="F23" s="27"/>
      <c r="G23" s="27"/>
      <c r="H23" s="140">
        <f>USDemand!C263</f>
        <v>0.81440001726150502</v>
      </c>
      <c r="I23" s="27"/>
      <c r="J23" s="139"/>
      <c r="K23" s="51"/>
      <c r="L23" s="28"/>
      <c r="M23" s="28">
        <v>0.16</v>
      </c>
    </row>
    <row r="24" spans="1:14" ht="10.5" customHeight="1">
      <c r="A24" s="42" t="s">
        <v>344</v>
      </c>
      <c r="B24" s="42" t="s">
        <v>1007</v>
      </c>
      <c r="C24" s="42" t="s">
        <v>1008</v>
      </c>
      <c r="D24" s="27" t="str">
        <f>'RTEKTY14 agg'!X48</f>
        <v>'NG_FA#1'</v>
      </c>
      <c r="E24" s="27">
        <f>'RTEKTY14 agg'!D48</f>
        <v>2010</v>
      </c>
      <c r="F24" s="27">
        <f>'RTEKTY14 agg'!K48</f>
        <v>0.78</v>
      </c>
      <c r="G24" s="27"/>
      <c r="H24" s="41">
        <f t="shared" ref="H24:H27" si="3">F24</f>
        <v>0.78</v>
      </c>
      <c r="I24" s="27">
        <f>'RTEKTY14 agg'!L48</f>
        <v>2500</v>
      </c>
      <c r="J24" s="139">
        <f>I24*'Conv Factors'!$C$53/'Conv Factors'!$B$7/L24/'Conv Factors'!$B$2/'Conv Factors'!$B$3/'Conv Factors'!$B$4*'Conv Factors'!$B$6</f>
        <v>4.9170883373547847</v>
      </c>
      <c r="K24" s="51"/>
      <c r="L24" s="28">
        <v>50000</v>
      </c>
      <c r="M24" s="28">
        <v>0.16</v>
      </c>
    </row>
    <row r="25" spans="1:14">
      <c r="A25" s="42" t="s">
        <v>344</v>
      </c>
      <c r="B25" s="42" t="s">
        <v>780</v>
      </c>
      <c r="C25" s="42" t="s">
        <v>781</v>
      </c>
      <c r="D25" s="27" t="str">
        <f>'RTEKTY14 agg'!X50</f>
        <v>'NG_FA#2'</v>
      </c>
      <c r="E25" s="27">
        <f>'RTEKTY14 agg'!D50</f>
        <v>2010</v>
      </c>
      <c r="F25" s="27">
        <f>'RTEKTY14 agg'!K50</f>
        <v>0.8</v>
      </c>
      <c r="G25" s="27"/>
      <c r="H25" s="41">
        <f t="shared" si="3"/>
        <v>0.8</v>
      </c>
      <c r="I25" s="27">
        <f>'RTEKTY14 agg'!L50</f>
        <v>2500</v>
      </c>
      <c r="J25" s="139">
        <f>I25*'Conv Factors'!$C$53/'Conv Factors'!$B$7/L25/'Conv Factors'!$B$2/'Conv Factors'!$B$3/'Conv Factors'!$B$4*'Conv Factors'!$B$6</f>
        <v>4.9170883373547847</v>
      </c>
      <c r="K25" s="51"/>
      <c r="L25" s="28">
        <v>50000</v>
      </c>
      <c r="M25" s="28">
        <v>0.16</v>
      </c>
    </row>
    <row r="26" spans="1:14">
      <c r="A26" s="42" t="s">
        <v>344</v>
      </c>
      <c r="B26" s="42" t="s">
        <v>782</v>
      </c>
      <c r="C26" s="42" t="s">
        <v>783</v>
      </c>
      <c r="D26" s="27" t="str">
        <f>'RTEKTY14 agg'!X53</f>
        <v>'NG_FA#3'</v>
      </c>
      <c r="E26" s="27">
        <f>'RTEKTY14 agg'!D53</f>
        <v>2011</v>
      </c>
      <c r="F26" s="27">
        <f>'RTEKTY14 agg'!K53</f>
        <v>0.9</v>
      </c>
      <c r="G26" s="27"/>
      <c r="H26" s="41">
        <f t="shared" si="3"/>
        <v>0.9</v>
      </c>
      <c r="I26" s="27">
        <f>'RTEKTY14 agg'!L53</f>
        <v>2750</v>
      </c>
      <c r="J26" s="139">
        <f>I26*'Conv Factors'!$C$53/'Conv Factors'!$B$7/L26/'Conv Factors'!$B$2/'Conv Factors'!$B$3/'Conv Factors'!$B$4*'Conv Factors'!$B$6</f>
        <v>5.4087971710902627</v>
      </c>
      <c r="K26" s="51"/>
      <c r="L26" s="28">
        <v>50000</v>
      </c>
      <c r="M26" s="28">
        <v>0.16</v>
      </c>
    </row>
    <row r="27" spans="1:14">
      <c r="A27" s="42" t="s">
        <v>344</v>
      </c>
      <c r="B27" s="42" t="s">
        <v>771</v>
      </c>
      <c r="C27" s="42" t="s">
        <v>772</v>
      </c>
      <c r="D27" s="27" t="str">
        <f>'RTEKTY14 agg'!X57</f>
        <v>'NG_FA#4'</v>
      </c>
      <c r="E27" s="27">
        <f>'RTEKTY14 agg'!D57</f>
        <v>2013</v>
      </c>
      <c r="F27" s="27">
        <f>'RTEKTY14 agg'!K57</f>
        <v>0.95</v>
      </c>
      <c r="G27" s="27"/>
      <c r="H27" s="41">
        <f t="shared" si="3"/>
        <v>0.95</v>
      </c>
      <c r="I27" s="27">
        <f>'RTEKTY14 agg'!L57</f>
        <v>3200</v>
      </c>
      <c r="J27" s="139">
        <f>I27*'Conv Factors'!$C$53/'Conv Factors'!$B$7/L27/'Conv Factors'!$B$2/'Conv Factors'!$B$3/'Conv Factors'!$B$4*'Conv Factors'!$B$6</f>
        <v>6.2938730718141249</v>
      </c>
      <c r="K27" s="51"/>
      <c r="L27" s="28">
        <v>50000</v>
      </c>
      <c r="M27" s="28">
        <v>0.16</v>
      </c>
    </row>
    <row r="28" spans="1:14">
      <c r="A28" s="42" t="s">
        <v>344</v>
      </c>
      <c r="B28" s="42" t="s">
        <v>127</v>
      </c>
      <c r="C28" s="42" t="s">
        <v>128</v>
      </c>
      <c r="D28" s="27" t="str">
        <f>'RTEKTY14 agg'!X62</f>
        <v>'NG_FA#5'</v>
      </c>
      <c r="E28" s="27">
        <f>'RTEKTY14 agg'!D62</f>
        <v>2013</v>
      </c>
      <c r="F28" s="27">
        <f>'RTEKTY14 agg'!K62</f>
        <v>0.98</v>
      </c>
      <c r="G28" s="27"/>
      <c r="H28" s="41">
        <f t="shared" ref="H28" si="4">F28</f>
        <v>0.98</v>
      </c>
      <c r="I28" s="27">
        <f>'RTEKTY14 agg'!L62</f>
        <v>3750</v>
      </c>
      <c r="J28" s="139">
        <f>I28*'Conv Factors'!$C$53/'Conv Factors'!$B$7/L28/'Conv Factors'!$B$2/'Conv Factors'!$B$3/'Conv Factors'!$B$4*'Conv Factors'!$B$6</f>
        <v>7.3756325060321766</v>
      </c>
      <c r="K28" s="51"/>
      <c r="L28" s="28">
        <v>50000</v>
      </c>
      <c r="M28" s="28">
        <v>0.16</v>
      </c>
    </row>
    <row r="29" spans="1:14">
      <c r="B29" s="42"/>
      <c r="C29" s="42"/>
      <c r="F29" s="27"/>
      <c r="G29" s="27"/>
      <c r="H29" s="41"/>
      <c r="I29" s="27"/>
      <c r="J29" s="139"/>
      <c r="K29" s="51"/>
      <c r="L29" s="28"/>
    </row>
    <row r="30" spans="1:14">
      <c r="A30" s="42" t="s">
        <v>344</v>
      </c>
      <c r="B30" s="42" t="s">
        <v>784</v>
      </c>
      <c r="C30" s="42" t="s">
        <v>789</v>
      </c>
      <c r="F30" s="27"/>
      <c r="G30" s="27"/>
      <c r="H30" s="140">
        <f>'RTEKTY14 agg'!K66</f>
        <v>0.8</v>
      </c>
      <c r="I30" s="27"/>
      <c r="L30" s="28"/>
      <c r="M30" s="28">
        <v>0.16</v>
      </c>
    </row>
    <row r="31" spans="1:14">
      <c r="A31" s="42" t="s">
        <v>344</v>
      </c>
      <c r="B31" s="42" t="s">
        <v>785</v>
      </c>
      <c r="C31" s="42" t="s">
        <v>790</v>
      </c>
      <c r="D31" s="27" t="str">
        <f>'RTEKTY14 agg'!X66</f>
        <v>'NG_RAD1'</v>
      </c>
      <c r="E31" s="27">
        <f>'RTEKTY14 agg'!D66</f>
        <v>2010</v>
      </c>
      <c r="F31" s="27">
        <f>'RTEKTY14 agg'!K66</f>
        <v>0.8</v>
      </c>
      <c r="G31" s="27"/>
      <c r="H31" s="41">
        <f>F31</f>
        <v>0.8</v>
      </c>
      <c r="I31" s="27">
        <f>'RTEKTY14 agg'!L66</f>
        <v>3300</v>
      </c>
      <c r="J31" s="139">
        <f>I31*'Conv Factors'!$C$53/'Conv Factors'!$B$7/L31/'Conv Factors'!$B$2/'Conv Factors'!$B$3/'Conv Factors'!$B$4*'Conv Factors'!$B$6</f>
        <v>6.4905566053083152</v>
      </c>
      <c r="K31" s="51"/>
      <c r="L31" s="28">
        <v>50000</v>
      </c>
      <c r="M31" s="28">
        <v>0.16</v>
      </c>
    </row>
    <row r="32" spans="1:14">
      <c r="A32" s="42" t="s">
        <v>344</v>
      </c>
      <c r="B32" s="42" t="s">
        <v>1009</v>
      </c>
      <c r="C32" s="42" t="s">
        <v>1010</v>
      </c>
      <c r="D32" s="27" t="str">
        <f>'RTEKTY14 agg'!X67</f>
        <v>'NG_RAD1'</v>
      </c>
      <c r="E32" s="27">
        <f>'RTEKTY14 agg'!D67</f>
        <v>2013</v>
      </c>
      <c r="F32" s="27">
        <f>'RTEKTY14 agg'!K67</f>
        <v>0.82</v>
      </c>
      <c r="G32" s="27"/>
      <c r="H32" s="41">
        <f t="shared" ref="H32:H33" si="5">F32</f>
        <v>0.82</v>
      </c>
      <c r="I32" s="27">
        <f>'RTEKTY14 agg'!L67</f>
        <v>3500</v>
      </c>
      <c r="J32" s="139">
        <f>I32*'Conv Factors'!$C$53/'Conv Factors'!$B$7/L32/'Conv Factors'!$B$2/'Conv Factors'!$B$3/'Conv Factors'!$B$4*'Conv Factors'!$B$6</f>
        <v>6.8839236722966968</v>
      </c>
      <c r="K32" s="51"/>
      <c r="L32" s="28">
        <v>50000</v>
      </c>
      <c r="M32" s="28">
        <v>0.16</v>
      </c>
    </row>
    <row r="33" spans="1:13">
      <c r="A33" s="42" t="s">
        <v>344</v>
      </c>
      <c r="B33" s="42" t="s">
        <v>786</v>
      </c>
      <c r="C33" s="42" t="s">
        <v>787</v>
      </c>
      <c r="D33" s="27" t="str">
        <f>'RTEKTY14 agg'!X68</f>
        <v>'NG_RAD2'</v>
      </c>
      <c r="E33" s="27">
        <f>'RTEKTY14 agg'!D68</f>
        <v>2010</v>
      </c>
      <c r="F33" s="27">
        <f>'RTEKTY14 agg'!K68</f>
        <v>0.85</v>
      </c>
      <c r="G33" s="27"/>
      <c r="H33" s="41">
        <f t="shared" si="5"/>
        <v>0.85</v>
      </c>
      <c r="I33" s="27">
        <f>'RTEKTY14 agg'!L68</f>
        <v>4250</v>
      </c>
      <c r="J33" s="139">
        <f>I33*'Conv Factors'!$C$53/'Conv Factors'!$B$7/L33/'Conv Factors'!$B$2/'Conv Factors'!$B$3/'Conv Factors'!$B$4*'Conv Factors'!$B$6</f>
        <v>8.3590501735031335</v>
      </c>
      <c r="K33" s="51"/>
      <c r="L33" s="28">
        <v>50000</v>
      </c>
      <c r="M33" s="28">
        <v>0.16</v>
      </c>
    </row>
    <row r="34" spans="1:13">
      <c r="A34" s="42" t="s">
        <v>344</v>
      </c>
      <c r="B34" s="42" t="s">
        <v>129</v>
      </c>
      <c r="C34" s="42" t="s">
        <v>130</v>
      </c>
      <c r="D34" s="27" t="str">
        <f>'RTEKTY14 agg'!X72</f>
        <v>'NG_RAD3'</v>
      </c>
      <c r="E34" s="27">
        <f>'RTEKTY14 agg'!D72</f>
        <v>2013</v>
      </c>
      <c r="F34" s="27">
        <f>'RTEKTY14 agg'!K72</f>
        <v>0.98</v>
      </c>
      <c r="G34" s="27"/>
      <c r="H34" s="41">
        <f>F34</f>
        <v>0.98</v>
      </c>
      <c r="I34" s="27">
        <f>'RTEKTY14 agg'!L72</f>
        <v>4000</v>
      </c>
      <c r="J34" s="139">
        <f>I34*'Conv Factors'!$C$53/'Conv Factors'!$B$7/L34/'Conv Factors'!$B$2/'Conv Factors'!$B$3/'Conv Factors'!$B$4*'Conv Factors'!$B$6</f>
        <v>7.8673413397676546</v>
      </c>
      <c r="K34" s="51"/>
      <c r="L34" s="28">
        <v>50000</v>
      </c>
      <c r="M34" s="28">
        <v>0.16</v>
      </c>
    </row>
    <row r="35" spans="1:13">
      <c r="B35" s="42"/>
      <c r="C35" s="42"/>
      <c r="F35" s="27"/>
      <c r="G35" s="27"/>
      <c r="H35" s="41"/>
      <c r="I35" s="27"/>
      <c r="J35" s="139"/>
      <c r="K35" s="51"/>
      <c r="L35" s="28"/>
    </row>
    <row r="36" spans="1:13">
      <c r="A36" s="42" t="s">
        <v>344</v>
      </c>
      <c r="B36" s="42" t="s">
        <v>151</v>
      </c>
      <c r="C36" s="42" t="s">
        <v>150</v>
      </c>
      <c r="F36" s="27"/>
      <c r="G36" s="27"/>
      <c r="H36" s="140">
        <f>'RTEKTY14 agg'!K74</f>
        <v>0.8</v>
      </c>
      <c r="I36" s="27"/>
      <c r="J36" s="139"/>
      <c r="K36" s="51"/>
      <c r="L36" s="28"/>
      <c r="M36" s="28">
        <v>0.16</v>
      </c>
    </row>
    <row r="37" spans="1:13">
      <c r="A37" s="42" t="s">
        <v>344</v>
      </c>
      <c r="B37" s="42" t="s">
        <v>260</v>
      </c>
      <c r="C37" s="42" t="s">
        <v>261</v>
      </c>
      <c r="D37" s="27" t="str">
        <f>'RTEKTY14 agg'!X74</f>
        <v>'KERO_FA1'</v>
      </c>
      <c r="E37" s="27">
        <f>'RTEKTY14 agg'!D74</f>
        <v>2010</v>
      </c>
      <c r="F37" s="27">
        <f>'RTEKTY14 agg'!K74</f>
        <v>0.8</v>
      </c>
      <c r="G37" s="27"/>
      <c r="H37" s="41">
        <f>F37</f>
        <v>0.8</v>
      </c>
      <c r="I37" s="27">
        <f>'RTEKTY14 agg'!L74</f>
        <v>3250</v>
      </c>
      <c r="J37" s="139">
        <f>I37*'Conv Factors'!$C$53/'Conv Factors'!$B$7/L37/'Conv Factors'!$B$2/'Conv Factors'!$B$3/'Conv Factors'!$B$4*'Conv Factors'!$B$6</f>
        <v>6.3922148385612205</v>
      </c>
      <c r="K37" s="51"/>
      <c r="L37" s="28">
        <v>50000</v>
      </c>
      <c r="M37" s="28">
        <v>0.16</v>
      </c>
    </row>
    <row r="38" spans="1:13">
      <c r="A38" s="42" t="s">
        <v>344</v>
      </c>
      <c r="B38" s="42" t="s">
        <v>131</v>
      </c>
      <c r="C38" s="42" t="s">
        <v>132</v>
      </c>
      <c r="D38" s="27" t="str">
        <f>'RTEKTY14 agg'!X75</f>
        <v>'KERO_FA1'</v>
      </c>
      <c r="E38" s="27">
        <f>'RTEKTY14 agg'!D75</f>
        <v>2013</v>
      </c>
      <c r="F38" s="27">
        <f>'RTEKTY14 agg'!K75</f>
        <v>0.83</v>
      </c>
      <c r="G38" s="27"/>
      <c r="H38" s="41">
        <f>F38</f>
        <v>0.83</v>
      </c>
      <c r="I38" s="27">
        <f>'RTEKTY14 agg'!L75</f>
        <v>3500</v>
      </c>
      <c r="J38" s="139">
        <f>I38*'Conv Factors'!$C$53/'Conv Factors'!$B$7/L38/'Conv Factors'!$B$2/'Conv Factors'!$B$3/'Conv Factors'!$B$4*'Conv Factors'!$B$6</f>
        <v>6.8839236722966968</v>
      </c>
      <c r="K38" s="51"/>
      <c r="L38" s="28">
        <v>50000</v>
      </c>
      <c r="M38" s="28">
        <v>0.16</v>
      </c>
    </row>
    <row r="39" spans="1:13">
      <c r="A39" s="42" t="s">
        <v>344</v>
      </c>
      <c r="B39" s="42" t="s">
        <v>262</v>
      </c>
      <c r="C39" s="42" t="s">
        <v>263</v>
      </c>
      <c r="D39" s="27" t="str">
        <f>'RTEKTY14 agg'!X76</f>
        <v>'KERO_FA2'</v>
      </c>
      <c r="E39" s="27">
        <f>'RTEKTY14 agg'!D76</f>
        <v>2010</v>
      </c>
      <c r="F39" s="27">
        <f>'RTEKTY14 agg'!K76</f>
        <v>0.85</v>
      </c>
      <c r="G39" s="27"/>
      <c r="H39" s="41">
        <f>F39</f>
        <v>0.85</v>
      </c>
      <c r="I39" s="27">
        <f>'RTEKTY14 agg'!L76</f>
        <v>3750</v>
      </c>
      <c r="J39" s="139">
        <f>I39*'Conv Factors'!$C$53/'Conv Factors'!$B$7/L39/'Conv Factors'!$B$2/'Conv Factors'!$B$3/'Conv Factors'!$B$4*'Conv Factors'!$B$6</f>
        <v>7.3756325060321766</v>
      </c>
      <c r="K39" s="51"/>
      <c r="L39" s="28">
        <v>50000</v>
      </c>
      <c r="M39" s="28">
        <v>0.16</v>
      </c>
    </row>
    <row r="40" spans="1:13">
      <c r="A40" s="42" t="s">
        <v>344</v>
      </c>
      <c r="B40" s="42" t="s">
        <v>794</v>
      </c>
      <c r="C40" s="42" t="s">
        <v>316</v>
      </c>
      <c r="D40" s="27" t="str">
        <f>'RTEKTY14 agg'!X78</f>
        <v>'KERO_FA3'</v>
      </c>
      <c r="E40" s="27">
        <f>'RTEKTY14 agg'!D78</f>
        <v>2011</v>
      </c>
      <c r="F40" s="27">
        <f>'RTEKTY14 agg'!K78</f>
        <v>0.98</v>
      </c>
      <c r="G40" s="27"/>
      <c r="H40" s="41">
        <f>F40</f>
        <v>0.98</v>
      </c>
      <c r="I40" s="27">
        <f>'RTEKTY14 agg'!L78</f>
        <v>4750</v>
      </c>
      <c r="J40" s="139">
        <f>I40*'Conv Factors'!$C$53/'Conv Factors'!$B$7/L40/'Conv Factors'!$B$2/'Conv Factors'!$B$3/'Conv Factors'!$B$4*'Conv Factors'!$B$6</f>
        <v>9.3424678409740913</v>
      </c>
      <c r="K40" s="51"/>
      <c r="L40" s="28">
        <v>50000</v>
      </c>
      <c r="M40" s="28">
        <v>0.16</v>
      </c>
    </row>
    <row r="41" spans="1:13">
      <c r="F41" s="27"/>
      <c r="G41" s="27"/>
      <c r="H41" s="41"/>
      <c r="I41" s="27"/>
      <c r="J41" s="139"/>
      <c r="K41" s="51"/>
      <c r="L41" s="28"/>
    </row>
    <row r="42" spans="1:13">
      <c r="A42" s="27" t="s">
        <v>344</v>
      </c>
      <c r="B42" s="42" t="s">
        <v>796</v>
      </c>
      <c r="C42" s="42" t="s">
        <v>795</v>
      </c>
      <c r="F42" s="27"/>
      <c r="G42" s="27"/>
      <c r="H42" s="140">
        <f>'RTEKTY14 agg'!K80</f>
        <v>0.78</v>
      </c>
      <c r="I42" s="27"/>
      <c r="J42" s="139"/>
      <c r="K42" s="51"/>
      <c r="L42" s="28"/>
      <c r="M42" s="28">
        <v>0.16</v>
      </c>
    </row>
    <row r="43" spans="1:13" s="44" customFormat="1">
      <c r="A43" s="27" t="s">
        <v>344</v>
      </c>
      <c r="B43" s="42" t="s">
        <v>1011</v>
      </c>
      <c r="C43" s="42" t="s">
        <v>1012</v>
      </c>
      <c r="D43" s="27" t="str">
        <f>'RTEKTY14 agg'!X80</f>
        <v>'LPG_FA#1'</v>
      </c>
      <c r="E43" s="27">
        <f>'RTEKTY14 agg'!D80</f>
        <v>2010</v>
      </c>
      <c r="F43" s="27">
        <f>'RTEKTY14 agg'!K80</f>
        <v>0.78</v>
      </c>
      <c r="G43" s="135"/>
      <c r="H43" s="139">
        <f t="shared" ref="H43:H46" si="6">F43</f>
        <v>0.78</v>
      </c>
      <c r="I43" s="27">
        <f>'RTEKTY14 agg'!L80</f>
        <v>2500</v>
      </c>
      <c r="J43" s="139">
        <f>I43*'Conv Factors'!$C$53/'Conv Factors'!$B$7/L43/'Conv Factors'!$B$2/'Conv Factors'!$B$3/'Conv Factors'!$B$4*'Conv Factors'!$B$6</f>
        <v>4.9170883373547847</v>
      </c>
      <c r="K43" s="137"/>
      <c r="L43" s="28">
        <v>50000</v>
      </c>
      <c r="M43" s="28">
        <v>0.16</v>
      </c>
    </row>
    <row r="44" spans="1:13">
      <c r="A44" s="27" t="s">
        <v>344</v>
      </c>
      <c r="B44" s="42" t="s">
        <v>264</v>
      </c>
      <c r="C44" s="42" t="s">
        <v>265</v>
      </c>
      <c r="D44" s="27" t="str">
        <f>'RTEKTY14 agg'!X82</f>
        <v>'LPG_FA#2'</v>
      </c>
      <c r="E44" s="27">
        <f>'RTEKTY14 agg'!D82</f>
        <v>2010</v>
      </c>
      <c r="F44" s="27">
        <f>'RTEKTY14 agg'!K82</f>
        <v>0.8</v>
      </c>
      <c r="G44" s="27"/>
      <c r="H44" s="139">
        <f t="shared" si="6"/>
        <v>0.8</v>
      </c>
      <c r="I44" s="27">
        <f>'RTEKTY14 agg'!L82</f>
        <v>2500</v>
      </c>
      <c r="J44" s="139">
        <f>I44*'Conv Factors'!$C$53/'Conv Factors'!$B$7/L44/'Conv Factors'!$B$2/'Conv Factors'!$B$3/'Conv Factors'!$B$4*'Conv Factors'!$B$6</f>
        <v>4.9170883373547847</v>
      </c>
      <c r="K44" s="51"/>
      <c r="L44" s="137">
        <v>50000</v>
      </c>
      <c r="M44" s="28">
        <v>0.16</v>
      </c>
    </row>
    <row r="45" spans="1:13">
      <c r="A45" s="27" t="s">
        <v>344</v>
      </c>
      <c r="B45" s="42" t="s">
        <v>266</v>
      </c>
      <c r="C45" s="42" t="s">
        <v>1013</v>
      </c>
      <c r="D45" s="27" t="str">
        <f>'RTEKTY14 agg'!X84</f>
        <v>'LPG_FA#3'</v>
      </c>
      <c r="E45" s="27">
        <f>'RTEKTY14 agg'!D84</f>
        <v>2010</v>
      </c>
      <c r="F45" s="27">
        <f>'RTEKTY14 agg'!K84</f>
        <v>0.9</v>
      </c>
      <c r="G45" s="27"/>
      <c r="H45" s="139">
        <f t="shared" si="6"/>
        <v>0.9</v>
      </c>
      <c r="I45" s="27">
        <f>'RTEKTY14 agg'!L84</f>
        <v>2750</v>
      </c>
      <c r="J45" s="139">
        <f>I45*'Conv Factors'!$C$53/'Conv Factors'!$B$7/L45/'Conv Factors'!$B$2/'Conv Factors'!$B$3/'Conv Factors'!$B$4*'Conv Factors'!$B$6</f>
        <v>5.4087971710902627</v>
      </c>
      <c r="K45" s="51"/>
      <c r="L45" s="28">
        <v>50000</v>
      </c>
      <c r="M45" s="28">
        <v>0.16</v>
      </c>
    </row>
    <row r="46" spans="1:13">
      <c r="A46" s="27" t="s">
        <v>344</v>
      </c>
      <c r="B46" s="42" t="s">
        <v>774</v>
      </c>
      <c r="C46" s="42" t="s">
        <v>775</v>
      </c>
      <c r="D46" s="27" t="str">
        <f>'RTEKTY14 agg'!X87</f>
        <v>'LPG_FA#4'</v>
      </c>
      <c r="E46" s="27">
        <f>'RTEKTY14 agg'!D87</f>
        <v>2011</v>
      </c>
      <c r="F46" s="27">
        <f>'RTEKTY14 agg'!K87</f>
        <v>0.95</v>
      </c>
      <c r="G46" s="27"/>
      <c r="H46" s="139">
        <f t="shared" si="6"/>
        <v>0.95</v>
      </c>
      <c r="I46" s="27">
        <f>'RTEKTY14 agg'!L87</f>
        <v>3200</v>
      </c>
      <c r="J46" s="139">
        <f>I46*'Conv Factors'!$C$53/'Conv Factors'!$B$7/L46/'Conv Factors'!$B$2/'Conv Factors'!$B$3/'Conv Factors'!$B$4*'Conv Factors'!$B$6</f>
        <v>6.2938730718141249</v>
      </c>
      <c r="K46" s="51"/>
      <c r="L46" s="28">
        <v>50000</v>
      </c>
      <c r="M46" s="28">
        <v>0.16</v>
      </c>
    </row>
    <row r="47" spans="1:13" s="44" customFormat="1">
      <c r="A47" s="27" t="s">
        <v>344</v>
      </c>
      <c r="B47" s="42" t="s">
        <v>133</v>
      </c>
      <c r="C47" s="42" t="s">
        <v>134</v>
      </c>
      <c r="D47" s="27" t="str">
        <f>'RTEKTY14 agg'!X94</f>
        <v>'LPG_FA#5'</v>
      </c>
      <c r="E47" s="27">
        <f>'RTEKTY14 agg'!D94</f>
        <v>2013</v>
      </c>
      <c r="F47" s="27">
        <f>'RTEKTY14 agg'!K94</f>
        <v>0.98</v>
      </c>
      <c r="G47" s="27"/>
      <c r="H47" s="139">
        <f t="shared" ref="H47" si="7">F47</f>
        <v>0.98</v>
      </c>
      <c r="I47" s="27">
        <f>'RTEKTY14 agg'!L94</f>
        <v>3750</v>
      </c>
      <c r="J47" s="139">
        <f>I47*'Conv Factors'!$C$53/'Conv Factors'!$B$7/L47/'Conv Factors'!$B$2/'Conv Factors'!$B$3/'Conv Factors'!$B$4*'Conv Factors'!$B$6</f>
        <v>7.3756325060321766</v>
      </c>
      <c r="K47" s="51"/>
      <c r="L47" s="28">
        <v>50000</v>
      </c>
      <c r="M47" s="28">
        <v>0.16</v>
      </c>
    </row>
    <row r="48" spans="1:13">
      <c r="B48" s="42"/>
      <c r="C48" s="42"/>
      <c r="F48" s="27"/>
      <c r="G48" s="27"/>
      <c r="H48" s="41"/>
      <c r="I48" s="27"/>
      <c r="J48" s="139"/>
      <c r="K48" s="51"/>
      <c r="L48" s="28"/>
    </row>
    <row r="49" spans="1:13">
      <c r="A49" s="27" t="s">
        <v>344</v>
      </c>
      <c r="B49" s="42" t="s">
        <v>798</v>
      </c>
      <c r="C49" s="42" t="s">
        <v>797</v>
      </c>
      <c r="F49" s="27"/>
      <c r="G49" s="27"/>
      <c r="H49" s="140">
        <f>USDemand!C264</f>
        <v>0.81739997863769498</v>
      </c>
      <c r="I49" s="27"/>
      <c r="J49" s="139"/>
      <c r="K49" s="51"/>
      <c r="L49" s="28"/>
      <c r="M49" s="28">
        <v>0.16</v>
      </c>
    </row>
    <row r="50" spans="1:13">
      <c r="A50" s="27" t="s">
        <v>344</v>
      </c>
      <c r="B50" s="42" t="s">
        <v>267</v>
      </c>
      <c r="C50" s="42" t="s">
        <v>268</v>
      </c>
      <c r="D50" s="27" t="str">
        <f>'RTEKTY14 agg'!X98</f>
        <v>'DIST_FA1'</v>
      </c>
      <c r="E50" s="27">
        <f>'RTEKTY14 agg'!D98</f>
        <v>2010</v>
      </c>
      <c r="F50" s="27">
        <f>'RTEKTY14 agg'!K98</f>
        <v>0.8</v>
      </c>
      <c r="G50" s="27"/>
      <c r="H50" s="41">
        <f>F50</f>
        <v>0.8</v>
      </c>
      <c r="I50" s="27">
        <f>'RTEKTY14 agg'!L98</f>
        <v>3250</v>
      </c>
      <c r="J50" s="139">
        <f>I50*'Conv Factors'!$C$53/'Conv Factors'!$B$7/L50/'Conv Factors'!$B$2/'Conv Factors'!$B$3/'Conv Factors'!$B$4*'Conv Factors'!$B$6</f>
        <v>6.3922148385612205</v>
      </c>
      <c r="K50" s="51"/>
      <c r="L50" s="28">
        <v>50000</v>
      </c>
      <c r="M50" s="28">
        <v>0.16</v>
      </c>
    </row>
    <row r="51" spans="1:13">
      <c r="A51" s="27" t="s">
        <v>344</v>
      </c>
      <c r="B51" s="42" t="s">
        <v>135</v>
      </c>
      <c r="C51" s="42" t="s">
        <v>136</v>
      </c>
      <c r="D51" s="27" t="str">
        <f>'RTEKTY14 agg'!X99</f>
        <v>'DIST_FA1'</v>
      </c>
      <c r="E51" s="27">
        <f>'RTEKTY14 agg'!D99</f>
        <v>2013</v>
      </c>
      <c r="F51" s="27">
        <f>'RTEKTY14 agg'!K99</f>
        <v>0.83</v>
      </c>
      <c r="G51" s="27"/>
      <c r="H51" s="41">
        <f>F51</f>
        <v>0.83</v>
      </c>
      <c r="I51" s="27">
        <f>'RTEKTY14 agg'!L99</f>
        <v>3500</v>
      </c>
      <c r="J51" s="139">
        <f>I51*'Conv Factors'!$C$53/'Conv Factors'!$B$7/L51/'Conv Factors'!$B$2/'Conv Factors'!$B$3/'Conv Factors'!$B$4*'Conv Factors'!$B$6</f>
        <v>6.8839236722966968</v>
      </c>
      <c r="K51" s="51"/>
      <c r="L51" s="28">
        <v>50000</v>
      </c>
      <c r="M51" s="28">
        <v>0.16</v>
      </c>
    </row>
    <row r="52" spans="1:13">
      <c r="A52" s="27" t="s">
        <v>344</v>
      </c>
      <c r="B52" s="42" t="s">
        <v>269</v>
      </c>
      <c r="C52" s="42" t="s">
        <v>270</v>
      </c>
      <c r="D52" s="27" t="str">
        <f>'RTEKTY14 agg'!X100</f>
        <v>'DIST_FA2'</v>
      </c>
      <c r="E52" s="27">
        <f>'RTEKTY14 agg'!D100</f>
        <v>2010</v>
      </c>
      <c r="F52" s="27">
        <f>'RTEKTY14 agg'!K100</f>
        <v>0.85</v>
      </c>
      <c r="G52" s="27"/>
      <c r="H52" s="41">
        <f>F52</f>
        <v>0.85</v>
      </c>
      <c r="I52" s="27">
        <f>'RTEKTY14 agg'!L100</f>
        <v>4750</v>
      </c>
      <c r="J52" s="139">
        <f>I52*'Conv Factors'!$C$53/'Conv Factors'!$B$7/L52/'Conv Factors'!$B$2/'Conv Factors'!$B$3/'Conv Factors'!$B$4*'Conv Factors'!$B$6</f>
        <v>9.3424678409740913</v>
      </c>
      <c r="K52" s="51"/>
      <c r="L52" s="28">
        <v>50000</v>
      </c>
      <c r="M52" s="28">
        <v>0.16</v>
      </c>
    </row>
    <row r="53" spans="1:13">
      <c r="A53" s="27" t="s">
        <v>344</v>
      </c>
      <c r="B53" s="42" t="s">
        <v>147</v>
      </c>
      <c r="C53" s="42" t="s">
        <v>137</v>
      </c>
      <c r="D53" s="27" t="str">
        <f>'RTEKTY14 agg'!X104</f>
        <v>'DIST_FA3'</v>
      </c>
      <c r="E53" s="27">
        <f>'RTEKTY14 agg'!D104</f>
        <v>2013</v>
      </c>
      <c r="F53" s="27">
        <f>'RTEKTY14 agg'!K104</f>
        <v>0.98</v>
      </c>
      <c r="G53" s="27"/>
      <c r="H53" s="41">
        <f>F53</f>
        <v>0.98</v>
      </c>
      <c r="I53" s="27">
        <f>'RTEKTY14 agg'!L104</f>
        <v>4750</v>
      </c>
      <c r="J53" s="139">
        <f>I53*'Conv Factors'!$C$53/'Conv Factors'!$B$7/L53/'Conv Factors'!$B$2/'Conv Factors'!$B$3/'Conv Factors'!$B$4*'Conv Factors'!$B$6</f>
        <v>9.3424678409740913</v>
      </c>
      <c r="K53" s="51"/>
      <c r="L53" s="28">
        <v>50000</v>
      </c>
      <c r="M53" s="28">
        <v>0.16</v>
      </c>
    </row>
    <row r="54" spans="1:13">
      <c r="F54" s="27"/>
      <c r="G54" s="27"/>
      <c r="H54" s="41"/>
      <c r="I54" s="27"/>
      <c r="J54" s="139"/>
      <c r="K54" s="51"/>
      <c r="L54" s="28"/>
    </row>
    <row r="55" spans="1:13">
      <c r="A55" s="27" t="s">
        <v>344</v>
      </c>
      <c r="B55" s="42" t="s">
        <v>800</v>
      </c>
      <c r="C55" s="42" t="s">
        <v>799</v>
      </c>
      <c r="F55" s="27"/>
      <c r="G55" s="27"/>
      <c r="H55" s="140">
        <f>'RTEKTY14 agg'!K106</f>
        <v>0.8</v>
      </c>
      <c r="I55" s="27"/>
      <c r="J55" s="139"/>
      <c r="K55" s="51"/>
      <c r="L55" s="28"/>
      <c r="M55" s="28">
        <v>0.16</v>
      </c>
    </row>
    <row r="56" spans="1:13">
      <c r="A56" s="27" t="s">
        <v>344</v>
      </c>
      <c r="B56" s="42" t="s">
        <v>271</v>
      </c>
      <c r="C56" s="42" t="s">
        <v>272</v>
      </c>
      <c r="D56" s="27" t="str">
        <f>'RTEKTY14 agg'!X106</f>
        <v>'DISTRAD1'</v>
      </c>
      <c r="E56" s="27">
        <f>'RTEKTY14 agg'!D106</f>
        <v>2010</v>
      </c>
      <c r="F56" s="27">
        <f>'RTEKTY14 agg'!K106</f>
        <v>0.8</v>
      </c>
      <c r="G56" s="27"/>
      <c r="H56" s="41">
        <f>H57</f>
        <v>0.85</v>
      </c>
      <c r="I56" s="27">
        <f>'RTEKTY14 agg'!L106</f>
        <v>3300</v>
      </c>
      <c r="J56" s="139">
        <f>I56*'Conv Factors'!$C$53/'Conv Factors'!$B$7/L56/'Conv Factors'!$B$2/'Conv Factors'!$B$3/'Conv Factors'!$B$4*'Conv Factors'!$B$6</f>
        <v>9.0146619518171054</v>
      </c>
      <c r="K56" s="51"/>
      <c r="L56" s="28">
        <v>36000</v>
      </c>
      <c r="M56" s="28">
        <v>0.16</v>
      </c>
    </row>
    <row r="57" spans="1:13">
      <c r="A57" s="27" t="s">
        <v>344</v>
      </c>
      <c r="B57" s="42" t="s">
        <v>138</v>
      </c>
      <c r="C57" s="42" t="s">
        <v>139</v>
      </c>
      <c r="D57" s="27" t="str">
        <f>'RTEKTY14 agg'!X107</f>
        <v>'DISTRAD1'</v>
      </c>
      <c r="E57" s="27">
        <f>'RTEKTY14 agg'!D107</f>
        <v>2013</v>
      </c>
      <c r="F57" s="27">
        <f>'RTEKTY14 agg'!K107</f>
        <v>0.82</v>
      </c>
      <c r="G57" s="27"/>
      <c r="H57" s="41">
        <f>H58</f>
        <v>0.85</v>
      </c>
      <c r="I57" s="27">
        <f>'RTEKTY14 agg'!L107</f>
        <v>3500</v>
      </c>
      <c r="J57" s="139">
        <f>I57*'Conv Factors'!$C$53/'Conv Factors'!$B$7/L57/'Conv Factors'!$B$2/'Conv Factors'!$B$3/'Conv Factors'!$B$4*'Conv Factors'!$B$6</f>
        <v>9.5610051004120802</v>
      </c>
      <c r="K57" s="51"/>
      <c r="L57" s="28">
        <v>36000</v>
      </c>
      <c r="M57" s="28">
        <v>0.16</v>
      </c>
    </row>
    <row r="58" spans="1:13">
      <c r="A58" s="27" t="s">
        <v>344</v>
      </c>
      <c r="B58" s="42" t="s">
        <v>273</v>
      </c>
      <c r="C58" s="42" t="s">
        <v>274</v>
      </c>
      <c r="D58" s="27" t="str">
        <f>'RTEKTY14 agg'!X108</f>
        <v>'DISTRAD2'</v>
      </c>
      <c r="E58" s="27">
        <f>'RTEKTY14 agg'!D108</f>
        <v>2010</v>
      </c>
      <c r="F58" s="27">
        <f>'RTEKTY14 agg'!K108</f>
        <v>0.85</v>
      </c>
      <c r="G58" s="27"/>
      <c r="H58" s="41">
        <f>F58</f>
        <v>0.85</v>
      </c>
      <c r="I58" s="27">
        <f>'RTEKTY14 agg'!L108</f>
        <v>4250</v>
      </c>
      <c r="J58" s="139">
        <f>I58*'Conv Factors'!$C$53/'Conv Factors'!$B$7/L58/'Conv Factors'!$B$2/'Conv Factors'!$B$3/'Conv Factors'!$B$4*'Conv Factors'!$B$6</f>
        <v>11.60979190764324</v>
      </c>
      <c r="K58" s="51"/>
      <c r="L58" s="28">
        <v>36000</v>
      </c>
      <c r="M58" s="28">
        <v>0.16</v>
      </c>
    </row>
    <row r="59" spans="1:13">
      <c r="A59" s="27" t="s">
        <v>344</v>
      </c>
      <c r="B59" s="42" t="s">
        <v>317</v>
      </c>
      <c r="C59" s="42" t="s">
        <v>318</v>
      </c>
      <c r="D59" s="27" t="str">
        <f>'RTEKTY14 agg'!X112</f>
        <v>'DISTRAD3'</v>
      </c>
      <c r="E59" s="27">
        <f>'RTEKTY14 agg'!D112</f>
        <v>2013</v>
      </c>
      <c r="F59" s="27">
        <f>'RTEKTY14 agg'!K112</f>
        <v>0.98</v>
      </c>
      <c r="G59" s="27"/>
      <c r="H59" s="41">
        <f>F59</f>
        <v>0.98</v>
      </c>
      <c r="I59" s="27">
        <f>'RTEKTY14 agg'!L112</f>
        <v>4000</v>
      </c>
      <c r="J59" s="139">
        <f>I59*'Conv Factors'!$C$53/'Conv Factors'!$B$7/L59/'Conv Factors'!$B$2/'Conv Factors'!$B$3/'Conv Factors'!$B$4*'Conv Factors'!$B$6</f>
        <v>10.926862971899521</v>
      </c>
      <c r="K59" s="51"/>
      <c r="L59" s="28">
        <v>36000</v>
      </c>
      <c r="M59" s="28">
        <v>0.16</v>
      </c>
    </row>
    <row r="60" spans="1:13">
      <c r="F60" s="27"/>
      <c r="G60" s="27"/>
      <c r="H60" s="41"/>
      <c r="I60" s="27"/>
      <c r="J60" s="139"/>
      <c r="K60" s="51"/>
      <c r="L60" s="28"/>
    </row>
    <row r="61" spans="1:13">
      <c r="A61" s="27" t="s">
        <v>344</v>
      </c>
      <c r="B61" s="42" t="s">
        <v>802</v>
      </c>
      <c r="C61" s="42" t="s">
        <v>801</v>
      </c>
      <c r="F61" s="27"/>
      <c r="G61" s="27"/>
      <c r="H61" s="140">
        <f>H62</f>
        <v>1</v>
      </c>
      <c r="I61" s="27"/>
      <c r="J61" s="139"/>
      <c r="K61" s="51"/>
      <c r="L61" s="137"/>
      <c r="M61" s="28">
        <v>0.16</v>
      </c>
    </row>
    <row r="62" spans="1:13">
      <c r="A62" s="27" t="s">
        <v>344</v>
      </c>
      <c r="B62" s="42" t="s">
        <v>804</v>
      </c>
      <c r="C62" s="42" t="s">
        <v>803</v>
      </c>
      <c r="D62" s="27" t="str">
        <f>'RTEKTY14 agg'!X117</f>
        <v>'WOOD_HT'</v>
      </c>
      <c r="E62" s="27">
        <f>'RTEKTY14 agg'!D117</f>
        <v>2013</v>
      </c>
      <c r="F62" s="27">
        <f>'RTEKTY14 agg'!K117</f>
        <v>1</v>
      </c>
      <c r="G62" s="27"/>
      <c r="H62" s="41">
        <f>F62</f>
        <v>1</v>
      </c>
      <c r="I62" s="27">
        <f>'RTEKTY14 agg'!L117</f>
        <v>4500</v>
      </c>
      <c r="J62" s="139">
        <f>I62*'Conv Factors'!$C$53/'Conv Factors'!$B$7/L62/'Conv Factors'!$B$2/'Conv Factors'!$B$3/'Conv Factors'!$B$4*'Conv Factors'!$B$6</f>
        <v>8.8507590072386133</v>
      </c>
      <c r="K62" s="51"/>
      <c r="L62" s="137">
        <v>50000</v>
      </c>
      <c r="M62" s="28">
        <v>0.16</v>
      </c>
    </row>
    <row r="63" spans="1:13">
      <c r="F63" s="27"/>
      <c r="G63" s="27"/>
      <c r="H63" s="41"/>
      <c r="I63" s="27"/>
      <c r="J63" s="139"/>
      <c r="K63" s="51"/>
      <c r="L63" s="137"/>
    </row>
    <row r="64" spans="1:13">
      <c r="A64" s="27" t="s">
        <v>344</v>
      </c>
      <c r="B64" s="42" t="s">
        <v>454</v>
      </c>
      <c r="C64" s="42" t="s">
        <v>805</v>
      </c>
      <c r="F64" s="27"/>
      <c r="G64" s="27"/>
      <c r="H64" s="140">
        <f>USDemand!C262</f>
        <v>3.2999999523162802</v>
      </c>
      <c r="I64" s="27"/>
      <c r="J64" s="139"/>
      <c r="K64" s="51"/>
      <c r="L64" s="28"/>
      <c r="M64" s="28">
        <v>0.16</v>
      </c>
    </row>
    <row r="65" spans="1:13">
      <c r="A65" s="27" t="s">
        <v>344</v>
      </c>
      <c r="B65" s="42" t="s">
        <v>456</v>
      </c>
      <c r="C65" s="42" t="s">
        <v>140</v>
      </c>
      <c r="D65" s="27" t="str">
        <f>'RTEKTY14 agg'!X119</f>
        <v>'GEO_HP1'</v>
      </c>
      <c r="E65" s="27">
        <f>'RTEKTY14 agg'!D119</f>
        <v>2010</v>
      </c>
      <c r="F65" s="27">
        <f>'RTEKTY14 agg'!K119</f>
        <v>3.3</v>
      </c>
      <c r="G65" s="27"/>
      <c r="H65" s="41">
        <f t="shared" ref="H65:H66" si="8">F65</f>
        <v>3.3</v>
      </c>
      <c r="I65" s="27">
        <f>'RTEKTY14 agg'!L119</f>
        <v>5000</v>
      </c>
      <c r="J65" s="139">
        <f>I65*'Conv Factors'!$C$53/'Conv Factors'!$B$7/L65/'Conv Factors'!$B$2/'Conv Factors'!$B$3/'Conv Factors'!$B$4*'Conv Factors'!$B$6</f>
        <v>13.6585787148744</v>
      </c>
      <c r="K65" s="51"/>
      <c r="L65" s="28">
        <v>36000</v>
      </c>
      <c r="M65" s="28">
        <v>0.16</v>
      </c>
    </row>
    <row r="66" spans="1:13">
      <c r="A66" s="27" t="s">
        <v>344</v>
      </c>
      <c r="B66" s="42" t="s">
        <v>458</v>
      </c>
      <c r="C66" s="42" t="s">
        <v>141</v>
      </c>
      <c r="D66" s="27" t="str">
        <f>'RTEKTY14 agg'!X123</f>
        <v>'GEO_HP2'</v>
      </c>
      <c r="E66" s="27">
        <f>'RTEKTY14 agg'!D123</f>
        <v>2010</v>
      </c>
      <c r="F66" s="27">
        <f>'RTEKTY14 agg'!K123</f>
        <v>5</v>
      </c>
      <c r="G66" s="27"/>
      <c r="H66" s="41">
        <f t="shared" si="8"/>
        <v>5</v>
      </c>
      <c r="I66" s="27">
        <f>'RTEKTY14 agg'!L123</f>
        <v>6500</v>
      </c>
      <c r="J66" s="139">
        <f>I66*'Conv Factors'!$C$53/'Conv Factors'!$B$7/L66/'Conv Factors'!$B$2/'Conv Factors'!$B$3/'Conv Factors'!$B$4*'Conv Factors'!$B$6</f>
        <v>17.756152329336725</v>
      </c>
      <c r="K66" s="51"/>
      <c r="L66" s="28">
        <v>36000</v>
      </c>
      <c r="M66" s="28">
        <v>0.16</v>
      </c>
    </row>
    <row r="67" spans="1:13">
      <c r="A67" s="27" t="s">
        <v>344</v>
      </c>
      <c r="B67" s="42" t="s">
        <v>1018</v>
      </c>
      <c r="C67" s="42" t="s">
        <v>1019</v>
      </c>
      <c r="D67" s="27" t="str">
        <f>'RTEKTY14 agg'!X127</f>
        <v>'GEO_HP2'</v>
      </c>
      <c r="E67" s="27">
        <f>'RTEKTY14 agg'!D127</f>
        <v>2020</v>
      </c>
      <c r="F67" s="27">
        <f>'RTEKTY14 agg'!K127</f>
        <v>5</v>
      </c>
      <c r="G67" s="27"/>
      <c r="H67" s="41">
        <f t="shared" ref="H67" si="9">F67</f>
        <v>5</v>
      </c>
      <c r="I67" s="27">
        <f>'RTEKTY14 agg'!L127</f>
        <v>6500</v>
      </c>
      <c r="J67" s="139">
        <f>I67*'Conv Factors'!$C$53/'Conv Factors'!$B$7/L67/'Conv Factors'!$B$2/'Conv Factors'!$B$3/'Conv Factors'!$B$4*'Conv Factors'!$B$6</f>
        <v>17.756152329336725</v>
      </c>
      <c r="K67" s="51"/>
      <c r="L67" s="28">
        <v>36000</v>
      </c>
      <c r="M67" s="28">
        <v>0.16</v>
      </c>
    </row>
    <row r="68" spans="1:13">
      <c r="B68" s="42"/>
      <c r="C68" s="42"/>
      <c r="F68" s="27"/>
      <c r="G68" s="27"/>
      <c r="H68" s="41"/>
      <c r="I68" s="27"/>
      <c r="J68" s="139"/>
      <c r="K68" s="51"/>
      <c r="L68" s="28"/>
    </row>
    <row r="69" spans="1:13">
      <c r="A69" s="27" t="s">
        <v>344</v>
      </c>
      <c r="B69" s="42" t="s">
        <v>460</v>
      </c>
      <c r="C69" s="42" t="s">
        <v>806</v>
      </c>
      <c r="F69" s="27"/>
      <c r="G69" s="27"/>
      <c r="H69" s="140">
        <f>USDemand!C261</f>
        <v>1.29999995231628</v>
      </c>
      <c r="I69" s="27"/>
      <c r="J69" s="139"/>
      <c r="K69" s="51"/>
      <c r="L69" s="28"/>
      <c r="M69" s="28">
        <v>0.16</v>
      </c>
    </row>
    <row r="70" spans="1:13">
      <c r="A70" s="27" t="s">
        <v>344</v>
      </c>
      <c r="B70" s="42" t="s">
        <v>462</v>
      </c>
      <c r="C70" s="42" t="s">
        <v>776</v>
      </c>
      <c r="D70" s="27" t="str">
        <f>'RTEKTY14 agg'!X129</f>
        <v>'NG_HP'</v>
      </c>
      <c r="E70" s="27">
        <f>'RTEKTY14 agg'!D129</f>
        <v>2010</v>
      </c>
      <c r="F70" s="27">
        <f>'RTEKTY14 agg'!K129</f>
        <v>1.3</v>
      </c>
      <c r="G70" s="27"/>
      <c r="H70" s="41">
        <f>F70</f>
        <v>1.3</v>
      </c>
      <c r="I70" s="27">
        <f>'RTEKTY14 agg'!L129</f>
        <v>4500</v>
      </c>
      <c r="J70" s="139">
        <f>I70*'Conv Factors'!$C$53/'Conv Factors'!$B$7/L70/'Conv Factors'!$B$2/'Conv Factors'!$B$3/'Conv Factors'!$B$4*'Conv Factors'!$B$6</f>
        <v>12.292720843386961</v>
      </c>
      <c r="K70" s="51"/>
      <c r="L70" s="28">
        <v>36000</v>
      </c>
      <c r="M70" s="28">
        <v>0.16</v>
      </c>
    </row>
    <row r="71" spans="1:13">
      <c r="A71" s="27" t="s">
        <v>344</v>
      </c>
      <c r="B71" s="42" t="s">
        <v>1095</v>
      </c>
      <c r="C71" s="42" t="s">
        <v>1096</v>
      </c>
      <c r="D71" s="27" t="str">
        <f>'RTEKTY14 agg'!X131</f>
        <v>'NG_HP'</v>
      </c>
      <c r="E71" s="27">
        <f>'RTEKTY14 agg'!D131</f>
        <v>2020</v>
      </c>
      <c r="F71" s="27">
        <f>'RTEKTY14 agg'!K131</f>
        <v>1.4</v>
      </c>
      <c r="G71" s="27"/>
      <c r="H71" s="41">
        <f>F71</f>
        <v>1.4</v>
      </c>
      <c r="I71" s="27">
        <f>'RTEKTY14 agg'!L131</f>
        <v>4500</v>
      </c>
      <c r="J71" s="139">
        <f>I71*'Conv Factors'!$C$53/'Conv Factors'!$B$7/L71/'Conv Factors'!$B$2/'Conv Factors'!$B$3/'Conv Factors'!$B$4*'Conv Factors'!$B$6</f>
        <v>12.292720843386961</v>
      </c>
      <c r="K71" s="51"/>
      <c r="L71" s="28">
        <v>36000</v>
      </c>
      <c r="M71" s="28">
        <v>0.16</v>
      </c>
    </row>
    <row r="72" spans="1:13">
      <c r="B72" s="42"/>
      <c r="C72" s="42"/>
      <c r="F72" s="27"/>
      <c r="G72" s="27"/>
      <c r="H72" s="41"/>
      <c r="I72" s="27"/>
      <c r="J72" s="139"/>
      <c r="K72" s="51"/>
      <c r="L72" s="28"/>
    </row>
    <row r="73" spans="1:13">
      <c r="A73" s="27" t="s">
        <v>344</v>
      </c>
      <c r="B73" s="42" t="s">
        <v>808</v>
      </c>
      <c r="C73" s="42" t="s">
        <v>807</v>
      </c>
      <c r="F73" s="27"/>
      <c r="G73" s="27"/>
      <c r="H73" s="140">
        <f>USDemand!C276</f>
        <v>2.7435958263219513</v>
      </c>
      <c r="I73" s="27"/>
      <c r="J73" s="139"/>
      <c r="K73" s="51"/>
      <c r="L73" s="28"/>
      <c r="M73" s="28">
        <v>0.15</v>
      </c>
    </row>
    <row r="74" spans="1:13">
      <c r="A74" s="27" t="s">
        <v>344</v>
      </c>
      <c r="B74" s="42" t="s">
        <v>275</v>
      </c>
      <c r="C74" s="42" t="s">
        <v>276</v>
      </c>
      <c r="D74" s="27" t="str">
        <f>'RTEKTY14 agg'!X135</f>
        <v>'RM_AIR#1'</v>
      </c>
      <c r="E74" s="27">
        <f>'RTEKTY14 agg'!D135</f>
        <v>2010</v>
      </c>
      <c r="F74" s="27">
        <f>'RTEKTY14 agg'!K135</f>
        <v>2.87</v>
      </c>
      <c r="G74" s="27"/>
      <c r="H74" s="41">
        <f>F74</f>
        <v>2.87</v>
      </c>
      <c r="I74" s="27">
        <f>'RTEKTY14 agg'!L135</f>
        <v>275</v>
      </c>
      <c r="J74" s="139">
        <f>I74*'Conv Factors'!$C$53/'Conv Factors'!$B$7/L74/'Conv Factors'!$B$2/'Conv Factors'!$B$3/'Conv Factors'!$B$4*'Conv Factors'!$B$6</f>
        <v>2.7043985855451314</v>
      </c>
      <c r="K74" s="51"/>
      <c r="L74" s="28">
        <v>10000</v>
      </c>
      <c r="M74" s="28">
        <v>0.15</v>
      </c>
    </row>
    <row r="75" spans="1:13">
      <c r="A75" s="27" t="s">
        <v>344</v>
      </c>
      <c r="B75" s="42" t="s">
        <v>825</v>
      </c>
      <c r="C75" s="42" t="s">
        <v>826</v>
      </c>
      <c r="D75" s="27" t="str">
        <f>'RTEKTY14 agg'!X137</f>
        <v>'RM_AIR#2'</v>
      </c>
      <c r="E75" s="27">
        <f>'RTEKTY14 agg'!D137</f>
        <v>2010</v>
      </c>
      <c r="F75" s="27">
        <f>'RTEKTY14 agg'!K137</f>
        <v>3.17</v>
      </c>
      <c r="G75" s="27"/>
      <c r="H75" s="41">
        <f t="shared" ref="H75:H79" si="10">F75</f>
        <v>3.17</v>
      </c>
      <c r="I75" s="27">
        <f>'RTEKTY14 agg'!L137</f>
        <v>290</v>
      </c>
      <c r="J75" s="139">
        <f>I75*'Conv Factors'!$C$53/'Conv Factors'!$B$7/L75/'Conv Factors'!$B$2/'Conv Factors'!$B$3/'Conv Factors'!$B$4*'Conv Factors'!$B$6</f>
        <v>2.8519112356657748</v>
      </c>
      <c r="K75" s="51"/>
      <c r="L75" s="28">
        <v>10000</v>
      </c>
      <c r="M75" s="28">
        <v>0.15</v>
      </c>
    </row>
    <row r="76" spans="1:13">
      <c r="A76" s="27" t="s">
        <v>344</v>
      </c>
      <c r="B76" s="42" t="s">
        <v>1024</v>
      </c>
      <c r="C76" s="42" t="s">
        <v>1025</v>
      </c>
      <c r="D76" s="27" t="str">
        <f>'RTEKTY14 agg'!X138</f>
        <v>'RM_AIR#2'</v>
      </c>
      <c r="E76" s="27">
        <f>'RTEKTY14 agg'!D138</f>
        <v>2014</v>
      </c>
      <c r="F76" s="27">
        <f>'RTEKTY14 agg'!K138</f>
        <v>3.22</v>
      </c>
      <c r="G76" s="27"/>
      <c r="H76" s="41">
        <f t="shared" si="10"/>
        <v>3.22</v>
      </c>
      <c r="I76" s="27">
        <f>'RTEKTY14 agg'!L138</f>
        <v>295</v>
      </c>
      <c r="J76" s="139">
        <f>I76*'Conv Factors'!$C$53/'Conv Factors'!$B$7/L76/'Conv Factors'!$B$2/'Conv Factors'!$B$3/'Conv Factors'!$B$4*'Conv Factors'!$B$6</f>
        <v>2.901082119039323</v>
      </c>
      <c r="K76" s="51"/>
      <c r="L76" s="28">
        <v>10000</v>
      </c>
      <c r="M76" s="28">
        <v>0.15</v>
      </c>
    </row>
    <row r="77" spans="1:13">
      <c r="A77" s="27" t="s">
        <v>344</v>
      </c>
      <c r="B77" s="42" t="s">
        <v>1026</v>
      </c>
      <c r="C77" s="42" t="s">
        <v>1027</v>
      </c>
      <c r="D77" s="27" t="str">
        <f>'RTEKTY14 agg'!X139</f>
        <v>'RM_AIR#2'</v>
      </c>
      <c r="E77" s="27">
        <f>'RTEKTY14 agg'!D139</f>
        <v>2030</v>
      </c>
      <c r="F77" s="27">
        <f>'RTEKTY14 agg'!K139</f>
        <v>3.28</v>
      </c>
      <c r="G77" s="27"/>
      <c r="H77" s="41">
        <f t="shared" si="10"/>
        <v>3.28</v>
      </c>
      <c r="I77" s="27">
        <f>'RTEKTY14 agg'!L139</f>
        <v>295</v>
      </c>
      <c r="J77" s="139">
        <f>I77*'Conv Factors'!$C$53/'Conv Factors'!$B$7/L77/'Conv Factors'!$B$2/'Conv Factors'!$B$3/'Conv Factors'!$B$4*'Conv Factors'!$B$6</f>
        <v>2.901082119039323</v>
      </c>
      <c r="K77" s="51"/>
      <c r="L77" s="28">
        <v>10000</v>
      </c>
      <c r="M77" s="28">
        <v>0.15</v>
      </c>
    </row>
    <row r="78" spans="1:13">
      <c r="A78" s="27" t="s">
        <v>344</v>
      </c>
      <c r="B78" s="42" t="s">
        <v>827</v>
      </c>
      <c r="C78" s="42" t="s">
        <v>828</v>
      </c>
      <c r="D78" s="27" t="str">
        <f>'RTEKTY14 agg'!X140</f>
        <v>'RM_AIR#3'</v>
      </c>
      <c r="E78" s="27">
        <f>'RTEKTY14 agg'!D140</f>
        <v>2010</v>
      </c>
      <c r="F78" s="27">
        <f>'RTEKTY14 agg'!K140</f>
        <v>3.52</v>
      </c>
      <c r="G78" s="27"/>
      <c r="H78" s="41">
        <f t="shared" si="10"/>
        <v>3.52</v>
      </c>
      <c r="I78" s="27">
        <f>'RTEKTY14 agg'!L140</f>
        <v>455</v>
      </c>
      <c r="J78" s="139">
        <f>I78*'Conv Factors'!$C$53/'Conv Factors'!$B$7/L78/'Conv Factors'!$B$2/'Conv Factors'!$B$3/'Conv Factors'!$B$4*'Conv Factors'!$B$6</f>
        <v>4.4745503869928545</v>
      </c>
      <c r="K78" s="51"/>
      <c r="L78" s="28">
        <v>10000</v>
      </c>
      <c r="M78" s="28">
        <v>0.15</v>
      </c>
    </row>
    <row r="79" spans="1:13">
      <c r="A79" s="27" t="s">
        <v>344</v>
      </c>
      <c r="B79" s="42" t="s">
        <v>142</v>
      </c>
      <c r="C79" s="42" t="s">
        <v>143</v>
      </c>
      <c r="D79" s="27" t="str">
        <f>'RTEKTY14 agg'!X141</f>
        <v>'RM_AIR#3'</v>
      </c>
      <c r="E79" s="27">
        <f>'RTEKTY14 agg'!D141</f>
        <v>2020</v>
      </c>
      <c r="F79" s="27">
        <f>'RTEKTY14 agg'!K141</f>
        <v>3.81</v>
      </c>
      <c r="G79" s="27"/>
      <c r="H79" s="41">
        <f t="shared" si="10"/>
        <v>3.81</v>
      </c>
      <c r="I79" s="27">
        <f>'RTEKTY14 agg'!L141</f>
        <v>515</v>
      </c>
      <c r="J79" s="139">
        <f>I79*'Conv Factors'!$C$53/'Conv Factors'!$B$7/L79/'Conv Factors'!$B$2/'Conv Factors'!$B$3/'Conv Factors'!$B$4*'Conv Factors'!$B$6</f>
        <v>5.0646009874754281</v>
      </c>
      <c r="K79" s="51"/>
      <c r="L79" s="28">
        <v>10000</v>
      </c>
      <c r="M79" s="28">
        <v>0.15</v>
      </c>
    </row>
    <row r="80" spans="1:13">
      <c r="B80" s="42"/>
      <c r="C80" s="42"/>
      <c r="F80" s="27"/>
      <c r="G80" s="27"/>
      <c r="H80" s="41"/>
      <c r="I80" s="27"/>
      <c r="J80" s="139"/>
      <c r="K80" s="51"/>
      <c r="L80" s="28"/>
    </row>
    <row r="81" spans="1:13">
      <c r="A81" s="27" t="s">
        <v>344</v>
      </c>
      <c r="B81" s="42" t="s">
        <v>810</v>
      </c>
      <c r="C81" s="42" t="s">
        <v>809</v>
      </c>
      <c r="F81" s="27"/>
      <c r="G81" s="27"/>
      <c r="H81" s="140">
        <f>USDemand!C274</f>
        <v>2.9175658769245518</v>
      </c>
      <c r="I81" s="27"/>
      <c r="J81" s="139"/>
      <c r="K81" s="51"/>
      <c r="L81" s="28"/>
      <c r="M81" s="28">
        <v>0.15</v>
      </c>
    </row>
    <row r="82" spans="1:13">
      <c r="A82" s="27" t="s">
        <v>344</v>
      </c>
      <c r="B82" s="42" t="s">
        <v>277</v>
      </c>
      <c r="C82" s="42" t="s">
        <v>278</v>
      </c>
      <c r="D82" s="27" t="str">
        <f>'RTEKTY14 agg'!X142</f>
        <v>'CT_AIR#1'</v>
      </c>
      <c r="E82" s="27">
        <f>'RTEKTY14 agg'!D142</f>
        <v>2010</v>
      </c>
      <c r="F82" s="27">
        <f>'RTEKTY14 agg'!K142</f>
        <v>4.0199999999999996</v>
      </c>
      <c r="G82" s="27"/>
      <c r="H82" s="41">
        <f t="shared" ref="H82:H89" si="11">F82</f>
        <v>4.0199999999999996</v>
      </c>
      <c r="I82" s="27">
        <f>'RTEKTY14 agg'!L142</f>
        <v>3200</v>
      </c>
      <c r="J82" s="139">
        <f>I82*'Conv Factors'!$C$53/'Conv Factors'!$B$7/L82/'Conv Factors'!$B$2/'Conv Factors'!$B$3/'Conv Factors'!$B$4*'Conv Factors'!$B$6</f>
        <v>8.7414903775196162</v>
      </c>
      <c r="K82" s="51"/>
      <c r="L82" s="28">
        <v>36000</v>
      </c>
      <c r="M82" s="28">
        <v>0.15</v>
      </c>
    </row>
    <row r="83" spans="1:13">
      <c r="A83" s="27" t="s">
        <v>844</v>
      </c>
      <c r="B83" s="42" t="s">
        <v>279</v>
      </c>
      <c r="C83" s="42" t="s">
        <v>280</v>
      </c>
      <c r="D83" s="27" t="str">
        <f>'RTEKTY14 agg'!X143</f>
        <v>'CT_AIR#1'</v>
      </c>
      <c r="E83" s="27">
        <f>'RTEKTY14 agg'!D143</f>
        <v>2015</v>
      </c>
      <c r="F83" s="27">
        <f>'RTEKTY14 agg'!K143</f>
        <v>4.0999999999999996</v>
      </c>
      <c r="G83" s="27"/>
      <c r="H83" s="41">
        <f t="shared" ref="H83:H84" si="12">F83</f>
        <v>4.0999999999999996</v>
      </c>
      <c r="I83" s="27">
        <f>'RTEKTY14 agg'!L143</f>
        <v>3550</v>
      </c>
      <c r="J83" s="139">
        <f>I83*'Conv Factors'!$C$53/'Conv Factors'!$B$7/L83/'Conv Factors'!$B$2/'Conv Factors'!$B$3/'Conv Factors'!$B$4*'Conv Factors'!$B$6</f>
        <v>9.6975908875608248</v>
      </c>
      <c r="K83" s="51"/>
      <c r="L83" s="28">
        <v>36000</v>
      </c>
      <c r="M83" s="28">
        <v>0.15</v>
      </c>
    </row>
    <row r="84" spans="1:13">
      <c r="A84" s="27" t="s">
        <v>344</v>
      </c>
      <c r="B84" s="42" t="s">
        <v>1028</v>
      </c>
      <c r="C84" s="42" t="s">
        <v>1029</v>
      </c>
      <c r="D84" s="27" t="str">
        <f>'RTEKTY14 agg'!X145</f>
        <v>'CT_AIR#2'</v>
      </c>
      <c r="E84" s="27">
        <f>'RTEKTY14 agg'!D145</f>
        <v>2020</v>
      </c>
      <c r="F84" s="27">
        <f>'RTEKTY14 agg'!K145</f>
        <v>4.0999999999999996</v>
      </c>
      <c r="G84" s="27"/>
      <c r="H84" s="41">
        <f t="shared" si="12"/>
        <v>4.0999999999999996</v>
      </c>
      <c r="I84" s="27">
        <f>'RTEKTY14 agg'!L145</f>
        <v>3550</v>
      </c>
      <c r="J84" s="139">
        <f>I84*'Conv Factors'!$C$53/'Conv Factors'!$B$7/L84/'Conv Factors'!$B$2/'Conv Factors'!$B$3/'Conv Factors'!$B$4*'Conv Factors'!$B$6</f>
        <v>9.6975908875608248</v>
      </c>
      <c r="K84" s="51"/>
      <c r="L84" s="28">
        <v>36000</v>
      </c>
      <c r="M84" s="28">
        <v>0.15</v>
      </c>
    </row>
    <row r="85" spans="1:13">
      <c r="A85" s="27" t="s">
        <v>344</v>
      </c>
      <c r="B85" s="42" t="s">
        <v>148</v>
      </c>
      <c r="C85" s="42" t="s">
        <v>319</v>
      </c>
      <c r="D85" s="27" t="str">
        <f>'RTEKTY14 agg'!X146</f>
        <v>'CT_AIR#3'</v>
      </c>
      <c r="E85" s="27">
        <f>'RTEKTY14 agg'!D146</f>
        <v>2010</v>
      </c>
      <c r="F85" s="27">
        <f>'RTEKTY14 agg'!K146</f>
        <v>4.6900000000000004</v>
      </c>
      <c r="G85" s="27"/>
      <c r="H85" s="41">
        <f t="shared" si="11"/>
        <v>4.6900000000000004</v>
      </c>
      <c r="I85" s="27">
        <f>'RTEKTY14 agg'!L146</f>
        <v>3850</v>
      </c>
      <c r="J85" s="139">
        <f>I85*'Conv Factors'!$C$53/'Conv Factors'!$B$7/L85/'Conv Factors'!$B$2/'Conv Factors'!$B$3/'Conv Factors'!$B$4*'Conv Factors'!$B$6</f>
        <v>10.517105610453291</v>
      </c>
      <c r="K85" s="51"/>
      <c r="L85" s="28">
        <v>36000</v>
      </c>
      <c r="M85" s="28">
        <v>0.15</v>
      </c>
    </row>
    <row r="86" spans="1:13">
      <c r="A86" s="27" t="s">
        <v>344</v>
      </c>
      <c r="B86" s="42" t="s">
        <v>829</v>
      </c>
      <c r="C86" s="42" t="s">
        <v>830</v>
      </c>
      <c r="D86" s="27" t="str">
        <f>'RTEKTY14 agg'!X151</f>
        <v>'CT_AIR#3'</v>
      </c>
      <c r="E86" s="27">
        <f>'RTEKTY14 agg'!D151</f>
        <v>2020</v>
      </c>
      <c r="F86" s="27">
        <f>'RTEKTY14 agg'!K151</f>
        <v>4.6900000000000004</v>
      </c>
      <c r="G86" s="27"/>
      <c r="H86" s="41">
        <f t="shared" si="11"/>
        <v>4.6900000000000004</v>
      </c>
      <c r="I86" s="27">
        <f>'RTEKTY14 agg'!L151</f>
        <v>3700</v>
      </c>
      <c r="J86" s="139">
        <f>I86*'Conv Factors'!$C$53/'Conv Factors'!$B$7/L86/'Conv Factors'!$B$2/'Conv Factors'!$B$3/'Conv Factors'!$B$4*'Conv Factors'!$B$6</f>
        <v>10.107348249007059</v>
      </c>
      <c r="K86" s="51"/>
      <c r="L86" s="28">
        <v>36000</v>
      </c>
      <c r="M86" s="28">
        <v>0.15</v>
      </c>
    </row>
    <row r="87" spans="1:13">
      <c r="A87" s="27" t="s">
        <v>344</v>
      </c>
      <c r="B87" s="42" t="s">
        <v>144</v>
      </c>
      <c r="C87" s="42" t="s">
        <v>281</v>
      </c>
      <c r="D87" s="27" t="str">
        <f>'RTEKTY14 agg'!X152</f>
        <v>'CT_AIR#4'</v>
      </c>
      <c r="E87" s="27">
        <f>'RTEKTY14 agg'!D152</f>
        <v>2010</v>
      </c>
      <c r="F87" s="41">
        <f>'RTEKTY14 agg'!K152</f>
        <v>6.15</v>
      </c>
      <c r="G87" s="27"/>
      <c r="H87" s="41">
        <f t="shared" si="11"/>
        <v>6.15</v>
      </c>
      <c r="I87" s="86">
        <f>'RTEKTY14 agg'!L152</f>
        <v>4500</v>
      </c>
      <c r="J87" s="139">
        <f>I87*'Conv Factors'!$C$53/'Conv Factors'!$B$7/L87/'Conv Factors'!$B$2/'Conv Factors'!$B$3/'Conv Factors'!$B$4*'Conv Factors'!$B$6</f>
        <v>12.292720843386961</v>
      </c>
      <c r="K87" s="51"/>
      <c r="L87" s="28">
        <v>36000</v>
      </c>
      <c r="M87" s="28">
        <v>0.15</v>
      </c>
    </row>
    <row r="88" spans="1:13">
      <c r="A88" s="27" t="s">
        <v>344</v>
      </c>
      <c r="B88" s="42" t="s">
        <v>282</v>
      </c>
      <c r="C88" s="42" t="s">
        <v>283</v>
      </c>
      <c r="D88" s="27" t="str">
        <f>'RTEKTY14 agg'!X154</f>
        <v>'CT_AIR#4'</v>
      </c>
      <c r="E88" s="27">
        <f>'RTEKTY14 agg'!D154</f>
        <v>2012</v>
      </c>
      <c r="F88" s="41">
        <f>'RTEKTY14 agg'!K154</f>
        <v>7.03</v>
      </c>
      <c r="G88" s="27"/>
      <c r="H88" s="41">
        <f t="shared" si="11"/>
        <v>7.03</v>
      </c>
      <c r="I88" s="86">
        <f>'RTEKTY14 agg'!L154</f>
        <v>6000</v>
      </c>
      <c r="J88" s="139">
        <f>I88*'Conv Factors'!$C$53/'Conv Factors'!$B$7/L88/'Conv Factors'!$B$2/'Conv Factors'!$B$3/'Conv Factors'!$B$4*'Conv Factors'!$B$6</f>
        <v>16.390294457849279</v>
      </c>
      <c r="K88" s="51"/>
      <c r="L88" s="28">
        <v>36000</v>
      </c>
      <c r="M88" s="28">
        <v>0.15</v>
      </c>
    </row>
    <row r="89" spans="1:13">
      <c r="A89" s="27" t="s">
        <v>344</v>
      </c>
      <c r="B89" s="42" t="s">
        <v>831</v>
      </c>
      <c r="C89" s="42" t="s">
        <v>832</v>
      </c>
      <c r="D89" s="27" t="str">
        <f>'RTEKTY14 agg'!X157</f>
        <v>'CT_AIR#4'</v>
      </c>
      <c r="E89" s="27">
        <f>'RTEKTY14 agg'!D157</f>
        <v>2020</v>
      </c>
      <c r="F89" s="41">
        <f>'RTEKTY14 agg'!K157</f>
        <v>7.03</v>
      </c>
      <c r="G89" s="27"/>
      <c r="H89" s="41">
        <f t="shared" si="11"/>
        <v>7.03</v>
      </c>
      <c r="I89" s="86">
        <f>'RTEKTY14 agg'!L157</f>
        <v>5750</v>
      </c>
      <c r="J89" s="139">
        <f>I89*'Conv Factors'!$C$53/'Conv Factors'!$B$7/L89/'Conv Factors'!$B$2/'Conv Factors'!$B$3/'Conv Factors'!$B$4*'Conv Factors'!$B$6</f>
        <v>15.707365522105562</v>
      </c>
      <c r="K89" s="51"/>
      <c r="L89" s="28">
        <v>36000</v>
      </c>
      <c r="M89" s="28">
        <v>0.15</v>
      </c>
    </row>
    <row r="90" spans="1:13">
      <c r="F90" s="27"/>
      <c r="G90" s="27"/>
      <c r="H90" s="41"/>
      <c r="I90" s="27"/>
      <c r="J90" s="139"/>
      <c r="K90" s="51"/>
      <c r="L90" s="28"/>
    </row>
    <row r="91" spans="1:13">
      <c r="A91" s="27" t="s">
        <v>344</v>
      </c>
      <c r="B91" s="42" t="s">
        <v>435</v>
      </c>
      <c r="C91" s="42" t="s">
        <v>811</v>
      </c>
      <c r="F91" s="27"/>
      <c r="G91" s="27"/>
      <c r="H91" s="140">
        <f>USDemand!C269</f>
        <v>2.9980069977321731</v>
      </c>
      <c r="I91" s="27"/>
      <c r="J91" s="139"/>
      <c r="K91" s="51"/>
      <c r="L91" s="28"/>
      <c r="M91" s="28">
        <v>0.15</v>
      </c>
    </row>
    <row r="92" spans="1:13">
      <c r="A92" s="27" t="s">
        <v>344</v>
      </c>
      <c r="B92" s="42" t="s">
        <v>437</v>
      </c>
      <c r="C92" s="42" t="s">
        <v>284</v>
      </c>
      <c r="D92" s="27" t="str">
        <f>'RTEKTY14 agg'!X13</f>
        <v>'ELEC_HP1'</v>
      </c>
      <c r="E92" s="27">
        <f>'RTEKTY14 agg'!D13</f>
        <v>2010</v>
      </c>
      <c r="F92" s="27">
        <f>'RTEKTY14 agg'!K13</f>
        <v>3.81</v>
      </c>
      <c r="G92" s="27"/>
      <c r="H92" s="41">
        <f t="shared" ref="H92:H102" si="13">F92</f>
        <v>3.81</v>
      </c>
      <c r="I92" s="27">
        <f>'RTEKTY14 agg'!L13</f>
        <v>2400</v>
      </c>
      <c r="J92" s="139">
        <f>I92*'Conv Factors'!$C$53/'Conv Factors'!$B$7/L92/'Conv Factors'!$B$2/'Conv Factors'!$B$3/'Conv Factors'!$B$4*'Conv Factors'!$B$6</f>
        <v>6.5561177831397135</v>
      </c>
      <c r="K92" s="53"/>
      <c r="L92" s="28">
        <v>36000</v>
      </c>
      <c r="M92" s="28">
        <v>0.15</v>
      </c>
    </row>
    <row r="93" spans="1:13">
      <c r="A93" s="27" t="s">
        <v>344</v>
      </c>
      <c r="B93" s="42" t="s">
        <v>439</v>
      </c>
      <c r="C93" s="42" t="s">
        <v>812</v>
      </c>
      <c r="D93" s="27" t="str">
        <f>'RTEKTY14 agg'!X15</f>
        <v>'ELEC_HP1'</v>
      </c>
      <c r="E93" s="27">
        <f>'RTEKTY14 agg'!D15</f>
        <v>2015</v>
      </c>
      <c r="F93" s="27">
        <f>'RTEKTY14 agg'!K15</f>
        <v>4.0999999999999996</v>
      </c>
      <c r="G93" s="27"/>
      <c r="H93" s="41">
        <f t="shared" si="13"/>
        <v>4.0999999999999996</v>
      </c>
      <c r="I93" s="27">
        <f>'RTEKTY14 agg'!L15</f>
        <v>2475</v>
      </c>
      <c r="J93" s="139">
        <f>I93*'Conv Factors'!$C$53/'Conv Factors'!$B$7/L93/'Conv Factors'!$B$2/'Conv Factors'!$B$3/'Conv Factors'!$B$4*'Conv Factors'!$B$6</f>
        <v>6.7609964638628277</v>
      </c>
      <c r="K93" s="53"/>
      <c r="L93" s="28">
        <v>36000</v>
      </c>
      <c r="M93" s="28">
        <v>0.15</v>
      </c>
    </row>
    <row r="94" spans="1:13">
      <c r="A94" s="27" t="s">
        <v>344</v>
      </c>
      <c r="B94" s="42" t="s">
        <v>441</v>
      </c>
      <c r="C94" s="42" t="s">
        <v>145</v>
      </c>
      <c r="D94" s="27" t="str">
        <f>'RTEKTY14 agg'!X19</f>
        <v>'ELEC_HP2'</v>
      </c>
      <c r="E94" s="27">
        <f>'RTEKTY14 agg'!D19</f>
        <v>2010</v>
      </c>
      <c r="F94" s="27">
        <f>'RTEKTY14 agg'!K19</f>
        <v>4.4000000000000004</v>
      </c>
      <c r="G94" s="27"/>
      <c r="H94" s="41">
        <f t="shared" si="13"/>
        <v>4.4000000000000004</v>
      </c>
      <c r="I94" s="27">
        <f>'RTEKTY14 agg'!L19</f>
        <v>3475</v>
      </c>
      <c r="J94" s="139">
        <f>I94*'Conv Factors'!$C$53/'Conv Factors'!$B$7/L94/'Conv Factors'!$B$2/'Conv Factors'!$B$3/'Conv Factors'!$B$4*'Conv Factors'!$B$6</f>
        <v>9.4927122068377106</v>
      </c>
      <c r="K94" s="53"/>
      <c r="L94" s="28">
        <v>36000</v>
      </c>
      <c r="M94" s="28">
        <v>0.15</v>
      </c>
    </row>
    <row r="95" spans="1:13">
      <c r="A95" s="27" t="s">
        <v>344</v>
      </c>
      <c r="B95" s="42" t="s">
        <v>443</v>
      </c>
      <c r="C95" s="42" t="s">
        <v>285</v>
      </c>
      <c r="D95" s="27" t="str">
        <f>'RTEKTY14 agg'!X21</f>
        <v>'ELEC_HP2'</v>
      </c>
      <c r="E95" s="27">
        <f>'RTEKTY14 agg'!D21</f>
        <v>2015</v>
      </c>
      <c r="F95" s="27">
        <f>'RTEKTY14 agg'!K21</f>
        <v>4.4000000000000004</v>
      </c>
      <c r="G95" s="27"/>
      <c r="H95" s="41">
        <f t="shared" si="13"/>
        <v>4.4000000000000004</v>
      </c>
      <c r="I95" s="27">
        <f>'RTEKTY14 agg'!L21</f>
        <v>3475</v>
      </c>
      <c r="J95" s="139">
        <f>I95*'Conv Factors'!$C$53/'Conv Factors'!$B$7/L95/'Conv Factors'!$B$2/'Conv Factors'!$B$3/'Conv Factors'!$B$4*'Conv Factors'!$B$6</f>
        <v>9.4927122068377106</v>
      </c>
      <c r="K95" s="53"/>
      <c r="L95" s="28">
        <v>36000</v>
      </c>
      <c r="M95" s="28">
        <v>0.15</v>
      </c>
    </row>
    <row r="96" spans="1:13">
      <c r="A96" s="27" t="s">
        <v>344</v>
      </c>
      <c r="B96" s="42" t="s">
        <v>445</v>
      </c>
      <c r="C96" s="42" t="s">
        <v>146</v>
      </c>
      <c r="D96" s="27" t="str">
        <f>'RTEKTY14 agg'!X25</f>
        <v>'ELEC_HP3'</v>
      </c>
      <c r="E96" s="27">
        <f>'RTEKTY14 agg'!D25</f>
        <v>2011</v>
      </c>
      <c r="F96" s="41">
        <f>'RTEKTY14 agg'!K25</f>
        <v>4.6900000000000004</v>
      </c>
      <c r="G96" s="27"/>
      <c r="H96" s="41">
        <f t="shared" si="13"/>
        <v>4.6900000000000004</v>
      </c>
      <c r="I96" s="86">
        <f>'RTEKTY14 agg'!L25</f>
        <v>3600</v>
      </c>
      <c r="J96" s="139">
        <f>I96*'Conv Factors'!$C$53/'Conv Factors'!$B$7/L96/'Conv Factors'!$B$2/'Conv Factors'!$B$3/'Conv Factors'!$B$4*'Conv Factors'!$B$6</f>
        <v>9.8341766747095694</v>
      </c>
      <c r="K96" s="53"/>
      <c r="L96" s="28">
        <v>36000</v>
      </c>
      <c r="M96" s="28">
        <v>0.15</v>
      </c>
    </row>
    <row r="97" spans="1:13">
      <c r="A97" s="27" t="s">
        <v>344</v>
      </c>
      <c r="B97" s="42" t="s">
        <v>447</v>
      </c>
      <c r="C97" s="42" t="s">
        <v>286</v>
      </c>
      <c r="D97" s="27" t="str">
        <f>'RTEKTY14 agg'!X31</f>
        <v>'ELEC_HP3'</v>
      </c>
      <c r="E97" s="27">
        <f>'RTEKTY14 agg'!D31</f>
        <v>2014</v>
      </c>
      <c r="F97" s="41">
        <f>'RTEKTY14 agg'!K31</f>
        <v>4.84</v>
      </c>
      <c r="G97" s="27"/>
      <c r="H97" s="41">
        <f t="shared" si="13"/>
        <v>4.84</v>
      </c>
      <c r="I97" s="86">
        <f>'RTEKTY14 agg'!L31</f>
        <v>3150</v>
      </c>
      <c r="J97" s="139">
        <f>I97*'Conv Factors'!$C$53/'Conv Factors'!$B$7/L97/'Conv Factors'!$B$2/'Conv Factors'!$B$3/'Conv Factors'!$B$4*'Conv Factors'!$B$6</f>
        <v>8.6049045903708734</v>
      </c>
      <c r="K97" s="53"/>
      <c r="L97" s="28">
        <v>36000</v>
      </c>
      <c r="M97" s="28">
        <v>0.15</v>
      </c>
    </row>
    <row r="98" spans="1:13">
      <c r="A98" s="27" t="s">
        <v>344</v>
      </c>
      <c r="B98" s="42" t="s">
        <v>1194</v>
      </c>
      <c r="C98" s="42" t="s">
        <v>1195</v>
      </c>
      <c r="D98" s="27" t="str">
        <f>'RTEKTY14 agg'!X31</f>
        <v>'ELEC_HP3'</v>
      </c>
      <c r="E98" s="27">
        <f>'RTEKTY14 agg'!D31</f>
        <v>2014</v>
      </c>
      <c r="F98" s="41">
        <f>'RTEKTY14 agg'!K31</f>
        <v>4.84</v>
      </c>
      <c r="G98" s="27"/>
      <c r="H98" s="41">
        <f t="shared" ref="H98" si="14">F98</f>
        <v>4.84</v>
      </c>
      <c r="I98" s="86">
        <f>'RTEKTY14 agg'!L31</f>
        <v>3150</v>
      </c>
      <c r="J98" s="139">
        <f>I98*'Conv Factors'!$C$53/'Conv Factors'!$B$7/L98/'Conv Factors'!$B$2/'Conv Factors'!$B$3/'Conv Factors'!$B$4*'Conv Factors'!$B$6</f>
        <v>8.6049045903708734</v>
      </c>
      <c r="K98" s="53"/>
      <c r="L98" s="28">
        <v>36000</v>
      </c>
      <c r="M98" s="28">
        <v>0.15</v>
      </c>
    </row>
    <row r="99" spans="1:13">
      <c r="A99" s="27" t="s">
        <v>344</v>
      </c>
      <c r="B99" s="42" t="s">
        <v>1196</v>
      </c>
      <c r="C99" s="42" t="s">
        <v>1197</v>
      </c>
      <c r="D99" s="27" t="str">
        <f>'RTEKTY14 agg'!X31</f>
        <v>'ELEC_HP3'</v>
      </c>
      <c r="E99" s="27">
        <f>'RTEKTY14 agg'!D31</f>
        <v>2014</v>
      </c>
      <c r="F99" s="41">
        <f>'RTEKTY14 agg'!K31</f>
        <v>4.84</v>
      </c>
      <c r="G99" s="27"/>
      <c r="H99" s="41">
        <f t="shared" ref="H99" si="15">F99</f>
        <v>4.84</v>
      </c>
      <c r="I99" s="86">
        <f>'RTEKTY14 agg'!L31</f>
        <v>3150</v>
      </c>
      <c r="J99" s="139">
        <f>I99*'Conv Factors'!$C$53/'Conv Factors'!$B$7/L99/'Conv Factors'!$B$2/'Conv Factors'!$B$3/'Conv Factors'!$B$4*'Conv Factors'!$B$6</f>
        <v>8.6049045903708734</v>
      </c>
      <c r="K99" s="53"/>
      <c r="L99" s="28">
        <v>36000</v>
      </c>
      <c r="M99" s="28">
        <v>0.15</v>
      </c>
    </row>
    <row r="100" spans="1:13">
      <c r="A100" s="27" t="s">
        <v>344</v>
      </c>
      <c r="B100" s="42" t="s">
        <v>449</v>
      </c>
      <c r="C100" s="42" t="s">
        <v>152</v>
      </c>
      <c r="D100" s="27" t="str">
        <f>'RTEKTY14 agg'!X40</f>
        <v>'ELEC_HP4'</v>
      </c>
      <c r="E100" s="27">
        <f>'RTEKTY14 agg'!D40</f>
        <v>2013</v>
      </c>
      <c r="F100" s="41">
        <f>'RTEKTY14 agg'!K40</f>
        <v>6.45</v>
      </c>
      <c r="G100" s="27"/>
      <c r="H100" s="41">
        <f t="shared" si="13"/>
        <v>6.45</v>
      </c>
      <c r="I100" s="86">
        <f>'RTEKTY14 agg'!L40</f>
        <v>3975</v>
      </c>
      <c r="J100" s="139">
        <f>I100*'Conv Factors'!$C$53/'Conv Factors'!$B$7/L100/'Conv Factors'!$B$2/'Conv Factors'!$B$3/'Conv Factors'!$B$4*'Conv Factors'!$B$6</f>
        <v>10.858570078325149</v>
      </c>
      <c r="K100" s="53"/>
      <c r="L100" s="28">
        <v>36000</v>
      </c>
      <c r="M100" s="28">
        <v>0.15</v>
      </c>
    </row>
    <row r="101" spans="1:13">
      <c r="A101" s="27" t="s">
        <v>344</v>
      </c>
      <c r="B101" s="42" t="s">
        <v>451</v>
      </c>
      <c r="C101" s="42" t="s">
        <v>833</v>
      </c>
      <c r="D101" s="27" t="str">
        <f>'RTEKTY14 agg'!X44</f>
        <v>'ELEC_HP4'</v>
      </c>
      <c r="E101" s="27">
        <f>'RTEKTY14 agg'!D44</f>
        <v>2020</v>
      </c>
      <c r="F101" s="27">
        <f>'RTEKTY14 agg'!K44</f>
        <v>6.74</v>
      </c>
      <c r="G101" s="27"/>
      <c r="H101" s="41">
        <f t="shared" si="13"/>
        <v>6.74</v>
      </c>
      <c r="I101" s="27">
        <f>'RTEKTY14 agg'!L44</f>
        <v>4025</v>
      </c>
      <c r="J101" s="139">
        <f>I101*'Conv Factors'!$C$53/'Conv Factors'!$B$7/L101/'Conv Factors'!$B$2/'Conv Factors'!$B$3/'Conv Factors'!$B$4*'Conv Factors'!$B$6</f>
        <v>10.995155865473894</v>
      </c>
      <c r="K101" s="53"/>
      <c r="L101" s="28">
        <v>36000</v>
      </c>
      <c r="M101" s="28">
        <v>0.15</v>
      </c>
    </row>
    <row r="102" spans="1:13">
      <c r="A102" s="27" t="s">
        <v>344</v>
      </c>
      <c r="B102" s="42" t="s">
        <v>453</v>
      </c>
      <c r="C102" s="42" t="s">
        <v>153</v>
      </c>
      <c r="D102" s="27" t="str">
        <f>'RTEKTY14 agg'!X46</f>
        <v>'ELEC_HP4'</v>
      </c>
      <c r="E102" s="27">
        <f>'RTEKTY14 agg'!D46</f>
        <v>2030</v>
      </c>
      <c r="F102" s="27">
        <f>'RTEKTY14 agg'!K46</f>
        <v>7.03</v>
      </c>
      <c r="G102" s="27"/>
      <c r="H102" s="41">
        <f t="shared" si="13"/>
        <v>7.03</v>
      </c>
      <c r="I102" s="27">
        <f>'RTEKTY14 agg'!L46</f>
        <v>4125</v>
      </c>
      <c r="J102" s="139">
        <f>I102*'Conv Factors'!$C$53/'Conv Factors'!$B$7/L102/'Conv Factors'!$B$2/'Conv Factors'!$B$3/'Conv Factors'!$B$4*'Conv Factors'!$B$6</f>
        <v>11.268327439771381</v>
      </c>
      <c r="K102" s="53"/>
      <c r="L102" s="28">
        <v>36000</v>
      </c>
      <c r="M102" s="28">
        <v>0.15</v>
      </c>
    </row>
    <row r="103" spans="1:13">
      <c r="A103" s="27" t="s">
        <v>344</v>
      </c>
      <c r="B103" s="42" t="s">
        <v>1005</v>
      </c>
      <c r="C103" s="42" t="s">
        <v>1006</v>
      </c>
      <c r="D103" s="27" t="str">
        <f>'RTEKTY14 agg'!X47</f>
        <v>'ELEC_HP4'</v>
      </c>
      <c r="E103" s="27">
        <f>'RTEKTY14 agg'!D47</f>
        <v>2035</v>
      </c>
      <c r="F103" s="27">
        <f>'RTEKTY14 agg'!K47</f>
        <v>7.33</v>
      </c>
      <c r="G103" s="27"/>
      <c r="H103" s="41">
        <f t="shared" ref="H103" si="16">F103</f>
        <v>7.33</v>
      </c>
      <c r="I103" s="27">
        <f>'RTEKTY14 agg'!L47</f>
        <v>4125</v>
      </c>
      <c r="J103" s="139">
        <f>I103*'Conv Factors'!$C$53/'Conv Factors'!$B$7/L103/'Conv Factors'!$B$2/'Conv Factors'!$B$3/'Conv Factors'!$B$4*'Conv Factors'!$B$6</f>
        <v>11.268327439771381</v>
      </c>
      <c r="K103" s="53"/>
      <c r="L103" s="28">
        <v>36000</v>
      </c>
      <c r="M103" s="28">
        <v>0.15</v>
      </c>
    </row>
    <row r="104" spans="1:13">
      <c r="F104" s="27"/>
      <c r="G104" s="27"/>
      <c r="H104" s="41"/>
      <c r="I104" s="27"/>
      <c r="J104" s="139"/>
      <c r="K104" s="53"/>
      <c r="L104" s="28"/>
    </row>
    <row r="105" spans="1:13">
      <c r="A105" s="27" t="s">
        <v>344</v>
      </c>
      <c r="B105" s="42" t="s">
        <v>455</v>
      </c>
      <c r="C105" s="42" t="s">
        <v>813</v>
      </c>
      <c r="F105" s="27"/>
      <c r="G105" s="27"/>
      <c r="H105" s="140">
        <f>USDemand!C272</f>
        <v>4.0433636656123353</v>
      </c>
      <c r="I105" s="27"/>
      <c r="J105" s="139"/>
      <c r="K105" s="53"/>
      <c r="L105" s="28"/>
      <c r="M105" s="28">
        <v>0.15</v>
      </c>
    </row>
    <row r="106" spans="1:13">
      <c r="A106" s="27" t="s">
        <v>344</v>
      </c>
      <c r="B106" s="42" t="s">
        <v>457</v>
      </c>
      <c r="C106" s="42" t="s">
        <v>154</v>
      </c>
      <c r="D106" s="27" t="str">
        <f>'RTEKTY14 agg'!X120</f>
        <v>'GEO_HP1'</v>
      </c>
      <c r="E106" s="27">
        <f>'RTEKTY14 agg'!D120</f>
        <v>2010</v>
      </c>
      <c r="F106" s="27">
        <f>'RTEKTY14 agg'!K120</f>
        <v>14.1</v>
      </c>
      <c r="G106" s="27"/>
      <c r="H106" s="41">
        <f t="shared" ref="H106:H107" si="17">F106/3.413</f>
        <v>4.1312628186346325</v>
      </c>
      <c r="I106" s="27">
        <f>'RTEKTY14 agg'!L120</f>
        <v>5000</v>
      </c>
      <c r="J106" s="139">
        <f>I106*'Conv Factors'!$C$53/'Conv Factors'!$B$7/L106/'Conv Factors'!$B$2/'Conv Factors'!$B$3/'Conv Factors'!$B$4*'Conv Factors'!$B$6</f>
        <v>13.6585787148744</v>
      </c>
      <c r="K106" s="53"/>
      <c r="L106" s="28">
        <v>36000</v>
      </c>
      <c r="M106" s="28">
        <v>0.15</v>
      </c>
    </row>
    <row r="107" spans="1:13">
      <c r="A107" s="27" t="s">
        <v>344</v>
      </c>
      <c r="B107" s="42" t="s">
        <v>459</v>
      </c>
      <c r="C107" s="42" t="s">
        <v>814</v>
      </c>
      <c r="D107" s="27" t="str">
        <f>'RTEKTY14 agg'!X124</f>
        <v>'GEO_HP2'</v>
      </c>
      <c r="E107" s="27">
        <f>'RTEKTY14 agg'!D124</f>
        <v>2010</v>
      </c>
      <c r="F107" s="27">
        <f>'RTEKTY14 agg'!K124</f>
        <v>23</v>
      </c>
      <c r="G107" s="27"/>
      <c r="H107" s="41">
        <f t="shared" si="17"/>
        <v>6.7389393495458547</v>
      </c>
      <c r="I107" s="27">
        <f>'RTEKTY14 agg'!L124</f>
        <v>6500</v>
      </c>
      <c r="J107" s="139">
        <f>I107*'Conv Factors'!$C$53/'Conv Factors'!$B$7/L107/'Conv Factors'!$B$2/'Conv Factors'!$B$3/'Conv Factors'!$B$4*'Conv Factors'!$B$6</f>
        <v>17.756152329336725</v>
      </c>
      <c r="K107" s="53"/>
      <c r="L107" s="28">
        <v>36000</v>
      </c>
      <c r="M107" s="28">
        <v>0.15</v>
      </c>
    </row>
    <row r="108" spans="1:13">
      <c r="A108" s="27" t="s">
        <v>344</v>
      </c>
      <c r="B108" s="42" t="s">
        <v>1020</v>
      </c>
      <c r="C108" s="42" t="s">
        <v>1021</v>
      </c>
      <c r="D108" s="27" t="str">
        <f>'RTEKTY14 agg'!X128</f>
        <v>'GEO_HP2'</v>
      </c>
      <c r="E108" s="27">
        <f>'RTEKTY14 agg'!D128</f>
        <v>2020</v>
      </c>
      <c r="F108" s="27">
        <f>'RTEKTY14 agg'!K128</f>
        <v>30</v>
      </c>
      <c r="G108" s="27"/>
      <c r="H108" s="41">
        <f t="shared" ref="H108" si="18">F108/3.413</f>
        <v>8.7899208907119846</v>
      </c>
      <c r="I108" s="27">
        <f>'RTEKTY14 agg'!L128</f>
        <v>6500</v>
      </c>
      <c r="J108" s="139">
        <f>I108*'Conv Factors'!$C$53/'Conv Factors'!$B$7/L108/'Conv Factors'!$B$2/'Conv Factors'!$B$3/'Conv Factors'!$B$4*'Conv Factors'!$B$6</f>
        <v>17.756152329336725</v>
      </c>
      <c r="K108" s="53"/>
      <c r="L108" s="28">
        <v>36000</v>
      </c>
      <c r="M108" s="28">
        <v>0.15</v>
      </c>
    </row>
    <row r="109" spans="1:13">
      <c r="F109" s="27"/>
      <c r="G109" s="27"/>
      <c r="H109" s="41"/>
      <c r="I109" s="27"/>
      <c r="J109" s="139"/>
      <c r="K109" s="53"/>
      <c r="L109" s="28"/>
      <c r="M109" s="53"/>
    </row>
    <row r="110" spans="1:13">
      <c r="A110" s="27" t="s">
        <v>344</v>
      </c>
      <c r="B110" s="42" t="s">
        <v>461</v>
      </c>
      <c r="C110" s="42" t="s">
        <v>815</v>
      </c>
      <c r="F110" s="27"/>
      <c r="G110" s="27"/>
      <c r="H110" s="140">
        <f>USDemand!C270</f>
        <v>0.67000001668930098</v>
      </c>
      <c r="I110" s="27"/>
      <c r="J110" s="139"/>
      <c r="K110" s="53"/>
      <c r="L110" s="28"/>
      <c r="M110" s="28">
        <v>0.15</v>
      </c>
    </row>
    <row r="111" spans="1:13">
      <c r="A111" s="27" t="s">
        <v>344</v>
      </c>
      <c r="B111" s="42" t="s">
        <v>463</v>
      </c>
      <c r="C111" s="42" t="s">
        <v>155</v>
      </c>
      <c r="D111" s="27" t="str">
        <f>'RTEKTY14 agg'!X130</f>
        <v>'NG_HP'</v>
      </c>
      <c r="E111" s="27">
        <f>'RTEKTY14 agg'!D130</f>
        <v>2010</v>
      </c>
      <c r="F111" s="27">
        <f>'RTEKTY14 agg'!K130</f>
        <v>0.6</v>
      </c>
      <c r="G111" s="27"/>
      <c r="H111" s="41">
        <f>F111</f>
        <v>0.6</v>
      </c>
      <c r="I111" s="27">
        <f>'RTEKTY14 agg'!L130</f>
        <v>4500</v>
      </c>
      <c r="J111" s="139">
        <f>I111*'Conv Factors'!$C$53/'Conv Factors'!$B$7/L111/'Conv Factors'!$B$2/'Conv Factors'!$B$3/'Conv Factors'!$B$4*'Conv Factors'!$B$6</f>
        <v>12.292720843386961</v>
      </c>
      <c r="K111" s="51"/>
      <c r="L111" s="28">
        <v>36000</v>
      </c>
      <c r="M111" s="28">
        <v>0.15</v>
      </c>
    </row>
    <row r="112" spans="1:13">
      <c r="A112" s="27" t="s">
        <v>344</v>
      </c>
      <c r="B112" s="42" t="s">
        <v>1022</v>
      </c>
      <c r="C112" s="42" t="s">
        <v>1023</v>
      </c>
      <c r="D112" s="27" t="str">
        <f>'RTEKTY14 agg'!X132</f>
        <v>'NG_HP'</v>
      </c>
      <c r="E112" s="27">
        <f>'RTEKTY14 agg'!D132</f>
        <v>2020</v>
      </c>
      <c r="F112" s="27">
        <f>'RTEKTY14 agg'!K132</f>
        <v>0.7</v>
      </c>
      <c r="G112" s="27"/>
      <c r="H112" s="41">
        <f>F112</f>
        <v>0.7</v>
      </c>
      <c r="I112" s="27">
        <f>'RTEKTY14 agg'!L132</f>
        <v>4500</v>
      </c>
      <c r="J112" s="139">
        <f>I112*'Conv Factors'!$C$53/'Conv Factors'!$B$7/L112/'Conv Factors'!$B$2/'Conv Factors'!$B$3/'Conv Factors'!$B$4*'Conv Factors'!$B$6</f>
        <v>12.292720843386961</v>
      </c>
      <c r="K112" s="51"/>
      <c r="L112" s="28">
        <v>36000</v>
      </c>
      <c r="M112" s="28">
        <v>0.15</v>
      </c>
    </row>
    <row r="113" spans="1:13">
      <c r="B113" s="42"/>
      <c r="C113" s="42"/>
      <c r="F113" s="27"/>
      <c r="G113" s="27"/>
      <c r="H113" s="41"/>
      <c r="I113" s="27"/>
      <c r="J113" s="139"/>
      <c r="K113" s="51"/>
      <c r="L113" s="28"/>
      <c r="M113" s="53"/>
    </row>
    <row r="114" spans="1:13">
      <c r="A114" s="27" t="s">
        <v>344</v>
      </c>
      <c r="B114" s="42" t="s">
        <v>817</v>
      </c>
      <c r="C114" s="42" t="s">
        <v>816</v>
      </c>
      <c r="F114" s="27"/>
      <c r="G114" s="27"/>
      <c r="H114" s="140">
        <f>USDemand!C282</f>
        <v>0.57569998502731301</v>
      </c>
      <c r="I114" s="27"/>
      <c r="J114" s="139"/>
      <c r="K114" s="53"/>
      <c r="L114" s="28"/>
      <c r="M114" s="53">
        <v>0.1</v>
      </c>
    </row>
    <row r="115" spans="1:13">
      <c r="A115" s="27" t="s">
        <v>344</v>
      </c>
      <c r="B115" s="42" t="s">
        <v>287</v>
      </c>
      <c r="C115" s="42" t="s">
        <v>288</v>
      </c>
      <c r="D115" s="27" t="str">
        <f>'RTEKTY14 agg'!X161</f>
        <v>'NG_WH#1'</v>
      </c>
      <c r="E115" s="27">
        <f>'RTEKTY14 agg'!D161</f>
        <v>2010</v>
      </c>
      <c r="F115" s="27">
        <f>'RTEKTY14 agg'!K161</f>
        <v>0.59</v>
      </c>
      <c r="G115" s="27"/>
      <c r="H115" s="41">
        <f t="shared" ref="H115:H120" si="19">F115</f>
        <v>0.59</v>
      </c>
      <c r="I115" s="27">
        <f>'RTEKTY14 agg'!L161</f>
        <v>900</v>
      </c>
      <c r="J115" s="139" t="e">
        <f>I115*'Conv Factors'!$C$53/'Conv Factors'!$B$7/#REF!*'Conv Factors'!$B$11*M115</f>
        <v>#REF!</v>
      </c>
      <c r="K115" s="53"/>
      <c r="L115" s="28"/>
      <c r="M115" s="53">
        <v>0.1</v>
      </c>
    </row>
    <row r="116" spans="1:13">
      <c r="A116" s="27" t="s">
        <v>344</v>
      </c>
      <c r="B116" s="42" t="s">
        <v>1030</v>
      </c>
      <c r="C116" s="42" t="s">
        <v>1031</v>
      </c>
      <c r="D116" s="27" t="str">
        <f>'RTEKTY14 agg'!X162</f>
        <v>'NG_WH#1'</v>
      </c>
      <c r="E116" s="27">
        <f>'RTEKTY14 agg'!D162</f>
        <v>2015</v>
      </c>
      <c r="F116" s="27">
        <f>'RTEKTY14 agg'!K162</f>
        <v>0.62</v>
      </c>
      <c r="G116" s="27"/>
      <c r="H116" s="41">
        <f t="shared" ref="H116" si="20">F116</f>
        <v>0.62</v>
      </c>
      <c r="I116" s="27">
        <f>'RTEKTY14 agg'!L162</f>
        <v>920</v>
      </c>
      <c r="J116" s="139" t="e">
        <f>I116*'Conv Factors'!$C$53/'Conv Factors'!$B$7/#REF!*'Conv Factors'!$B$11*M116</f>
        <v>#REF!</v>
      </c>
      <c r="K116" s="53"/>
      <c r="L116" s="28"/>
      <c r="M116" s="53">
        <v>0.1</v>
      </c>
    </row>
    <row r="117" spans="1:13">
      <c r="A117" s="27" t="s">
        <v>344</v>
      </c>
      <c r="B117" s="42" t="s">
        <v>834</v>
      </c>
      <c r="C117" s="42" t="s">
        <v>835</v>
      </c>
      <c r="D117" s="27" t="str">
        <f>'RTEKTY14 agg'!X163</f>
        <v>'NG_WH#2'</v>
      </c>
      <c r="E117" s="27">
        <f>'RTEKTY14 agg'!D163</f>
        <v>2010</v>
      </c>
      <c r="F117" s="27">
        <f>'RTEKTY14 agg'!K163</f>
        <v>0.67</v>
      </c>
      <c r="G117" s="27"/>
      <c r="H117" s="41">
        <f t="shared" si="19"/>
        <v>0.67</v>
      </c>
      <c r="I117" s="27">
        <f>'RTEKTY14 agg'!L163</f>
        <v>1250</v>
      </c>
      <c r="J117" s="139" t="e">
        <f>I117*'Conv Factors'!$C$53/'Conv Factors'!$B$7/#REF!*'Conv Factors'!$B$11*M117</f>
        <v>#REF!</v>
      </c>
      <c r="K117" s="53"/>
      <c r="L117" s="28"/>
      <c r="M117" s="53">
        <v>0.1</v>
      </c>
    </row>
    <row r="118" spans="1:13">
      <c r="A118" s="27" t="s">
        <v>344</v>
      </c>
      <c r="B118" s="42" t="s">
        <v>158</v>
      </c>
      <c r="C118" s="42" t="s">
        <v>159</v>
      </c>
      <c r="D118" s="27" t="str">
        <f>'RTEKTY14 agg'!X167</f>
        <v>'NG_WH#3'</v>
      </c>
      <c r="E118" s="27">
        <f>'RTEKTY14 agg'!D167</f>
        <v>2013</v>
      </c>
      <c r="F118" s="27">
        <f>'RTEKTY14 agg'!K167</f>
        <v>0.82</v>
      </c>
      <c r="G118" s="27"/>
      <c r="H118" s="41">
        <f t="shared" ref="H118" si="21">F118</f>
        <v>0.82</v>
      </c>
      <c r="I118" s="27">
        <f>'RTEKTY14 agg'!L167</f>
        <v>2200</v>
      </c>
      <c r="J118" s="139" t="e">
        <f>I118*'Conv Factors'!$C$53/'Conv Factors'!$B$7/#REF!*'Conv Factors'!$B$11*M118</f>
        <v>#REF!</v>
      </c>
      <c r="K118" s="53"/>
      <c r="L118" s="28"/>
      <c r="M118" s="53">
        <v>0.1</v>
      </c>
    </row>
    <row r="119" spans="1:13">
      <c r="A119" s="27" t="s">
        <v>344</v>
      </c>
      <c r="B119" s="42" t="s">
        <v>836</v>
      </c>
      <c r="C119" s="42" t="s">
        <v>837</v>
      </c>
      <c r="D119" s="27" t="str">
        <f>'RTEKTY14 agg'!X169</f>
        <v>'NG_WH#3'</v>
      </c>
      <c r="E119" s="27">
        <f>'RTEKTY14 agg'!D169</f>
        <v>2020</v>
      </c>
      <c r="F119" s="27">
        <f>'RTEKTY14 agg'!K169</f>
        <v>0.9</v>
      </c>
      <c r="G119" s="27"/>
      <c r="H119" s="41">
        <f t="shared" ref="H119" si="22">F119</f>
        <v>0.9</v>
      </c>
      <c r="I119" s="27">
        <f>'RTEKTY14 agg'!L169</f>
        <v>2100</v>
      </c>
      <c r="J119" s="139" t="e">
        <f>I119*'Conv Factors'!$C$53/'Conv Factors'!$B$7/#REF!*'Conv Factors'!$B$11*M119</f>
        <v>#REF!</v>
      </c>
      <c r="K119" s="53"/>
      <c r="L119" s="28"/>
      <c r="M119" s="53">
        <v>0.1</v>
      </c>
    </row>
    <row r="120" spans="1:13">
      <c r="A120" s="27" t="s">
        <v>344</v>
      </c>
      <c r="B120" s="42" t="s">
        <v>160</v>
      </c>
      <c r="C120" s="42" t="s">
        <v>161</v>
      </c>
      <c r="D120" s="27" t="str">
        <f>'RTEKTY14 agg'!X174</f>
        <v>'NG_WH#4'</v>
      </c>
      <c r="E120" s="27">
        <f>'RTEKTY14 agg'!D174</f>
        <v>2013</v>
      </c>
      <c r="F120" s="27">
        <f>'RTEKTY14 agg'!K174</f>
        <v>0.85</v>
      </c>
      <c r="G120" s="52"/>
      <c r="H120" s="41">
        <f t="shared" si="19"/>
        <v>0.85</v>
      </c>
      <c r="I120" s="27">
        <f>'RTEKTY14 agg'!L174</f>
        <v>1600</v>
      </c>
      <c r="J120" s="139" t="e">
        <f>I120*'Conv Factors'!$C$53/'Conv Factors'!$B$7/#REF!*'Conv Factors'!$B$11*M120</f>
        <v>#REF!</v>
      </c>
      <c r="L120" s="28"/>
      <c r="M120" s="53">
        <v>0.1</v>
      </c>
    </row>
    <row r="121" spans="1:13">
      <c r="F121" s="27"/>
      <c r="G121" s="52"/>
      <c r="H121" s="41"/>
      <c r="I121" s="27"/>
      <c r="J121" s="139"/>
      <c r="K121" s="141"/>
      <c r="L121" s="28"/>
      <c r="M121" s="53"/>
    </row>
    <row r="122" spans="1:13">
      <c r="A122" s="27" t="s">
        <v>344</v>
      </c>
      <c r="B122" s="42" t="s">
        <v>819</v>
      </c>
      <c r="C122" s="42" t="s">
        <v>818</v>
      </c>
      <c r="F122" s="27"/>
      <c r="G122" s="52"/>
      <c r="H122" s="140">
        <f>USDemand!C281</f>
        <v>0.88819998502731301</v>
      </c>
      <c r="I122" s="27"/>
      <c r="J122" s="139"/>
      <c r="K122" s="141"/>
      <c r="L122" s="28"/>
      <c r="M122" s="53">
        <v>0.1</v>
      </c>
    </row>
    <row r="123" spans="1:13">
      <c r="A123" s="27" t="s">
        <v>344</v>
      </c>
      <c r="B123" s="42" t="s">
        <v>289</v>
      </c>
      <c r="C123" s="42" t="s">
        <v>290</v>
      </c>
      <c r="D123" s="27" t="str">
        <f>'RTEKTY14 agg'!X177</f>
        <v>'ELEC_WH1'</v>
      </c>
      <c r="E123" s="27">
        <f>'RTEKTY14 agg'!D177</f>
        <v>2010</v>
      </c>
      <c r="F123" s="27">
        <f>'RTEKTY14 agg'!K177</f>
        <v>0.9</v>
      </c>
      <c r="G123" s="52"/>
      <c r="H123" s="41">
        <f t="shared" ref="H123:H127" si="23">F123</f>
        <v>0.9</v>
      </c>
      <c r="I123" s="27">
        <f>'RTEKTY14 agg'!L177</f>
        <v>600</v>
      </c>
      <c r="J123" s="139" t="e">
        <f>I123*'Conv Factors'!$C$53/'Conv Factors'!$B$7/#REF!*'Conv Factors'!$B$11*M123</f>
        <v>#REF!</v>
      </c>
      <c r="K123" s="141"/>
      <c r="L123" s="28"/>
      <c r="M123" s="53">
        <v>0.1</v>
      </c>
    </row>
    <row r="124" spans="1:13">
      <c r="A124" s="27" t="s">
        <v>344</v>
      </c>
      <c r="B124" s="42" t="s">
        <v>291</v>
      </c>
      <c r="C124" s="42" t="s">
        <v>292</v>
      </c>
      <c r="D124" s="27" t="str">
        <f>'RTEKTY14 agg'!X179</f>
        <v>'ELEC_WH2'</v>
      </c>
      <c r="E124" s="27">
        <f>'RTEKTY14 agg'!D179</f>
        <v>2010</v>
      </c>
      <c r="F124" s="27">
        <f>'RTEKTY14 agg'!K179</f>
        <v>0.91</v>
      </c>
      <c r="G124" s="52"/>
      <c r="H124" s="41">
        <f t="shared" si="23"/>
        <v>0.91</v>
      </c>
      <c r="I124" s="27">
        <f>'RTEKTY14 agg'!L179</f>
        <v>625</v>
      </c>
      <c r="J124" s="139" t="e">
        <f>I124*'Conv Factors'!$C$53/'Conv Factors'!$B$7/#REF!*'Conv Factors'!$B$11*M124</f>
        <v>#REF!</v>
      </c>
      <c r="K124" s="141"/>
      <c r="L124" s="28"/>
      <c r="M124" s="53">
        <v>0.1</v>
      </c>
    </row>
    <row r="125" spans="1:13">
      <c r="A125" s="27" t="s">
        <v>344</v>
      </c>
      <c r="B125" s="42" t="s">
        <v>1198</v>
      </c>
      <c r="C125" s="42" t="s">
        <v>1199</v>
      </c>
      <c r="D125" s="27" t="str">
        <f>'RTEKTY14 agg'!X180</f>
        <v>'ELEC_WH2'</v>
      </c>
      <c r="E125" s="27">
        <f>'RTEKTY14 agg'!D180</f>
        <v>2015</v>
      </c>
      <c r="F125" s="27">
        <f>'RTEKTY14 agg'!K180</f>
        <v>0.95</v>
      </c>
      <c r="G125" s="52"/>
      <c r="H125" s="41">
        <f t="shared" si="23"/>
        <v>0.95</v>
      </c>
      <c r="I125" s="27">
        <f>'RTEKTY14 agg'!L180</f>
        <v>675</v>
      </c>
      <c r="J125" s="139" t="e">
        <f>I125*'Conv Factors'!$C$53/'Conv Factors'!$B$7/#REF!*'Conv Factors'!$B$11*M125</f>
        <v>#REF!</v>
      </c>
      <c r="K125" s="141"/>
      <c r="L125" s="28"/>
      <c r="M125" s="53">
        <v>0.1</v>
      </c>
    </row>
    <row r="126" spans="1:13">
      <c r="A126" s="27" t="s">
        <v>344</v>
      </c>
      <c r="B126" s="42" t="s">
        <v>838</v>
      </c>
      <c r="C126" s="42" t="s">
        <v>839</v>
      </c>
      <c r="D126" s="27" t="str">
        <f>'RTEKTY14 agg'!X182</f>
        <v>'ELEC_WH3'</v>
      </c>
      <c r="E126" s="27">
        <f>'RTEKTY14 agg'!D182</f>
        <v>2020</v>
      </c>
      <c r="F126" s="27">
        <f>'RTEKTY14 agg'!K182</f>
        <v>0.96</v>
      </c>
      <c r="G126" s="52"/>
      <c r="H126" s="41">
        <f t="shared" si="23"/>
        <v>0.96</v>
      </c>
      <c r="I126" s="27">
        <f>'RTEKTY14 agg'!L182</f>
        <v>725</v>
      </c>
      <c r="J126" s="139" t="e">
        <f>I126*'Conv Factors'!$C$53/'Conv Factors'!$B$7/#REF!*'Conv Factors'!$B$11*M126</f>
        <v>#REF!</v>
      </c>
      <c r="K126" s="141"/>
      <c r="L126" s="28"/>
      <c r="M126" s="53">
        <v>0.1</v>
      </c>
    </row>
    <row r="127" spans="1:13">
      <c r="A127" s="27" t="s">
        <v>344</v>
      </c>
      <c r="B127" s="42" t="s">
        <v>840</v>
      </c>
      <c r="C127" s="42" t="s">
        <v>841</v>
      </c>
      <c r="D127" s="27" t="str">
        <f>'RTEKTY14 agg'!X187</f>
        <v>'ELEC_WH4'</v>
      </c>
      <c r="E127" s="27">
        <f>'RTEKTY14 agg'!D187</f>
        <v>2014</v>
      </c>
      <c r="F127" s="27">
        <f>'RTEKTY14 agg'!K187</f>
        <v>2</v>
      </c>
      <c r="G127" s="52"/>
      <c r="H127" s="41">
        <f t="shared" si="23"/>
        <v>2</v>
      </c>
      <c r="I127" s="27">
        <f>'RTEKTY14 agg'!L187</f>
        <v>1850</v>
      </c>
      <c r="J127" s="139" t="e">
        <f>I127*'Conv Factors'!$C$53/'Conv Factors'!$B$7/#REF!*'Conv Factors'!$B$11*M127</f>
        <v>#REF!</v>
      </c>
      <c r="K127" s="141"/>
      <c r="L127" s="28"/>
      <c r="M127" s="53">
        <v>0.1</v>
      </c>
    </row>
    <row r="128" spans="1:13">
      <c r="A128" s="27" t="s">
        <v>344</v>
      </c>
      <c r="B128" s="42" t="s">
        <v>162</v>
      </c>
      <c r="C128" s="42" t="s">
        <v>163</v>
      </c>
      <c r="D128" s="27" t="str">
        <f>'RTEKTY14 agg'!X188</f>
        <v>'ELEC_WH4'</v>
      </c>
      <c r="E128" s="27">
        <f>'RTEKTY14 agg'!D188</f>
        <v>2020</v>
      </c>
      <c r="F128" s="27">
        <f>'RTEKTY14 agg'!K188</f>
        <v>2</v>
      </c>
      <c r="G128" s="52"/>
      <c r="H128" s="41">
        <f t="shared" ref="H128:H129" si="24">F128</f>
        <v>2</v>
      </c>
      <c r="I128" s="27">
        <f>'RTEKTY14 agg'!L188</f>
        <v>1800</v>
      </c>
      <c r="J128" s="139" t="e">
        <f>I128*'Conv Factors'!$C$53/'Conv Factors'!$B$7/#REF!*'Conv Factors'!$B$11*M128</f>
        <v>#REF!</v>
      </c>
      <c r="K128" s="141"/>
      <c r="L128" s="28"/>
      <c r="M128" s="53">
        <v>0.1</v>
      </c>
    </row>
    <row r="129" spans="1:13">
      <c r="A129" s="27" t="s">
        <v>344</v>
      </c>
      <c r="B129" s="42" t="s">
        <v>149</v>
      </c>
      <c r="C129" s="42" t="s">
        <v>164</v>
      </c>
      <c r="D129" s="27" t="str">
        <f>'RTEKTY14 agg'!X192</f>
        <v>'ELEC_WH5'</v>
      </c>
      <c r="E129" s="27">
        <f>'RTEKTY14 agg'!D192</f>
        <v>2013</v>
      </c>
      <c r="F129" s="27">
        <f>'RTEKTY14 agg'!K192</f>
        <v>2.35</v>
      </c>
      <c r="G129" s="27"/>
      <c r="H129" s="41">
        <f t="shared" si="24"/>
        <v>2.35</v>
      </c>
      <c r="I129" s="27">
        <f>'RTEKTY14 agg'!L192</f>
        <v>2050</v>
      </c>
      <c r="J129" s="139" t="e">
        <f>I129*'Conv Factors'!$C$53/'Conv Factors'!$B$7/#REF!*'Conv Factors'!$B$11*M129</f>
        <v>#REF!</v>
      </c>
      <c r="L129" s="28"/>
      <c r="M129" s="53">
        <v>0.1</v>
      </c>
    </row>
    <row r="130" spans="1:13">
      <c r="F130" s="27"/>
      <c r="G130" s="27"/>
      <c r="H130" s="41"/>
      <c r="I130" s="27"/>
      <c r="J130" s="139"/>
      <c r="L130" s="28"/>
      <c r="M130" s="53"/>
    </row>
    <row r="131" spans="1:13">
      <c r="A131" s="27" t="s">
        <v>344</v>
      </c>
      <c r="B131" s="42" t="s">
        <v>821</v>
      </c>
      <c r="C131" s="42" t="s">
        <v>820</v>
      </c>
      <c r="F131" s="27"/>
      <c r="G131" s="27"/>
      <c r="H131" s="140">
        <f>USDemand!C283</f>
        <v>0.54500001668930098</v>
      </c>
      <c r="I131" s="27"/>
      <c r="J131" s="139"/>
      <c r="L131" s="28"/>
      <c r="M131" s="53"/>
    </row>
    <row r="132" spans="1:13">
      <c r="A132" s="27" t="s">
        <v>344</v>
      </c>
      <c r="B132" s="42" t="s">
        <v>293</v>
      </c>
      <c r="C132" s="42" t="s">
        <v>294</v>
      </c>
      <c r="D132" s="27" t="str">
        <f>'RTEKTY14 agg'!X194</f>
        <v>'DIST_WH1'</v>
      </c>
      <c r="E132" s="27">
        <f>'RTEKTY14 agg'!D194</f>
        <v>2010</v>
      </c>
      <c r="F132" s="27">
        <f>'RTEKTY14 agg'!K194</f>
        <v>0.53</v>
      </c>
      <c r="G132" s="27"/>
      <c r="H132" s="41">
        <f>F132</f>
        <v>0.53</v>
      </c>
      <c r="I132" s="27">
        <f>'RTEKTY14 agg'!L194</f>
        <v>1900</v>
      </c>
      <c r="J132" s="139" t="e">
        <f>I132*'Conv Factors'!$C$53/'Conv Factors'!$B$7/#REF!*'Conv Factors'!$B$11*M132</f>
        <v>#REF!</v>
      </c>
      <c r="M132" s="53">
        <v>0.1</v>
      </c>
    </row>
    <row r="133" spans="1:13">
      <c r="A133" s="27" t="s">
        <v>344</v>
      </c>
      <c r="B133" s="42" t="s">
        <v>295</v>
      </c>
      <c r="C133" s="42" t="s">
        <v>296</v>
      </c>
      <c r="D133" s="27" t="str">
        <f>'RTEKTY14 agg'!X196</f>
        <v>'DIST_WH2'</v>
      </c>
      <c r="E133" s="27">
        <f>'RTEKTY14 agg'!D196</f>
        <v>2010</v>
      </c>
      <c r="F133" s="27">
        <f>'RTEKTY14 agg'!K196</f>
        <v>0.62</v>
      </c>
      <c r="G133" s="27"/>
      <c r="H133" s="41">
        <f>F133</f>
        <v>0.62</v>
      </c>
      <c r="I133" s="27">
        <f>'RTEKTY14 agg'!L196</f>
        <v>2100</v>
      </c>
      <c r="J133" s="139" t="e">
        <f>I133*'Conv Factors'!$C$53/'Conv Factors'!$B$7/#REF!*'Conv Factors'!$B$11*M133</f>
        <v>#REF!</v>
      </c>
      <c r="M133" s="53">
        <v>0.1</v>
      </c>
    </row>
    <row r="134" spans="1:13">
      <c r="A134" s="27" t="s">
        <v>344</v>
      </c>
      <c r="B134" s="42" t="s">
        <v>156</v>
      </c>
      <c r="C134" s="42" t="s">
        <v>157</v>
      </c>
      <c r="D134" s="27" t="str">
        <f>'RTEKTY14 agg'!X197</f>
        <v>'DIST_WH3'</v>
      </c>
      <c r="E134" s="27">
        <f>'RTEKTY14 agg'!D197</f>
        <v>2010</v>
      </c>
      <c r="F134" s="27">
        <f>'RTEKTY14 agg'!K197</f>
        <v>0.68</v>
      </c>
      <c r="G134" s="27"/>
      <c r="H134" s="41">
        <f>F134</f>
        <v>0.68</v>
      </c>
      <c r="I134" s="27">
        <f>'RTEKTY14 agg'!L197</f>
        <v>2250</v>
      </c>
      <c r="J134" s="139" t="e">
        <f>I134*'Conv Factors'!$C$53/'Conv Factors'!$B$7/#REF!*'Conv Factors'!$B$11*M134</f>
        <v>#REF!</v>
      </c>
      <c r="M134" s="53">
        <v>0.1</v>
      </c>
    </row>
    <row r="135" spans="1:13">
      <c r="B135" s="42"/>
      <c r="C135" s="42"/>
      <c r="F135" s="27"/>
      <c r="G135" s="27"/>
      <c r="H135" s="41"/>
      <c r="I135" s="27"/>
      <c r="J135" s="139"/>
      <c r="M135" s="53"/>
    </row>
    <row r="136" spans="1:13">
      <c r="A136" s="27" t="s">
        <v>344</v>
      </c>
      <c r="B136" s="42" t="s">
        <v>1035</v>
      </c>
      <c r="C136" s="42" t="s">
        <v>822</v>
      </c>
      <c r="F136" s="27"/>
      <c r="G136" s="27"/>
      <c r="H136" s="140">
        <f>USDemand!C284</f>
        <v>0.57480001449585005</v>
      </c>
      <c r="I136" s="27"/>
      <c r="J136" s="139"/>
      <c r="M136" s="53">
        <v>0.1</v>
      </c>
    </row>
    <row r="137" spans="1:13">
      <c r="A137" s="27" t="s">
        <v>344</v>
      </c>
      <c r="B137" s="42" t="s">
        <v>297</v>
      </c>
      <c r="C137" s="42" t="s">
        <v>298</v>
      </c>
      <c r="D137" s="27" t="str">
        <f>'RTEKTY14 agg'!X198</f>
        <v>'LPG_WH#1'</v>
      </c>
      <c r="E137" s="27">
        <f>'RTEKTY14 agg'!D198</f>
        <v>2010</v>
      </c>
      <c r="F137" s="27">
        <f>'RTEKTY14 agg'!K198</f>
        <v>0.59</v>
      </c>
      <c r="G137" s="27"/>
      <c r="H137" s="41">
        <f t="shared" ref="H137:H143" si="25">F137</f>
        <v>0.59</v>
      </c>
      <c r="I137" s="27">
        <f>'RTEKTY14 agg'!L198</f>
        <v>900</v>
      </c>
      <c r="J137" s="139" t="e">
        <f>I137*'Conv Factors'!$C$53/'Conv Factors'!$B$7/#REF!*'Conv Factors'!$B$11*M137</f>
        <v>#REF!</v>
      </c>
      <c r="M137" s="53">
        <v>0.1</v>
      </c>
    </row>
    <row r="138" spans="1:13">
      <c r="A138" s="27" t="s">
        <v>344</v>
      </c>
      <c r="B138" s="42" t="s">
        <v>1032</v>
      </c>
      <c r="C138" s="42" t="s">
        <v>1033</v>
      </c>
      <c r="D138" s="27" t="str">
        <f>'RTEKTY14 agg'!X199</f>
        <v>'LPG_WH#1'</v>
      </c>
      <c r="E138" s="27">
        <f>'RTEKTY14 agg'!D199</f>
        <v>2015</v>
      </c>
      <c r="F138" s="27">
        <f>'RTEKTY14 agg'!K199</f>
        <v>0.62</v>
      </c>
      <c r="G138" s="27"/>
      <c r="H138" s="41">
        <f t="shared" ref="H138:H139" si="26">F138</f>
        <v>0.62</v>
      </c>
      <c r="I138" s="27">
        <f>'RTEKTY14 agg'!L199</f>
        <v>920</v>
      </c>
      <c r="J138" s="139" t="e">
        <f>I138*'Conv Factors'!$C$53/'Conv Factors'!$B$7/#REF!*'Conv Factors'!$B$11*M138</f>
        <v>#REF!</v>
      </c>
      <c r="M138" s="53">
        <v>0.1</v>
      </c>
    </row>
    <row r="139" spans="1:13">
      <c r="A139" s="27" t="s">
        <v>344</v>
      </c>
      <c r="B139" s="42" t="s">
        <v>165</v>
      </c>
      <c r="C139" s="42" t="s">
        <v>166</v>
      </c>
      <c r="D139" s="27" t="str">
        <f>'RTEKTY14 agg'!X200</f>
        <v>'LPG_WH#2'</v>
      </c>
      <c r="E139" s="27">
        <f>'RTEKTY14 agg'!D200</f>
        <v>2010</v>
      </c>
      <c r="F139" s="27">
        <f>'RTEKTY14 agg'!K200</f>
        <v>0.67</v>
      </c>
      <c r="G139" s="27"/>
      <c r="H139" s="41">
        <f t="shared" si="26"/>
        <v>0.67</v>
      </c>
      <c r="I139" s="27">
        <f>'RTEKTY14 agg'!L200</f>
        <v>1250</v>
      </c>
      <c r="J139" s="139" t="e">
        <f>I139*'Conv Factors'!$C$53/'Conv Factors'!$B$7/#REF!*'Conv Factors'!$B$11*M139</f>
        <v>#REF!</v>
      </c>
      <c r="M139" s="53">
        <v>0.1</v>
      </c>
    </row>
    <row r="140" spans="1:13">
      <c r="A140" s="27" t="s">
        <v>344</v>
      </c>
      <c r="B140" s="42" t="s">
        <v>167</v>
      </c>
      <c r="C140" s="42" t="s">
        <v>168</v>
      </c>
      <c r="D140" s="27" t="str">
        <f>'RTEKTY14 agg'!X205</f>
        <v>'LPG_WH#3'</v>
      </c>
      <c r="E140" s="27">
        <f>'RTEKTY14 agg'!D205</f>
        <v>2014</v>
      </c>
      <c r="F140" s="27">
        <f>'RTEKTY14 agg'!K205</f>
        <v>0.82</v>
      </c>
      <c r="G140" s="27"/>
      <c r="H140" s="41">
        <f t="shared" si="25"/>
        <v>0.82</v>
      </c>
      <c r="I140" s="27">
        <f>'RTEKTY14 agg'!L205</f>
        <v>2200</v>
      </c>
      <c r="J140" s="139" t="e">
        <f>I140*'Conv Factors'!$C$53/'Conv Factors'!$B$7/#REF!*'Conv Factors'!$B$11*M140</f>
        <v>#REF!</v>
      </c>
      <c r="M140" s="53">
        <v>0.1</v>
      </c>
    </row>
    <row r="141" spans="1:13">
      <c r="A141" s="27" t="s">
        <v>344</v>
      </c>
      <c r="B141" s="42" t="s">
        <v>1200</v>
      </c>
      <c r="C141" s="42" t="s">
        <v>1201</v>
      </c>
      <c r="D141" s="27" t="str">
        <f>'RTEKTY14 agg'!X206</f>
        <v>'LPG_WH#3'</v>
      </c>
      <c r="E141" s="27">
        <f>'RTEKTY14 agg'!D206</f>
        <v>2020</v>
      </c>
      <c r="F141" s="27">
        <f>'RTEKTY14 agg'!K206</f>
        <v>0.9</v>
      </c>
      <c r="G141" s="27"/>
      <c r="H141" s="41">
        <f t="shared" ref="H141" si="27">F141</f>
        <v>0.9</v>
      </c>
      <c r="I141" s="27">
        <f>'RTEKTY14 agg'!L206</f>
        <v>2100</v>
      </c>
      <c r="J141" s="139" t="e">
        <f>I141*'Conv Factors'!$C$53/'Conv Factors'!$B$7/#REF!*'Conv Factors'!$B$11*M141</f>
        <v>#REF!</v>
      </c>
      <c r="M141" s="53">
        <v>0.1</v>
      </c>
    </row>
    <row r="142" spans="1:13">
      <c r="A142" s="27" t="s">
        <v>344</v>
      </c>
      <c r="B142" s="42" t="s">
        <v>169</v>
      </c>
      <c r="C142" s="42" t="s">
        <v>320</v>
      </c>
      <c r="D142" s="27" t="str">
        <f>'RTEKTY14 agg'!X211</f>
        <v>'LPG_WH#4'</v>
      </c>
      <c r="E142" s="27">
        <f>'RTEKTY14 agg'!D211</f>
        <v>2013</v>
      </c>
      <c r="F142" s="27">
        <f>'RTEKTY14 agg'!K211</f>
        <v>0.85</v>
      </c>
      <c r="G142" s="27"/>
      <c r="H142" s="41">
        <f t="shared" si="25"/>
        <v>0.85</v>
      </c>
      <c r="I142" s="27">
        <f>'RTEKTY14 agg'!L211</f>
        <v>1600</v>
      </c>
      <c r="J142" s="139" t="e">
        <f>I142*'Conv Factors'!$C$53/'Conv Factors'!$B$7/#REF!*'Conv Factors'!$B$11*M142</f>
        <v>#REF!</v>
      </c>
      <c r="M142" s="53">
        <v>0.1</v>
      </c>
    </row>
    <row r="143" spans="1:13">
      <c r="A143" s="27" t="s">
        <v>344</v>
      </c>
      <c r="B143" s="42" t="s">
        <v>170</v>
      </c>
      <c r="C143" s="42" t="s">
        <v>171</v>
      </c>
      <c r="D143" s="27" t="str">
        <f>'RTEKTY14 agg'!X213</f>
        <v>'LPG_WH#4'</v>
      </c>
      <c r="E143" s="27">
        <f>'RTEKTY14 agg'!D213</f>
        <v>2020</v>
      </c>
      <c r="F143" s="27">
        <f>'RTEKTY14 agg'!K213</f>
        <v>0.85</v>
      </c>
      <c r="G143" s="27"/>
      <c r="H143" s="41">
        <f t="shared" si="25"/>
        <v>0.85</v>
      </c>
      <c r="I143" s="27">
        <f>'RTEKTY14 agg'!L213</f>
        <v>2150</v>
      </c>
      <c r="J143" s="139" t="e">
        <f>I143*'Conv Factors'!$C$53/'Conv Factors'!$B$7/#REF!*'Conv Factors'!$B$11*M143</f>
        <v>#REF!</v>
      </c>
      <c r="M143" s="53">
        <v>0.1</v>
      </c>
    </row>
    <row r="144" spans="1:13">
      <c r="F144" s="27"/>
      <c r="G144" s="27"/>
      <c r="H144" s="52"/>
      <c r="I144" s="27"/>
      <c r="J144" s="139"/>
    </row>
    <row r="145" spans="1:20">
      <c r="A145" s="27" t="s">
        <v>344</v>
      </c>
      <c r="B145" s="42" t="s">
        <v>299</v>
      </c>
      <c r="C145" s="42" t="s">
        <v>300</v>
      </c>
      <c r="D145" s="27" t="str">
        <f>'RTEKTY14 agg'!X214</f>
        <v>'SOLR_WH1'</v>
      </c>
      <c r="E145" s="27">
        <f>'RTEKTY14 agg'!D214</f>
        <v>2010</v>
      </c>
      <c r="F145" s="27">
        <f>'RTEKTY14 agg'!K214</f>
        <v>1</v>
      </c>
      <c r="G145" s="27"/>
      <c r="H145" s="140">
        <f t="shared" ref="H145:H146" si="28">F145</f>
        <v>1</v>
      </c>
      <c r="I145" s="27">
        <f>'RTEKTY14 agg'!L214</f>
        <v>7840</v>
      </c>
      <c r="J145" s="139" t="e">
        <f>I145*'Conv Factors'!$C$53/'Conv Factors'!$B$7/#REF!*'Conv Factors'!$B$11*M145</f>
        <v>#REF!</v>
      </c>
      <c r="M145" s="53">
        <v>0.1</v>
      </c>
    </row>
    <row r="146" spans="1:20">
      <c r="A146" s="27" t="s">
        <v>344</v>
      </c>
      <c r="B146" s="42" t="s">
        <v>842</v>
      </c>
      <c r="C146" s="42" t="s">
        <v>843</v>
      </c>
      <c r="D146" s="27" t="str">
        <f>'RTEKTY14 agg'!X216</f>
        <v>'SOLR_WH1'</v>
      </c>
      <c r="E146" s="27">
        <f>'RTEKTY14 agg'!D216</f>
        <v>2020</v>
      </c>
      <c r="F146" s="27">
        <f>'RTEKTY14 agg'!K216</f>
        <v>1</v>
      </c>
      <c r="G146" s="27"/>
      <c r="H146" s="52">
        <f t="shared" si="28"/>
        <v>1</v>
      </c>
      <c r="I146" s="27">
        <f>'RTEKTY14 agg'!L216</f>
        <v>7520</v>
      </c>
      <c r="J146" s="139" t="e">
        <f>I146*'Conv Factors'!$C$53/'Conv Factors'!$B$7/#REF!*'Conv Factors'!$B$11*M146</f>
        <v>#REF!</v>
      </c>
      <c r="M146" s="53">
        <v>0.1</v>
      </c>
    </row>
    <row r="147" spans="1:20">
      <c r="A147" s="27" t="s">
        <v>344</v>
      </c>
      <c r="B147" s="42" t="s">
        <v>823</v>
      </c>
      <c r="C147" s="42" t="s">
        <v>824</v>
      </c>
      <c r="D147" s="27" t="str">
        <f>'RTEKTY14 agg'!X217</f>
        <v>'SOLR_WH1'</v>
      </c>
      <c r="E147" s="27">
        <f>'RTEKTY14 agg'!D217</f>
        <v>2030</v>
      </c>
      <c r="F147" s="27">
        <f>'RTEKTY14 agg'!K217</f>
        <v>1</v>
      </c>
      <c r="G147" s="27"/>
      <c r="H147" s="52">
        <f t="shared" ref="H147" si="29">F147</f>
        <v>1</v>
      </c>
      <c r="I147" s="27">
        <f>'RTEKTY14 agg'!L217</f>
        <v>7100</v>
      </c>
      <c r="J147" s="139" t="e">
        <f>I147*'Conv Factors'!$C$53/'Conv Factors'!$B$7/#REF!*'Conv Factors'!$B$11*M147</f>
        <v>#REF!</v>
      </c>
      <c r="M147" s="53">
        <v>0.1</v>
      </c>
    </row>
    <row r="148" spans="1:20">
      <c r="B148" s="42"/>
      <c r="C148" s="42"/>
      <c r="F148" s="27"/>
      <c r="G148" s="27"/>
      <c r="H148" s="52"/>
      <c r="I148" s="27"/>
      <c r="J148" s="139"/>
    </row>
    <row r="149" spans="1:20">
      <c r="A149" s="27" t="s">
        <v>344</v>
      </c>
      <c r="B149" s="42" t="s">
        <v>1034</v>
      </c>
      <c r="C149" s="42" t="s">
        <v>1050</v>
      </c>
      <c r="F149" s="27"/>
      <c r="G149" s="52">
        <f>'Conv Factors'!$B$10/USDemand!C288*'Conv Factors'!$B$6/'Conv Factors'!$B$11</f>
        <v>0.41274057243344064</v>
      </c>
      <c r="H149" s="140">
        <f t="shared" ref="H149:H150" si="30">G149</f>
        <v>0.41274057243344064</v>
      </c>
      <c r="I149" s="27"/>
      <c r="J149" s="139"/>
      <c r="K149" s="141"/>
      <c r="M149" s="27">
        <v>1</v>
      </c>
      <c r="R149" s="52"/>
      <c r="S149" s="52"/>
      <c r="T149" s="52"/>
    </row>
    <row r="150" spans="1:20">
      <c r="A150" s="27" t="s">
        <v>344</v>
      </c>
      <c r="B150" s="42" t="s">
        <v>1037</v>
      </c>
      <c r="C150" s="42" t="s">
        <v>1049</v>
      </c>
      <c r="D150" s="27" t="str">
        <f>'RTEKTY14 agg'!X221</f>
        <v>'RefTF#1'</v>
      </c>
      <c r="E150" s="27">
        <f>'RTEKTY14 agg'!D221</f>
        <v>2010</v>
      </c>
      <c r="F150" s="52"/>
      <c r="G150" s="52">
        <f>'Conv Factors'!$B$10/'RTEKTY14 agg'!K221*'Conv Factors'!$B$6/'Conv Factors'!$B$11</f>
        <v>0.54363992172211362</v>
      </c>
      <c r="H150" s="52">
        <f t="shared" si="30"/>
        <v>0.54363992172211362</v>
      </c>
      <c r="I150" s="27">
        <f>'RTEKTY14 agg'!L221</f>
        <v>500</v>
      </c>
      <c r="J150" s="139"/>
      <c r="K150" s="141">
        <f>I150*'Conv Factors'!$C$53*'Conv Factors'!$B$11/'Conv Factors'!$B$7</f>
        <v>454.45159123020221</v>
      </c>
      <c r="M150" s="27">
        <v>1</v>
      </c>
      <c r="R150" s="52"/>
      <c r="S150" s="52"/>
      <c r="T150" s="52"/>
    </row>
    <row r="151" spans="1:20">
      <c r="A151" s="27" t="s">
        <v>344</v>
      </c>
      <c r="B151" s="42" t="s">
        <v>1038</v>
      </c>
      <c r="C151" s="42" t="s">
        <v>1051</v>
      </c>
      <c r="D151" s="27" t="str">
        <f>'RTEKTY14 agg'!X222</f>
        <v>'RefTF#1'</v>
      </c>
      <c r="E151" s="27">
        <f>'RTEKTY14 agg'!D222</f>
        <v>2014</v>
      </c>
      <c r="F151" s="52"/>
      <c r="G151" s="52">
        <f>'Conv Factors'!$B$10/'RTEKTY14 agg'!K222*'Conv Factors'!$B$6/'Conv Factors'!$B$11</f>
        <v>0.68088235294117649</v>
      </c>
      <c r="H151" s="52">
        <f t="shared" ref="H151:H152" si="31">G151</f>
        <v>0.68088235294117649</v>
      </c>
      <c r="I151" s="27">
        <f>'RTEKTY14 agg'!L222</f>
        <v>525</v>
      </c>
      <c r="J151" s="139"/>
      <c r="K151" s="141">
        <f>I151*'Conv Factors'!$C$53*'Conv Factors'!$B$11/'Conv Factors'!$B$7</f>
        <v>477.17417079171236</v>
      </c>
      <c r="M151" s="27">
        <v>1</v>
      </c>
      <c r="R151" s="52"/>
      <c r="S151" s="52"/>
      <c r="T151" s="52"/>
    </row>
    <row r="152" spans="1:20">
      <c r="A152" s="27" t="s">
        <v>344</v>
      </c>
      <c r="B152" s="42" t="s">
        <v>1040</v>
      </c>
      <c r="C152" s="42" t="s">
        <v>1052</v>
      </c>
      <c r="D152" s="27" t="str">
        <f>'RTEKTY14 agg'!X224</f>
        <v>'RefTF#2'</v>
      </c>
      <c r="E152" s="27">
        <f>'RTEKTY14 agg'!D224</f>
        <v>2011</v>
      </c>
      <c r="F152" s="52"/>
      <c r="G152" s="52">
        <f>'Conv Factors'!$B$10/'RTEKTY14 agg'!K224*'Conv Factors'!$B$6/'Conv Factors'!$B$11</f>
        <v>0.68088235294117649</v>
      </c>
      <c r="H152" s="52">
        <f t="shared" si="31"/>
        <v>0.68088235294117649</v>
      </c>
      <c r="I152" s="27">
        <f>'RTEKTY14 agg'!L224</f>
        <v>575</v>
      </c>
      <c r="J152" s="139"/>
      <c r="K152" s="141">
        <f>I152*'Conv Factors'!$C$53*'Conv Factors'!$B$11/'Conv Factors'!$B$7</f>
        <v>522.61932991473259</v>
      </c>
      <c r="M152" s="27">
        <v>1</v>
      </c>
      <c r="R152" s="52"/>
      <c r="S152" s="52"/>
      <c r="T152" s="52"/>
    </row>
    <row r="153" spans="1:20">
      <c r="A153" s="27" t="s">
        <v>344</v>
      </c>
      <c r="B153" s="42" t="s">
        <v>1041</v>
      </c>
      <c r="C153" s="42" t="s">
        <v>1053</v>
      </c>
      <c r="D153" s="27" t="str">
        <f>'RTEKTY14 agg'!X225</f>
        <v>'RefTF#2'</v>
      </c>
      <c r="E153" s="27">
        <f>'RTEKTY14 agg'!D225</f>
        <v>2014</v>
      </c>
      <c r="F153" s="52"/>
      <c r="G153" s="52">
        <f>'Conv Factors'!$B$10/'RTEKTY14 agg'!K225*'Conv Factors'!$B$6/'Conv Factors'!$B$11</f>
        <v>0.81228070175438594</v>
      </c>
      <c r="H153" s="52">
        <f t="shared" ref="H153:H154" si="32">G153</f>
        <v>0.81228070175438594</v>
      </c>
      <c r="I153" s="27">
        <f>'RTEKTY14 agg'!L225</f>
        <v>600</v>
      </c>
      <c r="J153" s="139"/>
      <c r="K153" s="141">
        <f>I153*'Conv Factors'!$C$53*'Conv Factors'!$B$11/'Conv Factors'!$B$7</f>
        <v>545.34190947624268</v>
      </c>
      <c r="M153" s="27">
        <v>1</v>
      </c>
      <c r="R153" s="52"/>
      <c r="S153" s="52"/>
      <c r="T153" s="52"/>
    </row>
    <row r="154" spans="1:20">
      <c r="A154" s="27" t="s">
        <v>344</v>
      </c>
      <c r="B154" s="42" t="s">
        <v>1046</v>
      </c>
      <c r="C154" s="42" t="s">
        <v>1054</v>
      </c>
      <c r="D154" s="27" t="str">
        <f>'RTEKTY14 agg'!X229</f>
        <v>'RefTF#3'</v>
      </c>
      <c r="E154" s="27">
        <f>'RTEKTY14 agg'!D229</f>
        <v>2013</v>
      </c>
      <c r="F154" s="52"/>
      <c r="G154" s="52">
        <f>'Conv Factors'!$B$10/'RTEKTY14 agg'!K229*'Conv Factors'!$B$6/'Conv Factors'!$B$11</f>
        <v>0.81228070175438594</v>
      </c>
      <c r="H154" s="52">
        <f t="shared" si="32"/>
        <v>0.81228070175438594</v>
      </c>
      <c r="I154" s="27">
        <f>'RTEKTY14 agg'!L229</f>
        <v>1050</v>
      </c>
      <c r="J154" s="139"/>
      <c r="K154" s="141">
        <f>I154*'Conv Factors'!$C$53*'Conv Factors'!$B$11/'Conv Factors'!$B$7</f>
        <v>954.34834158342471</v>
      </c>
      <c r="M154" s="27">
        <v>1</v>
      </c>
      <c r="R154" s="52"/>
      <c r="S154" s="52"/>
      <c r="T154" s="52"/>
    </row>
    <row r="155" spans="1:20">
      <c r="A155" s="27" t="s">
        <v>344</v>
      </c>
      <c r="B155" s="42" t="s">
        <v>1047</v>
      </c>
      <c r="C155" s="42" t="s">
        <v>1055</v>
      </c>
      <c r="D155" s="27" t="str">
        <f>'RTEKTY14 agg'!X230</f>
        <v>'RefTF#3'</v>
      </c>
      <c r="E155" s="27">
        <f>'RTEKTY14 agg'!D230</f>
        <v>2014</v>
      </c>
      <c r="F155" s="52"/>
      <c r="G155" s="52">
        <f>'Conv Factors'!$B$10/'RTEKTY14 agg'!K230*'Conv Factors'!$B$6/'Conv Factors'!$B$11</f>
        <v>0.84954128440366972</v>
      </c>
      <c r="H155" s="52">
        <f t="shared" ref="H155:H161" si="33">G155</f>
        <v>0.84954128440366972</v>
      </c>
      <c r="I155" s="27">
        <f>'RTEKTY14 agg'!L230</f>
        <v>1250</v>
      </c>
      <c r="J155" s="139"/>
      <c r="K155" s="141">
        <f>I155*'Conv Factors'!$C$53*'Conv Factors'!$B$11/'Conv Factors'!$B$7</f>
        <v>1136.1289780755055</v>
      </c>
      <c r="M155" s="27">
        <v>1</v>
      </c>
      <c r="R155" s="52"/>
      <c r="S155" s="52"/>
      <c r="T155" s="52"/>
    </row>
    <row r="156" spans="1:20">
      <c r="A156" s="27" t="s">
        <v>344</v>
      </c>
      <c r="B156" s="42" t="s">
        <v>1039</v>
      </c>
      <c r="C156" s="42" t="s">
        <v>1056</v>
      </c>
      <c r="D156" s="27" t="str">
        <f>'RTEKTY14 agg'!X231</f>
        <v>'RefSF#1'</v>
      </c>
      <c r="E156" s="27">
        <f>'RTEKTY14 agg'!D231</f>
        <v>2010</v>
      </c>
      <c r="F156" s="52"/>
      <c r="G156" s="52">
        <f>'Conv Factors'!$B$10/'RTEKTY14 agg'!K231*'Conv Factors'!$B$6/'Conv Factors'!$B$11</f>
        <v>0.34169741697416978</v>
      </c>
      <c r="H156" s="52">
        <f t="shared" si="33"/>
        <v>0.34169741697416978</v>
      </c>
      <c r="I156" s="27">
        <f>'RTEKTY14 agg'!L231</f>
        <v>1450</v>
      </c>
      <c r="J156" s="139"/>
      <c r="K156" s="141">
        <f>I156*'Conv Factors'!$C$53*'Conv Factors'!$B$11/'Conv Factors'!$B$7</f>
        <v>1317.9096145675865</v>
      </c>
      <c r="M156" s="27">
        <v>1</v>
      </c>
      <c r="R156" s="52"/>
      <c r="S156" s="52"/>
      <c r="T156" s="52"/>
    </row>
    <row r="157" spans="1:20">
      <c r="A157" s="27" t="s">
        <v>344</v>
      </c>
      <c r="B157" s="42" t="s">
        <v>1042</v>
      </c>
      <c r="C157" s="42" t="s">
        <v>1057</v>
      </c>
      <c r="D157" s="27" t="str">
        <f>'RTEKTY14 agg'!X233</f>
        <v>'RefSF#2'</v>
      </c>
      <c r="E157" s="27">
        <f>'RTEKTY14 agg'!D233</f>
        <v>2010</v>
      </c>
      <c r="F157" s="52"/>
      <c r="G157" s="52">
        <f>'Conv Factors'!$B$10/'RTEKTY14 agg'!K233*'Conv Factors'!$B$6/'Conv Factors'!$B$11</f>
        <v>0.38798882681564245</v>
      </c>
      <c r="H157" s="52">
        <f t="shared" si="33"/>
        <v>0.38798882681564245</v>
      </c>
      <c r="I157" s="27">
        <f>'RTEKTY14 agg'!L233</f>
        <v>1650</v>
      </c>
      <c r="J157" s="139"/>
      <c r="K157" s="141">
        <f>I157*'Conv Factors'!$C$53*'Conv Factors'!$B$11/'Conv Factors'!$B$7</f>
        <v>1499.6902510596674</v>
      </c>
      <c r="M157" s="27">
        <v>1</v>
      </c>
      <c r="R157" s="52"/>
      <c r="S157" s="52"/>
      <c r="T157" s="52"/>
    </row>
    <row r="158" spans="1:20">
      <c r="A158" s="27" t="s">
        <v>344</v>
      </c>
      <c r="B158" s="42" t="s">
        <v>1043</v>
      </c>
      <c r="C158" s="42" t="s">
        <v>1058</v>
      </c>
      <c r="D158" s="27" t="str">
        <f>'RTEKTY14 agg'!X234</f>
        <v>'RefSF#2'</v>
      </c>
      <c r="E158" s="27">
        <f>'RTEKTY14 agg'!D234</f>
        <v>2014</v>
      </c>
      <c r="F158" s="52"/>
      <c r="G158" s="52">
        <f>'Conv Factors'!$B$10/'RTEKTY14 agg'!K234*'Conv Factors'!$B$6/'Conv Factors'!$B$11</f>
        <v>0.43069767441860468</v>
      </c>
      <c r="H158" s="52">
        <f t="shared" si="33"/>
        <v>0.43069767441860468</v>
      </c>
      <c r="I158" s="27">
        <f>'RTEKTY14 agg'!L234</f>
        <v>1725</v>
      </c>
      <c r="J158" s="139"/>
      <c r="K158" s="141">
        <f>I158*'Conv Factors'!$C$53*'Conv Factors'!$B$11/'Conv Factors'!$B$7</f>
        <v>1567.8579897441978</v>
      </c>
      <c r="M158" s="27">
        <v>1</v>
      </c>
      <c r="R158" s="52"/>
      <c r="S158" s="52"/>
      <c r="T158" s="52"/>
    </row>
    <row r="159" spans="1:20">
      <c r="A159" s="27" t="s">
        <v>344</v>
      </c>
      <c r="B159" s="42" t="s">
        <v>1048</v>
      </c>
      <c r="C159" s="42" t="s">
        <v>1059</v>
      </c>
      <c r="D159" s="27" t="str">
        <f>'RTEKTY14 agg'!X235</f>
        <v>'RefBF#1'</v>
      </c>
      <c r="E159" s="27">
        <f>'RTEKTY14 agg'!D235</f>
        <v>2010</v>
      </c>
      <c r="F159" s="52"/>
      <c r="G159" s="52">
        <f>'Conv Factors'!$B$10/'RTEKTY14 agg'!K235*'Conv Factors'!$B$6/'Conv Factors'!$B$11</f>
        <v>0.40852941176470592</v>
      </c>
      <c r="H159" s="52">
        <f t="shared" si="33"/>
        <v>0.40852941176470592</v>
      </c>
      <c r="I159" s="27">
        <f>'RTEKTY14 agg'!L235</f>
        <v>1450</v>
      </c>
      <c r="J159" s="139"/>
      <c r="K159" s="141">
        <f>I159*'Conv Factors'!$C$53*'Conv Factors'!$B$11/'Conv Factors'!$B$7</f>
        <v>1317.9096145675865</v>
      </c>
      <c r="M159" s="27">
        <v>1</v>
      </c>
      <c r="R159" s="52"/>
      <c r="S159" s="52"/>
      <c r="T159" s="52"/>
    </row>
    <row r="160" spans="1:20">
      <c r="A160" s="27" t="s">
        <v>344</v>
      </c>
      <c r="B160" s="42" t="s">
        <v>1044</v>
      </c>
      <c r="C160" s="42" t="s">
        <v>1060</v>
      </c>
      <c r="D160" s="27" t="str">
        <f>'RTEKTY14 agg'!X237</f>
        <v>'RefBF#2'</v>
      </c>
      <c r="E160" s="27">
        <f>'RTEKTY14 agg'!D237</f>
        <v>2010</v>
      </c>
      <c r="F160" s="52"/>
      <c r="G160" s="52">
        <f>'Conv Factors'!$B$10/'RTEKTY14 agg'!K237*'Conv Factors'!$B$6/'Conv Factors'!$B$11</f>
        <v>0.41339285714285717</v>
      </c>
      <c r="H160" s="52">
        <f t="shared" si="33"/>
        <v>0.41339285714285717</v>
      </c>
      <c r="I160" s="27">
        <f>'RTEKTY14 agg'!L237</f>
        <v>1850</v>
      </c>
      <c r="J160" s="139"/>
      <c r="K160" s="141">
        <f>I160*'Conv Factors'!$C$53*'Conv Factors'!$B$11/'Conv Factors'!$B$7</f>
        <v>1681.4708875517483</v>
      </c>
      <c r="M160" s="27">
        <v>1</v>
      </c>
    </row>
    <row r="161" spans="1:30">
      <c r="A161" s="27" t="s">
        <v>344</v>
      </c>
      <c r="B161" s="42" t="s">
        <v>1045</v>
      </c>
      <c r="C161" s="42" t="s">
        <v>1061</v>
      </c>
      <c r="D161" s="27" t="str">
        <f>'RTEKTY14 agg'!X238</f>
        <v>'RefBF#2'</v>
      </c>
      <c r="E161" s="27">
        <f>'RTEKTY14 agg'!D238</f>
        <v>2014</v>
      </c>
      <c r="F161" s="52"/>
      <c r="G161" s="52">
        <f>'Conv Factors'!$B$10/'RTEKTY14 agg'!K238*'Conv Factors'!$B$6/'Conv Factors'!$B$11</f>
        <v>0.45917355371900831</v>
      </c>
      <c r="H161" s="52">
        <f t="shared" si="33"/>
        <v>0.45917355371900831</v>
      </c>
      <c r="I161" s="27">
        <f>'RTEKTY14 agg'!L238</f>
        <v>1925</v>
      </c>
      <c r="J161" s="139"/>
      <c r="K161" s="141">
        <f>I161*'Conv Factors'!$C$53*'Conv Factors'!$B$11/'Conv Factors'!$B$7</f>
        <v>1749.6386262362787</v>
      </c>
      <c r="M161" s="27">
        <v>1</v>
      </c>
      <c r="O161" s="52"/>
      <c r="P161" s="52"/>
      <c r="Q161" s="52"/>
      <c r="R161" s="52"/>
      <c r="S161" s="52"/>
      <c r="T161" s="52"/>
      <c r="U161" s="128"/>
      <c r="V161" s="86"/>
      <c r="W161" s="86"/>
      <c r="X161" s="86"/>
      <c r="Y161" s="86"/>
      <c r="Z161" s="86"/>
      <c r="AA161" s="86"/>
      <c r="AB161" s="86"/>
      <c r="AC161" s="86"/>
      <c r="AD161" s="86"/>
    </row>
    <row r="162" spans="1:30">
      <c r="F162" s="27"/>
      <c r="G162" s="52"/>
      <c r="H162" s="52"/>
      <c r="I162" s="27"/>
      <c r="J162" s="139"/>
      <c r="K162" s="141"/>
      <c r="M162" s="27"/>
      <c r="O162" s="52"/>
      <c r="P162" s="52"/>
      <c r="Q162" s="52"/>
      <c r="R162" s="52"/>
      <c r="S162" s="52"/>
      <c r="T162" s="52"/>
      <c r="U162" s="128"/>
      <c r="V162" s="86"/>
      <c r="W162" s="86"/>
      <c r="X162" s="86"/>
      <c r="Y162" s="86"/>
      <c r="Z162" s="86"/>
      <c r="AA162" s="86"/>
      <c r="AB162" s="86"/>
      <c r="AC162" s="86"/>
      <c r="AD162" s="86"/>
    </row>
    <row r="163" spans="1:30">
      <c r="A163" s="27" t="s">
        <v>344</v>
      </c>
      <c r="B163" s="42" t="s">
        <v>1036</v>
      </c>
      <c r="C163" s="42" t="s">
        <v>1062</v>
      </c>
      <c r="F163" s="27"/>
      <c r="G163" s="52">
        <f>'Conv Factors'!$B$10/USDemand!C289*'Conv Factors'!$B$6/'Conv Factors'!$B$11</f>
        <v>0.57705489683795952</v>
      </c>
      <c r="H163" s="140">
        <f>G163</f>
        <v>0.57705489683795952</v>
      </c>
      <c r="I163" s="27"/>
      <c r="J163" s="139"/>
      <c r="K163" s="141"/>
      <c r="M163" s="27">
        <v>1</v>
      </c>
      <c r="R163" s="52"/>
      <c r="S163" s="52"/>
      <c r="T163" s="52"/>
      <c r="X163" s="86"/>
      <c r="Y163" s="86"/>
      <c r="Z163" s="86"/>
      <c r="AA163" s="86"/>
      <c r="AB163" s="86"/>
      <c r="AC163" s="86"/>
      <c r="AD163" s="86"/>
    </row>
    <row r="164" spans="1:30">
      <c r="A164" s="27" t="s">
        <v>344</v>
      </c>
      <c r="B164" s="42" t="s">
        <v>1063</v>
      </c>
      <c r="C164" s="42" t="s">
        <v>1069</v>
      </c>
      <c r="D164" s="27" t="str">
        <f>'RTEKTY14 agg'!X239</f>
        <v>'FrzrC#1'</v>
      </c>
      <c r="E164" s="27">
        <f>'RTEKTY14 agg'!D239</f>
        <v>2010</v>
      </c>
      <c r="F164" s="52"/>
      <c r="G164" s="52">
        <f>'Conv Factors'!$B$10/'RTEKTY14 agg'!K239*'Conv Factors'!$B$6/'Conv Factors'!$B$11</f>
        <v>0.69974811083123423</v>
      </c>
      <c r="H164" s="52">
        <f>G164</f>
        <v>0.69974811083123423</v>
      </c>
      <c r="I164" s="27">
        <f>'RTEKTY14 agg'!L239</f>
        <v>450</v>
      </c>
      <c r="J164" s="139"/>
      <c r="K164" s="141">
        <f>I164*'Conv Factors'!$C$53*'Conv Factors'!$B$11/'Conv Factors'!$B$7</f>
        <v>409.00643210718204</v>
      </c>
      <c r="M164" s="27">
        <v>1</v>
      </c>
      <c r="R164" s="52"/>
      <c r="S164" s="52"/>
      <c r="T164" s="52"/>
      <c r="AA164" s="86"/>
      <c r="AB164" s="86"/>
      <c r="AC164" s="86"/>
      <c r="AD164" s="86"/>
    </row>
    <row r="165" spans="1:30">
      <c r="A165" s="27" t="s">
        <v>344</v>
      </c>
      <c r="B165" s="42" t="s">
        <v>1064</v>
      </c>
      <c r="C165" s="42" t="s">
        <v>1070</v>
      </c>
      <c r="D165" s="27" t="str">
        <f>'RTEKTY14 agg'!X241</f>
        <v>'FrzrC#2'</v>
      </c>
      <c r="E165" s="27">
        <f>'RTEKTY14 agg'!D241</f>
        <v>2010</v>
      </c>
      <c r="F165" s="52"/>
      <c r="G165" s="52">
        <f>'Conv Factors'!$B$10/'RTEKTY14 agg'!K241*'Conv Factors'!$B$6/'Conv Factors'!$B$11</f>
        <v>0.93221476510067125</v>
      </c>
      <c r="H165" s="52">
        <f t="shared" ref="H165:H169" si="34">G165</f>
        <v>0.93221476510067125</v>
      </c>
      <c r="I165" s="27">
        <f>'RTEKTY14 agg'!L241</f>
        <v>600</v>
      </c>
      <c r="J165" s="139"/>
      <c r="K165" s="141">
        <f>I165*'Conv Factors'!$C$53*'Conv Factors'!$B$11/'Conv Factors'!$B$7</f>
        <v>545.34190947624268</v>
      </c>
      <c r="M165" s="27">
        <v>1</v>
      </c>
      <c r="R165" s="52"/>
      <c r="S165" s="52"/>
      <c r="T165" s="52"/>
      <c r="AA165" s="86"/>
      <c r="AB165" s="86"/>
      <c r="AC165" s="86"/>
      <c r="AD165" s="86"/>
    </row>
    <row r="166" spans="1:30">
      <c r="A166" s="27" t="s">
        <v>344</v>
      </c>
      <c r="B166" s="42" t="s">
        <v>1065</v>
      </c>
      <c r="C166" s="42" t="s">
        <v>1071</v>
      </c>
      <c r="D166" s="27" t="str">
        <f>'RTEKTY14 agg'!X242</f>
        <v>'FrzrC#2'</v>
      </c>
      <c r="E166" s="27">
        <f>'RTEKTY14 agg'!D242</f>
        <v>2014</v>
      </c>
      <c r="F166" s="52"/>
      <c r="G166" s="52">
        <f>'Conv Factors'!$B$10/'RTEKTY14 agg'!K242*'Conv Factors'!$B$6/'Conv Factors'!$B$11</f>
        <v>1.1672268907563026</v>
      </c>
      <c r="H166" s="52">
        <f t="shared" si="34"/>
        <v>1.1672268907563026</v>
      </c>
      <c r="I166" s="27">
        <f>'RTEKTY14 agg'!L242</f>
        <v>750</v>
      </c>
      <c r="J166" s="139"/>
      <c r="K166" s="141">
        <f>I166*'Conv Factors'!$C$53*'Conv Factors'!$B$11/'Conv Factors'!$B$7</f>
        <v>681.67738684530332</v>
      </c>
      <c r="M166" s="27">
        <v>1</v>
      </c>
      <c r="R166" s="52"/>
      <c r="S166" s="52"/>
      <c r="T166" s="52"/>
      <c r="AA166" s="86"/>
      <c r="AB166" s="86"/>
      <c r="AC166" s="86"/>
      <c r="AD166" s="86"/>
    </row>
    <row r="167" spans="1:30">
      <c r="A167" s="27" t="s">
        <v>344</v>
      </c>
      <c r="B167" s="42" t="s">
        <v>1066</v>
      </c>
      <c r="C167" s="42" t="s">
        <v>1072</v>
      </c>
      <c r="D167" s="27" t="str">
        <f>'RTEKTY14 agg'!X243</f>
        <v>'FrzrU#1'</v>
      </c>
      <c r="E167" s="27">
        <f>'RTEKTY14 agg'!D243</f>
        <v>2010</v>
      </c>
      <c r="F167" s="52"/>
      <c r="G167" s="52">
        <f>'Conv Factors'!$B$10/'RTEKTY14 agg'!K243*'Conv Factors'!$B$6/'Conv Factors'!$B$11</f>
        <v>0.36649076517150397</v>
      </c>
      <c r="H167" s="52">
        <f t="shared" si="34"/>
        <v>0.36649076517150397</v>
      </c>
      <c r="I167" s="27">
        <f>'RTEKTY14 agg'!L243</f>
        <v>550</v>
      </c>
      <c r="J167" s="139"/>
      <c r="K167" s="141">
        <f>I167*'Conv Factors'!$C$53*'Conv Factors'!$B$11/'Conv Factors'!$B$7</f>
        <v>499.89675035322244</v>
      </c>
      <c r="M167" s="27">
        <v>1</v>
      </c>
      <c r="R167" s="52"/>
      <c r="S167" s="52"/>
      <c r="T167" s="52"/>
      <c r="AA167" s="86"/>
      <c r="AB167" s="86"/>
      <c r="AC167" s="86"/>
      <c r="AD167" s="86"/>
    </row>
    <row r="168" spans="1:30">
      <c r="A168" s="27" t="s">
        <v>344</v>
      </c>
      <c r="B168" s="42" t="s">
        <v>1067</v>
      </c>
      <c r="C168" s="42" t="s">
        <v>1073</v>
      </c>
      <c r="D168" s="27" t="str">
        <f>'RTEKTY14 agg'!X245</f>
        <v>'FrzrU#2'</v>
      </c>
      <c r="E168" s="27">
        <f>'RTEKTY14 agg'!D245</f>
        <v>2010</v>
      </c>
      <c r="F168" s="52"/>
      <c r="G168" s="52">
        <f>'Conv Factors'!$B$10/'RTEKTY14 agg'!K245*'Conv Factors'!$B$6/'Conv Factors'!$B$11</f>
        <v>0.52120075046904324</v>
      </c>
      <c r="H168" s="52">
        <f t="shared" si="34"/>
        <v>0.52120075046904324</v>
      </c>
      <c r="I168" s="27">
        <f>'RTEKTY14 agg'!L245</f>
        <v>700</v>
      </c>
      <c r="J168" s="139"/>
      <c r="K168" s="141">
        <f>I168*'Conv Factors'!$C$53*'Conv Factors'!$B$11/'Conv Factors'!$B$7</f>
        <v>636.23222772228314</v>
      </c>
      <c r="M168" s="27">
        <v>1</v>
      </c>
      <c r="R168" s="52"/>
      <c r="S168" s="52"/>
      <c r="T168" s="52"/>
    </row>
    <row r="169" spans="1:30">
      <c r="A169" s="27" t="s">
        <v>344</v>
      </c>
      <c r="B169" s="42" t="s">
        <v>1068</v>
      </c>
      <c r="C169" s="42" t="s">
        <v>1074</v>
      </c>
      <c r="D169" s="27" t="str">
        <f>'RTEKTY14 agg'!X246</f>
        <v>'FrzrU#2'</v>
      </c>
      <c r="E169" s="27">
        <f>'RTEKTY14 agg'!D246</f>
        <v>2014</v>
      </c>
      <c r="F169" s="52"/>
      <c r="G169" s="52">
        <f>'Conv Factors'!$B$10/'RTEKTY14 agg'!K246*'Conv Factors'!$B$6/'Conv Factors'!$B$11</f>
        <v>0.61054945054945053</v>
      </c>
      <c r="H169" s="52">
        <f t="shared" si="34"/>
        <v>0.61054945054945053</v>
      </c>
      <c r="I169" s="27">
        <f>'RTEKTY14 agg'!L246</f>
        <v>850</v>
      </c>
      <c r="J169" s="139"/>
      <c r="K169" s="141">
        <f>I169*'Conv Factors'!$C$53*'Conv Factors'!$B$11/'Conv Factors'!$B$7</f>
        <v>772.56770509134378</v>
      </c>
      <c r="M169" s="27">
        <v>1</v>
      </c>
      <c r="R169" s="52"/>
      <c r="S169" s="52"/>
      <c r="T169" s="52"/>
    </row>
    <row r="170" spans="1:30">
      <c r="F170" s="27"/>
      <c r="G170" s="27"/>
      <c r="H170" s="27"/>
      <c r="I170" s="27"/>
      <c r="M170" s="27"/>
      <c r="R170" s="52"/>
      <c r="S170" s="52"/>
      <c r="T170" s="52"/>
    </row>
    <row r="171" spans="1:30">
      <c r="F171" s="27"/>
      <c r="G171" s="27"/>
      <c r="H171" s="27"/>
      <c r="I171" s="27"/>
      <c r="M171" s="27"/>
      <c r="R171" s="52"/>
      <c r="S171" s="52"/>
      <c r="T171" s="52"/>
    </row>
    <row r="172" spans="1:30">
      <c r="F172" s="27"/>
      <c r="G172" s="27"/>
      <c r="H172" s="27"/>
      <c r="I172" s="27"/>
      <c r="M172" s="27"/>
      <c r="R172" s="52"/>
      <c r="S172" s="52"/>
      <c r="T172" s="52"/>
    </row>
    <row r="173" spans="1:30">
      <c r="E173" s="28"/>
      <c r="F173" s="50" t="s">
        <v>92</v>
      </c>
      <c r="G173" s="50" t="s">
        <v>479</v>
      </c>
      <c r="H173" s="50" t="s">
        <v>119</v>
      </c>
      <c r="I173" s="50" t="s">
        <v>478</v>
      </c>
      <c r="J173" s="50" t="s">
        <v>115</v>
      </c>
      <c r="K173" s="50" t="s">
        <v>476</v>
      </c>
      <c r="M173" s="27"/>
      <c r="R173" s="52"/>
      <c r="S173" s="52"/>
      <c r="T173" s="52"/>
    </row>
    <row r="174" spans="1:30">
      <c r="B174" s="48" t="s">
        <v>1476</v>
      </c>
      <c r="E174" s="28"/>
      <c r="F174" s="50" t="s">
        <v>111</v>
      </c>
      <c r="G174" s="50" t="s">
        <v>102</v>
      </c>
      <c r="H174" s="50" t="s">
        <v>1388</v>
      </c>
      <c r="I174" s="50" t="s">
        <v>112</v>
      </c>
      <c r="J174" s="50" t="s">
        <v>113</v>
      </c>
      <c r="K174" s="50" t="s">
        <v>114</v>
      </c>
    </row>
    <row r="175" spans="1:30">
      <c r="B175" s="48" t="s">
        <v>551</v>
      </c>
      <c r="E175" s="28"/>
      <c r="H175" s="27"/>
      <c r="I175" s="27"/>
    </row>
    <row r="176" spans="1:30">
      <c r="B176" s="27" t="s">
        <v>1389</v>
      </c>
      <c r="C176" s="27" t="s">
        <v>1390</v>
      </c>
      <c r="D176" s="27" t="s">
        <v>110</v>
      </c>
      <c r="E176" s="28"/>
      <c r="F176" s="53">
        <f>F177*0.98</f>
        <v>14.209999999999999</v>
      </c>
      <c r="G176" s="142">
        <f>F176/'Conv Factors'!$B$5/'Conv Factors'!$B$2/'Conv Factors'!$B$3/'Conv Factors'!$B$9/'Conv Factors'!$B$4*'Conv Factors'!$B$6</f>
        <v>0.45061478552228867</v>
      </c>
      <c r="H176" s="53"/>
      <c r="I176" s="51"/>
      <c r="J176" s="143">
        <f>J177</f>
        <v>0.85</v>
      </c>
      <c r="K176" s="51">
        <f>J176*1000/'Conv Factors'!$B$14/'Conv Factors'!$B$3</f>
        <v>1.1643835616438356</v>
      </c>
    </row>
    <row r="177" spans="2:11">
      <c r="B177" s="27" t="str">
        <f>'AEO14 RLT Techs'!K36</f>
        <v>RLTGINC10</v>
      </c>
      <c r="C177" s="27" t="str">
        <f>'AEO14 RLT Techs'!L36</f>
        <v>RLT.GSL.INC.10</v>
      </c>
      <c r="D177" s="27" t="s">
        <v>110</v>
      </c>
      <c r="E177" s="28"/>
      <c r="F177" s="53">
        <f>'AEO14 RLT Techs'!D36</f>
        <v>14.5</v>
      </c>
      <c r="G177" s="142">
        <f>F177/'Conv Factors'!$B$5/'Conv Factors'!$B$2/'Conv Factors'!$B$3/'Conv Factors'!$B$9/'Conv Factors'!$B$4*'Conv Factors'!$B$6</f>
        <v>0.45981100563498845</v>
      </c>
      <c r="H177" s="53">
        <f>'AEO14 RLT Techs'!C36</f>
        <v>0.33</v>
      </c>
      <c r="I177" s="51">
        <f>H177*'Conv Factors'!$C$53/1000/'Conv Factors'!$B$7*'Conv Factors'!$B$9</f>
        <v>0.29993805021193348</v>
      </c>
      <c r="J177" s="143">
        <f>'AEO14 RLT Techs'!F36/1000</f>
        <v>0.85</v>
      </c>
      <c r="K177" s="51">
        <f>J177*1000/'Conv Factors'!$B$14/'Conv Factors'!$B$3</f>
        <v>1.1643835616438356</v>
      </c>
    </row>
    <row r="178" spans="2:11">
      <c r="B178" s="27" t="str">
        <f>'AEO14 RLT Techs'!K38</f>
        <v>RLTGINC15</v>
      </c>
      <c r="C178" s="27" t="str">
        <f>'AEO14 RLT Techs'!L38</f>
        <v>RLT.GSL.INC.15</v>
      </c>
      <c r="D178" s="27" t="s">
        <v>110</v>
      </c>
      <c r="E178" s="28"/>
      <c r="F178" s="53">
        <f>'AEO14 RLT Techs'!D38</f>
        <v>19.8</v>
      </c>
      <c r="G178" s="142">
        <f>F178/'Conv Factors'!$B$5/'Conv Factors'!$B$2/'Conv Factors'!$B$3/'Conv Factors'!$B$9/'Conv Factors'!$B$4*'Conv Factors'!$B$6</f>
        <v>0.62787985597053608</v>
      </c>
      <c r="H178" s="53">
        <f>'AEO14 RLT Techs'!C38</f>
        <v>1.71</v>
      </c>
      <c r="I178" s="51">
        <f>H178*'Conv Factors'!$C$53/1000/'Conv Factors'!$B$7*'Conv Factors'!$B$9</f>
        <v>1.5542244420072919</v>
      </c>
      <c r="J178" s="143">
        <f>'AEO14 RLT Techs'!F38/1000</f>
        <v>1</v>
      </c>
      <c r="K178" s="51">
        <f>J178*1000/'Conv Factors'!$B$14/'Conv Factors'!$B$3</f>
        <v>1.3698630136986301</v>
      </c>
    </row>
    <row r="179" spans="2:11">
      <c r="B179" s="48" t="s">
        <v>1478</v>
      </c>
      <c r="E179" s="28"/>
      <c r="F179" s="53"/>
      <c r="G179" s="142"/>
      <c r="J179" s="143"/>
      <c r="K179" s="28"/>
    </row>
    <row r="180" spans="2:11">
      <c r="B180" s="27" t="s">
        <v>1391</v>
      </c>
      <c r="C180" s="27" t="s">
        <v>1392</v>
      </c>
      <c r="D180" s="27" t="s">
        <v>110</v>
      </c>
      <c r="E180" s="28"/>
      <c r="F180" s="53">
        <f>F181*0.95</f>
        <v>63.839999999999996</v>
      </c>
      <c r="G180" s="142">
        <f>F180/'Conv Factors'!$B$5/'Conv Factors'!$B$2/'Conv Factors'!$B$3/'Conv Factors'!$B$9/'Conv Factors'!$B$4*'Conv Factors'!$B$6</f>
        <v>2.0244368689474248</v>
      </c>
      <c r="H180" s="53"/>
      <c r="I180" s="51"/>
      <c r="J180" s="143">
        <f>J181</f>
        <v>10</v>
      </c>
      <c r="K180" s="51">
        <f>J180*1000/'Conv Factors'!$B$14/'Conv Factors'!$B$3</f>
        <v>13.698630136986301</v>
      </c>
    </row>
    <row r="181" spans="2:11">
      <c r="B181" s="27" t="str">
        <f>'AEO14 RLT Techs'!K41</f>
        <v>RLTGCFL10</v>
      </c>
      <c r="C181" s="27" t="str">
        <f>'AEO14 RLT Techs'!L41</f>
        <v>RLT.GSL.CFL.10</v>
      </c>
      <c r="D181" s="27" t="s">
        <v>110</v>
      </c>
      <c r="F181" s="53">
        <f>'AEO14 RLT Techs'!D41</f>
        <v>67.2</v>
      </c>
      <c r="G181" s="142">
        <f>F181/'Conv Factors'!$B$5/'Conv Factors'!$B$2/'Conv Factors'!$B$3/'Conv Factors'!$B$9/'Conv Factors'!$B$4*'Conv Factors'!$B$6</f>
        <v>2.1309861778393948</v>
      </c>
      <c r="H181" s="53">
        <f>'AEO14 RLT Techs'!C41</f>
        <v>3.07</v>
      </c>
      <c r="I181" s="51">
        <f>H181*'Conv Factors'!$C$53/1000/'Conv Factors'!$B$7*'Conv Factors'!$B$9</f>
        <v>2.7903327701534422</v>
      </c>
      <c r="J181" s="143">
        <f>'AEO14 RLT Techs'!F41/1000</f>
        <v>10</v>
      </c>
      <c r="K181" s="51">
        <f>J181*1000/'Conv Factors'!$B$14/'Conv Factors'!$B$3</f>
        <v>13.698630136986301</v>
      </c>
    </row>
    <row r="182" spans="2:11">
      <c r="B182" s="27" t="str">
        <f>'AEO14 RLT Techs'!K42</f>
        <v>RLTGCFL15</v>
      </c>
      <c r="C182" s="27" t="str">
        <f>'AEO14 RLT Techs'!L42</f>
        <v>RLT.GSL.CFL.15</v>
      </c>
      <c r="D182" s="27" t="s">
        <v>110</v>
      </c>
      <c r="F182" s="53">
        <f>'AEO14 RLT Techs'!D42</f>
        <v>67.2</v>
      </c>
      <c r="G182" s="142">
        <f>F182/'Conv Factors'!$B$5/'Conv Factors'!$B$2/'Conv Factors'!$B$3/'Conv Factors'!$B$9/'Conv Factors'!$B$4*'Conv Factors'!$B$6</f>
        <v>2.1309861778393948</v>
      </c>
      <c r="H182" s="53">
        <f>'AEO14 RLT Techs'!C42</f>
        <v>2.33</v>
      </c>
      <c r="I182" s="51">
        <f>H182*'Conv Factors'!$C$53/1000/'Conv Factors'!$B$7*'Conv Factors'!$B$9</f>
        <v>2.1177444151327425</v>
      </c>
      <c r="J182" s="143">
        <f>'AEO14 RLT Techs'!F42/1000</f>
        <v>10</v>
      </c>
      <c r="K182" s="51">
        <f>J182*1000/'Conv Factors'!$B$14/'Conv Factors'!$B$3</f>
        <v>13.698630136986301</v>
      </c>
    </row>
    <row r="183" spans="2:11">
      <c r="B183" s="27" t="str">
        <f>'AEO14 RLT Techs'!K43</f>
        <v>RLTGCFL20</v>
      </c>
      <c r="C183" s="27" t="str">
        <f>'AEO14 RLT Techs'!L43</f>
        <v>RLT.GSL.CFL.20</v>
      </c>
      <c r="D183" s="27" t="s">
        <v>110</v>
      </c>
      <c r="F183" s="53">
        <f>'AEO14 RLT Techs'!D43</f>
        <v>69</v>
      </c>
      <c r="G183" s="142">
        <f>F183/'Conv Factors'!$B$5/'Conv Factors'!$B$2/'Conv Factors'!$B$3/'Conv Factors'!$B$9/'Conv Factors'!$B$4*'Conv Factors'!$B$6</f>
        <v>2.1880661647458073</v>
      </c>
      <c r="H183" s="53">
        <f>'AEO14 RLT Techs'!C43</f>
        <v>2.27</v>
      </c>
      <c r="I183" s="51">
        <f>H183*'Conv Factors'!$C$53/1000/'Conv Factors'!$B$7*'Conv Factors'!$B$9</f>
        <v>2.0632102241851182</v>
      </c>
      <c r="J183" s="143">
        <f>'AEO14 RLT Techs'!F43/1000</f>
        <v>10</v>
      </c>
      <c r="K183" s="51">
        <f>J183*1000/'Conv Factors'!$B$14/'Conv Factors'!$B$3</f>
        <v>13.698630136986301</v>
      </c>
    </row>
    <row r="184" spans="2:11">
      <c r="B184" s="27" t="str">
        <f>'AEO14 RLT Techs'!K44</f>
        <v>RLTGCFL30</v>
      </c>
      <c r="C184" s="27" t="str">
        <f>'AEO14 RLT Techs'!L44</f>
        <v>RLT.GSL.CFL.30</v>
      </c>
      <c r="D184" s="27" t="s">
        <v>110</v>
      </c>
      <c r="F184" s="53">
        <f>'AEO14 RLT Techs'!D44</f>
        <v>70.7</v>
      </c>
      <c r="G184" s="142">
        <f>F184/'Conv Factors'!$B$5/'Conv Factors'!$B$2/'Conv Factors'!$B$3/'Conv Factors'!$B$9/'Conv Factors'!$B$4*'Conv Factors'!$B$6</f>
        <v>2.24197504126853</v>
      </c>
      <c r="H184" s="53">
        <f>'AEO14 RLT Techs'!C44</f>
        <v>2.21</v>
      </c>
      <c r="I184" s="51">
        <f>H184*'Conv Factors'!$C$53/1000/'Conv Factors'!$B$7*'Conv Factors'!$B$9</f>
        <v>2.008676033237494</v>
      </c>
      <c r="J184" s="143">
        <f>'AEO14 RLT Techs'!F44/1000</f>
        <v>10</v>
      </c>
      <c r="K184" s="51">
        <f>J184*1000/'Conv Factors'!$B$14/'Conv Factors'!$B$3</f>
        <v>13.698630136986301</v>
      </c>
    </row>
    <row r="185" spans="2:11">
      <c r="B185" s="27" t="str">
        <f>'AEO14 RLT Techs'!K45</f>
        <v>RLTGCFL40</v>
      </c>
      <c r="C185" s="27" t="str">
        <f>'AEO14 RLT Techs'!L45</f>
        <v>RLT.GSL.CFL.40</v>
      </c>
      <c r="D185" s="27" t="s">
        <v>110</v>
      </c>
      <c r="E185" s="28"/>
      <c r="F185" s="53">
        <f>'AEO14 RLT Techs'!D45</f>
        <v>72.5</v>
      </c>
      <c r="G185" s="142">
        <f>F185/'Conv Factors'!$B$5/'Conv Factors'!$B$2/'Conv Factors'!$B$3/'Conv Factors'!$B$9/'Conv Factors'!$B$4*'Conv Factors'!$B$6</f>
        <v>2.2990550281749424</v>
      </c>
      <c r="H185" s="53">
        <f>'AEO14 RLT Techs'!C45</f>
        <v>2.16</v>
      </c>
      <c r="I185" s="51">
        <f>H185*'Conv Factors'!$C$53/1000/'Conv Factors'!$B$7*'Conv Factors'!$B$9</f>
        <v>1.9632308741144737</v>
      </c>
      <c r="J185" s="143">
        <f>'AEO14 RLT Techs'!F45/1000</f>
        <v>10</v>
      </c>
      <c r="K185" s="51">
        <f>J185*1000/'Conv Factors'!$B$14/'Conv Factors'!$B$3</f>
        <v>13.698630136986301</v>
      </c>
    </row>
    <row r="186" spans="2:11">
      <c r="B186" s="48" t="s">
        <v>1393</v>
      </c>
      <c r="E186" s="28"/>
      <c r="F186" s="53"/>
      <c r="G186" s="142"/>
      <c r="J186" s="143"/>
      <c r="K186" s="28"/>
    </row>
    <row r="187" spans="2:11">
      <c r="B187" s="27" t="str">
        <f>'AEO14 RLT Techs'!K48</f>
        <v>RLTGLED10</v>
      </c>
      <c r="C187" s="27" t="str">
        <f>'AEO14 RLT Techs'!L48</f>
        <v>RLT.GSL.LED.10</v>
      </c>
      <c r="D187" s="27" t="s">
        <v>110</v>
      </c>
      <c r="E187" s="28"/>
      <c r="F187" s="53">
        <f>'AEO14 RLT Techs'!D48</f>
        <v>60</v>
      </c>
      <c r="G187" s="142">
        <f>F187/'Conv Factors'!$B$5/'Conv Factors'!$B$2/'Conv Factors'!$B$3/'Conv Factors'!$B$9/'Conv Factors'!$B$4*'Conv Factors'!$B$6</f>
        <v>1.9026662302137451</v>
      </c>
      <c r="H187" s="53">
        <f>'AEO14 RLT Techs'!C48</f>
        <v>25.85</v>
      </c>
      <c r="I187" s="51">
        <f>H187*'Conv Factors'!$C$53/1000/'Conv Factors'!$B$7*'Conv Factors'!$B$9</f>
        <v>23.495147266601457</v>
      </c>
      <c r="J187" s="143">
        <f>'AEO14 RLT Techs'!F48/1000</f>
        <v>25</v>
      </c>
      <c r="K187" s="51">
        <f>J187*1000/'Conv Factors'!$B$14/'Conv Factors'!$B$3</f>
        <v>34.246575342465754</v>
      </c>
    </row>
    <row r="188" spans="2:11">
      <c r="B188" s="27" t="str">
        <f>'AEO14 RLT Techs'!K52</f>
        <v>RLTGLED15</v>
      </c>
      <c r="C188" s="27" t="str">
        <f>'AEO14 RLT Techs'!L52</f>
        <v>RLT.GSL.LED.15</v>
      </c>
      <c r="D188" s="27" t="s">
        <v>110</v>
      </c>
      <c r="E188" s="28"/>
      <c r="F188" s="53">
        <f>'AEO14 RLT Techs'!D52</f>
        <v>92</v>
      </c>
      <c r="G188" s="142">
        <f>F188/'Conv Factors'!$B$5/'Conv Factors'!$B$2/'Conv Factors'!$B$3/'Conv Factors'!$B$9/'Conv Factors'!$B$4*'Conv Factors'!$B$6</f>
        <v>2.9174215529944094</v>
      </c>
      <c r="H188" s="53">
        <f>'AEO14 RLT Techs'!C52</f>
        <v>7.66</v>
      </c>
      <c r="I188" s="51">
        <f>H188*'Conv Factors'!$C$53/1000/'Conv Factors'!$B$7*'Conv Factors'!$B$9</f>
        <v>6.9621983776466987</v>
      </c>
      <c r="J188" s="143">
        <f>'AEO14 RLT Techs'!F52/1000</f>
        <v>34.020000000000003</v>
      </c>
      <c r="K188" s="51">
        <f>J188*1000/'Conv Factors'!$B$14/'Conv Factors'!$B$3</f>
        <v>46.602739726027394</v>
      </c>
    </row>
    <row r="189" spans="2:11">
      <c r="B189" s="27" t="str">
        <f>'AEO14 RLT Techs'!K57</f>
        <v>RLTGLED20</v>
      </c>
      <c r="C189" s="27" t="str">
        <f>'AEO14 RLT Techs'!L57</f>
        <v>RLT.GSL.LED.20</v>
      </c>
      <c r="D189" s="27" t="s">
        <v>110</v>
      </c>
      <c r="E189" s="28"/>
      <c r="F189" s="53">
        <f>'AEO14 RLT Techs'!D57</f>
        <v>157</v>
      </c>
      <c r="G189" s="142">
        <f>F189/'Conv Factors'!$B$5/'Conv Factors'!$B$2/'Conv Factors'!$B$3/'Conv Factors'!$B$9/'Conv Factors'!$B$4*'Conv Factors'!$B$6</f>
        <v>4.9786433023926335</v>
      </c>
      <c r="H189" s="53">
        <f>'AEO14 RLT Techs'!C57</f>
        <v>3.92</v>
      </c>
      <c r="I189" s="51">
        <f>H189*'Conv Factors'!$C$53/1000/'Conv Factors'!$B$7*'Conv Factors'!$B$9</f>
        <v>3.5629004752447853</v>
      </c>
      <c r="J189" s="143">
        <f>'AEO14 RLT Techs'!F57/1000</f>
        <v>50</v>
      </c>
      <c r="K189" s="51">
        <f>J189*1000/'Conv Factors'!$B$14/'Conv Factors'!$B$3</f>
        <v>68.493150684931507</v>
      </c>
    </row>
    <row r="190" spans="2:11">
      <c r="B190" s="27" t="str">
        <f>'AEO14 RLT Techs'!K58</f>
        <v>RLTGLED25</v>
      </c>
      <c r="C190" s="27" t="str">
        <f>'AEO14 RLT Techs'!L58</f>
        <v>RLT.GSL.LED.25</v>
      </c>
      <c r="D190" s="27" t="s">
        <v>110</v>
      </c>
      <c r="E190" s="28"/>
      <c r="F190" s="53">
        <f>'AEO14 RLT Techs'!D58</f>
        <v>179.5</v>
      </c>
      <c r="G190" s="142">
        <f>F190/'Conv Factors'!$B$5/'Conv Factors'!$B$2/'Conv Factors'!$B$3/'Conv Factors'!$B$9/'Conv Factors'!$B$4*'Conv Factors'!$B$6</f>
        <v>5.6921431387227885</v>
      </c>
      <c r="H190" s="53">
        <f>'AEO14 RLT Techs'!C58</f>
        <v>2.79</v>
      </c>
      <c r="I190" s="51">
        <f>H190*'Conv Factors'!$C$53/1000/'Conv Factors'!$B$7*'Conv Factors'!$B$9</f>
        <v>2.5358398790645285</v>
      </c>
      <c r="J190" s="143">
        <f>'AEO14 RLT Techs'!F58/1000</f>
        <v>50</v>
      </c>
      <c r="K190" s="51">
        <f>J190*1000/'Conv Factors'!$B$14/'Conv Factors'!$B$3</f>
        <v>68.493150684931507</v>
      </c>
    </row>
    <row r="191" spans="2:11">
      <c r="B191" s="27" t="str">
        <f>'AEO14 RLT Techs'!K59</f>
        <v>RLTGLED30</v>
      </c>
      <c r="C191" s="27" t="str">
        <f>'AEO14 RLT Techs'!L59</f>
        <v>RLT.GSL.LED.30</v>
      </c>
      <c r="D191" s="27" t="s">
        <v>110</v>
      </c>
      <c r="E191" s="28"/>
      <c r="F191" s="53">
        <f>'AEO14 RLT Techs'!D59</f>
        <v>202</v>
      </c>
      <c r="G191" s="142">
        <f>F191/'Conv Factors'!$B$5/'Conv Factors'!$B$2/'Conv Factors'!$B$3/'Conv Factors'!$B$9/'Conv Factors'!$B$4*'Conv Factors'!$B$6</f>
        <v>6.4056429750529427</v>
      </c>
      <c r="H191" s="53">
        <f>'AEO14 RLT Techs'!C59</f>
        <v>2.35</v>
      </c>
      <c r="I191" s="51">
        <f>H191*'Conv Factors'!$C$53/1000/'Conv Factors'!$B$7*'Conv Factors'!$B$9</f>
        <v>2.1359224787819504</v>
      </c>
      <c r="J191" s="143">
        <f>'AEO14 RLT Techs'!F59/1000</f>
        <v>50</v>
      </c>
      <c r="K191" s="51">
        <f>J191*1000/'Conv Factors'!$B$14/'Conv Factors'!$B$3</f>
        <v>68.493150684931507</v>
      </c>
    </row>
    <row r="192" spans="2:11">
      <c r="B192" s="27" t="str">
        <f>'AEO14 RLT Techs'!K60</f>
        <v>RLTGLED40</v>
      </c>
      <c r="C192" s="27" t="str">
        <f>'AEO14 RLT Techs'!L60</f>
        <v>RLT.GSL.LED.40</v>
      </c>
      <c r="D192" s="27" t="s">
        <v>110</v>
      </c>
      <c r="E192" s="28"/>
      <c r="F192" s="53">
        <f>'AEO14 RLT Techs'!D60</f>
        <v>202</v>
      </c>
      <c r="G192" s="142">
        <f>F192/'Conv Factors'!$B$5/'Conv Factors'!$B$2/'Conv Factors'!$B$3/'Conv Factors'!$B$9/'Conv Factors'!$B$4*'Conv Factors'!$B$6</f>
        <v>6.4056429750529427</v>
      </c>
      <c r="H192" s="53">
        <f>'AEO14 RLT Techs'!C60</f>
        <v>2.35</v>
      </c>
      <c r="I192" s="51">
        <f>H192*'Conv Factors'!$C$53/1000/'Conv Factors'!$B$7*'Conv Factors'!$B$9</f>
        <v>2.1359224787819504</v>
      </c>
      <c r="J192" s="143">
        <f>'AEO14 RLT Techs'!F60/1000</f>
        <v>50</v>
      </c>
      <c r="K192" s="51">
        <f>J192*1000/'Conv Factors'!$B$14/'Conv Factors'!$B$3</f>
        <v>68.493150684931507</v>
      </c>
    </row>
    <row r="193" spans="2:11">
      <c r="E193" s="28"/>
      <c r="F193" s="53"/>
      <c r="G193" s="142"/>
      <c r="H193" s="53"/>
      <c r="I193" s="51"/>
      <c r="J193" s="143"/>
      <c r="K193" s="51"/>
    </row>
    <row r="194" spans="2:11">
      <c r="B194" s="48" t="s">
        <v>1477</v>
      </c>
      <c r="E194" s="28"/>
      <c r="F194" s="53"/>
      <c r="G194" s="142"/>
      <c r="H194" s="53"/>
      <c r="I194" s="51"/>
      <c r="J194" s="143"/>
      <c r="K194" s="51"/>
    </row>
    <row r="195" spans="2:11">
      <c r="B195" s="27" t="s">
        <v>1481</v>
      </c>
      <c r="C195" s="27" t="s">
        <v>1482</v>
      </c>
      <c r="E195" s="28"/>
      <c r="F195" s="53"/>
      <c r="G195" s="142">
        <f>AVERAGE(G197:G210)</f>
        <v>0.76793723125015889</v>
      </c>
      <c r="H195" s="53"/>
      <c r="I195" s="51"/>
      <c r="J195" s="143"/>
      <c r="K195" s="51">
        <f>AVERAGE(K197:K211)</f>
        <v>5.5251141552511411</v>
      </c>
    </row>
    <row r="196" spans="2:11">
      <c r="B196" s="48" t="s">
        <v>551</v>
      </c>
      <c r="E196" s="28"/>
      <c r="F196" s="53"/>
      <c r="G196" s="142"/>
      <c r="H196" s="53"/>
      <c r="I196" s="51"/>
      <c r="J196" s="143"/>
      <c r="K196" s="51"/>
    </row>
    <row r="197" spans="2:11">
      <c r="B197" s="27" t="str">
        <f>'AEO14 RLT Techs'!K62</f>
        <v>RLTRINC10</v>
      </c>
      <c r="C197" s="27" t="str">
        <f>'AEO14 RLT Techs'!L62</f>
        <v>RLT.REF.INC.10</v>
      </c>
      <c r="D197" s="27" t="s">
        <v>110</v>
      </c>
      <c r="E197" s="28"/>
      <c r="F197" s="53">
        <f>'AEO14 RLT Techs'!D62</f>
        <v>9.6999999999999993</v>
      </c>
      <c r="G197" s="142">
        <f>F197/'Conv Factors'!$B$5/'Conv Factors'!$B$2/'Conv Factors'!$B$3/'Conv Factors'!$B$9/'Conv Factors'!$B$4*'Conv Factors'!$B$6</f>
        <v>0.30759770721788882</v>
      </c>
      <c r="H197" s="53">
        <f>'AEO14 RLT Techs'!C62</f>
        <v>3.31</v>
      </c>
      <c r="I197" s="51">
        <f>H197*'Conv Factors'!$C$53/1000/'Conv Factors'!$B$7*'Conv Factors'!$B$9</f>
        <v>3.0084695339439387</v>
      </c>
      <c r="J197" s="143">
        <f>'AEO14 RLT Techs'!F62/1000</f>
        <v>0.85</v>
      </c>
      <c r="K197" s="51">
        <f>J197*1000/'Conv Factors'!$B$14/'Conv Factors'!$B$3</f>
        <v>1.1643835616438356</v>
      </c>
    </row>
    <row r="198" spans="2:11">
      <c r="B198" s="27" t="str">
        <f>'AEO14 RLT Techs'!K63</f>
        <v>RLTRINC20</v>
      </c>
      <c r="C198" s="27" t="str">
        <f>'AEO14 RLT Techs'!L63</f>
        <v>RLT.REF.INC.20</v>
      </c>
      <c r="D198" s="27" t="s">
        <v>110</v>
      </c>
      <c r="E198" s="28"/>
      <c r="F198" s="53">
        <f>'AEO14 RLT Techs'!D63</f>
        <v>9.8000000000000007</v>
      </c>
      <c r="G198" s="142">
        <f>F198/'Conv Factors'!$B$5/'Conv Factors'!$B$2/'Conv Factors'!$B$3/'Conv Factors'!$B$9/'Conv Factors'!$B$4*'Conv Factors'!$B$6</f>
        <v>0.31076881760157848</v>
      </c>
      <c r="H198" s="53">
        <f>'AEO14 RLT Techs'!C63</f>
        <v>3.23</v>
      </c>
      <c r="I198" s="51">
        <f>H198*'Conv Factors'!$C$53/1000/'Conv Factors'!$B$7*'Conv Factors'!$B$9</f>
        <v>2.9357572793471065</v>
      </c>
      <c r="J198" s="143">
        <f>'AEO14 RLT Techs'!F63/1000</f>
        <v>0.85</v>
      </c>
      <c r="K198" s="51">
        <f>J198*1000/'Conv Factors'!$B$14/'Conv Factors'!$B$3</f>
        <v>1.1643835616438356</v>
      </c>
    </row>
    <row r="199" spans="2:11">
      <c r="B199" s="27" t="str">
        <f>'AEO14 RLT Techs'!K64</f>
        <v>RLTRINC30</v>
      </c>
      <c r="C199" s="27" t="str">
        <f>'AEO14 RLT Techs'!L64</f>
        <v>RLT.REF.INC.30</v>
      </c>
      <c r="D199" s="27" t="s">
        <v>110</v>
      </c>
      <c r="E199" s="28"/>
      <c r="F199" s="53">
        <f>'AEO14 RLT Techs'!D64</f>
        <v>9.9</v>
      </c>
      <c r="G199" s="142">
        <f>F199/'Conv Factors'!$B$5/'Conv Factors'!$B$2/'Conv Factors'!$B$3/'Conv Factors'!$B$9/'Conv Factors'!$B$4*'Conv Factors'!$B$6</f>
        <v>0.31393992798526804</v>
      </c>
      <c r="H199" s="53">
        <f>'AEO14 RLT Techs'!C64</f>
        <v>3.14</v>
      </c>
      <c r="I199" s="51">
        <f>H199*'Conv Factors'!$C$53/1000/'Conv Factors'!$B$7*'Conv Factors'!$B$9</f>
        <v>2.8539559929256701</v>
      </c>
      <c r="J199" s="143">
        <f>'AEO14 RLT Techs'!F64/1000</f>
        <v>0.85</v>
      </c>
      <c r="K199" s="51">
        <f>J199*1000/'Conv Factors'!$B$14/'Conv Factors'!$B$3</f>
        <v>1.1643835616438356</v>
      </c>
    </row>
    <row r="200" spans="2:11">
      <c r="B200" s="27" t="str">
        <f>'AEO14 RLT Techs'!K65</f>
        <v>RLTRINC40</v>
      </c>
      <c r="C200" s="27" t="str">
        <f>'AEO14 RLT Techs'!L65</f>
        <v>RLT.REF.INC.40</v>
      </c>
      <c r="D200" s="27" t="s">
        <v>110</v>
      </c>
      <c r="E200" s="28"/>
      <c r="F200" s="53">
        <f>'AEO14 RLT Techs'!D65</f>
        <v>10</v>
      </c>
      <c r="G200" s="142">
        <f>F200/'Conv Factors'!$B$5/'Conv Factors'!$B$2/'Conv Factors'!$B$3/'Conv Factors'!$B$9/'Conv Factors'!$B$4*'Conv Factors'!$B$6</f>
        <v>0.3171110383689576</v>
      </c>
      <c r="H200" s="53">
        <f>'AEO14 RLT Techs'!C65</f>
        <v>3.06</v>
      </c>
      <c r="I200" s="51">
        <f>H200*'Conv Factors'!$C$53/1000/'Conv Factors'!$B$7*'Conv Factors'!$B$9</f>
        <v>2.7812437383288375</v>
      </c>
      <c r="J200" s="143">
        <f>'AEO14 RLT Techs'!F65/1000</f>
        <v>0.85</v>
      </c>
      <c r="K200" s="51">
        <f>J200*1000/'Conv Factors'!$B$14/'Conv Factors'!$B$3</f>
        <v>1.1643835616438356</v>
      </c>
    </row>
    <row r="201" spans="2:11">
      <c r="B201" s="48" t="s">
        <v>1478</v>
      </c>
      <c r="E201" s="28"/>
      <c r="F201" s="53"/>
      <c r="G201" s="142"/>
      <c r="H201" s="53"/>
      <c r="I201" s="51"/>
      <c r="J201" s="143"/>
      <c r="K201" s="51"/>
    </row>
    <row r="202" spans="2:11">
      <c r="B202" s="27" t="str">
        <f>'AEO14 RLT Techs'!K67</f>
        <v>RLTRCFL10</v>
      </c>
      <c r="C202" s="27" t="str">
        <f>'AEO14 RLT Techs'!L67</f>
        <v>RLT.REF.CFL.10</v>
      </c>
      <c r="D202" s="27" t="s">
        <v>110</v>
      </c>
      <c r="E202" s="28"/>
      <c r="F202" s="53">
        <f>'AEO14 RLT Techs'!D67</f>
        <v>48</v>
      </c>
      <c r="G202" s="142">
        <f>F202/'Conv Factors'!$B$5/'Conv Factors'!$B$2/'Conv Factors'!$B$3/'Conv Factors'!$B$9/'Conv Factors'!$B$4*'Conv Factors'!$B$6</f>
        <v>1.5221329841709963</v>
      </c>
      <c r="H202" s="53">
        <f>'AEO14 RLT Techs'!C67</f>
        <v>6.23</v>
      </c>
      <c r="I202" s="51">
        <f>H202*'Conv Factors'!$C$53/1000/'Conv Factors'!$B$7*'Conv Factors'!$B$9</f>
        <v>5.6624668267283207</v>
      </c>
      <c r="J202" s="143">
        <f>'AEO14 RLT Techs'!F67/1000</f>
        <v>8</v>
      </c>
      <c r="K202" s="51">
        <f>J202*1000/'Conv Factors'!$B$14/'Conv Factors'!$B$3</f>
        <v>10.95890410958904</v>
      </c>
    </row>
    <row r="203" spans="2:11">
      <c r="B203" s="27" t="str">
        <f>'AEO14 RLT Techs'!K68</f>
        <v>RLTRCFL20</v>
      </c>
      <c r="C203" s="27" t="str">
        <f>'AEO14 RLT Techs'!L68</f>
        <v>RLT.REF.CFL.20</v>
      </c>
      <c r="D203" s="27" t="s">
        <v>110</v>
      </c>
      <c r="E203" s="28"/>
      <c r="F203" s="53">
        <f>'AEO14 RLT Techs'!D68</f>
        <v>50.4</v>
      </c>
      <c r="G203" s="142">
        <f>F203/'Conv Factors'!$B$5/'Conv Factors'!$B$2/'Conv Factors'!$B$3/'Conv Factors'!$B$9/'Conv Factors'!$B$4*'Conv Factors'!$B$6</f>
        <v>1.5982396333795463</v>
      </c>
      <c r="H203" s="53">
        <f>'AEO14 RLT Techs'!C68</f>
        <v>6.07</v>
      </c>
      <c r="I203" s="51">
        <f>H203*'Conv Factors'!$C$53/1000/'Conv Factors'!$B$7*'Conv Factors'!$B$9</f>
        <v>5.5170423175346555</v>
      </c>
      <c r="J203" s="143">
        <f>'AEO14 RLT Techs'!F68/1000</f>
        <v>8</v>
      </c>
      <c r="K203" s="51">
        <f>J203*1000/'Conv Factors'!$B$14/'Conv Factors'!$B$3</f>
        <v>10.95890410958904</v>
      </c>
    </row>
    <row r="204" spans="2:11">
      <c r="B204" s="27" t="str">
        <f>'AEO14 RLT Techs'!K69</f>
        <v>RLTRCFL30</v>
      </c>
      <c r="C204" s="27" t="str">
        <f>'AEO14 RLT Techs'!L69</f>
        <v>RLT.REF.CFL.30</v>
      </c>
      <c r="D204" s="27" t="s">
        <v>110</v>
      </c>
      <c r="E204" s="28"/>
      <c r="F204" s="53">
        <f>'AEO14 RLT Techs'!D69</f>
        <v>42.9</v>
      </c>
      <c r="G204" s="142">
        <f>F204/'Conv Factors'!$B$5/'Conv Factors'!$B$2/'Conv Factors'!$B$3/'Conv Factors'!$B$9/'Conv Factors'!$B$4*'Conv Factors'!$B$6</f>
        <v>1.3604063546028278</v>
      </c>
      <c r="H204" s="53">
        <f>'AEO14 RLT Techs'!C69</f>
        <v>5.92</v>
      </c>
      <c r="I204" s="51">
        <f>H204*'Conv Factors'!$C$53/1000/'Conv Factors'!$B$7*'Conv Factors'!$B$9</f>
        <v>5.380706840165594</v>
      </c>
      <c r="J204" s="143">
        <f>'AEO14 RLT Techs'!F69/1000</f>
        <v>8</v>
      </c>
      <c r="K204" s="51">
        <f>J204*1000/'Conv Factors'!$B$14/'Conv Factors'!$B$3</f>
        <v>10.95890410958904</v>
      </c>
    </row>
    <row r="205" spans="2:11">
      <c r="B205" s="27" t="str">
        <f>'AEO14 RLT Techs'!K70</f>
        <v>RLTRCFL40</v>
      </c>
      <c r="C205" s="27" t="str">
        <f>'AEO14 RLT Techs'!L70</f>
        <v>RLT.REF.CFL.40</v>
      </c>
      <c r="D205" s="27" t="s">
        <v>110</v>
      </c>
      <c r="E205" s="28"/>
      <c r="F205" s="53">
        <f>'AEO14 RLT Techs'!D70</f>
        <v>55.6</v>
      </c>
      <c r="G205" s="142">
        <f>F205/'Conv Factors'!$B$5/'Conv Factors'!$B$2/'Conv Factors'!$B$3/'Conv Factors'!$B$9/'Conv Factors'!$B$4*'Conv Factors'!$B$6</f>
        <v>1.7631373733314042</v>
      </c>
      <c r="H205" s="53">
        <f>'AEO14 RLT Techs'!C70</f>
        <v>5.77</v>
      </c>
      <c r="I205" s="51">
        <f>H205*'Conv Factors'!$C$53/1000/'Conv Factors'!$B$7*'Conv Factors'!$B$9</f>
        <v>5.2443713627965334</v>
      </c>
      <c r="J205" s="143">
        <f>'AEO14 RLT Techs'!F70/1000</f>
        <v>9</v>
      </c>
      <c r="K205" s="51">
        <f>J205*1000/'Conv Factors'!$B$14/'Conv Factors'!$B$3</f>
        <v>12.328767123287671</v>
      </c>
    </row>
    <row r="206" spans="2:11">
      <c r="B206" s="48" t="s">
        <v>109</v>
      </c>
      <c r="E206" s="28"/>
      <c r="F206" s="53"/>
      <c r="G206" s="142"/>
      <c r="H206" s="53"/>
      <c r="I206" s="51"/>
      <c r="J206" s="143"/>
      <c r="K206" s="51"/>
    </row>
    <row r="207" spans="2:11">
      <c r="B207" s="27" t="str">
        <f>'AEO14 RLT Techs'!K72</f>
        <v>RLTRHAL10</v>
      </c>
      <c r="C207" s="27" t="str">
        <f>'AEO14 RLT Techs'!L72</f>
        <v>RLT.REF.HAL.10</v>
      </c>
      <c r="D207" s="27" t="s">
        <v>110</v>
      </c>
      <c r="E207" s="28"/>
      <c r="F207" s="53">
        <f>'AEO14 RLT Techs'!D72</f>
        <v>12.6</v>
      </c>
      <c r="G207" s="142">
        <f>F207/'Conv Factors'!$B$5/'Conv Factors'!$B$2/'Conv Factors'!$B$3/'Conv Factors'!$B$9/'Conv Factors'!$B$4*'Conv Factors'!$B$6</f>
        <v>0.39955990834488658</v>
      </c>
      <c r="H207" s="53">
        <f>'AEO14 RLT Techs'!C72</f>
        <v>5.99</v>
      </c>
      <c r="I207" s="51">
        <f>H207*'Conv Factors'!$C$53/1000/'Conv Factors'!$B$7*'Conv Factors'!$B$9</f>
        <v>5.4443300629378237</v>
      </c>
      <c r="J207" s="143">
        <f>'AEO14 RLT Techs'!F72/1000</f>
        <v>3</v>
      </c>
      <c r="K207" s="51">
        <f>J207*1000/'Conv Factors'!$B$14/'Conv Factors'!$B$3</f>
        <v>4.1095890410958908</v>
      </c>
    </row>
    <row r="208" spans="2:11">
      <c r="B208" s="27" t="str">
        <f>'AEO14 RLT Techs'!K73</f>
        <v>RLTRHAL20</v>
      </c>
      <c r="C208" s="27" t="str">
        <f>'AEO14 RLT Techs'!L73</f>
        <v>RLT.REF.HAL.20</v>
      </c>
      <c r="D208" s="27" t="s">
        <v>110</v>
      </c>
      <c r="E208" s="28"/>
      <c r="F208" s="53">
        <f>'AEO14 RLT Techs'!D73</f>
        <v>13.2</v>
      </c>
      <c r="G208" s="142">
        <f>F208/'Conv Factors'!$B$5/'Conv Factors'!$B$2/'Conv Factors'!$B$3/'Conv Factors'!$B$9/'Conv Factors'!$B$4*'Conv Factors'!$B$6</f>
        <v>0.41858657064702398</v>
      </c>
      <c r="H208" s="53">
        <f>'AEO14 RLT Techs'!C73</f>
        <v>5.85</v>
      </c>
      <c r="I208" s="51">
        <f>H208*'Conv Factors'!$C$53/1000/'Conv Factors'!$B$7*'Conv Factors'!$B$9</f>
        <v>5.317083617393366</v>
      </c>
      <c r="J208" s="143">
        <f>'AEO14 RLT Techs'!F73/1000</f>
        <v>3</v>
      </c>
      <c r="K208" s="51">
        <f>J208*1000/'Conv Factors'!$B$14/'Conv Factors'!$B$3</f>
        <v>4.1095890410958908</v>
      </c>
    </row>
    <row r="209" spans="2:11">
      <c r="B209" s="27" t="str">
        <f>'AEO14 RLT Techs'!K74</f>
        <v>RLTRHAL30</v>
      </c>
      <c r="C209" s="27" t="str">
        <f>'AEO14 RLT Techs'!L74</f>
        <v>RLT.REF.HAL.30</v>
      </c>
      <c r="D209" s="27" t="s">
        <v>110</v>
      </c>
      <c r="E209" s="28"/>
      <c r="F209" s="53">
        <f>'AEO14 RLT Techs'!D74</f>
        <v>13.9</v>
      </c>
      <c r="G209" s="142">
        <f>F209/'Conv Factors'!$B$5/'Conv Factors'!$B$2/'Conv Factors'!$B$3/'Conv Factors'!$B$9/'Conv Factors'!$B$4*'Conv Factors'!$B$6</f>
        <v>0.44078434333285105</v>
      </c>
      <c r="H209" s="53">
        <f>'AEO14 RLT Techs'!C74</f>
        <v>5.7</v>
      </c>
      <c r="I209" s="51">
        <f>H209*'Conv Factors'!$C$53/1000/'Conv Factors'!$B$7*'Conv Factors'!$B$9</f>
        <v>5.1807481400243054</v>
      </c>
      <c r="J209" s="143">
        <f>'AEO14 RLT Techs'!F74/1000</f>
        <v>3</v>
      </c>
      <c r="K209" s="51">
        <f>J209*1000/'Conv Factors'!$B$14/'Conv Factors'!$B$3</f>
        <v>4.1095890410958908</v>
      </c>
    </row>
    <row r="210" spans="2:11">
      <c r="B210" s="27" t="str">
        <f>'AEO14 RLT Techs'!K75</f>
        <v>RLTRHAL40</v>
      </c>
      <c r="C210" s="27" t="str">
        <f>'AEO14 RLT Techs'!L75</f>
        <v>RLT.REF.HAL.40</v>
      </c>
      <c r="D210" s="27" t="s">
        <v>110</v>
      </c>
      <c r="E210" s="28"/>
      <c r="F210" s="53">
        <f>'AEO14 RLT Techs'!D75</f>
        <v>14.6</v>
      </c>
      <c r="G210" s="142">
        <f>F210/'Conv Factors'!$B$5/'Conv Factors'!$B$2/'Conv Factors'!$B$3/'Conv Factors'!$B$9/'Conv Factors'!$B$4*'Conv Factors'!$B$6</f>
        <v>0.46298211601867806</v>
      </c>
      <c r="H210" s="53">
        <f>'AEO14 RLT Techs'!C75</f>
        <v>5.55</v>
      </c>
      <c r="I210" s="51">
        <f>H210*'Conv Factors'!$C$53/1000/'Conv Factors'!$B$7*'Conv Factors'!$B$9</f>
        <v>5.0444126626552448</v>
      </c>
      <c r="J210" s="143">
        <f>'AEO14 RLT Techs'!F75/1000</f>
        <v>3</v>
      </c>
      <c r="K210" s="51">
        <f>J210*1000/'Conv Factors'!$B$14/'Conv Factors'!$B$3</f>
        <v>4.1095890410958908</v>
      </c>
    </row>
    <row r="211" spans="2:11">
      <c r="B211" s="48" t="s">
        <v>1393</v>
      </c>
      <c r="E211" s="28"/>
      <c r="F211" s="53"/>
      <c r="G211" s="142"/>
      <c r="H211" s="53"/>
      <c r="I211" s="51"/>
      <c r="J211" s="143"/>
      <c r="K211" s="51"/>
    </row>
    <row r="212" spans="2:11">
      <c r="B212" s="27" t="str">
        <f>'AEO14 RLT Techs'!K78</f>
        <v>RLTRLED10</v>
      </c>
      <c r="C212" s="27" t="str">
        <f>'AEO14 RLT Techs'!L78</f>
        <v>RLT.REF.LED.10</v>
      </c>
      <c r="D212" s="27" t="s">
        <v>110</v>
      </c>
      <c r="E212" s="28"/>
      <c r="F212" s="53">
        <f>'AEO14 RLT Techs'!D78</f>
        <v>50</v>
      </c>
      <c r="G212" s="142">
        <f>F212/'Conv Factors'!$B$5/'Conv Factors'!$B$2/'Conv Factors'!$B$3/'Conv Factors'!$B$9/'Conv Factors'!$B$4*'Conv Factors'!$B$6</f>
        <v>1.5855551918447879</v>
      </c>
      <c r="H212" s="53">
        <f>'AEO14 RLT Techs'!C78</f>
        <v>49.93</v>
      </c>
      <c r="I212" s="51">
        <f>H212*'Conv Factors'!$C$53/1000/'Conv Factors'!$B$7*'Conv Factors'!$B$9</f>
        <v>45.381535900247997</v>
      </c>
      <c r="J212" s="143">
        <f>'AEO14 RLT Techs'!F78/1000</f>
        <v>25</v>
      </c>
      <c r="K212" s="51">
        <f>J212*1000/'Conv Factors'!$B$14/'Conv Factors'!$B$3</f>
        <v>34.246575342465754</v>
      </c>
    </row>
    <row r="213" spans="2:11">
      <c r="B213" s="27" t="str">
        <f>'AEO14 RLT Techs'!K82</f>
        <v>RLTRLED15</v>
      </c>
      <c r="C213" s="27" t="str">
        <f>'AEO14 RLT Techs'!L82</f>
        <v>RLT.REF.LED.15</v>
      </c>
      <c r="D213" s="27" t="s">
        <v>110</v>
      </c>
      <c r="E213" s="28"/>
      <c r="F213" s="53">
        <f>'AEO14 RLT Techs'!D82</f>
        <v>83.1</v>
      </c>
      <c r="G213" s="142">
        <f>F213/'Conv Factors'!$B$5/'Conv Factors'!$B$2/'Conv Factors'!$B$3/'Conv Factors'!$B$9/'Conv Factors'!$B$4*'Conv Factors'!$B$6</f>
        <v>2.6351927288460373</v>
      </c>
      <c r="H213" s="53">
        <f>'AEO14 RLT Techs'!C82</f>
        <v>20.66</v>
      </c>
      <c r="I213" s="51">
        <f>H213*'Conv Factors'!$C$53/1000/'Conv Factors'!$B$7*'Conv Factors'!$B$9</f>
        <v>18.777939749631958</v>
      </c>
      <c r="J213" s="143">
        <f>'AEO14 RLT Techs'!F82/1000</f>
        <v>34.020000000000003</v>
      </c>
      <c r="K213" s="51">
        <f>J213*1000/'Conv Factors'!$B$14/'Conv Factors'!$B$3</f>
        <v>46.602739726027394</v>
      </c>
    </row>
    <row r="214" spans="2:11">
      <c r="B214" s="27" t="str">
        <f>'AEO14 RLT Techs'!K87</f>
        <v>RLTRLED20</v>
      </c>
      <c r="C214" s="27" t="str">
        <f>'AEO14 RLT Techs'!L87</f>
        <v>RLT.REF.LED.20</v>
      </c>
      <c r="D214" s="27" t="s">
        <v>110</v>
      </c>
      <c r="E214" s="28"/>
      <c r="F214" s="53">
        <f>'AEO14 RLT Techs'!D87</f>
        <v>157</v>
      </c>
      <c r="G214" s="142">
        <f>F214/'Conv Factors'!$B$5/'Conv Factors'!$B$2/'Conv Factors'!$B$3/'Conv Factors'!$B$9/'Conv Factors'!$B$4*'Conv Factors'!$B$6</f>
        <v>4.9786433023926335</v>
      </c>
      <c r="H214" s="53">
        <f>'AEO14 RLT Techs'!C87</f>
        <v>6.85</v>
      </c>
      <c r="I214" s="51">
        <f>H214*'Conv Factors'!$C$53/1000/'Conv Factors'!$B$7*'Conv Factors'!$B$9</f>
        <v>6.2259867998537697</v>
      </c>
      <c r="J214" s="143">
        <f>'AEO14 RLT Techs'!F87/1000</f>
        <v>50</v>
      </c>
      <c r="K214" s="51">
        <f>J214*1000/'Conv Factors'!$B$14/'Conv Factors'!$B$3</f>
        <v>68.493150684931507</v>
      </c>
    </row>
    <row r="215" spans="2:11">
      <c r="B215" s="27" t="str">
        <f>'AEO14 RLT Techs'!K88</f>
        <v>RLTRLED25</v>
      </c>
      <c r="C215" s="27" t="str">
        <f>'AEO14 RLT Techs'!L88</f>
        <v>RLT.REF.LED.25</v>
      </c>
      <c r="D215" s="27" t="s">
        <v>110</v>
      </c>
      <c r="E215" s="28"/>
      <c r="F215" s="53">
        <f>'AEO14 RLT Techs'!D88</f>
        <v>180</v>
      </c>
      <c r="G215" s="142">
        <f>F215/'Conv Factors'!$B$5/'Conv Factors'!$B$2/'Conv Factors'!$B$3/'Conv Factors'!$B$9/'Conv Factors'!$B$4*'Conv Factors'!$B$6</f>
        <v>5.7079986906412357</v>
      </c>
      <c r="H215" s="53">
        <f>'AEO14 RLT Techs'!C88</f>
        <v>5.87</v>
      </c>
      <c r="I215" s="51">
        <f>H215*'Conv Factors'!$C$53/1000/'Conv Factors'!$B$7*'Conv Factors'!$B$9</f>
        <v>5.3352616810425744</v>
      </c>
      <c r="J215" s="143">
        <f>'AEO14 RLT Techs'!F88/1000</f>
        <v>50</v>
      </c>
      <c r="K215" s="51">
        <f>J215*1000/'Conv Factors'!$B$14/'Conv Factors'!$B$3</f>
        <v>68.493150684931507</v>
      </c>
    </row>
    <row r="216" spans="2:11">
      <c r="B216" s="27" t="str">
        <f>'AEO14 RLT Techs'!K89</f>
        <v>RLTRLED30</v>
      </c>
      <c r="C216" s="27" t="str">
        <f>'AEO14 RLT Techs'!L89</f>
        <v>RLT.REF.LED.30</v>
      </c>
      <c r="D216" s="27" t="s">
        <v>110</v>
      </c>
      <c r="E216" s="28"/>
      <c r="F216" s="53">
        <f>'AEO14 RLT Techs'!D89</f>
        <v>202</v>
      </c>
      <c r="G216" s="142">
        <f>F216/'Conv Factors'!$B$5/'Conv Factors'!$B$2/'Conv Factors'!$B$3/'Conv Factors'!$B$9/'Conv Factors'!$B$4*'Conv Factors'!$B$6</f>
        <v>6.4056429750529427</v>
      </c>
      <c r="H216" s="53">
        <f>'AEO14 RLT Techs'!C89</f>
        <v>4.9000000000000004</v>
      </c>
      <c r="I216" s="51">
        <f>H216*'Conv Factors'!$C$53/1000/'Conv Factors'!$B$7*'Conv Factors'!$B$9</f>
        <v>4.453625594055981</v>
      </c>
      <c r="J216" s="143">
        <f>'AEO14 RLT Techs'!F89/1000</f>
        <v>50</v>
      </c>
      <c r="K216" s="51">
        <f>J216*1000/'Conv Factors'!$B$14/'Conv Factors'!$B$3</f>
        <v>68.493150684931507</v>
      </c>
    </row>
    <row r="217" spans="2:11">
      <c r="E217" s="28"/>
      <c r="F217" s="53"/>
      <c r="G217" s="142"/>
      <c r="H217" s="53"/>
      <c r="I217" s="51"/>
      <c r="J217" s="143"/>
      <c r="K217" s="51"/>
    </row>
    <row r="218" spans="2:11" ht="13.5" customHeight="1">
      <c r="B218" s="48" t="s">
        <v>1479</v>
      </c>
      <c r="E218" s="28"/>
      <c r="F218" s="53"/>
      <c r="G218" s="142"/>
      <c r="H218" s="53"/>
      <c r="I218" s="51"/>
      <c r="J218" s="143"/>
      <c r="K218" s="51"/>
    </row>
    <row r="219" spans="2:11">
      <c r="B219" s="27" t="s">
        <v>1483</v>
      </c>
      <c r="C219" s="27" t="s">
        <v>1484</v>
      </c>
      <c r="D219" s="27" t="s">
        <v>110</v>
      </c>
      <c r="E219" s="28"/>
      <c r="F219" s="53">
        <f>AVERAGE(F220:F222)</f>
        <v>71.533333333333346</v>
      </c>
      <c r="G219" s="142">
        <f>F219/'Conv Factors'!$B$5/'Conv Factors'!$B$2/'Conv Factors'!$B$3/'Conv Factors'!$B$9/'Conv Factors'!$B$4*'Conv Factors'!$B$6</f>
        <v>2.2684009611326106</v>
      </c>
      <c r="H219" s="53"/>
      <c r="I219" s="51"/>
      <c r="J219" s="143">
        <f>J220</f>
        <v>24</v>
      </c>
      <c r="K219" s="51">
        <f>J219*1000/'Conv Factors'!$B$14/'Conv Factors'!$B$3</f>
        <v>32.876712328767127</v>
      </c>
    </row>
    <row r="220" spans="2:11">
      <c r="B220" s="27" t="str">
        <f>'AEO14 RLT Techs'!K92</f>
        <v>RLTLT1210</v>
      </c>
      <c r="C220" s="27" t="str">
        <f>'AEO14 RLT Techs'!L92</f>
        <v>RLT.LFL.T12.10</v>
      </c>
      <c r="D220" s="27" t="s">
        <v>110</v>
      </c>
      <c r="E220" s="28"/>
      <c r="F220" s="53">
        <f>'AEO14 RLT Techs'!D92</f>
        <v>63.1</v>
      </c>
      <c r="G220" s="142">
        <f>F220/'Conv Factors'!$B$5/'Conv Factors'!$B$2/'Conv Factors'!$B$3/'Conv Factors'!$B$9/'Conv Factors'!$B$4*'Conv Factors'!$B$6</f>
        <v>2.0009706521081223</v>
      </c>
      <c r="H220" s="53">
        <f>'AEO14 RLT Techs'!C92</f>
        <v>5.79</v>
      </c>
      <c r="I220" s="51">
        <f>H220*'Conv Factors'!$C$53/1000/'Conv Factors'!$B$7*'Conv Factors'!$B$9</f>
        <v>5.2625494264457418</v>
      </c>
      <c r="J220" s="143">
        <f>'AEO14 RLT Techs'!F92/1000</f>
        <v>24</v>
      </c>
      <c r="K220" s="51">
        <f>J220*1000/'Conv Factors'!$B$14/'Conv Factors'!$B$3</f>
        <v>32.876712328767127</v>
      </c>
    </row>
    <row r="221" spans="2:11">
      <c r="B221" s="27" t="str">
        <f>'AEO14 RLT Techs'!K95</f>
        <v>RLTLT810</v>
      </c>
      <c r="C221" s="27" t="str">
        <f>'AEO14 RLT Techs'!L95</f>
        <v>RLT.LFL.T8.10</v>
      </c>
      <c r="D221" s="27" t="s">
        <v>110</v>
      </c>
      <c r="E221" s="28"/>
      <c r="F221" s="53">
        <f>'AEO14 RLT Techs'!D95</f>
        <v>73.8</v>
      </c>
      <c r="G221" s="142">
        <f>F221/'Conv Factors'!$B$5/'Conv Factors'!$B$2/'Conv Factors'!$B$3/'Conv Factors'!$B$9/'Conv Factors'!$B$4*'Conv Factors'!$B$6</f>
        <v>2.3402794631629069</v>
      </c>
      <c r="H221" s="53">
        <f>'AEO14 RLT Techs'!C95</f>
        <v>2.61</v>
      </c>
      <c r="I221" s="51">
        <f>H221*'Conv Factors'!$C$53/1000/'Conv Factors'!$B$7*'Conv Factors'!$B$9</f>
        <v>2.3722373062216562</v>
      </c>
      <c r="J221" s="143">
        <f>'AEO14 RLT Techs'!F95/1000</f>
        <v>24</v>
      </c>
      <c r="K221" s="51">
        <f>J221*1000/'Conv Factors'!$B$14/'Conv Factors'!$B$3</f>
        <v>32.876712328767127</v>
      </c>
    </row>
    <row r="222" spans="2:11">
      <c r="B222" s="27" t="str">
        <f>'AEO14 RLT Techs'!K97</f>
        <v>RLTLT830</v>
      </c>
      <c r="C222" s="27" t="str">
        <f>'AEO14 RLT Techs'!L97</f>
        <v>RLT.LFL.T8.30</v>
      </c>
      <c r="D222" s="27" t="s">
        <v>110</v>
      </c>
      <c r="E222" s="28"/>
      <c r="F222" s="53">
        <f>'AEO14 RLT Techs'!D97</f>
        <v>77.7</v>
      </c>
      <c r="G222" s="142">
        <f>F222/'Conv Factors'!$B$5/'Conv Factors'!$B$2/'Conv Factors'!$B$3/'Conv Factors'!$B$9/'Conv Factors'!$B$4*'Conv Factors'!$B$6</f>
        <v>2.4639527681268003</v>
      </c>
      <c r="H222" s="53">
        <f>'AEO14 RLT Techs'!C97</f>
        <v>2.65</v>
      </c>
      <c r="I222" s="51">
        <f>H222*'Conv Factors'!$C$53/1000/'Conv Factors'!$B$7*'Conv Factors'!$B$9</f>
        <v>2.4085934335200716</v>
      </c>
      <c r="J222" s="143">
        <f>'AEO14 RLT Techs'!F97/1000</f>
        <v>26</v>
      </c>
      <c r="K222" s="51">
        <f>J222*1000/'Conv Factors'!$B$14/'Conv Factors'!$B$3</f>
        <v>35.61643835616438</v>
      </c>
    </row>
    <row r="223" spans="2:11">
      <c r="B223" s="27" t="str">
        <f>'AEO14 RLT Techs'!K100</f>
        <v>RLTLLED10</v>
      </c>
      <c r="C223" s="27" t="str">
        <f>'AEO14 RLT Techs'!L100</f>
        <v>RLT.LFL.LED.10</v>
      </c>
      <c r="D223" s="27" t="s">
        <v>110</v>
      </c>
      <c r="E223" s="28"/>
      <c r="F223" s="53">
        <f>'AEO14 RLT Techs'!D100</f>
        <v>50</v>
      </c>
      <c r="G223" s="142">
        <f>F223/'Conv Factors'!$B$5/'Conv Factors'!$B$2/'Conv Factors'!$B$3/'Conv Factors'!$B$9/'Conv Factors'!$B$4*'Conv Factors'!$B$6</f>
        <v>1.5855551918447879</v>
      </c>
      <c r="H223" s="53">
        <f>'AEO14 RLT Techs'!C100</f>
        <v>99</v>
      </c>
      <c r="I223" s="51">
        <f>H223*'Conv Factors'!$C$53/1000/'Conv Factors'!$B$7*'Conv Factors'!$B$9</f>
        <v>89.981415063580044</v>
      </c>
      <c r="J223" s="143">
        <f>'AEO14 RLT Techs'!F100/1000</f>
        <v>50</v>
      </c>
      <c r="K223" s="51">
        <f>J223*1000/'Conv Factors'!$B$14/'Conv Factors'!$B$3</f>
        <v>68.493150684931507</v>
      </c>
    </row>
    <row r="224" spans="2:11">
      <c r="B224" s="27" t="str">
        <f>'AEO14 RLT Techs'!K101</f>
        <v>RLTLLED15</v>
      </c>
      <c r="C224" s="27" t="str">
        <f>'AEO14 RLT Techs'!L101</f>
        <v>RLT.LFL.LED.15</v>
      </c>
      <c r="D224" s="27" t="s">
        <v>110</v>
      </c>
      <c r="E224" s="28"/>
      <c r="F224" s="53">
        <f>'AEO14 RLT Techs'!D101</f>
        <v>107</v>
      </c>
      <c r="G224" s="142">
        <f>F224/'Conv Factors'!$B$5/'Conv Factors'!$B$2/'Conv Factors'!$B$3/'Conv Factors'!$B$9/'Conv Factors'!$B$4*'Conv Factors'!$B$6</f>
        <v>3.3930881105478461</v>
      </c>
      <c r="H224" s="53">
        <f>'AEO14 RLT Techs'!C101</f>
        <v>60</v>
      </c>
      <c r="I224" s="51">
        <f>H224*'Conv Factors'!$C$53/1000/'Conv Factors'!$B$7*'Conv Factors'!$B$9</f>
        <v>54.534190947624268</v>
      </c>
      <c r="J224" s="143">
        <f>'AEO14 RLT Techs'!F101/1000</f>
        <v>50</v>
      </c>
      <c r="K224" s="51">
        <f>J224*1000/'Conv Factors'!$B$14/'Conv Factors'!$B$3</f>
        <v>68.493150684931507</v>
      </c>
    </row>
    <row r="225" spans="2:11">
      <c r="B225" s="27" t="str">
        <f>'AEO14 RLT Techs'!K102</f>
        <v>RLTLLED20</v>
      </c>
      <c r="C225" s="27" t="str">
        <f>'AEO14 RLT Techs'!L102</f>
        <v>RLT.LFL.LED.20</v>
      </c>
      <c r="D225" s="27" t="s">
        <v>110</v>
      </c>
      <c r="E225" s="28"/>
      <c r="F225" s="53">
        <f>'AEO14 RLT Techs'!D102</f>
        <v>157</v>
      </c>
      <c r="G225" s="142">
        <f>F225/'Conv Factors'!$B$5/'Conv Factors'!$B$2/'Conv Factors'!$B$3/'Conv Factors'!$B$9/'Conv Factors'!$B$4*'Conv Factors'!$B$6</f>
        <v>4.9786433023926335</v>
      </c>
      <c r="H225" s="53">
        <f>'AEO14 RLT Techs'!C102</f>
        <v>15</v>
      </c>
      <c r="I225" s="51">
        <f>H225*'Conv Factors'!$C$53/1000/'Conv Factors'!$B$7*'Conv Factors'!$B$9</f>
        <v>13.633547736906067</v>
      </c>
      <c r="J225" s="143">
        <f>'AEO14 RLT Techs'!F102/1000</f>
        <v>50</v>
      </c>
      <c r="K225" s="51">
        <f>J225*1000/'Conv Factors'!$B$14/'Conv Factors'!$B$3</f>
        <v>68.493150684931507</v>
      </c>
    </row>
    <row r="226" spans="2:11">
      <c r="B226" s="27" t="str">
        <f>'AEO14 RLT Techs'!K103</f>
        <v>RLTLLED30</v>
      </c>
      <c r="C226" s="27" t="str">
        <f>'AEO14 RLT Techs'!L103</f>
        <v>RLT.LFL.LED.30</v>
      </c>
      <c r="D226" s="27" t="s">
        <v>110</v>
      </c>
      <c r="E226" s="28"/>
      <c r="F226" s="53">
        <f>'AEO14 RLT Techs'!D103</f>
        <v>157</v>
      </c>
      <c r="G226" s="142">
        <f>F226/'Conv Factors'!$B$5/'Conv Factors'!$B$2/'Conv Factors'!$B$3/'Conv Factors'!$B$9/'Conv Factors'!$B$4*'Conv Factors'!$B$6</f>
        <v>4.9786433023926335</v>
      </c>
      <c r="H226" s="53">
        <f>'AEO14 RLT Techs'!C103</f>
        <v>12</v>
      </c>
      <c r="I226" s="51">
        <f>H226*'Conv Factors'!$C$53/1000/'Conv Factors'!$B$7*'Conv Factors'!$B$9</f>
        <v>10.906838189524851</v>
      </c>
      <c r="J226" s="143">
        <f>'AEO14 RLT Techs'!F103/1000</f>
        <v>50</v>
      </c>
      <c r="K226" s="51">
        <f>J226*1000/'Conv Factors'!$B$14/'Conv Factors'!$B$3</f>
        <v>68.493150684931507</v>
      </c>
    </row>
    <row r="227" spans="2:11">
      <c r="E227" s="28"/>
      <c r="F227" s="53"/>
      <c r="G227" s="142"/>
      <c r="H227" s="53"/>
      <c r="I227" s="51"/>
      <c r="J227" s="143"/>
      <c r="K227" s="51"/>
    </row>
    <row r="228" spans="2:11">
      <c r="B228" s="48" t="s">
        <v>1480</v>
      </c>
      <c r="E228" s="28"/>
      <c r="F228" s="53"/>
      <c r="G228" s="142"/>
      <c r="H228" s="53"/>
      <c r="I228" s="51"/>
      <c r="J228" s="143"/>
      <c r="K228" s="51"/>
    </row>
    <row r="229" spans="2:11">
      <c r="B229" s="27" t="s">
        <v>1485</v>
      </c>
      <c r="C229" s="27" t="s">
        <v>1486</v>
      </c>
      <c r="E229" s="28"/>
      <c r="F229" s="53"/>
      <c r="G229" s="142">
        <f>AVERAGE(G231:G243)</f>
        <v>1.3102451539881022</v>
      </c>
      <c r="H229" s="53"/>
      <c r="I229" s="51"/>
      <c r="J229" s="143"/>
      <c r="K229" s="51">
        <f>AVERAGE(K231:K243)</f>
        <v>11.202864259028644</v>
      </c>
    </row>
    <row r="230" spans="2:11">
      <c r="B230" s="48" t="s">
        <v>551</v>
      </c>
      <c r="E230" s="28"/>
      <c r="F230" s="53"/>
      <c r="G230" s="142"/>
      <c r="H230" s="53"/>
      <c r="I230" s="51"/>
      <c r="J230" s="143"/>
      <c r="K230" s="51"/>
    </row>
    <row r="231" spans="2:11">
      <c r="B231" s="27" t="str">
        <f>'AEO14 RLT Techs'!K105</f>
        <v>RLTEINC10</v>
      </c>
      <c r="C231" s="27" t="str">
        <f>'AEO14 RLT Techs'!L105</f>
        <v>RLT.EXT.INC.10</v>
      </c>
      <c r="D231" s="27" t="s">
        <v>110</v>
      </c>
      <c r="E231" s="28"/>
      <c r="F231" s="53">
        <f>'AEO14 RLT Techs'!D105</f>
        <v>12.27</v>
      </c>
      <c r="G231" s="142">
        <f>F231/'Conv Factors'!$B$5/'Conv Factors'!$B$2/'Conv Factors'!$B$3/'Conv Factors'!$B$9/'Conv Factors'!$B$4*'Conv Factors'!$B$6</f>
        <v>0.38909524407871099</v>
      </c>
      <c r="H231" s="53">
        <f>'AEO14 RLT Techs'!C105</f>
        <v>3.21</v>
      </c>
      <c r="I231" s="51">
        <f>H231*'Conv Factors'!$C$53/1000/'Conv Factors'!$B$7*'Conv Factors'!$B$9</f>
        <v>2.9175792156978977</v>
      </c>
      <c r="J231" s="143">
        <f>'AEO14 RLT Techs'!F105/1000</f>
        <v>1.5669999999999999</v>
      </c>
      <c r="K231" s="51">
        <f>J231*1000/'Conv Factors'!$B$14/'Conv Factors'!$B$3</f>
        <v>2.1465753424657534</v>
      </c>
    </row>
    <row r="232" spans="2:11">
      <c r="B232" s="27" t="str">
        <f>'AEO14 RLT Techs'!K107</f>
        <v>RLTEINC15</v>
      </c>
      <c r="C232" s="27" t="str">
        <f>'AEO14 RLT Techs'!L107</f>
        <v>RLT.EXT.INC.15</v>
      </c>
      <c r="D232" s="27" t="s">
        <v>110</v>
      </c>
      <c r="E232" s="28"/>
      <c r="F232" s="53">
        <f>'AEO14 RLT Techs'!D107</f>
        <v>14.03</v>
      </c>
      <c r="G232" s="142">
        <f>F232/'Conv Factors'!$B$5/'Conv Factors'!$B$2/'Conv Factors'!$B$3/'Conv Factors'!$B$9/'Conv Factors'!$B$4*'Conv Factors'!$B$6</f>
        <v>0.44490678683164742</v>
      </c>
      <c r="H232" s="53">
        <f>'AEO14 RLT Techs'!C107</f>
        <v>3.67</v>
      </c>
      <c r="I232" s="51">
        <f>H232*'Conv Factors'!$C$53/1000/'Conv Factors'!$B$7*'Conv Factors'!$B$9</f>
        <v>3.3356746796296841</v>
      </c>
      <c r="J232" s="143">
        <f>'AEO14 RLT Techs'!F107/1000</f>
        <v>1.617</v>
      </c>
      <c r="K232" s="51">
        <f>J232*1000/'Conv Factors'!$B$14/'Conv Factors'!$B$3</f>
        <v>2.2150684931506848</v>
      </c>
    </row>
    <row r="233" spans="2:11">
      <c r="B233" s="27" t="str">
        <f>'AEO14 RLT Techs'!K108</f>
        <v>RLTEINC20</v>
      </c>
      <c r="C233" s="27" t="str">
        <f>'AEO14 RLT Techs'!L108</f>
        <v>RLT.EXT.INC.20</v>
      </c>
      <c r="D233" s="27" t="s">
        <v>110</v>
      </c>
      <c r="E233" s="28"/>
      <c r="F233" s="53">
        <f>'AEO14 RLT Techs'!D108</f>
        <v>11.5</v>
      </c>
      <c r="G233" s="142">
        <f>F233/'Conv Factors'!$B$5/'Conv Factors'!$B$2/'Conv Factors'!$B$3/'Conv Factors'!$B$9/'Conv Factors'!$B$4*'Conv Factors'!$B$6</f>
        <v>0.36467769412430118</v>
      </c>
      <c r="H233" s="53">
        <f>'AEO14 RLT Techs'!C108</f>
        <v>4.54</v>
      </c>
      <c r="I233" s="51">
        <f>H233*'Conv Factors'!$C$53/1000/'Conv Factors'!$B$7*'Conv Factors'!$B$9</f>
        <v>4.1264204483702365</v>
      </c>
      <c r="J233" s="143">
        <f>'AEO14 RLT Techs'!F108/1000</f>
        <v>1.925</v>
      </c>
      <c r="K233" s="51">
        <f>J233*1000/'Conv Factors'!$B$14/'Conv Factors'!$B$3</f>
        <v>2.6369863013698631</v>
      </c>
    </row>
    <row r="234" spans="2:11">
      <c r="B234" s="27" t="str">
        <f>'AEO14 RLT Techs'!K109</f>
        <v>RLTEINC30</v>
      </c>
      <c r="C234" s="27" t="str">
        <f>'AEO14 RLT Techs'!L109</f>
        <v>RLT.EXT.INC.30</v>
      </c>
      <c r="D234" s="27" t="s">
        <v>110</v>
      </c>
      <c r="E234" s="28"/>
      <c r="F234" s="53">
        <f>'AEO14 RLT Techs'!D109</f>
        <v>11.9</v>
      </c>
      <c r="G234" s="142">
        <f>F234/'Conv Factors'!$B$5/'Conv Factors'!$B$2/'Conv Factors'!$B$3/'Conv Factors'!$B$9/'Conv Factors'!$B$4*'Conv Factors'!$B$6</f>
        <v>0.37736213565905952</v>
      </c>
      <c r="H234" s="53">
        <f>'AEO14 RLT Techs'!C109</f>
        <v>4.43</v>
      </c>
      <c r="I234" s="51">
        <f>H234*'Conv Factors'!$C$53/1000/'Conv Factors'!$B$7*'Conv Factors'!$B$9</f>
        <v>4.0264410982995917</v>
      </c>
      <c r="J234" s="143">
        <f>'AEO14 RLT Techs'!F109/1000</f>
        <v>1.925</v>
      </c>
      <c r="K234" s="51">
        <f>J234*1000/'Conv Factors'!$B$14/'Conv Factors'!$B$3</f>
        <v>2.6369863013698631</v>
      </c>
    </row>
    <row r="235" spans="2:11">
      <c r="B235" s="27" t="str">
        <f>'AEO14 RLT Techs'!K110</f>
        <v>RLTEINC40</v>
      </c>
      <c r="C235" s="27" t="str">
        <f>'AEO14 RLT Techs'!L110</f>
        <v>RLT.EXT.INC.40</v>
      </c>
      <c r="D235" s="27" t="s">
        <v>110</v>
      </c>
      <c r="E235" s="28"/>
      <c r="F235" s="53">
        <f>'AEO14 RLT Techs'!D110</f>
        <v>12.3</v>
      </c>
      <c r="G235" s="142">
        <f>F235/'Conv Factors'!$B$5/'Conv Factors'!$B$2/'Conv Factors'!$B$3/'Conv Factors'!$B$9/'Conv Factors'!$B$4*'Conv Factors'!$B$6</f>
        <v>0.39004657719381786</v>
      </c>
      <c r="H235" s="53">
        <f>'AEO14 RLT Techs'!C110</f>
        <v>4.3099999999999996</v>
      </c>
      <c r="I235" s="51">
        <f>H235*'Conv Factors'!$C$53/1000/'Conv Factors'!$B$7*'Conv Factors'!$B$9</f>
        <v>3.9173727164043424</v>
      </c>
      <c r="J235" s="143">
        <f>'AEO14 RLT Techs'!F110/1000</f>
        <v>1.925</v>
      </c>
      <c r="K235" s="51">
        <f>J235*1000/'Conv Factors'!$B$14/'Conv Factors'!$B$3</f>
        <v>2.6369863013698631</v>
      </c>
    </row>
    <row r="236" spans="2:11">
      <c r="B236" s="48" t="s">
        <v>1478</v>
      </c>
      <c r="E236" s="28"/>
      <c r="F236" s="53"/>
      <c r="G236" s="142"/>
      <c r="H236" s="53"/>
      <c r="I236" s="51"/>
      <c r="J236" s="143"/>
      <c r="K236" s="51"/>
    </row>
    <row r="237" spans="2:11">
      <c r="B237" s="27" t="str">
        <f>'AEO14 RLT Techs'!K112</f>
        <v>RLTECFL10</v>
      </c>
      <c r="C237" s="27" t="str">
        <f>'AEO14 RLT Techs'!L112</f>
        <v>RLT.EXT.CFL.10</v>
      </c>
      <c r="D237" s="27" t="s">
        <v>110</v>
      </c>
      <c r="E237" s="28"/>
      <c r="F237" s="53">
        <f>'AEO14 RLT Techs'!D112</f>
        <v>48</v>
      </c>
      <c r="G237" s="142">
        <f>F237/'Conv Factors'!$B$5/'Conv Factors'!$B$2/'Conv Factors'!$B$3/'Conv Factors'!$B$9/'Conv Factors'!$B$4*'Conv Factors'!$B$6</f>
        <v>1.5221329841709963</v>
      </c>
      <c r="H237" s="53">
        <f>'AEO14 RLT Techs'!C112</f>
        <v>6.23</v>
      </c>
      <c r="I237" s="51">
        <f>H237*'Conv Factors'!$C$53/1000/'Conv Factors'!$B$7*'Conv Factors'!$B$9</f>
        <v>5.6624668267283207</v>
      </c>
      <c r="J237" s="143">
        <f>'AEO14 RLT Techs'!F112/1000</f>
        <v>8</v>
      </c>
      <c r="K237" s="51">
        <f>J237*1000/'Conv Factors'!$B$14/'Conv Factors'!$B$3</f>
        <v>10.95890410958904</v>
      </c>
    </row>
    <row r="238" spans="2:11">
      <c r="B238" s="27" t="str">
        <f>'AEO14 RLT Techs'!K113</f>
        <v>RLTECFL20</v>
      </c>
      <c r="C238" s="27" t="str">
        <f>'AEO14 RLT Techs'!L113</f>
        <v>RLT.EXT.CFL.20</v>
      </c>
      <c r="D238" s="27" t="s">
        <v>110</v>
      </c>
      <c r="E238" s="28"/>
      <c r="F238" s="53">
        <f>'AEO14 RLT Techs'!D113</f>
        <v>50.4</v>
      </c>
      <c r="G238" s="142">
        <f>F238/'Conv Factors'!$B$5/'Conv Factors'!$B$2/'Conv Factors'!$B$3/'Conv Factors'!$B$9/'Conv Factors'!$B$4*'Conv Factors'!$B$6</f>
        <v>1.5982396333795463</v>
      </c>
      <c r="H238" s="53">
        <f>'AEO14 RLT Techs'!C113</f>
        <v>6.07</v>
      </c>
      <c r="I238" s="51">
        <f>H238*'Conv Factors'!$C$53/1000/'Conv Factors'!$B$7*'Conv Factors'!$B$9</f>
        <v>5.5170423175346555</v>
      </c>
      <c r="J238" s="143">
        <f>'AEO14 RLT Techs'!F113/1000</f>
        <v>8</v>
      </c>
      <c r="K238" s="51">
        <f>J238*1000/'Conv Factors'!$B$14/'Conv Factors'!$B$3</f>
        <v>10.95890410958904</v>
      </c>
    </row>
    <row r="239" spans="2:11">
      <c r="B239" s="27" t="str">
        <f>'AEO14 RLT Techs'!K114</f>
        <v>RLTECFL30</v>
      </c>
      <c r="C239" s="27" t="str">
        <f>'AEO14 RLT Techs'!L114</f>
        <v>RLT.EXT.CFL.30</v>
      </c>
      <c r="D239" s="27" t="s">
        <v>110</v>
      </c>
      <c r="E239" s="28"/>
      <c r="F239" s="53">
        <f>'AEO14 RLT Techs'!D114</f>
        <v>52.9</v>
      </c>
      <c r="G239" s="142">
        <f>F239/'Conv Factors'!$B$5/'Conv Factors'!$B$2/'Conv Factors'!$B$3/'Conv Factors'!$B$9/'Conv Factors'!$B$4*'Conv Factors'!$B$6</f>
        <v>1.6775173929717853</v>
      </c>
      <c r="H239" s="53">
        <f>'AEO14 RLT Techs'!C114</f>
        <v>5.92</v>
      </c>
      <c r="I239" s="51">
        <f>H239*'Conv Factors'!$C$53/1000/'Conv Factors'!$B$7*'Conv Factors'!$B$9</f>
        <v>5.380706840165594</v>
      </c>
      <c r="J239" s="143">
        <f>'AEO14 RLT Techs'!F114/1000</f>
        <v>8</v>
      </c>
      <c r="K239" s="51">
        <f>J239*1000/'Conv Factors'!$B$14/'Conv Factors'!$B$3</f>
        <v>10.95890410958904</v>
      </c>
    </row>
    <row r="240" spans="2:11">
      <c r="B240" s="27" t="str">
        <f>'AEO14 RLT Techs'!K115</f>
        <v>RLTECFL40</v>
      </c>
      <c r="C240" s="27" t="str">
        <f>'AEO14 RLT Techs'!L115</f>
        <v>RLT.EXT.CFL.40</v>
      </c>
      <c r="D240" s="27" t="s">
        <v>110</v>
      </c>
      <c r="E240" s="28"/>
      <c r="F240" s="53">
        <f>'AEO14 RLT Techs'!D115</f>
        <v>55.6</v>
      </c>
      <c r="G240" s="142">
        <f>F240/'Conv Factors'!$B$5/'Conv Factors'!$B$2/'Conv Factors'!$B$3/'Conv Factors'!$B$9/'Conv Factors'!$B$4*'Conv Factors'!$B$6</f>
        <v>1.7631373733314042</v>
      </c>
      <c r="H240" s="53">
        <f>'AEO14 RLT Techs'!C115</f>
        <v>5.77</v>
      </c>
      <c r="I240" s="51">
        <f>H240*'Conv Factors'!$C$53/1000/'Conv Factors'!$B$7*'Conv Factors'!$B$9</f>
        <v>5.2443713627965334</v>
      </c>
      <c r="J240" s="143">
        <f>'AEO14 RLT Techs'!F115/1000</f>
        <v>9</v>
      </c>
      <c r="K240" s="51">
        <f>J240*1000/'Conv Factors'!$B$14/'Conv Factors'!$B$3</f>
        <v>12.328767123287671</v>
      </c>
    </row>
    <row r="241" spans="2:11">
      <c r="B241" s="48" t="s">
        <v>109</v>
      </c>
      <c r="E241" s="28"/>
      <c r="F241" s="53"/>
      <c r="G241" s="142"/>
      <c r="H241" s="53"/>
      <c r="I241" s="51"/>
      <c r="J241" s="143"/>
      <c r="K241" s="51"/>
    </row>
    <row r="242" spans="2:11">
      <c r="B242" s="27" t="str">
        <f>'AEO14 RLT Techs'!K117</f>
        <v>RLTEHPS10</v>
      </c>
      <c r="C242" s="27" t="str">
        <f>'AEO14 RLT Techs'!L117</f>
        <v>RLT.EXT.HPS.10</v>
      </c>
      <c r="D242" s="27" t="s">
        <v>110</v>
      </c>
      <c r="E242" s="28"/>
      <c r="F242" s="53">
        <f>'AEO14 RLT Techs'!D117</f>
        <v>92.8</v>
      </c>
      <c r="G242" s="142">
        <f>F242/'Conv Factors'!$B$5/'Conv Factors'!$B$2/'Conv Factors'!$B$3/'Conv Factors'!$B$9/'Conv Factors'!$B$4*'Conv Factors'!$B$6</f>
        <v>2.9427904360639263</v>
      </c>
      <c r="H242" s="53">
        <f>'AEO14 RLT Techs'!C117</f>
        <v>15</v>
      </c>
      <c r="I242" s="51">
        <f>H242*'Conv Factors'!$C$53/1000/'Conv Factors'!$B$7*'Conv Factors'!$B$9</f>
        <v>13.633547736906067</v>
      </c>
      <c r="J242" s="143">
        <f>'AEO14 RLT Techs'!F117/1000</f>
        <v>24</v>
      </c>
      <c r="K242" s="51">
        <f>J242*1000/'Conv Factors'!$B$14/'Conv Factors'!$B$3</f>
        <v>32.876712328767127</v>
      </c>
    </row>
    <row r="243" spans="2:11">
      <c r="B243" s="27" t="str">
        <f>'AEO14 RLT Techs'!K118</f>
        <v>RLTEHPS20</v>
      </c>
      <c r="C243" s="27" t="str">
        <f>'AEO14 RLT Techs'!L118</f>
        <v>RLT.EXT.HPS.20</v>
      </c>
      <c r="D243" s="27" t="s">
        <v>110</v>
      </c>
      <c r="E243" s="28"/>
      <c r="F243" s="53">
        <f>'AEO14 RLT Techs'!D118</f>
        <v>92.8</v>
      </c>
      <c r="G243" s="142">
        <f>F243/'Conv Factors'!$B$5/'Conv Factors'!$B$2/'Conv Factors'!$B$3/'Conv Factors'!$B$9/'Conv Factors'!$B$4*'Conv Factors'!$B$6</f>
        <v>2.9427904360639263</v>
      </c>
      <c r="H243" s="53">
        <f>'AEO14 RLT Techs'!C118</f>
        <v>10</v>
      </c>
      <c r="I243" s="51">
        <f>H243*'Conv Factors'!$C$53/1000/'Conv Factors'!$B$7*'Conv Factors'!$B$9</f>
        <v>9.089031824604044</v>
      </c>
      <c r="J243" s="143">
        <f>'AEO14 RLT Techs'!F118/1000</f>
        <v>24</v>
      </c>
      <c r="K243" s="51">
        <f>J243*1000/'Conv Factors'!$B$14/'Conv Factors'!$B$3</f>
        <v>32.876712328767127</v>
      </c>
    </row>
    <row r="244" spans="2:11">
      <c r="B244" s="48" t="s">
        <v>1393</v>
      </c>
      <c r="E244" s="28"/>
      <c r="F244" s="53"/>
      <c r="G244" s="142"/>
      <c r="H244" s="53"/>
      <c r="I244" s="51"/>
      <c r="J244" s="143"/>
      <c r="K244" s="51"/>
    </row>
    <row r="245" spans="2:11">
      <c r="B245" s="27" t="str">
        <f>'AEO14 RLT Techs'!K121</f>
        <v>RLTELED10</v>
      </c>
      <c r="C245" s="27" t="str">
        <f>'AEO14 RLT Techs'!L121</f>
        <v>RLT.EXT.LED.10</v>
      </c>
      <c r="D245" s="27" t="s">
        <v>110</v>
      </c>
      <c r="E245" s="28"/>
      <c r="F245" s="53">
        <f>'AEO14 RLT Techs'!D121</f>
        <v>50</v>
      </c>
      <c r="G245" s="142">
        <f>F245/'Conv Factors'!$B$5/'Conv Factors'!$B$2/'Conv Factors'!$B$3/'Conv Factors'!$B$9/'Conv Factors'!$B$4*'Conv Factors'!$B$6</f>
        <v>1.5855551918447879</v>
      </c>
      <c r="H245" s="53">
        <f>'AEO14 RLT Techs'!C121</f>
        <v>59.92</v>
      </c>
      <c r="I245" s="51">
        <f>H245*'Conv Factors'!$C$53/1000/'Conv Factors'!$B$7*'Conv Factors'!$B$9</f>
        <v>54.461478693027438</v>
      </c>
      <c r="J245" s="143">
        <f>'AEO14 RLT Techs'!F121/1000</f>
        <v>25</v>
      </c>
      <c r="K245" s="51">
        <f>J245*1000/'Conv Factors'!$B$14/'Conv Factors'!$B$3</f>
        <v>34.246575342465754</v>
      </c>
    </row>
    <row r="246" spans="2:11">
      <c r="B246" s="27" t="str">
        <f>'AEO14 RLT Techs'!K125</f>
        <v>RLTELED15</v>
      </c>
      <c r="C246" s="27" t="str">
        <f>'AEO14 RLT Techs'!L125</f>
        <v>RLT.EXT.LED.15</v>
      </c>
      <c r="D246" s="27" t="s">
        <v>110</v>
      </c>
      <c r="E246" s="28"/>
      <c r="F246" s="53">
        <f>'AEO14 RLT Techs'!D125</f>
        <v>83.1</v>
      </c>
      <c r="G246" s="142">
        <f>F246/'Conv Factors'!$B$5/'Conv Factors'!$B$2/'Conv Factors'!$B$3/'Conv Factors'!$B$9/'Conv Factors'!$B$4*'Conv Factors'!$B$6</f>
        <v>2.6351927288460373</v>
      </c>
      <c r="H246" s="53">
        <f>'AEO14 RLT Techs'!C125</f>
        <v>24.79</v>
      </c>
      <c r="I246" s="51">
        <f>H246*'Conv Factors'!$C$53/1000/'Conv Factors'!$B$7*'Conv Factors'!$B$9</f>
        <v>22.531709893193426</v>
      </c>
      <c r="J246" s="143">
        <f>'AEO14 RLT Techs'!F125/1000</f>
        <v>36.110999999999997</v>
      </c>
      <c r="K246" s="51">
        <f>J246*1000/'Conv Factors'!$B$14/'Conv Factors'!$B$3</f>
        <v>49.467123287671235</v>
      </c>
    </row>
    <row r="247" spans="2:11">
      <c r="B247" s="27" t="str">
        <f>'AEO14 RLT Techs'!K130</f>
        <v>RLTELED20</v>
      </c>
      <c r="C247" s="27" t="str">
        <f>'AEO14 RLT Techs'!L130</f>
        <v>RLT.EXT.LED.20</v>
      </c>
      <c r="D247" s="27" t="s">
        <v>110</v>
      </c>
      <c r="E247" s="28"/>
      <c r="F247" s="53">
        <f>'AEO14 RLT Techs'!D130</f>
        <v>157</v>
      </c>
      <c r="G247" s="142">
        <f>F247/'Conv Factors'!$B$5/'Conv Factors'!$B$2/'Conv Factors'!$B$3/'Conv Factors'!$B$9/'Conv Factors'!$B$4*'Conv Factors'!$B$6</f>
        <v>4.9786433023926335</v>
      </c>
      <c r="H247" s="53">
        <f>'AEO14 RLT Techs'!C130</f>
        <v>8.2200000000000006</v>
      </c>
      <c r="I247" s="51">
        <f>H247*'Conv Factors'!$C$53/1000/'Conv Factors'!$B$7*'Conv Factors'!$B$9</f>
        <v>7.4711841598245261</v>
      </c>
      <c r="J247" s="143">
        <f>'AEO14 RLT Techs'!F130/1000</f>
        <v>50</v>
      </c>
      <c r="K247" s="51">
        <f>J247*1000/'Conv Factors'!$B$14/'Conv Factors'!$B$3</f>
        <v>68.493150684931507</v>
      </c>
    </row>
    <row r="248" spans="2:11">
      <c r="B248" s="27" t="str">
        <f>'AEO14 RLT Techs'!K131</f>
        <v>RLTELED25</v>
      </c>
      <c r="C248" s="27" t="str">
        <f>'AEO14 RLT Techs'!L131</f>
        <v>RLT.EXT.LED.25</v>
      </c>
      <c r="D248" s="27" t="s">
        <v>110</v>
      </c>
      <c r="E248" s="28"/>
      <c r="F248" s="53">
        <f>'AEO14 RLT Techs'!D131</f>
        <v>180</v>
      </c>
      <c r="G248" s="142">
        <f>F248/'Conv Factors'!$B$5/'Conv Factors'!$B$2/'Conv Factors'!$B$3/'Conv Factors'!$B$9/'Conv Factors'!$B$4*'Conv Factors'!$B$6</f>
        <v>5.7079986906412357</v>
      </c>
      <c r="H248" s="53">
        <f>'AEO14 RLT Techs'!C131</f>
        <v>7.05</v>
      </c>
      <c r="I248" s="51">
        <f>H248*'Conv Factors'!$C$53/1000/'Conv Factors'!$B$7*'Conv Factors'!$B$9</f>
        <v>6.4077674363458517</v>
      </c>
      <c r="J248" s="143">
        <f>'AEO14 RLT Techs'!F131/1000</f>
        <v>50</v>
      </c>
      <c r="K248" s="51">
        <f>J248*1000/'Conv Factors'!$B$14/'Conv Factors'!$B$3</f>
        <v>68.493150684931507</v>
      </c>
    </row>
    <row r="249" spans="2:11">
      <c r="B249" s="27" t="str">
        <f>'AEO14 RLT Techs'!K132</f>
        <v>RLTELED30</v>
      </c>
      <c r="C249" s="27" t="str">
        <f>'AEO14 RLT Techs'!L132</f>
        <v>RLT.EXT.LED.30</v>
      </c>
      <c r="D249" s="27" t="s">
        <v>110</v>
      </c>
      <c r="E249" s="28"/>
      <c r="F249" s="53">
        <f>'AEO14 RLT Techs'!D132</f>
        <v>202</v>
      </c>
      <c r="G249" s="142">
        <f>F249/'Conv Factors'!$B$5/'Conv Factors'!$B$2/'Conv Factors'!$B$3/'Conv Factors'!$B$9/'Conv Factors'!$B$4*'Conv Factors'!$B$6</f>
        <v>6.4056429750529427</v>
      </c>
      <c r="H249" s="53">
        <f>'AEO14 RLT Techs'!C132</f>
        <v>5.87</v>
      </c>
      <c r="I249" s="51">
        <f>H249*'Conv Factors'!$C$53/1000/'Conv Factors'!$B$7*'Conv Factors'!$B$9</f>
        <v>5.3352616810425744</v>
      </c>
      <c r="J249" s="143">
        <f>'AEO14 RLT Techs'!F132/1000</f>
        <v>50</v>
      </c>
      <c r="K249" s="51">
        <f>J249*1000/'Conv Factors'!$B$14/'Conv Factors'!$B$3</f>
        <v>68.493150684931507</v>
      </c>
    </row>
    <row r="250" spans="2:11">
      <c r="E250" s="28"/>
      <c r="F250" s="53"/>
      <c r="G250" s="142"/>
      <c r="H250" s="53"/>
      <c r="I250" s="51"/>
      <c r="J250" s="143"/>
      <c r="K250" s="51"/>
    </row>
  </sheetData>
  <phoneticPr fontId="14" type="noConversion"/>
  <pageMargins left="0.25" right="0.25" top="0.5" bottom="0.5" header="0.5" footer="0.5"/>
  <pageSetup scale="66" fitToHeight="0" orientation="landscape" r:id="rId1"/>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R66"/>
  <sheetViews>
    <sheetView workbookViewId="0">
      <selection activeCell="C33" sqref="C33"/>
    </sheetView>
  </sheetViews>
  <sheetFormatPr defaultColWidth="9.28515625" defaultRowHeight="12.75"/>
  <cols>
    <col min="1" max="1" width="19.28515625" style="27" customWidth="1"/>
    <col min="2" max="2" width="8" style="27" bestFit="1" customWidth="1"/>
    <col min="3" max="3" width="10" style="27" customWidth="1"/>
    <col min="4" max="4" width="10.5703125" style="27" customWidth="1"/>
    <col min="5" max="6" width="10.7109375" style="27" customWidth="1"/>
    <col min="7" max="7" width="11" style="27" customWidth="1"/>
    <col min="8" max="8" width="11.28515625" style="27" customWidth="1"/>
    <col min="9" max="9" width="10.5703125" style="27" customWidth="1"/>
    <col min="10" max="10" width="11" style="27" customWidth="1"/>
    <col min="11" max="11" width="10.28515625" style="27" customWidth="1"/>
    <col min="12" max="12" width="10.5703125" style="27" customWidth="1"/>
    <col min="13" max="13" width="10.42578125" style="27" customWidth="1"/>
    <col min="14" max="14" width="10.7109375" style="27" customWidth="1"/>
    <col min="15" max="15" width="9.28515625" style="27"/>
    <col min="16" max="16" width="11.5703125" style="27" bestFit="1" customWidth="1"/>
    <col min="17" max="16384" width="9.28515625" style="27"/>
  </cols>
  <sheetData>
    <row r="2" spans="1:14">
      <c r="A2" s="48" t="s">
        <v>120</v>
      </c>
    </row>
    <row r="3" spans="1:14">
      <c r="A3" s="847" t="s">
        <v>664</v>
      </c>
      <c r="B3" s="847"/>
      <c r="C3" s="279">
        <v>2000</v>
      </c>
      <c r="D3" s="279">
        <v>2005</v>
      </c>
      <c r="E3" s="279">
        <v>2010</v>
      </c>
      <c r="F3" s="279">
        <v>2015</v>
      </c>
      <c r="G3" s="279">
        <v>2020</v>
      </c>
      <c r="H3" s="279">
        <v>2025</v>
      </c>
      <c r="I3" s="279">
        <v>2030</v>
      </c>
      <c r="J3" s="279">
        <v>2035</v>
      </c>
      <c r="K3" s="279">
        <v>2040</v>
      </c>
      <c r="L3" s="279">
        <v>2045</v>
      </c>
      <c r="M3" s="279">
        <v>2050</v>
      </c>
      <c r="N3" s="279">
        <v>2055</v>
      </c>
    </row>
    <row r="4" spans="1:14">
      <c r="A4" s="270" t="s">
        <v>500</v>
      </c>
      <c r="B4" s="270"/>
      <c r="C4" s="278">
        <v>0</v>
      </c>
      <c r="D4" s="278">
        <v>0</v>
      </c>
      <c r="E4" s="278">
        <v>0</v>
      </c>
      <c r="F4" s="278">
        <v>0</v>
      </c>
      <c r="G4" s="278">
        <v>0</v>
      </c>
      <c r="H4" s="278">
        <v>0</v>
      </c>
      <c r="I4" s="278">
        <v>0</v>
      </c>
      <c r="J4" s="278">
        <v>0</v>
      </c>
      <c r="K4" s="278">
        <v>0</v>
      </c>
      <c r="L4" s="278">
        <v>0</v>
      </c>
      <c r="M4" s="278">
        <v>0</v>
      </c>
      <c r="N4" s="278">
        <v>0</v>
      </c>
    </row>
    <row r="5" spans="1:14">
      <c r="A5" s="182" t="s">
        <v>2345</v>
      </c>
      <c r="C5" s="285">
        <f>C55</f>
        <v>2465326</v>
      </c>
      <c r="D5" s="285">
        <v>2517052</v>
      </c>
      <c r="E5" s="285">
        <v>2552911</v>
      </c>
      <c r="F5" s="285">
        <v>2636735</v>
      </c>
      <c r="G5" s="285">
        <v>2648452</v>
      </c>
      <c r="H5" s="285">
        <v>2701230.5</v>
      </c>
      <c r="I5" s="285">
        <v>2754009</v>
      </c>
      <c r="J5" s="285">
        <v>2797267</v>
      </c>
      <c r="K5" s="285">
        <v>2840525</v>
      </c>
      <c r="L5" s="285">
        <v>2908244.5075757541</v>
      </c>
      <c r="M5" s="285">
        <v>2959463.6785714254</v>
      </c>
      <c r="N5" s="285">
        <v>3010682.8495670967</v>
      </c>
    </row>
    <row r="6" spans="1:14">
      <c r="A6" s="182" t="s">
        <v>2346</v>
      </c>
      <c r="C6" s="285">
        <v>1332650</v>
      </c>
      <c r="D6" s="285">
        <v>1366086</v>
      </c>
      <c r="E6" s="285">
        <v>1385108</v>
      </c>
      <c r="F6" s="285">
        <v>1455444</v>
      </c>
      <c r="G6" s="285">
        <v>1446788</v>
      </c>
      <c r="H6" s="285">
        <v>1482893</v>
      </c>
      <c r="I6" s="285">
        <v>1518998</v>
      </c>
      <c r="J6" s="285">
        <v>1549121.5</v>
      </c>
      <c r="K6" s="285">
        <v>1579245</v>
      </c>
      <c r="L6" s="285">
        <v>1625954.9772727266</v>
      </c>
      <c r="M6" s="285">
        <v>1660587.6071428563</v>
      </c>
      <c r="N6" s="285">
        <v>1695220.2370129861</v>
      </c>
    </row>
    <row r="7" spans="1:14">
      <c r="A7" s="182" t="s">
        <v>2347</v>
      </c>
      <c r="C7" s="285">
        <v>1537195</v>
      </c>
      <c r="D7" s="285">
        <v>1600110</v>
      </c>
      <c r="E7" s="285">
        <v>1585873</v>
      </c>
      <c r="F7" s="285">
        <v>1644518</v>
      </c>
      <c r="G7" s="285">
        <v>1638281</v>
      </c>
      <c r="H7" s="285">
        <v>1657500.5</v>
      </c>
      <c r="I7" s="285">
        <v>1676720</v>
      </c>
      <c r="J7" s="285">
        <v>1684168.5</v>
      </c>
      <c r="K7" s="285">
        <v>1691617</v>
      </c>
      <c r="L7" s="285">
        <v>1733166.166666667</v>
      </c>
      <c r="M7" s="285">
        <v>1753311.5714285718</v>
      </c>
      <c r="N7" s="285">
        <v>1773456.9761904767</v>
      </c>
    </row>
    <row r="8" spans="1:14">
      <c r="A8" s="182" t="s">
        <v>2348</v>
      </c>
      <c r="C8" s="285">
        <v>443728</v>
      </c>
      <c r="D8" s="285">
        <v>468248</v>
      </c>
      <c r="E8" s="285">
        <v>468730</v>
      </c>
      <c r="F8" s="285">
        <v>474558</v>
      </c>
      <c r="G8" s="285">
        <v>487155</v>
      </c>
      <c r="H8" s="285">
        <v>492452</v>
      </c>
      <c r="I8" s="285">
        <v>497749</v>
      </c>
      <c r="J8" s="285">
        <v>499429</v>
      </c>
      <c r="K8" s="285">
        <v>501109</v>
      </c>
      <c r="L8" s="285">
        <v>528935.80303030275</v>
      </c>
      <c r="M8" s="285">
        <v>539243.35714285728</v>
      </c>
      <c r="N8" s="285">
        <v>549550.9112554118</v>
      </c>
    </row>
    <row r="9" spans="1:14">
      <c r="A9" s="182" t="s">
        <v>2349</v>
      </c>
      <c r="C9" s="285">
        <v>2229379</v>
      </c>
      <c r="D9" s="285">
        <v>2254639</v>
      </c>
      <c r="E9" s="285">
        <v>2250002</v>
      </c>
      <c r="F9" s="285">
        <v>2339150</v>
      </c>
      <c r="G9" s="285">
        <v>2330295</v>
      </c>
      <c r="H9" s="285">
        <v>2351923</v>
      </c>
      <c r="I9" s="285">
        <v>2373551</v>
      </c>
      <c r="J9" s="285">
        <v>2393100</v>
      </c>
      <c r="K9" s="285">
        <v>2412649</v>
      </c>
      <c r="L9" s="285">
        <v>2496538.7575757559</v>
      </c>
      <c r="M9" s="285">
        <v>2533665.5714285709</v>
      </c>
      <c r="N9" s="285">
        <v>2570792.385281384</v>
      </c>
    </row>
    <row r="10" spans="1:14">
      <c r="A10" s="270" t="s">
        <v>569</v>
      </c>
      <c r="B10" s="270"/>
      <c r="C10" s="278">
        <v>0</v>
      </c>
      <c r="D10" s="278">
        <v>0</v>
      </c>
      <c r="E10" s="278">
        <v>0</v>
      </c>
      <c r="F10" s="278">
        <v>0</v>
      </c>
      <c r="G10" s="278">
        <v>0</v>
      </c>
      <c r="H10" s="278">
        <v>0</v>
      </c>
      <c r="I10" s="278">
        <v>0</v>
      </c>
      <c r="J10" s="278">
        <v>0</v>
      </c>
      <c r="K10" s="278">
        <v>0</v>
      </c>
      <c r="L10" s="278">
        <v>0</v>
      </c>
      <c r="M10" s="278">
        <v>0</v>
      </c>
      <c r="N10" s="278">
        <v>0</v>
      </c>
    </row>
    <row r="11" spans="1:14">
      <c r="A11" s="270" t="s">
        <v>572</v>
      </c>
      <c r="B11" s="270"/>
      <c r="C11" s="278">
        <v>0</v>
      </c>
      <c r="D11" s="278">
        <v>0</v>
      </c>
      <c r="E11" s="278">
        <v>0</v>
      </c>
      <c r="F11" s="278">
        <v>0</v>
      </c>
      <c r="G11" s="278">
        <v>0</v>
      </c>
      <c r="H11" s="278">
        <v>0</v>
      </c>
      <c r="I11" s="278">
        <v>0</v>
      </c>
      <c r="J11" s="278">
        <v>0</v>
      </c>
      <c r="K11" s="278">
        <v>0</v>
      </c>
      <c r="L11" s="278">
        <v>0</v>
      </c>
      <c r="M11" s="278">
        <v>0</v>
      </c>
      <c r="N11" s="278">
        <v>0</v>
      </c>
    </row>
    <row r="12" spans="1:14">
      <c r="A12" s="270" t="s">
        <v>534</v>
      </c>
      <c r="B12" s="270"/>
      <c r="C12" s="278">
        <v>0</v>
      </c>
      <c r="D12" s="278">
        <v>0</v>
      </c>
      <c r="E12" s="278">
        <v>0</v>
      </c>
      <c r="F12" s="278">
        <v>0</v>
      </c>
      <c r="G12" s="278">
        <v>0</v>
      </c>
      <c r="H12" s="278">
        <v>0</v>
      </c>
      <c r="I12" s="278">
        <v>0</v>
      </c>
      <c r="J12" s="278">
        <v>0</v>
      </c>
      <c r="K12" s="278">
        <v>0</v>
      </c>
      <c r="L12" s="278">
        <v>0</v>
      </c>
      <c r="M12" s="278">
        <v>0</v>
      </c>
      <c r="N12" s="278">
        <v>0</v>
      </c>
    </row>
    <row r="13" spans="1:14">
      <c r="A13" s="49" t="s">
        <v>2351</v>
      </c>
      <c r="C13" s="86">
        <f>SUM(C5:C9)</f>
        <v>8008278</v>
      </c>
      <c r="D13" s="86">
        <f t="shared" ref="D13:N13" si="0">SUM(D5:D9)</f>
        <v>8206135</v>
      </c>
      <c r="E13" s="86">
        <f t="shared" si="0"/>
        <v>8242624</v>
      </c>
      <c r="F13" s="86">
        <f t="shared" si="0"/>
        <v>8550405</v>
      </c>
      <c r="G13" s="86">
        <f t="shared" si="0"/>
        <v>8550971</v>
      </c>
      <c r="H13" s="86">
        <f t="shared" si="0"/>
        <v>8685999</v>
      </c>
      <c r="I13" s="86">
        <f t="shared" si="0"/>
        <v>8821027</v>
      </c>
      <c r="J13" s="86">
        <f t="shared" si="0"/>
        <v>8923086</v>
      </c>
      <c r="K13" s="86">
        <f t="shared" si="0"/>
        <v>9025145</v>
      </c>
      <c r="L13" s="86">
        <f t="shared" si="0"/>
        <v>9292840.2121212073</v>
      </c>
      <c r="M13" s="86">
        <f t="shared" si="0"/>
        <v>9446271.7857142817</v>
      </c>
      <c r="N13" s="86">
        <f t="shared" si="0"/>
        <v>9599703.3593073562</v>
      </c>
    </row>
    <row r="14" spans="1:14">
      <c r="A14" s="27" t="s">
        <v>674</v>
      </c>
      <c r="C14" s="27">
        <v>281591845.21000016</v>
      </c>
      <c r="D14" s="27">
        <v>295206869.51000011</v>
      </c>
      <c r="E14" s="27">
        <v>308821893.81000042</v>
      </c>
      <c r="F14" s="27">
        <v>322436918.11000025</v>
      </c>
      <c r="G14" s="27">
        <v>336051942.41000021</v>
      </c>
      <c r="H14" s="27">
        <v>349666966.71000016</v>
      </c>
      <c r="I14" s="27">
        <v>363281991.01000011</v>
      </c>
      <c r="J14" s="27">
        <v>376897015.31000042</v>
      </c>
      <c r="K14" s="27">
        <v>390512039.61000031</v>
      </c>
      <c r="L14" s="27">
        <v>404127063.91000021</v>
      </c>
      <c r="M14" s="27">
        <v>417742088.21000046</v>
      </c>
      <c r="N14" s="27">
        <v>431357112.51000011</v>
      </c>
    </row>
    <row r="15" spans="1:14" hidden="1"/>
    <row r="16" spans="1:14" hidden="1"/>
    <row r="17" spans="1:14" hidden="1">
      <c r="A17" s="48" t="s">
        <v>854</v>
      </c>
    </row>
    <row r="18" spans="1:14" hidden="1"/>
    <row r="19" spans="1:14" hidden="1">
      <c r="D19" s="27" t="s">
        <v>121</v>
      </c>
    </row>
    <row r="20" spans="1:14" hidden="1">
      <c r="A20" s="846" t="s">
        <v>664</v>
      </c>
      <c r="B20" s="846"/>
      <c r="C20" s="27">
        <v>2000</v>
      </c>
      <c r="D20" s="27">
        <v>2005</v>
      </c>
      <c r="E20" s="27">
        <v>2010</v>
      </c>
      <c r="F20" s="27">
        <v>2015</v>
      </c>
      <c r="G20" s="27">
        <v>2020</v>
      </c>
      <c r="H20" s="27">
        <v>2025</v>
      </c>
      <c r="I20" s="27">
        <v>2030</v>
      </c>
      <c r="J20" s="27">
        <v>2035</v>
      </c>
      <c r="K20" s="27">
        <v>2040</v>
      </c>
      <c r="L20" s="27">
        <v>2045</v>
      </c>
      <c r="M20" s="27">
        <v>2050</v>
      </c>
      <c r="N20" s="27">
        <v>2055</v>
      </c>
    </row>
    <row r="21" spans="1:14" hidden="1">
      <c r="A21" s="27" t="s">
        <v>500</v>
      </c>
      <c r="B21" s="27" t="s">
        <v>665</v>
      </c>
      <c r="C21" s="86">
        <v>14082663.889999991</v>
      </c>
      <c r="D21" s="86">
        <v>14255073.101</v>
      </c>
      <c r="E21" s="86">
        <v>14559921.450999998</v>
      </c>
      <c r="F21" s="86">
        <v>14806579.829999998</v>
      </c>
      <c r="G21" s="86">
        <v>14997673.560000001</v>
      </c>
      <c r="H21" s="86">
        <v>15111198.526999999</v>
      </c>
      <c r="I21" s="86">
        <v>15141889.450999998</v>
      </c>
      <c r="J21" s="86">
        <v>15098507.534000002</v>
      </c>
      <c r="K21" s="86">
        <v>14996543.470000003</v>
      </c>
      <c r="L21" s="86">
        <v>14833993.520999998</v>
      </c>
      <c r="M21" s="86">
        <v>14622514.98</v>
      </c>
      <c r="N21" s="86">
        <v>14386621.138</v>
      </c>
    </row>
    <row r="22" spans="1:14" hidden="1">
      <c r="A22" s="27" t="s">
        <v>567</v>
      </c>
      <c r="B22" s="27" t="s">
        <v>666</v>
      </c>
      <c r="C22" s="86">
        <v>40037144.820000008</v>
      </c>
      <c r="D22" s="86">
        <v>40424218.921000004</v>
      </c>
      <c r="E22" s="86">
        <v>43307856.045000017</v>
      </c>
      <c r="F22" s="86">
        <v>45795599.081</v>
      </c>
      <c r="G22" s="86">
        <v>48022396.056999996</v>
      </c>
      <c r="H22" s="86">
        <v>50005879.075000018</v>
      </c>
      <c r="I22" s="86">
        <v>51768902.476999983</v>
      </c>
      <c r="J22" s="86">
        <v>53349649.735000007</v>
      </c>
      <c r="K22" s="86">
        <v>54746760.595999993</v>
      </c>
      <c r="L22" s="86">
        <v>55968920.20699998</v>
      </c>
      <c r="M22" s="86">
        <v>57054895.958000004</v>
      </c>
      <c r="N22" s="86">
        <v>58050704.504999995</v>
      </c>
    </row>
    <row r="23" spans="1:14" hidden="1">
      <c r="A23" s="27" t="s">
        <v>530</v>
      </c>
      <c r="B23" s="27" t="s">
        <v>667</v>
      </c>
      <c r="C23" s="86">
        <v>51311033.110000156</v>
      </c>
      <c r="D23" s="86">
        <v>56211935.149000004</v>
      </c>
      <c r="E23" s="86">
        <v>60657963.586000003</v>
      </c>
      <c r="F23" s="86">
        <v>64826872.270000011</v>
      </c>
      <c r="G23" s="86">
        <v>68775871.564999998</v>
      </c>
      <c r="H23" s="86">
        <v>72551125.178000003</v>
      </c>
      <c r="I23" s="86">
        <v>76130086.838</v>
      </c>
      <c r="J23" s="86">
        <v>79451514.100999996</v>
      </c>
      <c r="K23" s="86">
        <v>82495544.490000024</v>
      </c>
      <c r="L23" s="86">
        <v>85206420.486000001</v>
      </c>
      <c r="M23" s="86">
        <v>87598757.290999979</v>
      </c>
      <c r="N23" s="86">
        <v>89784933.364600003</v>
      </c>
    </row>
    <row r="24" spans="1:14" hidden="1">
      <c r="A24" s="27" t="s">
        <v>570</v>
      </c>
      <c r="B24" s="27" t="s">
        <v>668</v>
      </c>
      <c r="C24" s="86">
        <v>17077982.930000018</v>
      </c>
      <c r="D24" s="86">
        <v>19805788.936800003</v>
      </c>
      <c r="E24" s="86">
        <v>20159289.497400001</v>
      </c>
      <c r="F24" s="86">
        <v>20476775.141300004</v>
      </c>
      <c r="G24" s="86">
        <v>20749393.893400002</v>
      </c>
      <c r="H24" s="86">
        <v>20940851.981899999</v>
      </c>
      <c r="I24" s="86">
        <v>21040329.486699998</v>
      </c>
      <c r="J24" s="86">
        <v>21038618.613199998</v>
      </c>
      <c r="K24" s="86">
        <v>20955441.926899999</v>
      </c>
      <c r="L24" s="86">
        <v>20804312.533100005</v>
      </c>
      <c r="M24" s="86">
        <v>20591713.880000003</v>
      </c>
      <c r="N24" s="86">
        <v>20351239.3081</v>
      </c>
    </row>
    <row r="25" spans="1:14" hidden="1">
      <c r="A25" s="27" t="s">
        <v>568</v>
      </c>
      <c r="B25" s="27" t="s">
        <v>669</v>
      </c>
      <c r="C25" s="86">
        <v>45614039.319999993</v>
      </c>
      <c r="D25" s="86">
        <v>46130608.688000001</v>
      </c>
      <c r="E25" s="86">
        <v>46972933.263000011</v>
      </c>
      <c r="F25" s="86">
        <v>47577755.758000009</v>
      </c>
      <c r="G25" s="86">
        <v>47995420.120000012</v>
      </c>
      <c r="H25" s="86">
        <v>48224534.769000009</v>
      </c>
      <c r="I25" s="86">
        <v>48224802.348000005</v>
      </c>
      <c r="J25" s="86">
        <v>48028971.478000008</v>
      </c>
      <c r="K25" s="86">
        <v>47680484.528999999</v>
      </c>
      <c r="L25" s="86">
        <v>47208997.395000011</v>
      </c>
      <c r="M25" s="86">
        <v>46617072.958999991</v>
      </c>
      <c r="N25" s="86">
        <v>45970326.495000005</v>
      </c>
    </row>
    <row r="26" spans="1:14" hidden="1">
      <c r="A26" s="27" t="s">
        <v>571</v>
      </c>
      <c r="B26" s="27" t="s">
        <v>670</v>
      </c>
      <c r="C26" s="86">
        <v>31253546.539999887</v>
      </c>
      <c r="D26" s="86">
        <v>33754989.348699994</v>
      </c>
      <c r="E26" s="86">
        <v>36435612.336899988</v>
      </c>
      <c r="F26" s="86">
        <v>38907357.291749991</v>
      </c>
      <c r="G26" s="86">
        <v>41192424.01761999</v>
      </c>
      <c r="H26" s="86">
        <v>43323912.229930013</v>
      </c>
      <c r="I26" s="86">
        <v>45282321.029000022</v>
      </c>
      <c r="J26" s="86">
        <v>47075508.928220011</v>
      </c>
      <c r="K26" s="86">
        <v>48642800.480819978</v>
      </c>
      <c r="L26" s="86">
        <v>49999333.878240012</v>
      </c>
      <c r="M26" s="86">
        <v>51136790.05067002</v>
      </c>
      <c r="N26" s="86">
        <v>52125909.121109977</v>
      </c>
    </row>
    <row r="27" spans="1:14" hidden="1">
      <c r="A27" s="27" t="s">
        <v>569</v>
      </c>
      <c r="B27" s="27" t="s">
        <v>671</v>
      </c>
      <c r="C27" s="86">
        <v>19388126.960000023</v>
      </c>
      <c r="D27" s="86">
        <v>17585176.247000001</v>
      </c>
      <c r="E27" s="86">
        <v>17816637.934999999</v>
      </c>
      <c r="F27" s="86">
        <v>17930085.234000001</v>
      </c>
      <c r="G27" s="86">
        <v>17940824.980999999</v>
      </c>
      <c r="H27" s="86">
        <v>17871914.307000004</v>
      </c>
      <c r="I27" s="86">
        <v>17701358.123</v>
      </c>
      <c r="J27" s="86">
        <v>17487059.499000002</v>
      </c>
      <c r="K27" s="86">
        <v>17237972.877999995</v>
      </c>
      <c r="L27" s="86">
        <v>16930344.434</v>
      </c>
      <c r="M27" s="86">
        <v>16608433.531000001</v>
      </c>
      <c r="N27" s="86">
        <v>16251410.362000002</v>
      </c>
    </row>
    <row r="28" spans="1:14" hidden="1">
      <c r="A28" s="27" t="s">
        <v>572</v>
      </c>
      <c r="B28" s="27" t="s">
        <v>672</v>
      </c>
      <c r="C28" s="86">
        <v>17981767.819999959</v>
      </c>
      <c r="D28" s="86">
        <v>20317824.098200001</v>
      </c>
      <c r="E28" s="86">
        <v>21967032.106299996</v>
      </c>
      <c r="F28" s="86">
        <v>23510704.125500001</v>
      </c>
      <c r="G28" s="86">
        <v>24971189.716500003</v>
      </c>
      <c r="H28" s="86">
        <v>26340833.627499998</v>
      </c>
      <c r="I28" s="86">
        <v>27631045.834299996</v>
      </c>
      <c r="J28" s="86">
        <v>28808041.623099998</v>
      </c>
      <c r="K28" s="86">
        <v>29837457.262799997</v>
      </c>
      <c r="L28" s="86">
        <v>30702162.024299998</v>
      </c>
      <c r="M28" s="86">
        <v>31414970.701299999</v>
      </c>
      <c r="N28" s="86">
        <v>32032798.268399999</v>
      </c>
    </row>
    <row r="29" spans="1:14" hidden="1">
      <c r="A29" s="27" t="s">
        <v>534</v>
      </c>
      <c r="B29" s="27" t="s">
        <v>673</v>
      </c>
      <c r="C29" s="86">
        <v>44845539.820000112</v>
      </c>
      <c r="D29" s="86">
        <v>48019332.207551196</v>
      </c>
      <c r="E29" s="86">
        <v>50771732.591894343</v>
      </c>
      <c r="F29" s="86">
        <v>53225572.894723535</v>
      </c>
      <c r="G29" s="86">
        <v>55388666.918814115</v>
      </c>
      <c r="H29" s="86">
        <v>57252917.077324443</v>
      </c>
      <c r="I29" s="86">
        <v>58843587.911681518</v>
      </c>
      <c r="J29" s="86">
        <v>60207059.366576836</v>
      </c>
      <c r="K29" s="86">
        <v>61339070.616783455</v>
      </c>
      <c r="L29" s="86">
        <v>62196594.287861489</v>
      </c>
      <c r="M29" s="86">
        <v>62782382.675442532</v>
      </c>
      <c r="N29" s="86">
        <v>63180872.50108292</v>
      </c>
    </row>
    <row r="30" spans="1:14" hidden="1">
      <c r="A30" s="49" t="s">
        <v>674</v>
      </c>
      <c r="C30" s="86">
        <f t="shared" ref="C30:N30" si="1">SUM(C21:C29)</f>
        <v>281591845.21000016</v>
      </c>
      <c r="D30" s="86">
        <f t="shared" si="1"/>
        <v>296504946.6972512</v>
      </c>
      <c r="E30" s="86">
        <f t="shared" si="1"/>
        <v>312648978.81249434</v>
      </c>
      <c r="F30" s="86">
        <f t="shared" si="1"/>
        <v>327057301.62627357</v>
      </c>
      <c r="G30" s="86">
        <f t="shared" si="1"/>
        <v>340033860.82933414</v>
      </c>
      <c r="H30" s="86">
        <f t="shared" si="1"/>
        <v>351623166.77265453</v>
      </c>
      <c r="I30" s="86">
        <f t="shared" si="1"/>
        <v>361764323.49868149</v>
      </c>
      <c r="J30" s="86">
        <f t="shared" si="1"/>
        <v>370544930.87809688</v>
      </c>
      <c r="K30" s="86">
        <f t="shared" si="1"/>
        <v>377932076.25030345</v>
      </c>
      <c r="L30" s="86">
        <f t="shared" si="1"/>
        <v>383851078.76650149</v>
      </c>
      <c r="M30" s="86">
        <f t="shared" si="1"/>
        <v>388427532.02641255</v>
      </c>
      <c r="N30" s="86">
        <f t="shared" si="1"/>
        <v>392134815.06329286</v>
      </c>
    </row>
    <row r="31" spans="1:14" hidden="1">
      <c r="C31" s="86"/>
      <c r="D31" s="86"/>
      <c r="E31" s="86"/>
      <c r="F31" s="86"/>
      <c r="G31" s="86"/>
      <c r="H31" s="86"/>
      <c r="I31" s="86"/>
      <c r="J31" s="86"/>
      <c r="K31" s="86"/>
      <c r="L31" s="86"/>
      <c r="M31" s="86"/>
      <c r="N31" s="86"/>
    </row>
    <row r="32" spans="1:14" hidden="1">
      <c r="D32" s="27" t="s">
        <v>313</v>
      </c>
    </row>
    <row r="33" spans="1:14" hidden="1">
      <c r="A33" s="846" t="s">
        <v>664</v>
      </c>
      <c r="B33" s="846"/>
      <c r="C33" s="27">
        <v>2000</v>
      </c>
      <c r="D33" s="27">
        <v>2005</v>
      </c>
      <c r="E33" s="27">
        <v>2010</v>
      </c>
      <c r="F33" s="27">
        <v>2015</v>
      </c>
      <c r="G33" s="27">
        <v>2020</v>
      </c>
      <c r="H33" s="27">
        <v>2025</v>
      </c>
      <c r="I33" s="27">
        <v>2030</v>
      </c>
      <c r="J33" s="27">
        <v>2035</v>
      </c>
      <c r="K33" s="27">
        <v>2040</v>
      </c>
      <c r="L33" s="27">
        <v>2045</v>
      </c>
      <c r="M33" s="27">
        <v>2050</v>
      </c>
      <c r="N33" s="27">
        <v>2055</v>
      </c>
    </row>
    <row r="34" spans="1:14" hidden="1">
      <c r="A34" s="27" t="s">
        <v>500</v>
      </c>
      <c r="B34" s="27" t="s">
        <v>665</v>
      </c>
      <c r="C34" s="86">
        <v>14082663.889999991</v>
      </c>
      <c r="D34" s="86">
        <v>14365140.789999997</v>
      </c>
      <c r="E34" s="86">
        <v>14647617.68999999</v>
      </c>
      <c r="F34" s="86">
        <v>14930094.589999996</v>
      </c>
      <c r="G34" s="86">
        <v>15212571.489999987</v>
      </c>
      <c r="H34" s="86">
        <v>15495048.389999993</v>
      </c>
      <c r="I34" s="86">
        <v>15777525.289999999</v>
      </c>
      <c r="J34" s="86">
        <v>16060002.189999992</v>
      </c>
      <c r="K34" s="86">
        <v>16342479.089999998</v>
      </c>
      <c r="L34" s="86">
        <v>16624955.989999989</v>
      </c>
      <c r="M34" s="86">
        <v>16907432.889999997</v>
      </c>
      <c r="N34" s="86">
        <v>17189909.789999988</v>
      </c>
    </row>
    <row r="35" spans="1:14" hidden="1">
      <c r="A35" s="27" t="s">
        <v>567</v>
      </c>
      <c r="B35" s="27" t="s">
        <v>666</v>
      </c>
      <c r="C35" s="86">
        <v>40037144.820000008</v>
      </c>
      <c r="D35" s="86">
        <v>40430205.620000012</v>
      </c>
      <c r="E35" s="86">
        <v>40823266.420000009</v>
      </c>
      <c r="F35" s="86">
        <v>41216327.220000014</v>
      </c>
      <c r="G35" s="86">
        <v>41609388.020000011</v>
      </c>
      <c r="H35" s="86">
        <v>42002448.820000015</v>
      </c>
      <c r="I35" s="86">
        <v>42395509.620000012</v>
      </c>
      <c r="J35" s="86">
        <v>42788570.420000017</v>
      </c>
      <c r="K35" s="86">
        <v>43181631.220000014</v>
      </c>
      <c r="L35" s="86">
        <v>43574692.020000018</v>
      </c>
      <c r="M35" s="86">
        <v>43967752.820000015</v>
      </c>
      <c r="N35" s="86">
        <v>44360813.62000002</v>
      </c>
    </row>
    <row r="36" spans="1:14" hidden="1">
      <c r="A36" s="27" t="s">
        <v>530</v>
      </c>
      <c r="B36" s="27" t="s">
        <v>667</v>
      </c>
      <c r="C36" s="86">
        <v>51311033.110000156</v>
      </c>
      <c r="D36" s="86">
        <v>55682680.66000019</v>
      </c>
      <c r="E36" s="86">
        <v>60054328.210000224</v>
      </c>
      <c r="F36" s="86">
        <v>64425975.760000259</v>
      </c>
      <c r="G36" s="86">
        <v>68797623.310000062</v>
      </c>
      <c r="H36" s="86">
        <v>73169270.860000104</v>
      </c>
      <c r="I36" s="86">
        <v>77540918.410000131</v>
      </c>
      <c r="J36" s="86">
        <v>81912565.960000172</v>
      </c>
      <c r="K36" s="86">
        <v>86284213.510000199</v>
      </c>
      <c r="L36" s="86">
        <v>90655861.060000241</v>
      </c>
      <c r="M36" s="86">
        <v>95027508.610000268</v>
      </c>
      <c r="N36" s="86">
        <v>99399156.160000071</v>
      </c>
    </row>
    <row r="37" spans="1:14" hidden="1">
      <c r="A37" s="27" t="s">
        <v>570</v>
      </c>
      <c r="B37" s="27" t="s">
        <v>668</v>
      </c>
      <c r="C37" s="86">
        <v>17077982.930000018</v>
      </c>
      <c r="D37" s="86">
        <v>17552092.280000012</v>
      </c>
      <c r="E37" s="86">
        <v>18026201.630000003</v>
      </c>
      <c r="F37" s="86">
        <v>18500310.980000023</v>
      </c>
      <c r="G37" s="86">
        <v>18974420.330000017</v>
      </c>
      <c r="H37" s="86">
        <v>19448529.680000007</v>
      </c>
      <c r="I37" s="86">
        <v>19922639.030000027</v>
      </c>
      <c r="J37" s="86">
        <v>20396748.380000021</v>
      </c>
      <c r="K37" s="86">
        <v>20870857.730000012</v>
      </c>
      <c r="L37" s="86">
        <v>21344967.080000002</v>
      </c>
      <c r="M37" s="86">
        <v>21819076.430000026</v>
      </c>
      <c r="N37" s="86">
        <v>22293185.780000016</v>
      </c>
    </row>
    <row r="38" spans="1:14" hidden="1">
      <c r="A38" s="27" t="s">
        <v>568</v>
      </c>
      <c r="B38" s="27" t="s">
        <v>669</v>
      </c>
      <c r="C38" s="86">
        <v>45614039.319999993</v>
      </c>
      <c r="D38" s="86">
        <v>46191913.769999988</v>
      </c>
      <c r="E38" s="86">
        <v>46769788.220000006</v>
      </c>
      <c r="F38" s="86">
        <v>47347662.670000002</v>
      </c>
      <c r="G38" s="86">
        <v>47925537.120000005</v>
      </c>
      <c r="H38" s="86">
        <v>48503411.57</v>
      </c>
      <c r="I38" s="86">
        <v>49081286.019999996</v>
      </c>
      <c r="J38" s="86">
        <v>49659160.469999991</v>
      </c>
      <c r="K38" s="86">
        <v>50237034.919999987</v>
      </c>
      <c r="L38" s="86">
        <v>50814909.370000012</v>
      </c>
      <c r="M38" s="86">
        <v>51392783.820000008</v>
      </c>
      <c r="N38" s="86">
        <v>51970658.270000003</v>
      </c>
    </row>
    <row r="39" spans="1:14" hidden="1">
      <c r="A39" s="27" t="s">
        <v>571</v>
      </c>
      <c r="B39" s="27" t="s">
        <v>670</v>
      </c>
      <c r="C39" s="86">
        <v>31253546.539999887</v>
      </c>
      <c r="D39" s="86">
        <v>33535417.339999866</v>
      </c>
      <c r="E39" s="86">
        <v>35817288.139999963</v>
      </c>
      <c r="F39" s="86">
        <v>38099158.939999938</v>
      </c>
      <c r="G39" s="86">
        <v>40381029.73999992</v>
      </c>
      <c r="H39" s="86">
        <v>42662900.539999895</v>
      </c>
      <c r="I39" s="86">
        <v>44944771.339999877</v>
      </c>
      <c r="J39" s="86">
        <v>47226642.139999971</v>
      </c>
      <c r="K39" s="86">
        <v>49508512.939999945</v>
      </c>
      <c r="L39" s="86">
        <v>51790383.739999928</v>
      </c>
      <c r="M39" s="86">
        <v>54072254.539999902</v>
      </c>
      <c r="N39" s="86">
        <v>56354125.339999884</v>
      </c>
    </row>
    <row r="40" spans="1:14" hidden="1">
      <c r="A40" s="27" t="s">
        <v>569</v>
      </c>
      <c r="B40" s="27" t="s">
        <v>671</v>
      </c>
      <c r="C40" s="86">
        <v>19388126.960000023</v>
      </c>
      <c r="D40" s="86">
        <v>19826329.51000002</v>
      </c>
      <c r="E40" s="86">
        <v>20264532.060000021</v>
      </c>
      <c r="F40" s="86">
        <v>20702734.610000022</v>
      </c>
      <c r="G40" s="86">
        <v>21140937.160000023</v>
      </c>
      <c r="H40" s="86">
        <v>21579139.71000002</v>
      </c>
      <c r="I40" s="86">
        <v>22017342.26000002</v>
      </c>
      <c r="J40" s="86">
        <v>22455544.810000021</v>
      </c>
      <c r="K40" s="86">
        <v>22893747.360000022</v>
      </c>
      <c r="L40" s="86">
        <v>23331949.910000019</v>
      </c>
      <c r="M40" s="86">
        <v>23770152.46000002</v>
      </c>
      <c r="N40" s="86">
        <v>24208355.01000002</v>
      </c>
    </row>
    <row r="41" spans="1:14" hidden="1">
      <c r="A41" s="27" t="s">
        <v>572</v>
      </c>
      <c r="B41" s="27" t="s">
        <v>672</v>
      </c>
      <c r="C41" s="86">
        <v>17981767.819999959</v>
      </c>
      <c r="D41" s="86">
        <v>19923017.619999997</v>
      </c>
      <c r="E41" s="86">
        <v>21864267.420000032</v>
      </c>
      <c r="F41" s="86">
        <v>23805517.219999958</v>
      </c>
      <c r="G41" s="86">
        <v>25746767.019999992</v>
      </c>
      <c r="H41" s="86">
        <v>27688016.82000003</v>
      </c>
      <c r="I41" s="86">
        <v>29629266.619999953</v>
      </c>
      <c r="J41" s="86">
        <v>31570516.419999991</v>
      </c>
      <c r="K41" s="86">
        <v>33511766.220000029</v>
      </c>
      <c r="L41" s="86">
        <v>35453016.019999951</v>
      </c>
      <c r="M41" s="86">
        <v>37394265.819999985</v>
      </c>
      <c r="N41" s="86">
        <v>39335515.620000027</v>
      </c>
    </row>
    <row r="42" spans="1:14" hidden="1">
      <c r="A42" s="27" t="s">
        <v>534</v>
      </c>
      <c r="B42" s="27" t="s">
        <v>673</v>
      </c>
      <c r="C42" s="86">
        <v>44845539.820000112</v>
      </c>
      <c r="D42" s="86">
        <v>47700071.920000024</v>
      </c>
      <c r="E42" s="86">
        <v>50554604.020000167</v>
      </c>
      <c r="F42" s="86">
        <v>53409136.120000087</v>
      </c>
      <c r="G42" s="86">
        <v>56263668.22000023</v>
      </c>
      <c r="H42" s="86">
        <v>59118200.320000142</v>
      </c>
      <c r="I42" s="86">
        <v>61972732.420000054</v>
      </c>
      <c r="J42" s="86">
        <v>64827264.520000197</v>
      </c>
      <c r="K42" s="86">
        <v>67681796.620000109</v>
      </c>
      <c r="L42" s="86">
        <v>70536328.720000029</v>
      </c>
      <c r="M42" s="86">
        <v>73390860.820000172</v>
      </c>
      <c r="N42" s="86">
        <v>76245392.920000091</v>
      </c>
    </row>
    <row r="43" spans="1:14" hidden="1">
      <c r="A43" s="49" t="s">
        <v>674</v>
      </c>
      <c r="C43" s="86">
        <f t="shared" ref="C43:N43" si="2">SUM(C34:C42)</f>
        <v>281591845.21000016</v>
      </c>
      <c r="D43" s="86">
        <f t="shared" si="2"/>
        <v>295206869.51000011</v>
      </c>
      <c r="E43" s="86">
        <f t="shared" si="2"/>
        <v>308821893.81000042</v>
      </c>
      <c r="F43" s="86">
        <f t="shared" si="2"/>
        <v>322436918.11000025</v>
      </c>
      <c r="G43" s="86">
        <f t="shared" si="2"/>
        <v>336051942.41000021</v>
      </c>
      <c r="H43" s="86">
        <f t="shared" si="2"/>
        <v>349666966.71000016</v>
      </c>
      <c r="I43" s="86">
        <f t="shared" si="2"/>
        <v>363281991.01000011</v>
      </c>
      <c r="J43" s="86">
        <f t="shared" si="2"/>
        <v>376897015.31000042</v>
      </c>
      <c r="K43" s="86">
        <f t="shared" si="2"/>
        <v>390512039.61000031</v>
      </c>
      <c r="L43" s="86">
        <f t="shared" si="2"/>
        <v>404127063.91000021</v>
      </c>
      <c r="M43" s="86">
        <f t="shared" si="2"/>
        <v>417742088.21000046</v>
      </c>
      <c r="N43" s="86">
        <f t="shared" si="2"/>
        <v>431357112.51000011</v>
      </c>
    </row>
    <row r="44" spans="1:14" hidden="1"/>
    <row r="45" spans="1:14" hidden="1">
      <c r="A45" s="27" t="s">
        <v>314</v>
      </c>
    </row>
    <row r="46" spans="1:14" hidden="1"/>
    <row r="47" spans="1:14" hidden="1"/>
    <row r="48" spans="1:14" hidden="1"/>
    <row r="49" spans="1:18" hidden="1">
      <c r="D49" s="49"/>
    </row>
    <row r="50" spans="1:18" hidden="1"/>
    <row r="51" spans="1:18">
      <c r="A51" s="182" t="s">
        <v>2352</v>
      </c>
      <c r="B51" s="182"/>
      <c r="C51" s="182"/>
      <c r="D51" s="182"/>
      <c r="E51" s="182"/>
      <c r="F51" s="182"/>
      <c r="G51" s="182"/>
      <c r="H51" s="182"/>
      <c r="I51" s="182"/>
      <c r="J51" s="182"/>
      <c r="K51" s="182"/>
      <c r="L51" s="182"/>
      <c r="M51" s="182"/>
      <c r="N51" s="182"/>
      <c r="O51" s="182"/>
      <c r="P51" s="182"/>
      <c r="Q51" s="182"/>
      <c r="R51" s="182"/>
    </row>
    <row r="52" spans="1:18">
      <c r="A52" s="280"/>
      <c r="B52" s="281">
        <v>1990</v>
      </c>
      <c r="C52" s="281">
        <v>2000</v>
      </c>
      <c r="D52" s="281">
        <v>2005</v>
      </c>
      <c r="E52" s="281">
        <v>2010</v>
      </c>
      <c r="F52" s="281">
        <v>2015</v>
      </c>
      <c r="G52" s="281">
        <v>2020</v>
      </c>
      <c r="H52" s="281">
        <v>2030</v>
      </c>
      <c r="I52" s="281">
        <v>2040</v>
      </c>
      <c r="J52" s="182"/>
      <c r="K52" s="182"/>
      <c r="L52" s="182"/>
      <c r="M52" s="182"/>
      <c r="N52" s="182"/>
      <c r="O52" s="182"/>
      <c r="P52" s="182"/>
      <c r="Q52" s="182"/>
      <c r="R52" s="182"/>
    </row>
    <row r="53" spans="1:18">
      <c r="A53" s="182" t="s">
        <v>2350</v>
      </c>
      <c r="B53" s="182">
        <f>SUM(B54:B58)</f>
        <v>7322564</v>
      </c>
      <c r="C53" s="282">
        <f>SUM(C54:C58)</f>
        <v>8008278</v>
      </c>
      <c r="D53" s="182">
        <v>8206135</v>
      </c>
      <c r="E53" s="282">
        <v>8242624</v>
      </c>
      <c r="F53" s="182">
        <f>SUM(F54:F58)</f>
        <v>8550405</v>
      </c>
      <c r="G53" s="282">
        <v>8550971</v>
      </c>
      <c r="H53" s="282">
        <v>8821027</v>
      </c>
      <c r="I53" s="282">
        <v>9025145</v>
      </c>
      <c r="J53" s="182"/>
      <c r="K53" s="182"/>
      <c r="L53" s="182"/>
      <c r="M53" s="182"/>
      <c r="N53" s="182"/>
      <c r="O53" s="182"/>
      <c r="P53" s="182"/>
      <c r="Q53" s="182"/>
      <c r="R53" s="182"/>
    </row>
    <row r="54" spans="1:18">
      <c r="A54" s="182" t="s">
        <v>2346</v>
      </c>
      <c r="B54" s="182">
        <v>1203789</v>
      </c>
      <c r="C54" s="282">
        <v>1332650</v>
      </c>
      <c r="D54" s="282">
        <v>1366086</v>
      </c>
      <c r="E54" s="282">
        <v>1385108</v>
      </c>
      <c r="F54" s="282">
        <v>1455444</v>
      </c>
      <c r="G54" s="282">
        <v>1446788</v>
      </c>
      <c r="H54" s="282">
        <v>1518998</v>
      </c>
      <c r="I54" s="282">
        <v>1579245</v>
      </c>
      <c r="J54" s="182"/>
      <c r="K54" s="182"/>
      <c r="L54" s="182"/>
      <c r="M54" s="182"/>
      <c r="N54" s="182"/>
      <c r="O54" s="182"/>
      <c r="P54" s="182"/>
      <c r="Q54" s="182"/>
      <c r="R54" s="182"/>
    </row>
    <row r="55" spans="1:18">
      <c r="A55" s="182" t="s">
        <v>2345</v>
      </c>
      <c r="B55" s="182">
        <v>2300664</v>
      </c>
      <c r="C55" s="282">
        <v>2465326</v>
      </c>
      <c r="D55" s="282">
        <v>2517052</v>
      </c>
      <c r="E55" s="282">
        <v>2552911</v>
      </c>
      <c r="F55" s="282">
        <v>2636735</v>
      </c>
      <c r="G55" s="282">
        <v>2648452</v>
      </c>
      <c r="H55" s="282">
        <v>2754009</v>
      </c>
      <c r="I55" s="282">
        <v>2840525</v>
      </c>
      <c r="J55" s="182"/>
      <c r="K55" s="182"/>
      <c r="L55" s="182"/>
      <c r="M55" s="182"/>
      <c r="N55" s="182"/>
      <c r="O55" s="182"/>
      <c r="P55" s="182"/>
      <c r="Q55" s="182"/>
      <c r="R55" s="182"/>
    </row>
    <row r="56" spans="1:18">
      <c r="A56" s="182" t="s">
        <v>2347</v>
      </c>
      <c r="B56" s="182">
        <v>1487536</v>
      </c>
      <c r="C56" s="282">
        <v>1537195</v>
      </c>
      <c r="D56" s="282">
        <v>1600110</v>
      </c>
      <c r="E56" s="282">
        <v>1585873</v>
      </c>
      <c r="F56" s="282">
        <v>1644518</v>
      </c>
      <c r="G56" s="282">
        <v>1638281</v>
      </c>
      <c r="H56" s="282">
        <v>1676720</v>
      </c>
      <c r="I56" s="282">
        <v>1691617</v>
      </c>
      <c r="J56" s="182"/>
      <c r="K56" s="182"/>
      <c r="L56" s="182"/>
      <c r="M56" s="182"/>
      <c r="N56" s="182"/>
      <c r="O56" s="182"/>
      <c r="P56" s="182"/>
      <c r="Q56" s="182"/>
      <c r="R56" s="182"/>
    </row>
    <row r="57" spans="1:18">
      <c r="A57" s="182" t="s">
        <v>2349</v>
      </c>
      <c r="B57" s="182">
        <v>1951598</v>
      </c>
      <c r="C57" s="282">
        <v>2229379</v>
      </c>
      <c r="D57" s="282">
        <v>2254639</v>
      </c>
      <c r="E57" s="282">
        <v>2250002</v>
      </c>
      <c r="F57" s="282">
        <v>2339150</v>
      </c>
      <c r="G57" s="282">
        <v>2330295</v>
      </c>
      <c r="H57" s="282">
        <v>2373551</v>
      </c>
      <c r="I57" s="282">
        <v>2412649</v>
      </c>
      <c r="J57" s="182"/>
      <c r="K57" s="182"/>
      <c r="L57" s="182"/>
      <c r="M57" s="182"/>
      <c r="N57" s="182"/>
      <c r="O57" s="182"/>
      <c r="P57" s="182"/>
      <c r="Q57" s="182"/>
      <c r="R57" s="182"/>
    </row>
    <row r="58" spans="1:18">
      <c r="A58" s="182" t="s">
        <v>2348</v>
      </c>
      <c r="B58" s="182">
        <v>378977</v>
      </c>
      <c r="C58" s="282">
        <v>443728</v>
      </c>
      <c r="D58" s="282">
        <v>468248</v>
      </c>
      <c r="E58" s="282">
        <v>468730</v>
      </c>
      <c r="F58" s="282">
        <v>474558</v>
      </c>
      <c r="G58" s="282">
        <v>487155</v>
      </c>
      <c r="H58" s="282">
        <v>497749</v>
      </c>
      <c r="I58" s="282">
        <v>501109</v>
      </c>
      <c r="J58" s="182"/>
      <c r="K58" s="182"/>
      <c r="L58" s="182"/>
      <c r="M58" s="182"/>
      <c r="N58" s="182"/>
      <c r="O58" s="182"/>
      <c r="P58" s="182"/>
      <c r="Q58" s="182"/>
      <c r="R58" s="182"/>
    </row>
    <row r="59" spans="1:18">
      <c r="A59" s="182"/>
      <c r="B59" s="182"/>
      <c r="C59" s="182"/>
      <c r="D59" s="182"/>
      <c r="E59" s="182"/>
      <c r="F59" s="182"/>
      <c r="G59" s="182"/>
      <c r="H59" s="182"/>
      <c r="I59" s="182"/>
      <c r="J59" s="182"/>
      <c r="K59" s="182"/>
      <c r="L59" s="182"/>
      <c r="M59" s="182"/>
      <c r="N59" s="182"/>
      <c r="O59" s="182"/>
      <c r="P59" s="182"/>
      <c r="Q59" s="182"/>
      <c r="R59" s="182"/>
    </row>
    <row r="60" spans="1:18">
      <c r="A60" s="280"/>
      <c r="B60" s="281">
        <v>1990</v>
      </c>
      <c r="C60" s="281">
        <v>2000</v>
      </c>
      <c r="D60" s="281">
        <v>2005</v>
      </c>
      <c r="E60" s="281">
        <v>2010</v>
      </c>
      <c r="F60" s="281">
        <v>2015</v>
      </c>
      <c r="G60" s="281">
        <v>2020</v>
      </c>
      <c r="H60" s="281">
        <v>2025</v>
      </c>
      <c r="I60" s="281">
        <v>2030</v>
      </c>
      <c r="J60" s="281">
        <v>2035</v>
      </c>
      <c r="K60" s="281">
        <v>2040</v>
      </c>
      <c r="L60" s="281">
        <v>2045</v>
      </c>
      <c r="M60" s="281">
        <v>2050</v>
      </c>
      <c r="N60" s="281">
        <v>2055</v>
      </c>
      <c r="O60" s="283"/>
      <c r="P60" s="283"/>
      <c r="Q60" s="283"/>
      <c r="R60" s="182"/>
    </row>
    <row r="61" spans="1:18">
      <c r="A61" s="182" t="s">
        <v>2350</v>
      </c>
      <c r="B61" s="182">
        <f>SUM(B62:B66)</f>
        <v>7322564</v>
      </c>
      <c r="C61" s="282">
        <f>SUM(C62:C66)</f>
        <v>8008278</v>
      </c>
      <c r="D61" s="182">
        <v>8206135</v>
      </c>
      <c r="E61" s="282">
        <v>8242624</v>
      </c>
      <c r="F61" s="182">
        <f>SUM(F62:F66)</f>
        <v>8550405</v>
      </c>
      <c r="G61" s="282">
        <v>8550971</v>
      </c>
      <c r="H61" s="284">
        <f>(G61+I61)/2</f>
        <v>8685999</v>
      </c>
      <c r="I61" s="282">
        <v>8821027</v>
      </c>
      <c r="J61" s="284">
        <f>(I61+K61)/2</f>
        <v>8923086</v>
      </c>
      <c r="K61" s="282">
        <v>9025145</v>
      </c>
      <c r="L61" s="285">
        <f>P61+R61*L$60</f>
        <v>9292840.212121211</v>
      </c>
      <c r="M61" s="182">
        <f>M$60*R61+P61</f>
        <v>9446271.7857142836</v>
      </c>
      <c r="N61" s="285">
        <f>P61+N$60*R61</f>
        <v>9599703.3593073562</v>
      </c>
      <c r="O61" s="286" t="s">
        <v>2353</v>
      </c>
      <c r="P61" s="287">
        <f>INTERCEPT(B61:K61,B60:K60)</f>
        <v>-53460673.387445904</v>
      </c>
      <c r="Q61" s="286" t="s">
        <v>2354</v>
      </c>
      <c r="R61" s="287">
        <f>SLOPE(B61:K61,B60:K60)</f>
        <v>30686.314718614725</v>
      </c>
    </row>
    <row r="62" spans="1:18">
      <c r="A62" s="182" t="s">
        <v>2346</v>
      </c>
      <c r="B62" s="182">
        <v>1203789</v>
      </c>
      <c r="C62" s="282">
        <v>1332650</v>
      </c>
      <c r="D62" s="282">
        <v>1366086</v>
      </c>
      <c r="E62" s="282">
        <v>1385108</v>
      </c>
      <c r="F62" s="282">
        <v>1455444</v>
      </c>
      <c r="G62" s="282">
        <v>1446788</v>
      </c>
      <c r="H62" s="284">
        <f t="shared" ref="H62:H66" si="3">(G62+I62)/2</f>
        <v>1482893</v>
      </c>
      <c r="I62" s="282">
        <v>1518998</v>
      </c>
      <c r="J62" s="284">
        <f t="shared" ref="J62:J66" si="4">(I62+K62)/2</f>
        <v>1549121.5</v>
      </c>
      <c r="K62" s="282">
        <v>1579245</v>
      </c>
      <c r="L62" s="285">
        <f t="shared" ref="L62:L66" si="5">P62+R62*L$60</f>
        <v>1625954.9772727266</v>
      </c>
      <c r="M62" s="182">
        <f t="shared" ref="M62:M66" si="6">M$60*R62+P62</f>
        <v>1660587.6071428563</v>
      </c>
      <c r="N62" s="285">
        <f t="shared" ref="N62:N66" si="7">P62+N$60*R62</f>
        <v>1695220.2370129861</v>
      </c>
      <c r="O62" s="286" t="s">
        <v>2353</v>
      </c>
      <c r="P62" s="287">
        <f>INTERCEPT(B62:K62,B60:K60)</f>
        <v>-12538790.639610391</v>
      </c>
      <c r="Q62" s="286" t="s">
        <v>2354</v>
      </c>
      <c r="R62" s="287">
        <f>SLOPE(B62:K62,B60:K60)</f>
        <v>6926.5259740259744</v>
      </c>
    </row>
    <row r="63" spans="1:18">
      <c r="A63" s="182" t="s">
        <v>2345</v>
      </c>
      <c r="B63" s="182">
        <v>2300664</v>
      </c>
      <c r="C63" s="282">
        <v>2465326</v>
      </c>
      <c r="D63" s="282">
        <v>2517052</v>
      </c>
      <c r="E63" s="282">
        <v>2552911</v>
      </c>
      <c r="F63" s="282">
        <v>2636735</v>
      </c>
      <c r="G63" s="282">
        <v>2648452</v>
      </c>
      <c r="H63" s="284">
        <f t="shared" si="3"/>
        <v>2701230.5</v>
      </c>
      <c r="I63" s="282">
        <v>2754009</v>
      </c>
      <c r="J63" s="284">
        <f t="shared" si="4"/>
        <v>2797267</v>
      </c>
      <c r="K63" s="282">
        <v>2840525</v>
      </c>
      <c r="L63" s="285">
        <f t="shared" si="5"/>
        <v>2908244.5075757541</v>
      </c>
      <c r="M63" s="182">
        <f t="shared" si="6"/>
        <v>2959463.6785714254</v>
      </c>
      <c r="N63" s="285">
        <f t="shared" si="7"/>
        <v>3010682.8495670967</v>
      </c>
      <c r="O63" s="286" t="s">
        <v>2353</v>
      </c>
      <c r="P63" s="287">
        <f>INTERCEPT(B63:K63,B60:K60)</f>
        <v>-18040396.429653682</v>
      </c>
      <c r="Q63" s="286" t="s">
        <v>2354</v>
      </c>
      <c r="R63" s="287">
        <f>SLOPE(B63:K63,B60:K60)</f>
        <v>10243.834199134199</v>
      </c>
    </row>
    <row r="64" spans="1:18">
      <c r="A64" s="182" t="s">
        <v>2347</v>
      </c>
      <c r="B64" s="182">
        <v>1487536</v>
      </c>
      <c r="C64" s="282">
        <v>1537195</v>
      </c>
      <c r="D64" s="282">
        <v>1600110</v>
      </c>
      <c r="E64" s="282">
        <v>1585873</v>
      </c>
      <c r="F64" s="282">
        <v>1644518</v>
      </c>
      <c r="G64" s="282">
        <v>1638281</v>
      </c>
      <c r="H64" s="284">
        <f t="shared" si="3"/>
        <v>1657500.5</v>
      </c>
      <c r="I64" s="282">
        <v>1676720</v>
      </c>
      <c r="J64" s="284">
        <f t="shared" si="4"/>
        <v>1684168.5</v>
      </c>
      <c r="K64" s="282">
        <v>1691617</v>
      </c>
      <c r="L64" s="285">
        <f t="shared" si="5"/>
        <v>1733166.166666667</v>
      </c>
      <c r="M64" s="182">
        <f t="shared" si="6"/>
        <v>1753311.5714285718</v>
      </c>
      <c r="N64" s="285">
        <f t="shared" si="7"/>
        <v>1773456.9761904767</v>
      </c>
      <c r="O64" s="286" t="s">
        <v>2353</v>
      </c>
      <c r="P64" s="287">
        <f>INTERCEPT(B64:K64,B60:K60)</f>
        <v>-6506304.3809523787</v>
      </c>
      <c r="Q64" s="286" t="s">
        <v>2354</v>
      </c>
      <c r="R64" s="287">
        <f>SLOPE(B64:K64,B60:K60)</f>
        <v>4029.0809523809517</v>
      </c>
    </row>
    <row r="65" spans="1:18">
      <c r="A65" s="182" t="s">
        <v>2349</v>
      </c>
      <c r="B65" s="182">
        <v>1951598</v>
      </c>
      <c r="C65" s="282">
        <v>2229379</v>
      </c>
      <c r="D65" s="282">
        <v>2254639</v>
      </c>
      <c r="E65" s="282">
        <v>2250002</v>
      </c>
      <c r="F65" s="282">
        <v>2339150</v>
      </c>
      <c r="G65" s="282">
        <v>2330295</v>
      </c>
      <c r="H65" s="284">
        <f t="shared" si="3"/>
        <v>2351923</v>
      </c>
      <c r="I65" s="282">
        <v>2373551</v>
      </c>
      <c r="J65" s="284">
        <f t="shared" si="4"/>
        <v>2393100</v>
      </c>
      <c r="K65" s="282">
        <v>2412649</v>
      </c>
      <c r="L65" s="285">
        <f t="shared" si="5"/>
        <v>2496538.7575757559</v>
      </c>
      <c r="M65" s="182">
        <f t="shared" si="6"/>
        <v>2533665.5714285709</v>
      </c>
      <c r="N65" s="285">
        <f t="shared" si="7"/>
        <v>2570792.385281384</v>
      </c>
      <c r="O65" s="286" t="s">
        <v>2353</v>
      </c>
      <c r="P65" s="287">
        <f>INTERCEPT(B65:K65,B60:K60)</f>
        <v>-12688328.108225113</v>
      </c>
      <c r="Q65" s="286" t="s">
        <v>2354</v>
      </c>
      <c r="R65" s="287">
        <f>SLOPE(B65:K65,B60:K60)</f>
        <v>7425.3627705627723</v>
      </c>
    </row>
    <row r="66" spans="1:18">
      <c r="A66" s="182" t="s">
        <v>2348</v>
      </c>
      <c r="B66" s="182">
        <v>378977</v>
      </c>
      <c r="C66" s="282">
        <v>443728</v>
      </c>
      <c r="D66" s="282">
        <v>468248</v>
      </c>
      <c r="E66" s="282">
        <v>468730</v>
      </c>
      <c r="F66" s="282">
        <v>474558</v>
      </c>
      <c r="G66" s="282">
        <v>487155</v>
      </c>
      <c r="H66" s="284">
        <f t="shared" si="3"/>
        <v>492452</v>
      </c>
      <c r="I66" s="282">
        <v>497749</v>
      </c>
      <c r="J66" s="284">
        <f t="shared" si="4"/>
        <v>499429</v>
      </c>
      <c r="K66" s="282">
        <v>501109</v>
      </c>
      <c r="L66" s="285">
        <f t="shared" si="5"/>
        <v>528935.80303030275</v>
      </c>
      <c r="M66" s="182">
        <f t="shared" si="6"/>
        <v>539243.35714285728</v>
      </c>
      <c r="N66" s="285">
        <f t="shared" si="7"/>
        <v>549550.9112554118</v>
      </c>
      <c r="O66" s="286" t="s">
        <v>2353</v>
      </c>
      <c r="P66" s="287">
        <f>INTERCEPT(B66:K66,B60:K60)</f>
        <v>-3686853.8290043287</v>
      </c>
      <c r="Q66" s="286" t="s">
        <v>2354</v>
      </c>
      <c r="R66" s="287">
        <f>SLOPE(B66:K66,B60:K60)</f>
        <v>2061.5108225108224</v>
      </c>
    </row>
  </sheetData>
  <mergeCells count="3">
    <mergeCell ref="A20:B20"/>
    <mergeCell ref="A33:B33"/>
    <mergeCell ref="A3:B3"/>
  </mergeCells>
  <phoneticPr fontId="14" type="noConversion"/>
  <pageMargins left="0.75" right="0.75" top="0.5" bottom="0.5" header="0.5" footer="0.5"/>
  <pageSetup scale="39" orientation="landscape" r:id="rId1"/>
  <headerFooter alignWithMargins="0"/>
  <drawing r:id="rId2"/>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1"/>
  <sheetViews>
    <sheetView workbookViewId="0">
      <selection activeCell="C33" sqref="C33"/>
    </sheetView>
  </sheetViews>
  <sheetFormatPr defaultColWidth="9.28515625" defaultRowHeight="12.75"/>
  <cols>
    <col min="1" max="1" width="52.28515625" style="17" customWidth="1"/>
    <col min="2" max="9" width="11" style="17" customWidth="1"/>
    <col min="10" max="16384" width="9.28515625" style="17"/>
  </cols>
  <sheetData>
    <row r="1" spans="1:10" ht="25.5">
      <c r="A1" s="147" t="s">
        <v>2410</v>
      </c>
      <c r="B1" s="359" t="s">
        <v>2391</v>
      </c>
      <c r="C1" s="359" t="s">
        <v>2392</v>
      </c>
      <c r="D1" s="359" t="s">
        <v>2393</v>
      </c>
      <c r="E1" s="359" t="s">
        <v>2394</v>
      </c>
      <c r="F1" s="359" t="s">
        <v>222</v>
      </c>
      <c r="G1" s="359" t="s">
        <v>2395</v>
      </c>
      <c r="H1" s="359" t="s">
        <v>2396</v>
      </c>
      <c r="I1" s="359" t="s">
        <v>2397</v>
      </c>
    </row>
    <row r="2" spans="1:10">
      <c r="A2" s="147" t="s">
        <v>2449</v>
      </c>
      <c r="B2" s="360">
        <f>Original!AS3/Original!$BA3</f>
        <v>0.55416973397927605</v>
      </c>
      <c r="C2" s="360">
        <f>Original!AT3/Original!$BA3</f>
        <v>0.20778530681686785</v>
      </c>
      <c r="D2" s="360">
        <f>Original!AU3/Original!$BA3</f>
        <v>4.2597519015426903E-2</v>
      </c>
      <c r="E2" s="360">
        <f>Original!AV3/Original!$BA3</f>
        <v>0</v>
      </c>
      <c r="F2" s="360">
        <f>Original!AW3/Original!$BA3</f>
        <v>4.7608991840771234E-2</v>
      </c>
      <c r="G2" s="360">
        <f>Original!AX3/Original!$BA3</f>
        <v>0</v>
      </c>
      <c r="H2" s="360">
        <f>Original!AY3/Original!$BA3</f>
        <v>0</v>
      </c>
      <c r="I2" s="360">
        <f>Original!AZ3/Original!$BA3</f>
        <v>0.14783844834765805</v>
      </c>
      <c r="J2" s="427">
        <f>SUM(B2:I2)</f>
        <v>1.0000000000000002</v>
      </c>
    </row>
    <row r="3" spans="1:10">
      <c r="A3" s="147" t="s">
        <v>2450</v>
      </c>
      <c r="B3" s="360">
        <f>Original!AS4/Original!$BA4</f>
        <v>0.55226659716396898</v>
      </c>
      <c r="C3" s="360">
        <f>Original!AT4/Original!$BA4</f>
        <v>0.2096884436321749</v>
      </c>
      <c r="D3" s="360">
        <f>Original!AU4/Original!$BA4</f>
        <v>4.2597519015426896E-2</v>
      </c>
      <c r="E3" s="360">
        <f>Original!AV4/Original!$BA4</f>
        <v>0</v>
      </c>
      <c r="F3" s="360">
        <f>Original!AW4/Original!$BA4</f>
        <v>4.7608991840771234E-2</v>
      </c>
      <c r="G3" s="360">
        <f>Original!AX4/Original!$BA4</f>
        <v>0</v>
      </c>
      <c r="H3" s="360">
        <f>Original!AY4/Original!$BA4</f>
        <v>0</v>
      </c>
      <c r="I3" s="360">
        <f>Original!AZ4/Original!$BA4</f>
        <v>0.14783844834765802</v>
      </c>
      <c r="J3" s="427">
        <f t="shared" ref="J3:J27" si="0">SUM(B3:I3)</f>
        <v>1</v>
      </c>
    </row>
    <row r="4" spans="1:10">
      <c r="A4" s="147" t="s">
        <v>2451</v>
      </c>
      <c r="B4" s="360"/>
      <c r="C4" s="360"/>
      <c r="D4" s="360"/>
      <c r="E4" s="360"/>
      <c r="F4" s="360"/>
      <c r="G4" s="360"/>
      <c r="H4" s="360"/>
      <c r="I4" s="360"/>
      <c r="J4" s="427"/>
    </row>
    <row r="5" spans="1:10">
      <c r="A5" s="147" t="s">
        <v>2452</v>
      </c>
      <c r="B5" s="360">
        <f>Original!AS6/Original!$BA6</f>
        <v>0.56907818559107781</v>
      </c>
      <c r="C5" s="360">
        <f>Original!AT6/Original!$BA6</f>
        <v>0.2464605132186839</v>
      </c>
      <c r="D5" s="360">
        <f>Original!AU6/Original!$BA6</f>
        <v>4.279156900016276E-2</v>
      </c>
      <c r="E5" s="360">
        <f>Original!AV6/Original!$BA6</f>
        <v>1.4308286157512264E-2</v>
      </c>
      <c r="F5" s="360">
        <f>Original!AW6/Original!$BA6</f>
        <v>3.6543154112860785E-2</v>
      </c>
      <c r="G5" s="360">
        <f>Original!AX6/Original!$BA6</f>
        <v>1.434131529356822E-2</v>
      </c>
      <c r="H5" s="360">
        <f>Original!AY6/Original!$BA6</f>
        <v>9.1440052028792448E-3</v>
      </c>
      <c r="I5" s="360">
        <f>Original!AZ6/Original!$BA6</f>
        <v>6.733297142325495E-2</v>
      </c>
      <c r="J5" s="427">
        <f t="shared" si="0"/>
        <v>1</v>
      </c>
    </row>
    <row r="6" spans="1:10">
      <c r="A6" s="147" t="s">
        <v>2453</v>
      </c>
      <c r="B6" s="360">
        <f>Original!AS7/Original!$BA7</f>
        <v>0.57321850733793278</v>
      </c>
      <c r="C6" s="360">
        <f>Original!AT7/Original!$BA7</f>
        <v>0.24516053063111642</v>
      </c>
      <c r="D6" s="360">
        <f>Original!AU7/Original!$BA7</f>
        <v>1.9409130719257255E-2</v>
      </c>
      <c r="E6" s="360">
        <f>Original!AV7/Original!$BA7</f>
        <v>1.1471724155237584E-2</v>
      </c>
      <c r="F6" s="360">
        <f>Original!AW7/Original!$BA7</f>
        <v>5.0134515863522564E-2</v>
      </c>
      <c r="G6" s="360">
        <f>Original!AX7/Original!$BA7</f>
        <v>7.0688789495800671E-3</v>
      </c>
      <c r="H6" s="360">
        <f>Original!AY7/Original!$BA7</f>
        <v>4.5840141175531451E-3</v>
      </c>
      <c r="I6" s="360">
        <f>Original!AZ7/Original!$BA7</f>
        <v>8.8952698225800222E-2</v>
      </c>
      <c r="J6" s="427">
        <f t="shared" si="0"/>
        <v>1</v>
      </c>
    </row>
    <row r="7" spans="1:10">
      <c r="A7" s="147" t="s">
        <v>2454</v>
      </c>
      <c r="B7" s="360">
        <f>Original!AS8/Original!$BA8</f>
        <v>0.54453312549619182</v>
      </c>
      <c r="C7" s="360">
        <f>Original!AT8/Original!$BA8</f>
        <v>0.26176575080299214</v>
      </c>
      <c r="D7" s="360">
        <f>Original!AU8/Original!$BA8</f>
        <v>6.0423553428108422E-2</v>
      </c>
      <c r="E7" s="360">
        <f>Original!AV8/Original!$BA8</f>
        <v>1.1650313045895576E-2</v>
      </c>
      <c r="F7" s="360">
        <f>Original!AW8/Original!$BA8</f>
        <v>3.5414747256513474E-2</v>
      </c>
      <c r="G7" s="360">
        <f>Original!AX8/Original!$BA8</f>
        <v>1.3943418873860086E-2</v>
      </c>
      <c r="H7" s="360">
        <f>Original!AY8/Original!$BA8</f>
        <v>8.4442479507030078E-3</v>
      </c>
      <c r="I7" s="360">
        <f>Original!AZ8/Original!$BA8</f>
        <v>6.3824843145735569E-2</v>
      </c>
      <c r="J7" s="427">
        <f t="shared" si="0"/>
        <v>1.0000000000000002</v>
      </c>
    </row>
    <row r="8" spans="1:10">
      <c r="A8" s="147" t="s">
        <v>2455</v>
      </c>
      <c r="B8" s="360">
        <f>Original!AS9/Original!$BA9</f>
        <v>0.58862370805977915</v>
      </c>
      <c r="C8" s="360">
        <f>Original!AT9/Original!$BA9</f>
        <v>0.24546826044450568</v>
      </c>
      <c r="D8" s="360">
        <f>Original!AU9/Original!$BA9</f>
        <v>2.5024322810816273E-2</v>
      </c>
      <c r="E8" s="360">
        <f>Original!AV9/Original!$BA9</f>
        <v>8.0217755645276105E-3</v>
      </c>
      <c r="F8" s="360">
        <f>Original!AW9/Original!$BA9</f>
        <v>5.4087993660333615E-2</v>
      </c>
      <c r="G8" s="360">
        <f>Original!AX9/Original!$BA9</f>
        <v>1.4920133971680131E-2</v>
      </c>
      <c r="H8" s="360">
        <f>Original!AY9/Original!$BA9</f>
        <v>6.8172967964872681E-3</v>
      </c>
      <c r="I8" s="360">
        <f>Original!AZ9/Original!$BA9</f>
        <v>5.7036508691870318E-2</v>
      </c>
      <c r="J8" s="427">
        <f t="shared" si="0"/>
        <v>0.99999999999999989</v>
      </c>
    </row>
    <row r="9" spans="1:10">
      <c r="A9" s="147" t="s">
        <v>2456</v>
      </c>
      <c r="B9" s="360">
        <f>Original!AS10/Original!$BA10</f>
        <v>0.56157939916044897</v>
      </c>
      <c r="C9" s="360">
        <f>Original!AT10/Original!$BA10</f>
        <v>0.25513967877957366</v>
      </c>
      <c r="D9" s="360">
        <f>Original!AU10/Original!$BA10</f>
        <v>2.2475297881020938E-2</v>
      </c>
      <c r="E9" s="360">
        <f>Original!AV10/Original!$BA10</f>
        <v>4.7309123222572923E-3</v>
      </c>
      <c r="F9" s="360">
        <f>Original!AW10/Original!$BA10</f>
        <v>4.7957000251087678E-2</v>
      </c>
      <c r="G9" s="360">
        <f>Original!AX10/Original!$BA10</f>
        <v>1.8975446572402032E-2</v>
      </c>
      <c r="H9" s="360">
        <f>Original!AY10/Original!$BA10</f>
        <v>1.0519626810288753E-2</v>
      </c>
      <c r="I9" s="360">
        <f>Original!AZ10/Original!$BA10</f>
        <v>7.8622638222920746E-2</v>
      </c>
      <c r="J9" s="427">
        <f t="shared" si="0"/>
        <v>1.0000000000000002</v>
      </c>
    </row>
    <row r="10" spans="1:10">
      <c r="A10" s="147" t="s">
        <v>2457</v>
      </c>
      <c r="B10" s="360">
        <f>Original!AS11/Original!$BA11</f>
        <v>0.59339544661749866</v>
      </c>
      <c r="C10" s="360">
        <f>Original!AT11/Original!$BA11</f>
        <v>0.24779439930188898</v>
      </c>
      <c r="D10" s="360">
        <f>Original!AU11/Original!$BA11</f>
        <v>2.2425847554186445E-2</v>
      </c>
      <c r="E10" s="360">
        <f>Original!AV11/Original!$BA11</f>
        <v>2.5999252415631145E-3</v>
      </c>
      <c r="F10" s="360">
        <f>Original!AW11/Original!$BA11</f>
        <v>5.5793788857745254E-2</v>
      </c>
      <c r="G10" s="360">
        <f>Original!AX11/Original!$BA11</f>
        <v>1.395865962429714E-2</v>
      </c>
      <c r="H10" s="360">
        <f>Original!AY11/Original!$BA11</f>
        <v>4.5066832602725501E-3</v>
      </c>
      <c r="I10" s="360">
        <f>Original!AZ11/Original!$BA11</f>
        <v>5.9525249542547738E-2</v>
      </c>
      <c r="J10" s="427">
        <f t="shared" si="0"/>
        <v>0.99999999999999989</v>
      </c>
    </row>
    <row r="11" spans="1:10">
      <c r="A11" s="147" t="s">
        <v>2458</v>
      </c>
      <c r="B11" s="360">
        <f>Original!AS12/Original!$BA12</f>
        <v>0.50109944465545786</v>
      </c>
      <c r="C11" s="360">
        <f>Original!AT12/Original!$BA12</f>
        <v>0.32080215165548837</v>
      </c>
      <c r="D11" s="360">
        <f>Original!AU12/Original!$BA12</f>
        <v>6.0360567970568144E-2</v>
      </c>
      <c r="E11" s="360">
        <f>Original!AV12/Original!$BA12</f>
        <v>6.7473634980377371E-3</v>
      </c>
      <c r="F11" s="360">
        <f>Original!AW12/Original!$BA12</f>
        <v>3.7219876678197199E-2</v>
      </c>
      <c r="G11" s="360">
        <f>Original!AX12/Original!$BA12</f>
        <v>1.0171444820590328E-2</v>
      </c>
      <c r="H11" s="360">
        <f>Original!AY12/Original!$BA12</f>
        <v>5.2560752138203822E-3</v>
      </c>
      <c r="I11" s="360">
        <f>Original!AZ12/Original!$BA12</f>
        <v>5.8343075507840042E-2</v>
      </c>
      <c r="J11" s="427">
        <f t="shared" si="0"/>
        <v>0.99999999999999989</v>
      </c>
    </row>
    <row r="12" spans="1:10">
      <c r="A12" s="147" t="s">
        <v>2459</v>
      </c>
      <c r="B12" s="360">
        <f>Original!AS13/Original!$BA13</f>
        <v>0.3400614983347392</v>
      </c>
      <c r="C12" s="360">
        <f>Original!AT13/Original!$BA13</f>
        <v>0.26449597588510398</v>
      </c>
      <c r="D12" s="360">
        <f>Original!AU13/Original!$BA13</f>
        <v>8.4122119912402107E-2</v>
      </c>
      <c r="E12" s="360">
        <f>Original!AV13/Original!$BA13</f>
        <v>8.0950081371519794E-2</v>
      </c>
      <c r="F12" s="360">
        <f>Original!AW13/Original!$BA13</f>
        <v>9.0466469721639908E-2</v>
      </c>
      <c r="G12" s="360">
        <f>Original!AX13/Original!$BA13</f>
        <v>1.588807534047049E-2</v>
      </c>
      <c r="H12" s="360">
        <f>Original!AY13/Original!$BA13</f>
        <v>3.4300488424236948E-2</v>
      </c>
      <c r="I12" s="360">
        <f>Original!AZ13/Original!$BA13</f>
        <v>8.9715291009887371E-2</v>
      </c>
      <c r="J12" s="427">
        <f t="shared" si="0"/>
        <v>0.99999999999999989</v>
      </c>
    </row>
    <row r="13" spans="1:10">
      <c r="A13" s="147" t="s">
        <v>2460</v>
      </c>
      <c r="B13" s="360">
        <f>Original!AS14/Original!$BA14</f>
        <v>0.51929905538146459</v>
      </c>
      <c r="C13" s="360">
        <f>Original!AT14/Original!$BA14</f>
        <v>7.5902005068689452E-2</v>
      </c>
      <c r="D13" s="360">
        <f>Original!AU14/Original!$BA14</f>
        <v>7.5162737940417515E-2</v>
      </c>
      <c r="E13" s="360">
        <f>Original!AV14/Original!$BA14</f>
        <v>5.6566776301390974E-2</v>
      </c>
      <c r="F13" s="360">
        <f>Original!AW14/Original!$BA14</f>
        <v>0.10197310198213713</v>
      </c>
      <c r="G13" s="360">
        <f>Original!AX14/Original!$BA14</f>
        <v>1.8706864683835464E-2</v>
      </c>
      <c r="H13" s="360">
        <f>Original!AY14/Original!$BA14</f>
        <v>2.0934053540500836E-2</v>
      </c>
      <c r="I13" s="360">
        <f>Original!AZ14/Original!$BA14</f>
        <v>0.13145540510156392</v>
      </c>
      <c r="J13" s="427">
        <f t="shared" si="0"/>
        <v>0.99999999999999989</v>
      </c>
    </row>
    <row r="14" spans="1:10">
      <c r="A14" s="147" t="s">
        <v>2461</v>
      </c>
      <c r="B14" s="360">
        <f>Original!AS15/Original!$BA15</f>
        <v>0.34971117013039194</v>
      </c>
      <c r="C14" s="360">
        <f>Original!AT15/Original!$BA15</f>
        <v>0.1195151881886992</v>
      </c>
      <c r="D14" s="360">
        <f>Original!AU15/Original!$BA15</f>
        <v>0.18183847850688339</v>
      </c>
      <c r="E14" s="360">
        <f>Original!AV15/Original!$BA15</f>
        <v>5.3895905765706402E-2</v>
      </c>
      <c r="F14" s="360">
        <f>Original!AW15/Original!$BA15</f>
        <v>9.8886337303933911E-2</v>
      </c>
      <c r="G14" s="360">
        <f>Original!AX15/Original!$BA15</f>
        <v>2.4297536153154921E-2</v>
      </c>
      <c r="H14" s="360">
        <f>Original!AY15/Original!$BA15</f>
        <v>1.2786313660550929E-2</v>
      </c>
      <c r="I14" s="360">
        <f>Original!AZ15/Original!$BA15</f>
        <v>0.15906907029067918</v>
      </c>
      <c r="J14" s="427">
        <f t="shared" si="0"/>
        <v>0.99999999999999989</v>
      </c>
    </row>
    <row r="15" spans="1:10">
      <c r="A15" s="147" t="s">
        <v>2462</v>
      </c>
      <c r="B15" s="360">
        <f>Original!AS16/Original!$BA16</f>
        <v>0.43451610549815228</v>
      </c>
      <c r="C15" s="360">
        <f>Original!AT16/Original!$BA16</f>
        <v>7.1965373876993061E-2</v>
      </c>
      <c r="D15" s="360">
        <f>Original!AU16/Original!$BA16</f>
        <v>0.10833711630191664</v>
      </c>
      <c r="E15" s="360">
        <f>Original!AV16/Original!$BA16</f>
        <v>2.3839419431479974E-2</v>
      </c>
      <c r="F15" s="360">
        <f>Original!AW16/Original!$BA16</f>
        <v>9.2764545750895322E-2</v>
      </c>
      <c r="G15" s="360">
        <f>Original!AX16/Original!$BA16</f>
        <v>5.9261995557020244E-3</v>
      </c>
      <c r="H15" s="360">
        <f>Original!AY16/Original!$BA16</f>
        <v>2.2105565971715625E-2</v>
      </c>
      <c r="I15" s="360">
        <f>Original!AZ16/Original!$BA16</f>
        <v>0.24054567361314502</v>
      </c>
      <c r="J15" s="427">
        <f t="shared" si="0"/>
        <v>1</v>
      </c>
    </row>
    <row r="16" spans="1:10">
      <c r="A16" s="147" t="s">
        <v>2463</v>
      </c>
      <c r="B16" s="360">
        <f>Original!AS17/Original!$BA17</f>
        <v>0.40101192357288784</v>
      </c>
      <c r="C16" s="360">
        <f>Original!AT17/Original!$BA17</f>
        <v>0.10929261758567885</v>
      </c>
      <c r="D16" s="360">
        <f>Original!AU17/Original!$BA17</f>
        <v>0.1150386978317573</v>
      </c>
      <c r="E16" s="360">
        <f>Original!AV17/Original!$BA17</f>
        <v>4.1417920839085208E-2</v>
      </c>
      <c r="F16" s="360">
        <f>Original!AW17/Original!$BA17</f>
        <v>0.10427130759920961</v>
      </c>
      <c r="G16" s="360">
        <f>Original!AX17/Original!$BA17</f>
        <v>3.4966701990880783E-2</v>
      </c>
      <c r="H16" s="360">
        <f>Original!AY17/Original!$BA17</f>
        <v>3.9695858939632213E-2</v>
      </c>
      <c r="I16" s="360">
        <f>Original!AZ17/Original!$BA17</f>
        <v>0.15430497164086818</v>
      </c>
      <c r="J16" s="427">
        <f t="shared" si="0"/>
        <v>1</v>
      </c>
    </row>
    <row r="17" spans="1:10">
      <c r="A17" s="147" t="s">
        <v>2464</v>
      </c>
      <c r="B17" s="360">
        <f>Original!AS18/Original!$BA18</f>
        <v>0.45003279143195096</v>
      </c>
      <c r="C17" s="360">
        <f>Original!AT18/Original!$BA18</f>
        <v>0.10366829612692581</v>
      </c>
      <c r="D17" s="360">
        <f>Original!AU18/Original!$BA18</f>
        <v>9.9645621164539067E-2</v>
      </c>
      <c r="E17" s="360">
        <f>Original!AV18/Original!$BA18</f>
        <v>4.33747571505229E-2</v>
      </c>
      <c r="F17" s="360">
        <f>Original!AW18/Original!$BA18</f>
        <v>0.10470464575361169</v>
      </c>
      <c r="G17" s="360">
        <f>Original!AX18/Original!$BA18</f>
        <v>1.0439820226713473E-2</v>
      </c>
      <c r="H17" s="360">
        <f>Original!AY18/Original!$BA18</f>
        <v>2.4697007132150346E-2</v>
      </c>
      <c r="I17" s="360">
        <f>Original!AZ18/Original!$BA18</f>
        <v>0.16343706101358557</v>
      </c>
      <c r="J17" s="427">
        <f t="shared" si="0"/>
        <v>1</v>
      </c>
    </row>
    <row r="18" spans="1:10">
      <c r="A18" s="147" t="s">
        <v>2465</v>
      </c>
      <c r="B18" s="360">
        <f>Original!AS19/Original!$BA19</f>
        <v>0.33182664536410605</v>
      </c>
      <c r="C18" s="360">
        <f>Original!AT19/Original!$BA19</f>
        <v>8.6166127272038734E-2</v>
      </c>
      <c r="D18" s="360">
        <f>Original!AU19/Original!$BA19</f>
        <v>0.21081448041565254</v>
      </c>
      <c r="E18" s="360">
        <f>Original!AV19/Original!$BA19</f>
        <v>7.6222355248681553E-2</v>
      </c>
      <c r="F18" s="360">
        <f>Original!AW19/Original!$BA19</f>
        <v>0.10203742582803596</v>
      </c>
      <c r="G18" s="360">
        <f>Original!AX19/Original!$BA19</f>
        <v>1.4133949156503772E-2</v>
      </c>
      <c r="H18" s="360">
        <f>Original!AY19/Original!$BA19</f>
        <v>3.0879970993887135E-2</v>
      </c>
      <c r="I18" s="360">
        <f>Original!AZ19/Original!$BA19</f>
        <v>0.14791904572109396</v>
      </c>
      <c r="J18" s="427">
        <f t="shared" si="0"/>
        <v>0.99999999999999978</v>
      </c>
    </row>
    <row r="19" spans="1:10">
      <c r="A19" s="147" t="s">
        <v>2466</v>
      </c>
      <c r="B19" s="360">
        <f>Original!AS20/Original!$BA20</f>
        <v>0.40429557301070917</v>
      </c>
      <c r="C19" s="360">
        <f>Original!AT20/Original!$BA20</f>
        <v>0.17727629972929584</v>
      </c>
      <c r="D19" s="360">
        <f>Original!AU20/Original!$BA20</f>
        <v>7.6415922072216577E-2</v>
      </c>
      <c r="E19" s="360">
        <f>Original!AV20/Original!$BA20</f>
        <v>5.2898009802318485E-2</v>
      </c>
      <c r="F19" s="360">
        <f>Original!AW20/Original!$BA20</f>
        <v>9.9300411103077663E-2</v>
      </c>
      <c r="G19" s="360">
        <f>Original!AX20/Original!$BA20</f>
        <v>1.7765592443894428E-2</v>
      </c>
      <c r="H19" s="360">
        <f>Original!AY20/Original!$BA20</f>
        <v>2.0426186566838717E-2</v>
      </c>
      <c r="I19" s="360">
        <f>Original!AZ20/Original!$BA20</f>
        <v>0.15162200527164929</v>
      </c>
      <c r="J19" s="427">
        <f t="shared" si="0"/>
        <v>1.0000000000000002</v>
      </c>
    </row>
    <row r="20" spans="1:10">
      <c r="A20" s="147" t="s">
        <v>2467</v>
      </c>
      <c r="B20" s="360">
        <f>Original!AS21/Original!$BA21</f>
        <v>0.50179215472147076</v>
      </c>
      <c r="C20" s="360">
        <f>Original!AT21/Original!$BA21</f>
        <v>3.8453932815146509E-2</v>
      </c>
      <c r="D20" s="360">
        <f>Original!AU21/Original!$BA21</f>
        <v>6.3819246659111747E-2</v>
      </c>
      <c r="E20" s="360">
        <f>Original!AV21/Original!$BA21</f>
        <v>5.6654396455139588E-2</v>
      </c>
      <c r="F20" s="360">
        <f>Original!AW21/Original!$BA21</f>
        <v>0.23352430654176359</v>
      </c>
      <c r="G20" s="360">
        <f>Original!AX21/Original!$BA21</f>
        <v>4.0535837724039084E-2</v>
      </c>
      <c r="H20" s="360">
        <f>Original!AY21/Original!$BA21</f>
        <v>9.3398099915358319E-3</v>
      </c>
      <c r="I20" s="360">
        <f>Original!AZ21/Original!$BA21</f>
        <v>5.5880315091792941E-2</v>
      </c>
      <c r="J20" s="427">
        <f t="shared" si="0"/>
        <v>1.0000000000000002</v>
      </c>
    </row>
    <row r="21" spans="1:10">
      <c r="A21" s="147" t="s">
        <v>2468</v>
      </c>
      <c r="B21" s="360">
        <f>Original!AS22/Original!$BA22</f>
        <v>0.48831679069267725</v>
      </c>
      <c r="C21" s="360">
        <f>Original!AT22/Original!$BA22</f>
        <v>4.5292996148709311E-2</v>
      </c>
      <c r="D21" s="360">
        <f>Original!AU22/Original!$BA22</f>
        <v>7.5128709645196579E-2</v>
      </c>
      <c r="E21" s="360">
        <f>Original!AV22/Original!$BA22</f>
        <v>2.2072221985006031E-2</v>
      </c>
      <c r="F21" s="360">
        <f>Original!AW22/Original!$BA22</f>
        <v>0.20678453054878679</v>
      </c>
      <c r="G21" s="360">
        <f>Original!AX22/Original!$BA22</f>
        <v>1.9179161240282863E-2</v>
      </c>
      <c r="H21" s="360">
        <f>Original!AY22/Original!$BA22</f>
        <v>7.9451794291975117E-2</v>
      </c>
      <c r="I21" s="360">
        <f>Original!AZ22/Original!$BA22</f>
        <v>6.3773795447366027E-2</v>
      </c>
      <c r="J21" s="427">
        <f t="shared" si="0"/>
        <v>1</v>
      </c>
    </row>
    <row r="22" spans="1:10">
      <c r="A22" s="147" t="s">
        <v>2469</v>
      </c>
      <c r="B22" s="360">
        <f>Original!AS23/Original!$BA23</f>
        <v>0.50395006031827738</v>
      </c>
      <c r="C22" s="360">
        <f>Original!AT23/Original!$BA23</f>
        <v>3.0777571620089872E-2</v>
      </c>
      <c r="D22" s="360">
        <f>Original!AU23/Original!$BA23</f>
        <v>4.6136976584266839E-2</v>
      </c>
      <c r="E22" s="360">
        <f>Original!AV23/Original!$BA23</f>
        <v>6.2718091092566639E-2</v>
      </c>
      <c r="F22" s="360">
        <f>Original!AW23/Original!$BA23</f>
        <v>0.1672036000063703</v>
      </c>
      <c r="G22" s="360">
        <f>Original!AX23/Original!$BA23</f>
        <v>3.9606873303769649E-2</v>
      </c>
      <c r="H22" s="360">
        <f>Original!AY23/Original!$BA23</f>
        <v>8.4612931528863025E-2</v>
      </c>
      <c r="I22" s="360">
        <f>Original!AZ23/Original!$BA23</f>
        <v>6.4993895545796265E-2</v>
      </c>
      <c r="J22" s="427">
        <f t="shared" si="0"/>
        <v>1</v>
      </c>
    </row>
    <row r="23" spans="1:10">
      <c r="A23" s="147" t="s">
        <v>2470</v>
      </c>
      <c r="B23" s="360">
        <f>Original!AS24/Original!$BA24</f>
        <v>0.54975333648169067</v>
      </c>
      <c r="C23" s="360">
        <f>Original!AT24/Original!$BA24</f>
        <v>0.12645124172233549</v>
      </c>
      <c r="D23" s="360">
        <f>Original!AU24/Original!$BA24</f>
        <v>7.040299301014713E-2</v>
      </c>
      <c r="E23" s="360">
        <f>Original!AV24/Original!$BA24</f>
        <v>6.1373915085647004E-2</v>
      </c>
      <c r="F23" s="360">
        <f>Original!AW24/Original!$BA24</f>
        <v>9.2403618754091227E-2</v>
      </c>
      <c r="G23" s="360">
        <f>Original!AX24/Original!$BA24</f>
        <v>8.4592394864778774E-3</v>
      </c>
      <c r="H23" s="360">
        <f>Original!AY24/Original!$BA24</f>
        <v>1.4584013258254841E-2</v>
      </c>
      <c r="I23" s="360">
        <f>Original!AZ24/Original!$BA24</f>
        <v>7.6571642201355553E-2</v>
      </c>
      <c r="J23" s="427">
        <f t="shared" si="0"/>
        <v>0.99999999999999989</v>
      </c>
    </row>
    <row r="24" spans="1:10">
      <c r="A24" s="147" t="s">
        <v>2471</v>
      </c>
      <c r="B24" s="360">
        <f>Original!AS25/Original!$BA25</f>
        <v>0.49722065627361872</v>
      </c>
      <c r="C24" s="360">
        <f>Original!AT25/Original!$BA25</f>
        <v>8.858551525347301E-2</v>
      </c>
      <c r="D24" s="360">
        <f>Original!AU25/Original!$BA25</f>
        <v>0.14068212591822774</v>
      </c>
      <c r="E24" s="360">
        <f>Original!AV25/Original!$BA25</f>
        <v>9.8709986953360876E-2</v>
      </c>
      <c r="F24" s="360">
        <f>Original!AW25/Original!$BA25</f>
        <v>6.0361296157740919E-2</v>
      </c>
      <c r="G24" s="360">
        <f>Original!AX25/Original!$BA25</f>
        <v>7.6953444156838725E-3</v>
      </c>
      <c r="H24" s="360">
        <f>Original!AY25/Original!$BA25</f>
        <v>2.0109355250502541E-2</v>
      </c>
      <c r="I24" s="360">
        <f>Original!AZ25/Original!$BA25</f>
        <v>8.6635719777392275E-2</v>
      </c>
      <c r="J24" s="427">
        <f t="shared" si="0"/>
        <v>0.99999999999999978</v>
      </c>
    </row>
    <row r="25" spans="1:10">
      <c r="A25" s="147" t="s">
        <v>2472</v>
      </c>
      <c r="B25" s="360">
        <f>Original!AS26/Original!$BA26</f>
        <v>0.52573198804181476</v>
      </c>
      <c r="C25" s="360">
        <f>Original!AT26/Original!$BA26</f>
        <v>6.5111109529144132E-2</v>
      </c>
      <c r="D25" s="360">
        <f>Original!AU26/Original!$BA26</f>
        <v>0.13504917208047321</v>
      </c>
      <c r="E25" s="360">
        <f>Original!AV26/Original!$BA26</f>
        <v>5.5419123525270973E-2</v>
      </c>
      <c r="F25" s="360">
        <f>Original!AW26/Original!$BA26</f>
        <v>0.12654277613459267</v>
      </c>
      <c r="G25" s="360">
        <f>Original!AX26/Original!$BA26</f>
        <v>5.3898648714726313E-3</v>
      </c>
      <c r="H25" s="360">
        <f>Original!AY26/Original!$BA26</f>
        <v>2.4077794814741534E-2</v>
      </c>
      <c r="I25" s="360">
        <f>Original!AZ26/Original!$BA26</f>
        <v>6.2678171002490027E-2</v>
      </c>
      <c r="J25" s="427">
        <f t="shared" si="0"/>
        <v>0.99999999999999989</v>
      </c>
    </row>
    <row r="26" spans="1:10">
      <c r="A26" s="147" t="s">
        <v>2473</v>
      </c>
      <c r="B26" s="360">
        <f>Original!AS27/Original!$BA27</f>
        <v>0.61722881544820496</v>
      </c>
      <c r="C26" s="360">
        <f>Original!AT27/Original!$BA27</f>
        <v>9.0265927098195073E-2</v>
      </c>
      <c r="D26" s="360">
        <f>Original!AU27/Original!$BA27</f>
        <v>6.2075916669517603E-2</v>
      </c>
      <c r="E26" s="360">
        <f>Original!AV27/Original!$BA27</f>
        <v>1.606493415757427E-3</v>
      </c>
      <c r="F26" s="360">
        <f>Original!AW27/Original!$BA27</f>
        <v>0.11127030580037511</v>
      </c>
      <c r="G26" s="360">
        <f>Original!AX27/Original!$BA27</f>
        <v>1.4841446932865526E-2</v>
      </c>
      <c r="H26" s="360">
        <f>Original!AY27/Original!$BA27</f>
        <v>1.783108293607532E-2</v>
      </c>
      <c r="I26" s="360">
        <f>Original!AZ27/Original!$BA27</f>
        <v>8.4880011699009009E-2</v>
      </c>
      <c r="J26" s="427">
        <f t="shared" si="0"/>
        <v>1</v>
      </c>
    </row>
    <row r="27" spans="1:10">
      <c r="A27" s="147" t="s">
        <v>2474</v>
      </c>
      <c r="B27" s="360">
        <f>Original!AS28/Original!$BA28</f>
        <v>0.4345870700694443</v>
      </c>
      <c r="C27" s="360">
        <f>Original!AT28/Original!$BA28</f>
        <v>0.21372829084136935</v>
      </c>
      <c r="D27" s="360">
        <f>Original!AU28/Original!$BA28</f>
        <v>5.4771907719583394E-2</v>
      </c>
      <c r="E27" s="360">
        <f>Original!AV28/Original!$BA28</f>
        <v>4.4544147915002018E-2</v>
      </c>
      <c r="F27" s="360">
        <f>Original!AW28/Original!$BA28</f>
        <v>4.5920212881466672E-2</v>
      </c>
      <c r="G27" s="360">
        <f>Original!AX28/Original!$BA28</f>
        <v>5.873962255860894E-3</v>
      </c>
      <c r="H27" s="360">
        <f>Original!AY28/Original!$BA28</f>
        <v>1.1394528131576881E-3</v>
      </c>
      <c r="I27" s="360">
        <f>Original!AZ28/Original!$BA28</f>
        <v>0.19943495550411572</v>
      </c>
      <c r="J27" s="427">
        <f t="shared" si="0"/>
        <v>1</v>
      </c>
    </row>
    <row r="28" spans="1:10">
      <c r="B28" s="427"/>
      <c r="C28" s="427"/>
      <c r="D28" s="427"/>
      <c r="E28" s="427"/>
      <c r="F28" s="427"/>
      <c r="G28" s="427"/>
      <c r="H28" s="427"/>
      <c r="I28" s="427"/>
    </row>
    <row r="29" spans="1:10" ht="25.5">
      <c r="A29" s="147" t="s">
        <v>2390</v>
      </c>
      <c r="B29" s="359" t="s">
        <v>2391</v>
      </c>
      <c r="C29" s="359" t="s">
        <v>2392</v>
      </c>
      <c r="D29" s="359" t="s">
        <v>2393</v>
      </c>
      <c r="E29" s="359" t="s">
        <v>2394</v>
      </c>
      <c r="F29" s="359" t="s">
        <v>222</v>
      </c>
      <c r="G29" s="359" t="s">
        <v>2395</v>
      </c>
      <c r="H29" s="359" t="s">
        <v>2396</v>
      </c>
      <c r="I29" s="359" t="s">
        <v>2397</v>
      </c>
    </row>
    <row r="30" spans="1:10">
      <c r="A30" s="147" t="s">
        <v>2398</v>
      </c>
      <c r="B30" s="360">
        <f>SUM(Original!AS3:AS4)/SUM(Original!$BA3:$BA4)</f>
        <v>0.55309147956318938</v>
      </c>
      <c r="C30" s="360">
        <f>SUM(Original!AT3:AT4)/SUM(Original!BA3:BA4)</f>
        <v>0.20886356123295458</v>
      </c>
      <c r="D30" s="360">
        <f>SUM(Original!AU3:AU4)/SUM(Original!BA3:BA4)</f>
        <v>4.2597519015426903E-2</v>
      </c>
      <c r="E30" s="360">
        <f>SUM(Original!AV3:AV4)/SUM(Original!BA3:BA4)</f>
        <v>0</v>
      </c>
      <c r="F30" s="360">
        <f>SUM(Original!AW3:AW4)/SUM(Original!BA3:BA4)</f>
        <v>4.7608991840771241E-2</v>
      </c>
      <c r="G30" s="360">
        <f>SUM(Original!AX3:AX4)/SUM(Original!$BA3:$BA4)</f>
        <v>0</v>
      </c>
      <c r="H30" s="360">
        <f>SUM(Original!AY3:AY4)/SUM(Original!$BA3:$BA4)</f>
        <v>0</v>
      </c>
      <c r="I30" s="360">
        <f>SUM(Original!AZ3:AZ4)/SUM(Original!BA3:BA4)</f>
        <v>0.14783844834765805</v>
      </c>
      <c r="J30" s="427">
        <f>SUM(B30:I30)</f>
        <v>1.0000000000000002</v>
      </c>
    </row>
    <row r="31" spans="1:10">
      <c r="A31" s="147" t="s">
        <v>2400</v>
      </c>
      <c r="B31" s="360">
        <f>SUM(Original!AS6:AS12)/SUM(Original!$BA6:$BA12)</f>
        <v>0.57014706035282847</v>
      </c>
      <c r="C31" s="360">
        <f>SUM(Original!AT6:AT12)/SUM(Original!$BA6:$BA12)</f>
        <v>0.25756898771696241</v>
      </c>
      <c r="D31" s="360">
        <f>SUM(Original!AU6:AU12)/SUM(Original!$BA6:$BA12)</f>
        <v>3.3922788937798418E-2</v>
      </c>
      <c r="E31" s="360">
        <f>SUM(Original!AV6:AV12)/SUM(Original!$BA6:$BA12)</f>
        <v>6.6375847644909239E-3</v>
      </c>
      <c r="F31" s="360">
        <f>SUM(Original!AW6:AW12)/SUM(Original!$BA6:$BA12)</f>
        <v>4.8073651497770452E-2</v>
      </c>
      <c r="G31" s="360">
        <f>SUM(Original!AX6:AX12)/SUM(Original!$BA6:$BA12)</f>
        <v>1.3796946512457258E-2</v>
      </c>
      <c r="H31" s="360">
        <f>SUM(Original!AY6:AY12)/SUM(Original!$BA6:$BA12)</f>
        <v>6.3576354978886248E-3</v>
      </c>
      <c r="I31" s="360">
        <f>SUM(Original!AZ6:AZ12)/SUM(Original!$BA6:$BA12)</f>
        <v>6.3495344719803309E-2</v>
      </c>
      <c r="J31" s="427">
        <f t="shared" ref="J31:J34" si="1">SUM(B31:I31)</f>
        <v>0.99999999999999989</v>
      </c>
    </row>
    <row r="32" spans="1:10">
      <c r="A32" s="147" t="s">
        <v>492</v>
      </c>
      <c r="B32" s="360">
        <f>SUM(Original!AS13:AS20)/SUM(Original!$BA13:$BA20)</f>
        <v>0.39027250938965208</v>
      </c>
      <c r="C32" s="360">
        <f>SUM(Original!AT13:AT20)/SUM(Original!$BA13:$BA20)</f>
        <v>0.11272680987556163</v>
      </c>
      <c r="D32" s="360">
        <f>SUM(Original!AU13:AU20)/SUM(Original!$BA13:$BA20)</f>
        <v>0.1379272820748986</v>
      </c>
      <c r="E32" s="360">
        <f>SUM(Original!AV13:AV20)/SUM(Original!$BA13:$BA20)</f>
        <v>5.6856014918306899E-2</v>
      </c>
      <c r="F32" s="360">
        <f>SUM(Original!AW13:AW20)/SUM(Original!$BA13:$BA20)</f>
        <v>0.10134125313095231</v>
      </c>
      <c r="G32" s="360">
        <f>SUM(Original!AX13:AX20)/SUM(Original!$BA13:$BA20)</f>
        <v>1.7676031884779005E-2</v>
      </c>
      <c r="H32" s="360">
        <f>SUM(Original!AY13:AY20)/SUM(Original!$BA13:$BA20)</f>
        <v>2.7936050283630599E-2</v>
      </c>
      <c r="I32" s="360">
        <f>SUM(Original!AZ13:AZ20)/SUM(Original!$BA13:$BA20)</f>
        <v>0.15526404844221869</v>
      </c>
      <c r="J32" s="427">
        <f t="shared" si="1"/>
        <v>0.99999999999999978</v>
      </c>
    </row>
    <row r="33" spans="1:10">
      <c r="A33" s="147" t="s">
        <v>493</v>
      </c>
      <c r="B33" s="360">
        <f>SUM(Original!AS21:AS23)/SUM(Original!$BA21:$BA23)</f>
        <v>0.49594571778900187</v>
      </c>
      <c r="C33" s="360">
        <f>SUM(Original!AT21:AT23)/SUM(Original!$BA21:$BA23)</f>
        <v>3.9114017114848014E-2</v>
      </c>
      <c r="D33" s="360">
        <f>SUM(Original!AU21:AU23)/SUM(Original!$BA21:$BA23)</f>
        <v>6.3162117007157598E-2</v>
      </c>
      <c r="E33" s="360">
        <f>SUM(Original!AV21:AV23)/SUM(Original!$BA21:$BA23)</f>
        <v>4.183486283075228E-2</v>
      </c>
      <c r="F33" s="360">
        <f>SUM(Original!AW21:AW23)/SUM(Original!$BA21:$BA23)</f>
        <v>0.19717221019784301</v>
      </c>
      <c r="G33" s="360">
        <f>SUM(Original!AX21:AX23)/SUM(Original!$BA21:$BA23)</f>
        <v>2.97454184596866E-2</v>
      </c>
      <c r="H33" s="360">
        <f>SUM(Original!AY21:AY23)/SUM(Original!$BA21:$BA23)</f>
        <v>7.0082651869768905E-2</v>
      </c>
      <c r="I33" s="360">
        <f>SUM(Original!AZ21:AZ23)/SUM(Original!$BA21:$BA23)</f>
        <v>6.2943004730941693E-2</v>
      </c>
      <c r="J33" s="427">
        <f t="shared" si="1"/>
        <v>1</v>
      </c>
    </row>
    <row r="34" spans="1:10">
      <c r="A34" s="147" t="s">
        <v>2401</v>
      </c>
      <c r="B34" s="360">
        <f>SUM(Original!AS24:AS28)/SUM(Original!$BA24:$BA28)</f>
        <v>0.52883014742903678</v>
      </c>
      <c r="C34" s="360">
        <f>SUM(Original!AT24:AT28)/SUM(Original!$BA24:$BA28)</f>
        <v>0.10095010269593273</v>
      </c>
      <c r="D34" s="360">
        <f>SUM(Original!AU24:AU28)/SUM(Original!$BA24:$BA28)</f>
        <v>0.10461930686822259</v>
      </c>
      <c r="E34" s="360">
        <f>SUM(Original!AV24:AV28)/SUM(Original!$BA24:$BA28)</f>
        <v>5.9071334599378605E-2</v>
      </c>
      <c r="F34" s="360">
        <f>SUM(Original!AW24:AW28)/SUM(Original!$BA24:$BA28)</f>
        <v>9.5786580426160048E-2</v>
      </c>
      <c r="G34" s="360">
        <f>SUM(Original!AX24:AX28)/SUM(Original!$BA24:$BA28)</f>
        <v>7.7423906899525188E-3</v>
      </c>
      <c r="H34" s="360">
        <f>SUM(Original!AY24:AY28)/SUM(Original!$BA24:$BA28)</f>
        <v>1.8210821832680517E-2</v>
      </c>
      <c r="I34" s="360">
        <f>SUM(Original!AZ24:AZ28)/SUM(Original!$BA24:$BA28)</f>
        <v>8.4789315458636258E-2</v>
      </c>
      <c r="J34" s="427">
        <f t="shared" si="1"/>
        <v>1.0000000000000002</v>
      </c>
    </row>
    <row r="36" spans="1:10" ht="25.5">
      <c r="B36" s="359" t="s">
        <v>2391</v>
      </c>
      <c r="C36" s="359" t="s">
        <v>2392</v>
      </c>
      <c r="D36" s="359" t="s">
        <v>2393</v>
      </c>
      <c r="E36" s="359" t="s">
        <v>2394</v>
      </c>
      <c r="F36" s="359" t="s">
        <v>222</v>
      </c>
      <c r="G36" s="359" t="s">
        <v>2395</v>
      </c>
      <c r="H36" s="359" t="s">
        <v>2396</v>
      </c>
      <c r="I36" s="359" t="s">
        <v>2397</v>
      </c>
    </row>
    <row r="37" spans="1:10">
      <c r="A37" s="428" t="s">
        <v>2476</v>
      </c>
      <c r="B37" s="360">
        <f>SUM(Original!M3:M28)/SUM(Original!AS3:AS28)</f>
        <v>0.15227159299416995</v>
      </c>
      <c r="C37" s="360">
        <f>SUM(Original!N3:N28)/SUM(Original!AT3:AT28)</f>
        <v>0.12461637313340554</v>
      </c>
      <c r="D37" s="360">
        <f>SUM(Original!O3:O28)/SUM(Original!AU3:AU28)</f>
        <v>6.7846374173644655E-3</v>
      </c>
      <c r="E37" s="360">
        <f>SUM(Original!P3:P28)/SUM(Original!AV3:AV28)</f>
        <v>0</v>
      </c>
      <c r="F37" s="360">
        <f>SUM(Original!Q3:Q28)/SUM(Original!AW3:AW28)</f>
        <v>0</v>
      </c>
      <c r="G37" s="360">
        <f>SUM(Original!R3:R28)/SUM(Original!AX3:AX28)</f>
        <v>0</v>
      </c>
      <c r="H37" s="360">
        <f>SUM(Original!S3:S28)/SUM(Original!AY3:AY28)</f>
        <v>9.7800232885926538E-3</v>
      </c>
      <c r="I37" s="360">
        <f>SUM(Original!T3:T28)/SUM(Original!AZ3:AZ28)</f>
        <v>2.0902486694747829E-6</v>
      </c>
    </row>
    <row r="38" spans="1:10">
      <c r="A38" s="428" t="s">
        <v>347</v>
      </c>
      <c r="B38" s="360">
        <f>SUM(Original!U3:U28)/SUM(Original!AS3:AS28)</f>
        <v>2.2799652958748778E-2</v>
      </c>
      <c r="C38" s="360">
        <f>SUM(Original!V3:V28)/SUM(Original!AT3:AT28)</f>
        <v>2.6982829423922501E-2</v>
      </c>
      <c r="D38" s="360">
        <f>SUM(Original!W3:W28)/SUM(Original!AU3:AU28)</f>
        <v>0.62577510771121447</v>
      </c>
      <c r="E38" s="360">
        <f>SUM(Original!X3:X28)/SUM(Original!AV3:AV28)</f>
        <v>0.98097197276410175</v>
      </c>
      <c r="F38" s="360">
        <f>SUM(Original!Y3:Y28)/SUM(Original!AW3:AW28)</f>
        <v>0.99993426983434475</v>
      </c>
      <c r="G38" s="360">
        <f>SUM(Original!Z3:Z28)/SUM(Original!AX3:AX28)</f>
        <v>1</v>
      </c>
      <c r="H38" s="360">
        <f>SUM(Original!AA3:AA28)/SUM(Original!AY3:AY28)</f>
        <v>0.82133678766657214</v>
      </c>
      <c r="I38" s="360">
        <f>SUM(Original!AB3:AB28)/SUM(Original!AZ3:AZ28)</f>
        <v>0.88822013042697101</v>
      </c>
    </row>
    <row r="39" spans="1:10">
      <c r="A39" s="428" t="s">
        <v>870</v>
      </c>
      <c r="B39" s="360">
        <f>SUM(Original!AC3:AC28)/SUM(Original!AS3:AS28)</f>
        <v>0.77141400602152654</v>
      </c>
      <c r="C39" s="360">
        <f>SUM(Original!AD3:AD28)/SUM(Original!AT3:AT28)</f>
        <v>0.80689553079383491</v>
      </c>
      <c r="D39" s="360">
        <f>SUM(Original!AE3:AE28)/SUM(Original!AU3:AU28)</f>
        <v>0.32478935015809562</v>
      </c>
      <c r="E39" s="360">
        <f>SUM(Original!AF3:AF28)/SUM(Original!AV3:AV28)</f>
        <v>1.8269902998208968E-2</v>
      </c>
      <c r="F39" s="360">
        <f>SUM(Original!AG3:AG28)/SUM(Original!AW3:AW28)</f>
        <v>6.4678988025043135E-5</v>
      </c>
      <c r="G39" s="360">
        <f>SUM(Original!AH3:AH28)/SUM(Original!AX3:AX28)</f>
        <v>0</v>
      </c>
      <c r="H39" s="360">
        <f>SUM(Original!AI3:AI28)/SUM(Original!AY3:AY28)</f>
        <v>0.16679680896724597</v>
      </c>
      <c r="I39" s="360">
        <f>SUM(Original!AJ3:AJ28)/SUM(Original!AZ3:AZ28)</f>
        <v>0.11172357901422471</v>
      </c>
    </row>
    <row r="40" spans="1:10">
      <c r="A40" s="428" t="s">
        <v>2408</v>
      </c>
      <c r="B40" s="360">
        <f>SUM(Original!AK3:AK29)/SUM(Original!AS3:AS28)</f>
        <v>5.3514748025554837E-2</v>
      </c>
      <c r="C40" s="360">
        <f>SUM(Original!AL3:AL29)/SUM(Original!AT3:AT28)</f>
        <v>4.1505266648836948E-2</v>
      </c>
      <c r="D40" s="360">
        <f>SUM(Original!AM3:AM29)/SUM(Original!AU3:AU28)</f>
        <v>4.2650904713325465E-2</v>
      </c>
      <c r="E40" s="360">
        <f>SUM(Original!AN3:AN29)/SUM(Original!AV3:AV28)</f>
        <v>7.5812423768921672E-4</v>
      </c>
      <c r="F40" s="360">
        <f>SUM(Original!AO3:AO29)/SUM(Original!AW3:AW28)</f>
        <v>1.0511776301906103E-6</v>
      </c>
      <c r="G40" s="360">
        <f>SUM(Original!AP3:AP29)/SUM(Original!AX3:AX28)</f>
        <v>0</v>
      </c>
      <c r="H40" s="360">
        <f>SUM(Original!AQ3:AQ29)/SUM(Original!AY3:AY28)</f>
        <v>2.0863800775891674E-3</v>
      </c>
      <c r="I40" s="429">
        <f>SUM(Original!AR3:AR29)/SUM(Original!AZ3:AZ28)</f>
        <v>5.4200310134684938E-5</v>
      </c>
    </row>
    <row r="41" spans="1:10">
      <c r="B41" s="427">
        <f>SUM(B37:B40)</f>
        <v>1.0000000000000002</v>
      </c>
      <c r="C41" s="427">
        <f t="shared" ref="C41:I41" si="2">SUM(C37:C40)</f>
        <v>0.99999999999999989</v>
      </c>
      <c r="D41" s="427">
        <f t="shared" si="2"/>
        <v>1</v>
      </c>
      <c r="E41" s="427">
        <f t="shared" si="2"/>
        <v>0.99999999999999989</v>
      </c>
      <c r="F41" s="427">
        <f t="shared" si="2"/>
        <v>1</v>
      </c>
      <c r="G41" s="427">
        <f t="shared" si="2"/>
        <v>1</v>
      </c>
      <c r="H41" s="427">
        <f t="shared" si="2"/>
        <v>1</v>
      </c>
      <c r="I41" s="427">
        <f t="shared" si="2"/>
        <v>0.99999999999999989</v>
      </c>
    </row>
  </sheetData>
  <conditionalFormatting sqref="B30:I34">
    <cfRule type="colorScale" priority="2">
      <colorScale>
        <cfvo type="min"/>
        <cfvo type="max"/>
        <color rgb="FFFFEF9C"/>
        <color rgb="FF63BE7B"/>
      </colorScale>
    </cfRule>
  </conditionalFormatting>
  <conditionalFormatting sqref="B37:I40">
    <cfRule type="colorScale" priority="1">
      <colorScale>
        <cfvo type="min"/>
        <cfvo type="max"/>
        <color rgb="FFFFEF9C"/>
        <color rgb="FF63BE7B"/>
      </colorScale>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W188"/>
  <sheetViews>
    <sheetView topLeftCell="M1" zoomScale="75" zoomScaleNormal="75" workbookViewId="0">
      <selection activeCell="C33" sqref="C33"/>
    </sheetView>
  </sheetViews>
  <sheetFormatPr defaultColWidth="9.28515625" defaultRowHeight="14.25"/>
  <cols>
    <col min="1" max="1" width="40.42578125" style="27" customWidth="1"/>
    <col min="2" max="2" width="18" style="27" customWidth="1"/>
    <col min="3" max="3" width="17.7109375" style="482" bestFit="1" customWidth="1"/>
    <col min="4" max="4" width="17.28515625" style="27" bestFit="1" customWidth="1"/>
    <col min="5" max="5" width="17.7109375" style="27" bestFit="1" customWidth="1"/>
    <col min="6" max="6" width="16.28515625" style="27" bestFit="1" customWidth="1"/>
    <col min="7" max="7" width="16.5703125" style="27" bestFit="1" customWidth="1"/>
    <col min="8" max="8" width="17.7109375" style="27" bestFit="1" customWidth="1"/>
    <col min="9" max="9" width="12" style="27" customWidth="1"/>
    <col min="10" max="10" width="14.28515625" style="27" customWidth="1"/>
    <col min="11" max="11" width="12.28515625" style="27" bestFit="1" customWidth="1"/>
    <col min="12" max="12" width="11" style="27" customWidth="1"/>
    <col min="13" max="14" width="17.5703125" style="27" bestFit="1" customWidth="1"/>
    <col min="15" max="15" width="10.5703125" style="27" customWidth="1"/>
    <col min="16" max="16" width="10.7109375" style="27" customWidth="1"/>
    <col min="17" max="18" width="10.7109375" style="54" customWidth="1"/>
    <col min="19" max="19" width="11.28515625" style="27" customWidth="1"/>
    <col min="20" max="20" width="11" style="27" customWidth="1"/>
    <col min="21" max="21" width="27" style="27" customWidth="1"/>
    <col min="22" max="22" width="19.42578125" style="55" customWidth="1"/>
    <col min="23" max="23" width="18.7109375" style="505" customWidth="1"/>
    <col min="24" max="24" width="15.7109375" style="55" customWidth="1"/>
    <col min="25" max="25" width="18.42578125" style="55" customWidth="1"/>
    <col min="26" max="26" width="17.7109375" style="55" customWidth="1"/>
    <col min="27" max="27" width="15.28515625" style="27" customWidth="1"/>
    <col min="28" max="28" width="12.5703125" style="27" customWidth="1"/>
    <col min="29" max="29" width="14.42578125" style="27" customWidth="1"/>
    <col min="30" max="30" width="12.42578125" style="27" customWidth="1"/>
    <col min="31" max="31" width="16" style="27" customWidth="1"/>
    <col min="32" max="32" width="11" style="27" bestFit="1" customWidth="1"/>
    <col min="33" max="16384" width="9.28515625" style="27"/>
  </cols>
  <sheetData>
    <row r="1" spans="1:49">
      <c r="C1" s="27"/>
      <c r="U1" s="27" t="s">
        <v>1205</v>
      </c>
      <c r="V1" s="55">
        <v>8760</v>
      </c>
    </row>
    <row r="2" spans="1:49">
      <c r="C2" s="27"/>
      <c r="U2" s="27" t="s">
        <v>1206</v>
      </c>
      <c r="V2" s="55">
        <v>1.0559999999999999E-6</v>
      </c>
    </row>
    <row r="3" spans="1:49">
      <c r="C3" s="27"/>
    </row>
    <row r="4" spans="1:49" ht="18">
      <c r="A4" s="56" t="s">
        <v>1202</v>
      </c>
      <c r="C4" s="27"/>
      <c r="Q4" s="27"/>
      <c r="R4" s="27"/>
      <c r="U4" s="56" t="s">
        <v>1203</v>
      </c>
      <c r="V4" s="27"/>
      <c r="W4" s="506"/>
      <c r="X4" s="27"/>
      <c r="Y4" s="27"/>
      <c r="Z4" s="27"/>
      <c r="AI4" s="54"/>
      <c r="AM4" s="55"/>
      <c r="AN4" s="55"/>
      <c r="AO4" s="55"/>
      <c r="AP4" s="55"/>
      <c r="AQ4" s="55"/>
    </row>
    <row r="5" spans="1:49" s="57" customFormat="1" ht="15.75" customHeight="1">
      <c r="B5" s="858" t="s">
        <v>523</v>
      </c>
      <c r="C5" s="858"/>
      <c r="D5" s="858" t="s">
        <v>524</v>
      </c>
      <c r="E5" s="858"/>
      <c r="F5" s="858" t="s">
        <v>525</v>
      </c>
      <c r="G5" s="858"/>
      <c r="H5" s="858"/>
      <c r="I5" s="858" t="s">
        <v>526</v>
      </c>
      <c r="J5" s="858"/>
      <c r="K5" s="58"/>
      <c r="L5" s="58"/>
      <c r="M5" s="58"/>
      <c r="N5" s="58"/>
      <c r="O5" s="58"/>
      <c r="P5" s="58"/>
      <c r="Q5" s="58"/>
      <c r="R5" s="58"/>
      <c r="S5" s="58"/>
      <c r="T5" s="58"/>
      <c r="V5" s="858" t="s">
        <v>523</v>
      </c>
      <c r="W5" s="858"/>
      <c r="X5" s="858" t="s">
        <v>524</v>
      </c>
      <c r="Y5" s="858"/>
      <c r="Z5" s="858" t="s">
        <v>525</v>
      </c>
      <c r="AA5" s="858"/>
      <c r="AB5" s="858"/>
      <c r="AC5" s="858" t="s">
        <v>526</v>
      </c>
      <c r="AD5" s="858"/>
      <c r="AE5" s="58"/>
      <c r="AF5" s="58"/>
      <c r="AG5" s="58"/>
      <c r="AH5" s="58"/>
      <c r="AI5" s="58"/>
      <c r="AJ5" s="58"/>
      <c r="AK5" s="59"/>
      <c r="AL5" s="58"/>
      <c r="AM5" s="58"/>
      <c r="AN5" s="58"/>
      <c r="AR5" s="58"/>
      <c r="AS5" s="58"/>
      <c r="AT5" s="58"/>
      <c r="AU5" s="58"/>
      <c r="AV5" s="58"/>
      <c r="AW5" s="58"/>
    </row>
    <row r="6" spans="1:49" s="57" customFormat="1" ht="15.75" customHeight="1">
      <c r="B6" s="60" t="s">
        <v>500</v>
      </c>
      <c r="C6" s="483" t="s">
        <v>527</v>
      </c>
      <c r="D6" s="60" t="s">
        <v>528</v>
      </c>
      <c r="E6" s="60" t="s">
        <v>529</v>
      </c>
      <c r="F6" s="60" t="s">
        <v>530</v>
      </c>
      <c r="G6" s="60" t="s">
        <v>531</v>
      </c>
      <c r="H6" s="60" t="s">
        <v>532</v>
      </c>
      <c r="I6" s="60" t="s">
        <v>533</v>
      </c>
      <c r="J6" s="60" t="s">
        <v>534</v>
      </c>
      <c r="K6" s="60" t="s">
        <v>486</v>
      </c>
      <c r="L6" s="60" t="s">
        <v>486</v>
      </c>
      <c r="M6" s="60" t="s">
        <v>535</v>
      </c>
      <c r="N6" s="60" t="s">
        <v>535</v>
      </c>
      <c r="O6" s="60"/>
      <c r="P6" s="60"/>
      <c r="Q6" s="60"/>
      <c r="R6" s="60"/>
      <c r="T6" s="60" t="s">
        <v>482</v>
      </c>
      <c r="V6" s="60" t="s">
        <v>500</v>
      </c>
      <c r="W6" s="507" t="s">
        <v>527</v>
      </c>
      <c r="X6" s="60" t="s">
        <v>528</v>
      </c>
      <c r="Y6" s="60" t="s">
        <v>529</v>
      </c>
      <c r="Z6" s="60" t="s">
        <v>530</v>
      </c>
      <c r="AA6" s="60" t="s">
        <v>531</v>
      </c>
      <c r="AB6" s="60" t="s">
        <v>532</v>
      </c>
      <c r="AC6" s="60" t="s">
        <v>533</v>
      </c>
      <c r="AD6" s="60" t="s">
        <v>534</v>
      </c>
      <c r="AE6" s="60" t="s">
        <v>486</v>
      </c>
      <c r="AF6" s="60"/>
      <c r="AG6" s="60"/>
      <c r="AH6" s="60"/>
      <c r="AI6" s="58"/>
      <c r="AJ6" s="58"/>
      <c r="AK6" s="59"/>
      <c r="AL6" s="58"/>
      <c r="AM6" s="58"/>
      <c r="AN6" s="58"/>
      <c r="AR6" s="58"/>
      <c r="AS6" s="58"/>
      <c r="AT6" s="58"/>
      <c r="AU6" s="58"/>
      <c r="AV6" s="58"/>
      <c r="AW6" s="58"/>
    </row>
    <row r="7" spans="1:49" s="57" customFormat="1" ht="15.75" customHeight="1">
      <c r="A7" s="57" t="s">
        <v>501</v>
      </c>
      <c r="B7" s="60" t="s">
        <v>464</v>
      </c>
      <c r="C7" s="483" t="s">
        <v>465</v>
      </c>
      <c r="D7" s="60" t="s">
        <v>466</v>
      </c>
      <c r="E7" s="60" t="s">
        <v>467</v>
      </c>
      <c r="F7" s="60" t="s">
        <v>468</v>
      </c>
      <c r="G7" s="60" t="s">
        <v>469</v>
      </c>
      <c r="H7" s="60" t="s">
        <v>470</v>
      </c>
      <c r="I7" s="60" t="s">
        <v>471</v>
      </c>
      <c r="J7" s="60" t="s">
        <v>472</v>
      </c>
      <c r="K7" s="60" t="s">
        <v>508</v>
      </c>
      <c r="L7" s="60" t="s">
        <v>536</v>
      </c>
      <c r="M7" s="60" t="s">
        <v>536</v>
      </c>
      <c r="N7" s="60" t="s">
        <v>537</v>
      </c>
      <c r="O7" s="60"/>
      <c r="P7" s="60"/>
      <c r="Q7" s="60"/>
      <c r="R7" s="60"/>
      <c r="S7" s="60" t="s">
        <v>1204</v>
      </c>
      <c r="T7" s="60"/>
      <c r="U7" s="57" t="s">
        <v>501</v>
      </c>
      <c r="V7" s="60" t="s">
        <v>464</v>
      </c>
      <c r="W7" s="507" t="s">
        <v>465</v>
      </c>
      <c r="X7" s="60" t="s">
        <v>466</v>
      </c>
      <c r="Y7" s="60" t="s">
        <v>467</v>
      </c>
      <c r="Z7" s="60" t="s">
        <v>468</v>
      </c>
      <c r="AA7" s="60" t="s">
        <v>469</v>
      </c>
      <c r="AB7" s="60" t="s">
        <v>470</v>
      </c>
      <c r="AC7" s="60" t="s">
        <v>471</v>
      </c>
      <c r="AD7" s="60" t="s">
        <v>472</v>
      </c>
      <c r="AE7" s="60" t="s">
        <v>508</v>
      </c>
      <c r="AF7" s="60"/>
      <c r="AG7" s="60"/>
      <c r="AH7" s="60"/>
      <c r="AI7" s="58"/>
      <c r="AJ7" s="58" t="s">
        <v>433</v>
      </c>
      <c r="AK7" s="59"/>
      <c r="AL7" s="58"/>
      <c r="AM7" s="58"/>
      <c r="AN7" s="58"/>
      <c r="AR7" s="58"/>
      <c r="AS7" s="58"/>
      <c r="AT7" s="58"/>
      <c r="AU7" s="58"/>
      <c r="AV7" s="58"/>
      <c r="AW7" s="58"/>
    </row>
    <row r="8" spans="1:49" s="55" customFormat="1" ht="15">
      <c r="A8" s="57" t="s">
        <v>509</v>
      </c>
      <c r="B8" s="61"/>
      <c r="C8" s="484"/>
      <c r="U8" s="57" t="s">
        <v>509</v>
      </c>
      <c r="V8" s="61"/>
      <c r="W8" s="505"/>
      <c r="AK8" s="62" t="s">
        <v>464</v>
      </c>
      <c r="AL8" s="60" t="s">
        <v>465</v>
      </c>
      <c r="AM8" s="60" t="s">
        <v>466</v>
      </c>
      <c r="AN8" s="60" t="s">
        <v>467</v>
      </c>
      <c r="AO8" s="60" t="s">
        <v>468</v>
      </c>
      <c r="AP8" s="60" t="s">
        <v>469</v>
      </c>
      <c r="AQ8" s="60" t="s">
        <v>470</v>
      </c>
      <c r="AR8" s="60" t="s">
        <v>471</v>
      </c>
      <c r="AS8" s="60" t="s">
        <v>472</v>
      </c>
    </row>
    <row r="9" spans="1:49" s="55" customFormat="1" ht="21" customHeight="1">
      <c r="A9" s="58" t="s">
        <v>510</v>
      </c>
      <c r="B9" s="63">
        <v>4.1000000000000002E-2</v>
      </c>
      <c r="C9" s="485">
        <v>0.06</v>
      </c>
      <c r="D9" s="63">
        <v>6.8900000000000003E-2</v>
      </c>
      <c r="E9" s="63">
        <v>0.12790000000000001</v>
      </c>
      <c r="F9" s="63">
        <v>0.26400000000000001</v>
      </c>
      <c r="G9" s="63">
        <f>(K91+K92+K94+K95)/K83</f>
        <v>0.30000000000000004</v>
      </c>
      <c r="H9" s="63">
        <f>(L91+L94+L92+L95)/L83</f>
        <v>0.34351145038167935</v>
      </c>
      <c r="I9" s="63">
        <f>(N91+N94+N92+N95)/N83</f>
        <v>0.16049382716049385</v>
      </c>
      <c r="J9" s="63">
        <f>(O91+O94+O92+O95)/O83</f>
        <v>0.23204419889502761</v>
      </c>
      <c r="K9" s="64"/>
      <c r="L9" s="65"/>
      <c r="M9" s="65"/>
      <c r="N9" s="66"/>
      <c r="O9" s="66"/>
      <c r="P9" s="66"/>
      <c r="Q9" s="66"/>
      <c r="R9" s="67"/>
      <c r="S9" s="68">
        <f>'RTEKTY Conv'!H6</f>
        <v>1</v>
      </c>
      <c r="T9" s="69">
        <v>0.16</v>
      </c>
      <c r="U9" s="58" t="s">
        <v>510</v>
      </c>
      <c r="V9" s="70">
        <f>RESIDs!N4*$S9/$T9</f>
        <v>31.490369791173102</v>
      </c>
      <c r="W9" s="508">
        <f>RESIDs!N5*$S9/$T9</f>
        <v>135.05004379910972</v>
      </c>
      <c r="X9" s="70">
        <f>RESIDs!N6*$S9/$T9</f>
        <v>223.54863555748051</v>
      </c>
      <c r="Y9" s="70">
        <f>RESIDs!N7*$S9/$T9*1.2</f>
        <v>180.88049824884271</v>
      </c>
      <c r="Z9" s="70">
        <f>RESIDs!N8*$S9/$T9</f>
        <v>545.79132201600169</v>
      </c>
      <c r="AA9" s="70">
        <f>RESIDs!N9*$S9/$T9</f>
        <v>208.88434818476952</v>
      </c>
      <c r="AB9" s="70">
        <f>RESIDs!N10*$S9/$T9</f>
        <v>306.19389098273354</v>
      </c>
      <c r="AC9" s="70">
        <f>RESIDs!N11*$S9/$T9</f>
        <v>83.790919561997896</v>
      </c>
      <c r="AD9" s="70">
        <f>RESIDs!N12*$S9/$T9</f>
        <v>260.81133464034986</v>
      </c>
      <c r="AE9" s="71">
        <f t="shared" ref="AE9:AE17" si="0">SUM(V9:AD9)</f>
        <v>1976.4413627824588</v>
      </c>
      <c r="AF9" s="66">
        <f>AE9/S9</f>
        <v>1976.4413627824588</v>
      </c>
      <c r="AG9" s="66"/>
      <c r="AH9" s="66"/>
      <c r="AJ9" s="55" t="s">
        <v>538</v>
      </c>
      <c r="AK9" s="72">
        <f>(V9+V10)/V20</f>
        <v>1.4567368658095574E-2</v>
      </c>
      <c r="AL9" s="520">
        <f>(W9+W10)/W20</f>
        <v>3.9600617065680334E-2</v>
      </c>
      <c r="AM9" s="72">
        <f t="shared" ref="AM9:AS9" si="1">(X9+X10)/X20</f>
        <v>4.1968762400161591E-2</v>
      </c>
      <c r="AN9" s="72">
        <f t="shared" si="1"/>
        <v>6.8688002616328986E-2</v>
      </c>
      <c r="AO9" s="72">
        <f t="shared" si="1"/>
        <v>0.29865720270574841</v>
      </c>
      <c r="AP9" s="72">
        <f t="shared" si="1"/>
        <v>0.26348466688419953</v>
      </c>
      <c r="AQ9" s="72">
        <f t="shared" si="1"/>
        <v>0.22119832419437557</v>
      </c>
      <c r="AR9" s="72">
        <f t="shared" si="1"/>
        <v>6.1414149282810082E-2</v>
      </c>
      <c r="AS9" s="72">
        <f t="shared" si="1"/>
        <v>9.5960857181741896E-2</v>
      </c>
    </row>
    <row r="10" spans="1:49" s="55" customFormat="1" ht="21" customHeight="1">
      <c r="A10" s="58" t="s">
        <v>505</v>
      </c>
      <c r="B10" s="63">
        <f>E93/E83</f>
        <v>0</v>
      </c>
      <c r="C10" s="485">
        <f>D93/D83</f>
        <v>6.2893081761006293E-3</v>
      </c>
      <c r="D10" s="63">
        <f>G93/G83</f>
        <v>3.1578947368421054E-2</v>
      </c>
      <c r="E10" s="63">
        <f>H93/H83</f>
        <v>2.2988505747126447E-2</v>
      </c>
      <c r="F10" s="63">
        <v>0.20899999999999999</v>
      </c>
      <c r="G10" s="63">
        <f>K93/K83</f>
        <v>0.13750000000000004</v>
      </c>
      <c r="H10" s="63">
        <f>L93/L83</f>
        <v>3.8167938931297718E-2</v>
      </c>
      <c r="I10" s="63">
        <f>N93/N83</f>
        <v>6.1728395061728399E-2</v>
      </c>
      <c r="J10" s="63">
        <f>O93/O83</f>
        <v>2.7624309392265192E-2</v>
      </c>
      <c r="K10" s="73"/>
      <c r="L10" s="65"/>
      <c r="M10" s="65"/>
      <c r="N10" s="66"/>
      <c r="O10" s="66"/>
      <c r="P10" s="66"/>
      <c r="Q10" s="66"/>
      <c r="R10" s="67"/>
      <c r="S10" s="69">
        <f>'RTEKTY Conv'!H9</f>
        <v>2.2657000026278018</v>
      </c>
      <c r="T10" s="69">
        <v>0.16</v>
      </c>
      <c r="U10" s="58" t="s">
        <v>505</v>
      </c>
      <c r="V10" s="70">
        <f>RESIDs!N13*$S10/$T10</f>
        <v>0.58451196128489658</v>
      </c>
      <c r="W10" s="508">
        <f>RESIDs!N14*$S10/$T10</f>
        <v>30.646253949601071</v>
      </c>
      <c r="X10" s="70">
        <f>RESIDs!N15*$S10/$T10</f>
        <v>28.86985698457163</v>
      </c>
      <c r="Y10" s="70">
        <f>RESIDs!N16*$S10/$T10</f>
        <v>20.691713873699918</v>
      </c>
      <c r="Z10" s="70">
        <f>RESIDs!N17*$S10/$T10</f>
        <v>409.64778816721372</v>
      </c>
      <c r="AA10" s="70">
        <f>RESIDs!N18*$S10/$T10</f>
        <v>119.75413948023908</v>
      </c>
      <c r="AB10" s="70">
        <f>RESIDs!N19*$S10/$T10</f>
        <v>28.480542065151841</v>
      </c>
      <c r="AC10" s="70">
        <f>RESIDs!N20*$S10/$T10</f>
        <v>52.19109930736505</v>
      </c>
      <c r="AD10" s="70">
        <f>RESIDs!N21*$S10/$T10</f>
        <v>41.297670967621116</v>
      </c>
      <c r="AE10" s="71">
        <f t="shared" si="0"/>
        <v>732.1635767567484</v>
      </c>
      <c r="AF10" s="66">
        <f t="shared" ref="AF10:AF17" si="2">AE10/S10</f>
        <v>323.15115677608298</v>
      </c>
      <c r="AG10" s="66"/>
      <c r="AH10" s="66"/>
      <c r="AJ10" s="55" t="s">
        <v>539</v>
      </c>
      <c r="AK10" s="72">
        <f>(V11+V12)/V20</f>
        <v>0.3577895911003281</v>
      </c>
      <c r="AL10" s="520">
        <f t="shared" ref="AL10:AS10" si="3">(W11+W12)/W20</f>
        <v>0.66828076186037488</v>
      </c>
      <c r="AM10" s="72">
        <f t="shared" si="3"/>
        <v>0.78876167374383566</v>
      </c>
      <c r="AN10" s="72">
        <f t="shared" si="3"/>
        <v>0.63412031413151426</v>
      </c>
      <c r="AO10" s="72">
        <f t="shared" si="3"/>
        <v>0.40127511882920308</v>
      </c>
      <c r="AP10" s="72">
        <f t="shared" si="3"/>
        <v>0.45306394558017038</v>
      </c>
      <c r="AQ10" s="72">
        <f t="shared" si="3"/>
        <v>0.59275062205074636</v>
      </c>
      <c r="AR10" s="72">
        <f t="shared" si="3"/>
        <v>0.74799010829378831</v>
      </c>
      <c r="AS10" s="72">
        <f t="shared" si="3"/>
        <v>0.72125562143761179</v>
      </c>
    </row>
    <row r="11" spans="1:49" s="55" customFormat="1" ht="21" customHeight="1">
      <c r="A11" s="58" t="s">
        <v>511</v>
      </c>
      <c r="B11" s="74">
        <f>(E85+E87+E89)/E83</f>
        <v>0.13114754098360656</v>
      </c>
      <c r="C11" s="486">
        <v>0.34899999999999998</v>
      </c>
      <c r="D11" s="74">
        <v>0.621</v>
      </c>
      <c r="E11" s="74">
        <v>0.55100000000000005</v>
      </c>
      <c r="F11" s="74">
        <v>0.20300000000000001</v>
      </c>
      <c r="G11" s="74">
        <f>(K85+K87+K89)/K83</f>
        <v>0.25000000000000006</v>
      </c>
      <c r="H11" s="74">
        <f>(L85+L87+L89)/L83</f>
        <v>0.38167938931297707</v>
      </c>
      <c r="I11" s="74">
        <f>(N85+N87+N89)/N83</f>
        <v>0.53086419753086422</v>
      </c>
      <c r="J11" s="74">
        <f>(O85+O87+O89)/O83</f>
        <v>0.49723756906077343</v>
      </c>
      <c r="K11" s="64"/>
      <c r="L11" s="65"/>
      <c r="M11" s="65"/>
      <c r="N11" s="66"/>
      <c r="O11" s="66"/>
      <c r="P11" s="66"/>
      <c r="Q11" s="66"/>
      <c r="R11" s="67"/>
      <c r="S11" s="66">
        <f>'RTEKTY Conv'!H23</f>
        <v>0.81440001726150502</v>
      </c>
      <c r="T11" s="69">
        <v>0.16</v>
      </c>
      <c r="U11" s="58" t="s">
        <v>511</v>
      </c>
      <c r="V11" s="70">
        <f>RESIDs!N22*$S11/$T11</f>
        <v>344.97968146933192</v>
      </c>
      <c r="W11" s="508">
        <f>RESIDs!N23*$S11/$T11*1.02</f>
        <v>1778.6707259275938</v>
      </c>
      <c r="X11" s="70">
        <f>RESIDs!N24*$S11/$T11</f>
        <v>4272.7351631255615</v>
      </c>
      <c r="Y11" s="70">
        <f>RESIDs!N25*$S11/$T11*1.25</f>
        <v>1698.1664329016453</v>
      </c>
      <c r="Z11" s="70">
        <f>RESIDs!N26*$S11/$T11</f>
        <v>1131.3737862566368</v>
      </c>
      <c r="AA11" s="70">
        <f>RESIDs!N27*$S11/$T11*1.14</f>
        <v>520.6088069543672</v>
      </c>
      <c r="AB11" s="70">
        <f>RESIDs!N28*$S11/$T11</f>
        <v>745.85819500159846</v>
      </c>
      <c r="AC11" s="70">
        <f>RESIDs!N29*$S11/$T11*1.5</f>
        <v>1547.0791436262125</v>
      </c>
      <c r="AD11" s="70">
        <f>RESIDs!N30*$S11/$T11*1.9</f>
        <v>1970.0352831184587</v>
      </c>
      <c r="AE11" s="75">
        <f t="shared" si="0"/>
        <v>14009.507218381406</v>
      </c>
      <c r="AF11" s="66">
        <f t="shared" si="2"/>
        <v>17202.243272893906</v>
      </c>
      <c r="AG11" s="66"/>
      <c r="AH11" s="66"/>
      <c r="AJ11" s="55" t="s">
        <v>540</v>
      </c>
      <c r="AK11" s="72">
        <f>V13/V20</f>
        <v>7.6994935740827162E-3</v>
      </c>
      <c r="AL11" s="520">
        <f t="shared" ref="AL11:AS11" si="4">W13/W20</f>
        <v>0</v>
      </c>
      <c r="AM11" s="72">
        <f t="shared" si="4"/>
        <v>0</v>
      </c>
      <c r="AN11" s="72">
        <f t="shared" si="4"/>
        <v>0</v>
      </c>
      <c r="AO11" s="72">
        <f t="shared" si="4"/>
        <v>6.5684152144834277E-3</v>
      </c>
      <c r="AP11" s="72">
        <f t="shared" si="4"/>
        <v>1.2501915818096969E-3</v>
      </c>
      <c r="AQ11" s="72">
        <f t="shared" si="4"/>
        <v>0</v>
      </c>
      <c r="AR11" s="72">
        <f t="shared" si="4"/>
        <v>0</v>
      </c>
      <c r="AS11" s="72">
        <f t="shared" si="4"/>
        <v>1.143554153662309E-3</v>
      </c>
      <c r="AT11" s="76"/>
      <c r="AU11" s="76"/>
      <c r="AV11" s="76"/>
    </row>
    <row r="12" spans="1:49" s="55" customFormat="1" ht="21" customHeight="1">
      <c r="A12" s="58" t="s">
        <v>512</v>
      </c>
      <c r="B12" s="63">
        <v>0.24099999999999999</v>
      </c>
      <c r="C12" s="485">
        <f>(D86+D88)/D83</f>
        <v>0.2452830188679245</v>
      </c>
      <c r="D12" s="63">
        <v>9.0700000000000003E-2</v>
      </c>
      <c r="E12" s="63">
        <f>(H86+H88)/H83</f>
        <v>6.8965517241379282E-2</v>
      </c>
      <c r="F12" s="63">
        <f>(J86+J88)/J83</f>
        <v>4.7058823529411729E-2</v>
      </c>
      <c r="G12" s="63">
        <f>(K86+K88)/K83</f>
        <v>2.5000000000000005E-2</v>
      </c>
      <c r="H12" s="63">
        <f>(L86+L88)/L83</f>
        <v>4.5801526717557259E-2</v>
      </c>
      <c r="I12" s="63">
        <f>(N86+N88)/N83</f>
        <v>3.7037037037037035E-2</v>
      </c>
      <c r="J12" s="63">
        <f>(O86+O88)/O83</f>
        <v>6.0773480662983423E-2</v>
      </c>
      <c r="K12" s="73"/>
      <c r="L12" s="65"/>
      <c r="M12" s="65"/>
      <c r="N12" s="66"/>
      <c r="O12" s="66"/>
      <c r="P12" s="66"/>
      <c r="Q12" s="66"/>
      <c r="R12" s="67"/>
      <c r="S12" s="66">
        <f>'RTEKTY Conv'!H30</f>
        <v>0.8</v>
      </c>
      <c r="T12" s="69">
        <v>0.16</v>
      </c>
      <c r="U12" s="58" t="s">
        <v>512</v>
      </c>
      <c r="V12" s="70">
        <f>RESIDs!N31*$S12/$T12</f>
        <v>442.8124789511906</v>
      </c>
      <c r="W12" s="508">
        <f>RESIDs!N32*$S12/$T12</f>
        <v>1017.5394420426663</v>
      </c>
      <c r="X12" s="70">
        <f>RESIDs!$N$33*$S12/$T12</f>
        <v>471.22251575510916</v>
      </c>
      <c r="Y12" s="70">
        <f>RESIDs!$N$34*$S12/$T12</f>
        <v>162.72673042560618</v>
      </c>
      <c r="Z12" s="70">
        <f>RESIDs!$N$35*$S12/$T12</f>
        <v>152.35196687906159</v>
      </c>
      <c r="AA12" s="70">
        <f>RESIDs!$N$36*$S12/$T12</f>
        <v>44.487643065805599</v>
      </c>
      <c r="AB12" s="70">
        <f>RESIDs!$N$37*$S12/$T12</f>
        <v>150.9771634764885</v>
      </c>
      <c r="AC12" s="70">
        <f>RESIDs!$N$38*$S12/$T12</f>
        <v>109.10605486472298</v>
      </c>
      <c r="AD12" s="70">
        <f>RESIDs!$N$39*$S12/$T12</f>
        <v>300.65950829003896</v>
      </c>
      <c r="AE12" s="75">
        <f t="shared" si="0"/>
        <v>2851.8835037506897</v>
      </c>
      <c r="AF12" s="66">
        <f t="shared" si="2"/>
        <v>3564.8543796883619</v>
      </c>
      <c r="AG12" s="66"/>
      <c r="AH12" s="66"/>
      <c r="AJ12" s="55" t="s">
        <v>541</v>
      </c>
      <c r="AK12" s="72">
        <f>V14/V20</f>
        <v>1.9816541178995763E-2</v>
      </c>
      <c r="AL12" s="520">
        <f t="shared" ref="AL12:AS12" si="5">W14/W20</f>
        <v>0</v>
      </c>
      <c r="AM12" s="72">
        <f t="shared" si="5"/>
        <v>5.8701163240968163E-2</v>
      </c>
      <c r="AN12" s="72">
        <f t="shared" si="5"/>
        <v>0.1540220490285886</v>
      </c>
      <c r="AO12" s="72">
        <f t="shared" si="5"/>
        <v>4.0417387787126648E-2</v>
      </c>
      <c r="AP12" s="72">
        <f t="shared" si="5"/>
        <v>0.10319158380225876</v>
      </c>
      <c r="AQ12" s="72">
        <f t="shared" si="5"/>
        <v>5.6822021789289974E-2</v>
      </c>
      <c r="AR12" s="72">
        <f t="shared" si="5"/>
        <v>9.8177968333500565E-2</v>
      </c>
      <c r="AS12" s="72">
        <f t="shared" si="5"/>
        <v>1.8267029956227688E-2</v>
      </c>
      <c r="AT12" s="76"/>
      <c r="AU12" s="76"/>
      <c r="AV12" s="76"/>
    </row>
    <row r="13" spans="1:49" s="55" customFormat="1" ht="21" customHeight="1">
      <c r="A13" s="58" t="s">
        <v>513</v>
      </c>
      <c r="B13" s="74">
        <f>E108/E83</f>
        <v>0</v>
      </c>
      <c r="C13" s="486">
        <f>D108/D83</f>
        <v>1.2578616352201259E-2</v>
      </c>
      <c r="D13" s="74">
        <f>G108/G83</f>
        <v>0</v>
      </c>
      <c r="E13" s="74">
        <f>H108/H83</f>
        <v>0</v>
      </c>
      <c r="F13" s="74">
        <f>J108/J83</f>
        <v>1.1764705882352939E-2</v>
      </c>
      <c r="G13" s="74">
        <f>K108/K83</f>
        <v>1.2500000000000002E-2</v>
      </c>
      <c r="H13" s="74">
        <f>L108/L83</f>
        <v>0</v>
      </c>
      <c r="I13" s="74">
        <f>N108/N83</f>
        <v>0</v>
      </c>
      <c r="J13" s="74">
        <f>O108/O83</f>
        <v>5.5248618784530384E-3</v>
      </c>
      <c r="K13" s="64"/>
      <c r="L13" s="65"/>
      <c r="M13" s="65"/>
      <c r="N13" s="66"/>
      <c r="O13" s="66"/>
      <c r="P13" s="66"/>
      <c r="Q13" s="66"/>
      <c r="R13" s="67"/>
      <c r="S13" s="66">
        <f>'RTEKTY Conv'!H36</f>
        <v>0.8</v>
      </c>
      <c r="T13" s="69">
        <v>0.16</v>
      </c>
      <c r="U13" s="58" t="s">
        <v>513</v>
      </c>
      <c r="V13" s="70">
        <f>RESIDs!$N$40*$S13/$T13</f>
        <v>16.952982500739363</v>
      </c>
      <c r="W13" s="508">
        <v>0</v>
      </c>
      <c r="X13" s="70">
        <f>RESIDs!$N$42*$S13/$T13</f>
        <v>0</v>
      </c>
      <c r="Y13" s="70">
        <f>RESIDs!$N$43*$S13/$T13</f>
        <v>0</v>
      </c>
      <c r="Z13" s="70">
        <f>RESIDs!$N$44*$S13/$T13</f>
        <v>21.013123845612004</v>
      </c>
      <c r="AA13" s="70">
        <f>RESIDs!$N$45*$S13/$T13</f>
        <v>1.5593357882872003</v>
      </c>
      <c r="AB13" s="70">
        <f>RESIDs!$N$46*$S13/$T13</f>
        <v>0</v>
      </c>
      <c r="AC13" s="70">
        <f>RESIDs!$N$47*$S13/$T13</f>
        <v>0</v>
      </c>
      <c r="AD13" s="70">
        <f>RESIDs!$N$48*$S13/$T13</f>
        <v>3.6001971883960802</v>
      </c>
      <c r="AE13" s="75">
        <f t="shared" si="0"/>
        <v>43.125639323034648</v>
      </c>
      <c r="AF13" s="66">
        <f t="shared" si="2"/>
        <v>53.907049153793309</v>
      </c>
      <c r="AG13" s="66"/>
      <c r="AH13" s="66"/>
      <c r="AJ13" s="77" t="s">
        <v>542</v>
      </c>
      <c r="AK13" s="72">
        <f>(V15+V16)/V20</f>
        <v>0.45460673846259098</v>
      </c>
      <c r="AL13" s="520">
        <f t="shared" ref="AL13:AS13" si="6">(W15+W16)/W20</f>
        <v>0.29211862107394482</v>
      </c>
      <c r="AM13" s="72">
        <f t="shared" si="6"/>
        <v>1.5869547234779478E-2</v>
      </c>
      <c r="AN13" s="72">
        <f t="shared" si="6"/>
        <v>1.9791487737253258E-2</v>
      </c>
      <c r="AO13" s="72">
        <f t="shared" si="6"/>
        <v>6.1674923235014549E-2</v>
      </c>
      <c r="AP13" s="72">
        <f t="shared" si="6"/>
        <v>0</v>
      </c>
      <c r="AQ13" s="72">
        <f t="shared" si="6"/>
        <v>0</v>
      </c>
      <c r="AR13" s="72">
        <f t="shared" si="6"/>
        <v>2.7890392785787786E-3</v>
      </c>
      <c r="AS13" s="72">
        <f t="shared" si="6"/>
        <v>9.9915406474929882E-3</v>
      </c>
      <c r="AT13" s="76"/>
      <c r="AU13" s="76"/>
      <c r="AV13" s="76"/>
    </row>
    <row r="14" spans="1:49" s="55" customFormat="1" ht="21" customHeight="1">
      <c r="A14" s="58" t="s">
        <v>514</v>
      </c>
      <c r="B14" s="74">
        <v>0.03</v>
      </c>
      <c r="C14" s="486">
        <f>D104/D83</f>
        <v>1.8867924528301886E-2</v>
      </c>
      <c r="D14" s="74">
        <v>7.4999999999999997E-2</v>
      </c>
      <c r="E14" s="74">
        <f>H104/H83</f>
        <v>9.195402298850576E-2</v>
      </c>
      <c r="F14" s="74">
        <v>6.6000000000000003E-2</v>
      </c>
      <c r="G14" s="74">
        <f>K104/K83</f>
        <v>0.11250000000000002</v>
      </c>
      <c r="H14" s="74">
        <f>L104/L83</f>
        <v>6.1068702290076347E-2</v>
      </c>
      <c r="I14" s="74">
        <f>N104/N83</f>
        <v>7.407407407407407E-2</v>
      </c>
      <c r="J14" s="74">
        <f>O104/O83</f>
        <v>2.2099447513812154E-2</v>
      </c>
      <c r="K14" s="64"/>
      <c r="L14" s="65"/>
      <c r="M14" s="65"/>
      <c r="N14" s="66"/>
      <c r="O14" s="66"/>
      <c r="P14" s="66"/>
      <c r="Q14" s="66"/>
      <c r="R14" s="67"/>
      <c r="S14" s="66">
        <f>'RTEKTY Conv'!H42</f>
        <v>0.78</v>
      </c>
      <c r="T14" s="69">
        <f>0.16</f>
        <v>0.16</v>
      </c>
      <c r="U14" s="58" t="s">
        <v>514</v>
      </c>
      <c r="V14" s="70">
        <f>RESIDs!$N$49*$S14/$T14</f>
        <v>43.63267175954747</v>
      </c>
      <c r="W14" s="508">
        <f>RESIDs!$N$50*$S14/$T14</f>
        <v>0</v>
      </c>
      <c r="X14" s="70">
        <f>RESIDs!$N$51*$S14/$T14</f>
        <v>353.05446928530489</v>
      </c>
      <c r="Y14" s="70">
        <f>RESIDs!$N$52*$S14/$T14*1.25</f>
        <v>451.99400121963544</v>
      </c>
      <c r="Z14" s="70">
        <f>RESIDs!$N$53*$S14/$T14</f>
        <v>129.29992202903256</v>
      </c>
      <c r="AA14" s="70">
        <f>RESIDs!$N$54*$S14/$T14</f>
        <v>128.7085371667408</v>
      </c>
      <c r="AB14" s="70">
        <f>RESIDs!$N$55*$S14/$T14</f>
        <v>85.972070521901159</v>
      </c>
      <c r="AC14" s="70">
        <f>RESIDs!$N$56*$S14/$T14*1.5</f>
        <v>217.38375436910269</v>
      </c>
      <c r="AD14" s="70">
        <f>RESIDs!$N$57*$S14/$T14</f>
        <v>57.50922217206886</v>
      </c>
      <c r="AE14" s="75">
        <f t="shared" si="0"/>
        <v>1467.5546485233338</v>
      </c>
      <c r="AF14" s="66">
        <f t="shared" si="2"/>
        <v>1881.4803186196586</v>
      </c>
      <c r="AG14" s="66"/>
      <c r="AH14" s="66"/>
      <c r="AJ14" s="55" t="s">
        <v>543</v>
      </c>
      <c r="AK14" s="72">
        <f>V17/V20</f>
        <v>0.14552026702590709</v>
      </c>
      <c r="AL14" s="520">
        <f t="shared" ref="AL14:AS14" si="7">W17/W20</f>
        <v>0</v>
      </c>
      <c r="AM14" s="72">
        <f t="shared" si="7"/>
        <v>9.4698853380255146E-2</v>
      </c>
      <c r="AN14" s="72">
        <f t="shared" si="7"/>
        <v>0.12337814648631487</v>
      </c>
      <c r="AO14" s="72">
        <f t="shared" si="7"/>
        <v>0.19140695222842394</v>
      </c>
      <c r="AP14" s="72">
        <f t="shared" si="7"/>
        <v>0.17900961215156155</v>
      </c>
      <c r="AQ14" s="72">
        <f t="shared" si="7"/>
        <v>0.12922903196558835</v>
      </c>
      <c r="AR14" s="72">
        <f t="shared" si="7"/>
        <v>8.9628734811322316E-2</v>
      </c>
      <c r="AS14" s="72">
        <f t="shared" si="7"/>
        <v>0.15338139662326331</v>
      </c>
      <c r="AT14" s="76"/>
      <c r="AU14" s="76"/>
      <c r="AV14" s="76"/>
    </row>
    <row r="15" spans="1:49" s="55" customFormat="1" ht="21" customHeight="1">
      <c r="A15" s="58" t="s">
        <v>515</v>
      </c>
      <c r="B15" s="74">
        <f>(E98+E99)/E83</f>
        <v>0.1475409836065574</v>
      </c>
      <c r="C15" s="486">
        <f>(D98+D99)/D83</f>
        <v>6.2893081761006289E-2</v>
      </c>
      <c r="D15" s="74">
        <v>1.0999999999999999E-2</v>
      </c>
      <c r="E15" s="74">
        <f>(H98+H99)/H83</f>
        <v>1.1494252873563216E-2</v>
      </c>
      <c r="F15" s="74">
        <f>(J98+J99)/J83</f>
        <v>1.1764705882352939E-2</v>
      </c>
      <c r="G15" s="74">
        <f>(K98+K99)/K83</f>
        <v>0</v>
      </c>
      <c r="H15" s="74">
        <f>(L98+L99)/L83</f>
        <v>0</v>
      </c>
      <c r="I15" s="74">
        <f>(N98+N99)/N83</f>
        <v>2.469135802469136E-2</v>
      </c>
      <c r="J15" s="74">
        <f>(O98+O99)/O83</f>
        <v>5.5248618784530384E-3</v>
      </c>
      <c r="K15" s="64"/>
      <c r="L15" s="65"/>
      <c r="M15" s="65"/>
      <c r="N15" s="66"/>
      <c r="O15" s="66"/>
      <c r="P15" s="66"/>
      <c r="Q15" s="66"/>
      <c r="R15" s="67"/>
      <c r="S15" s="66">
        <f>'RTEKTY Conv'!H49</f>
        <v>0.81739997863769498</v>
      </c>
      <c r="T15" s="69">
        <f>0.16</f>
        <v>0.16</v>
      </c>
      <c r="U15" s="58" t="s">
        <v>515</v>
      </c>
      <c r="V15" s="70">
        <f>RESIDs!$N$58*$S15/$T15</f>
        <v>355.48319472176019</v>
      </c>
      <c r="W15" s="508">
        <f>RESIDs!$N$59*$S15/$T15</f>
        <v>389.55339388387375</v>
      </c>
      <c r="X15" s="70">
        <f>RESIDs!$N$60*$S15/$T15</f>
        <v>80.211465698894784</v>
      </c>
      <c r="Y15" s="70">
        <f>RESIDs!$N$61*$S15/$T15</f>
        <v>36.585611687903558</v>
      </c>
      <c r="Z15" s="70">
        <f>RESIDs!$N$62*$S15/$T15</f>
        <v>126.18377677811199</v>
      </c>
      <c r="AA15" s="70">
        <f>RESIDs!$N$63*$S15/$T15</f>
        <v>0</v>
      </c>
      <c r="AB15" s="70">
        <f>RESIDs!$N$64*$S15/$T15</f>
        <v>0</v>
      </c>
      <c r="AC15" s="70">
        <f>RESIDs!$N$65*$S15/$T15</f>
        <v>6.1754367069487222</v>
      </c>
      <c r="AD15" s="70">
        <f>RESIDs!$N$66*$S15/$T15</f>
        <v>25.97883179257585</v>
      </c>
      <c r="AE15" s="75">
        <f t="shared" si="0"/>
        <v>1020.171711270069</v>
      </c>
      <c r="AF15" s="66">
        <f t="shared" si="2"/>
        <v>1248.0691680104028</v>
      </c>
      <c r="AG15" s="66"/>
      <c r="AH15" s="66"/>
      <c r="AJ15" s="77"/>
      <c r="AK15" s="77">
        <f t="shared" ref="AK15" si="8">SUM(AK9:AK14)</f>
        <v>1.0000000000000002</v>
      </c>
      <c r="AL15" s="521">
        <f t="shared" ref="AL15:AS15" si="9">SUM(AL9:AL14)</f>
        <v>1</v>
      </c>
      <c r="AM15" s="77">
        <f t="shared" si="9"/>
        <v>1</v>
      </c>
      <c r="AN15" s="77">
        <f t="shared" si="9"/>
        <v>1</v>
      </c>
      <c r="AO15" s="77">
        <f t="shared" si="9"/>
        <v>1.0000000000000002</v>
      </c>
      <c r="AP15" s="77">
        <f t="shared" si="9"/>
        <v>0.99999999999999989</v>
      </c>
      <c r="AQ15" s="77">
        <f t="shared" si="9"/>
        <v>1.0000000000000002</v>
      </c>
      <c r="AR15" s="77">
        <f t="shared" si="9"/>
        <v>1</v>
      </c>
      <c r="AS15" s="77">
        <f t="shared" si="9"/>
        <v>0.99999999999999989</v>
      </c>
      <c r="AT15" s="76"/>
      <c r="AU15" s="76"/>
      <c r="AV15" s="76"/>
    </row>
    <row r="16" spans="1:49" s="55" customFormat="1" ht="21" customHeight="1">
      <c r="A16" s="58" t="s">
        <v>516</v>
      </c>
      <c r="B16" s="74">
        <f>E97/E83</f>
        <v>0.26229508196721313</v>
      </c>
      <c r="C16" s="486">
        <f>D97/D83</f>
        <v>0.1761006289308176</v>
      </c>
      <c r="D16" s="74">
        <v>1.2999999999999999E-2</v>
      </c>
      <c r="E16" s="74">
        <f>H97/H83</f>
        <v>0</v>
      </c>
      <c r="F16" s="74">
        <f>J97/J83</f>
        <v>7.8431372549019607E-3</v>
      </c>
      <c r="G16" s="74">
        <f>K97/K83</f>
        <v>0</v>
      </c>
      <c r="H16" s="74">
        <f>L97/L83</f>
        <v>0</v>
      </c>
      <c r="I16" s="74">
        <f>N97/N83</f>
        <v>0</v>
      </c>
      <c r="J16" s="74">
        <f>O97/O83</f>
        <v>0</v>
      </c>
      <c r="K16" s="64"/>
      <c r="L16" s="65"/>
      <c r="M16" s="65"/>
      <c r="N16" s="66"/>
      <c r="O16" s="66"/>
      <c r="P16" s="66"/>
      <c r="Q16" s="66"/>
      <c r="R16" s="67"/>
      <c r="S16" s="66">
        <f>'RTEKTY Conv'!H55</f>
        <v>0.8</v>
      </c>
      <c r="T16" s="69">
        <f>0.16</f>
        <v>0.16</v>
      </c>
      <c r="U16" s="58" t="s">
        <v>516</v>
      </c>
      <c r="V16" s="70">
        <f>RESIDs!$N$67*$S16/$T16</f>
        <v>645.48394782081562</v>
      </c>
      <c r="W16" s="508">
        <f>RESIDs!$N$68*$S16/$T16</f>
        <v>832.72488362709373</v>
      </c>
      <c r="X16" s="70">
        <f>RESIDs!$N$69*$S16/$T16</f>
        <v>15.234932079861361</v>
      </c>
      <c r="Y16" s="70">
        <f>RESIDs!$N$70*$S16/$T16</f>
        <v>21.494603377862884</v>
      </c>
      <c r="Z16" s="70">
        <f>RESIDs!$N$71*$S16/$T16</f>
        <v>71.121472324946808</v>
      </c>
      <c r="AA16" s="70">
        <f>RESIDs!$N$72*$S16/$T16</f>
        <v>0</v>
      </c>
      <c r="AB16" s="70">
        <f>RESIDs!$N$73*$S16/$T16</f>
        <v>0</v>
      </c>
      <c r="AC16" s="70">
        <f>RESIDs!$N$74*$S16/$T16</f>
        <v>0</v>
      </c>
      <c r="AD16" s="70">
        <f>RESIDs!$N$75*$S16/$T16</f>
        <v>5.4770607260672</v>
      </c>
      <c r="AE16" s="75">
        <f t="shared" si="0"/>
        <v>1591.5368999566476</v>
      </c>
      <c r="AF16" s="66">
        <f t="shared" si="2"/>
        <v>1989.4211249458094</v>
      </c>
      <c r="AG16" s="66"/>
      <c r="AH16" s="66"/>
      <c r="AJ16" s="55" t="s">
        <v>544</v>
      </c>
      <c r="AK16" s="72">
        <f>(V11+V13+V14+V15)/V20</f>
        <v>0.34564350370325286</v>
      </c>
      <c r="AL16" s="520">
        <f t="shared" ref="AL16:AS16" si="10">(W11+W13+W14+W15)/W20</f>
        <v>0.51819512112118871</v>
      </c>
      <c r="AM16" s="72">
        <f t="shared" si="10"/>
        <v>0.78245076243201306</v>
      </c>
      <c r="AN16" s="72">
        <f t="shared" si="10"/>
        <v>0.74515835557966015</v>
      </c>
      <c r="AO16" s="72">
        <f t="shared" si="10"/>
        <v>0.44008110338699497</v>
      </c>
      <c r="AP16" s="72">
        <f t="shared" si="10"/>
        <v>0.52183792107585403</v>
      </c>
      <c r="AQ16" s="72">
        <f t="shared" si="10"/>
        <v>0.54978642698300728</v>
      </c>
      <c r="AR16" s="72">
        <f t="shared" si="10"/>
        <v>0.79968107487607643</v>
      </c>
      <c r="AS16" s="72">
        <f t="shared" si="10"/>
        <v>0.65341758773515735</v>
      </c>
      <c r="AT16" s="76"/>
      <c r="AU16" s="76"/>
      <c r="AV16" s="76"/>
    </row>
    <row r="17" spans="1:48" s="55" customFormat="1" ht="21" customHeight="1">
      <c r="A17" s="58" t="s">
        <v>517</v>
      </c>
      <c r="B17" s="74">
        <f>E100/E83</f>
        <v>0.14754098360655737</v>
      </c>
      <c r="C17" s="486">
        <f>D100/D83</f>
        <v>6.9182389937106917E-2</v>
      </c>
      <c r="D17" s="74">
        <f>G100/G83</f>
        <v>8.947368421052633E-2</v>
      </c>
      <c r="E17" s="74">
        <f>H100/H83</f>
        <v>0.12643678160919541</v>
      </c>
      <c r="F17" s="74">
        <f>J100/J83</f>
        <v>0.18039215686274507</v>
      </c>
      <c r="G17" s="74">
        <f>K100/K83</f>
        <v>0.16250000000000003</v>
      </c>
      <c r="H17" s="74">
        <f>L100/L83</f>
        <v>0.12977099236641224</v>
      </c>
      <c r="I17" s="74">
        <f>N100/N83</f>
        <v>0.11111111111111112</v>
      </c>
      <c r="J17" s="74">
        <f>O100/O83</f>
        <v>0.14917127071823205</v>
      </c>
      <c r="K17" s="64"/>
      <c r="L17" s="65"/>
      <c r="M17" s="78"/>
      <c r="N17" s="66"/>
      <c r="O17" s="66"/>
      <c r="P17" s="66"/>
      <c r="Q17" s="66"/>
      <c r="R17" s="67"/>
      <c r="S17" s="66">
        <f>'RTEKTY Conv'!H62</f>
        <v>1</v>
      </c>
      <c r="T17" s="69">
        <f>0.16</f>
        <v>0.16</v>
      </c>
      <c r="U17" s="58" t="s">
        <v>517</v>
      </c>
      <c r="V17" s="70">
        <f>RESIDs!$N$76*$S17/$T17+RESIDs!$N$499*$S17/$T17</f>
        <v>320.41101361488313</v>
      </c>
      <c r="W17" s="508">
        <v>0</v>
      </c>
      <c r="X17" s="70">
        <f>RESIDs!$N$78*$S17/$T17+RESIDs!$N$501*$S17/$T17</f>
        <v>569.56032174093343</v>
      </c>
      <c r="Y17" s="70">
        <f>RESIDs!$N$79*$S17/$T17+RESIDs!$N$502*$S17/$T17</f>
        <v>362.06622652488409</v>
      </c>
      <c r="Z17" s="70">
        <f>RESIDs!$N$80*$S17/$T17+RESIDs!$N$503*$S17/$T17</f>
        <v>612.33309112650659</v>
      </c>
      <c r="AA17" s="70">
        <f>RESIDs!$N$81*$S17/$T17+RESIDs!$N$504*$S17/$T17</f>
        <v>223.2746554502325</v>
      </c>
      <c r="AB17" s="70">
        <f>RESIDs!$N$82*$S17/$T17+RESIDs!$N$505*$S17/$T17</f>
        <v>195.524324896807</v>
      </c>
      <c r="AC17" s="70">
        <f>RESIDs!$N$83*$S17/$T17+RESIDs!$N$506*$S17/$T17</f>
        <v>198.4542072255289</v>
      </c>
      <c r="AD17" s="70">
        <f>RESIDs!$N$84*$S17/$T17+RESIDs!$N$507*$S17/$T17</f>
        <v>482.88336071087542</v>
      </c>
      <c r="AE17" s="75">
        <f t="shared" si="0"/>
        <v>2964.5072012906512</v>
      </c>
      <c r="AF17" s="66">
        <f t="shared" si="2"/>
        <v>2964.5072012906512</v>
      </c>
      <c r="AG17" s="66"/>
      <c r="AH17" s="66"/>
      <c r="AK17" s="72"/>
      <c r="AL17" s="72"/>
      <c r="AM17" s="72"/>
      <c r="AN17" s="72"/>
      <c r="AO17" s="72"/>
      <c r="AP17" s="72"/>
      <c r="AQ17" s="72"/>
      <c r="AR17" s="72"/>
      <c r="AS17" s="72"/>
      <c r="AT17" s="76"/>
      <c r="AU17" s="76"/>
      <c r="AV17" s="76"/>
    </row>
    <row r="18" spans="1:48" s="55" customFormat="1" ht="21" customHeight="1">
      <c r="A18" s="58" t="s">
        <v>506</v>
      </c>
      <c r="B18" s="79"/>
      <c r="C18" s="487"/>
      <c r="D18" s="77"/>
      <c r="E18" s="77"/>
      <c r="F18" s="77"/>
      <c r="G18" s="77"/>
      <c r="H18" s="77"/>
      <c r="I18" s="77"/>
      <c r="J18" s="77"/>
      <c r="K18" s="77"/>
      <c r="L18" s="65"/>
      <c r="M18" s="65"/>
      <c r="N18" s="66"/>
      <c r="O18" s="66"/>
      <c r="P18" s="66"/>
      <c r="Q18" s="66"/>
      <c r="R18" s="67"/>
      <c r="S18" s="66">
        <f>'RTEKTY Conv'!H64</f>
        <v>3.2999999523162802</v>
      </c>
      <c r="T18" s="69">
        <v>0.16</v>
      </c>
      <c r="U18" s="58" t="s">
        <v>506</v>
      </c>
      <c r="V18" s="70">
        <v>0</v>
      </c>
      <c r="W18" s="508">
        <v>0</v>
      </c>
      <c r="X18" s="70">
        <v>0</v>
      </c>
      <c r="Y18" s="70">
        <v>0</v>
      </c>
      <c r="Z18" s="70">
        <v>0</v>
      </c>
      <c r="AA18" s="70">
        <v>0</v>
      </c>
      <c r="AB18" s="70">
        <v>0</v>
      </c>
      <c r="AC18" s="70">
        <v>0</v>
      </c>
      <c r="AD18" s="70">
        <v>0</v>
      </c>
      <c r="AE18" s="75">
        <f t="shared" ref="AE18:AE19" si="11">SUM(V18:AD18)</f>
        <v>0</v>
      </c>
      <c r="AF18" s="66">
        <f t="shared" ref="AF18:AF19" si="12">AE18/S18</f>
        <v>0</v>
      </c>
      <c r="AG18" s="66"/>
      <c r="AH18" s="66"/>
      <c r="AJ18" s="27" t="s">
        <v>545</v>
      </c>
      <c r="AK18" s="54">
        <f>(V9+V12+V16)/V20</f>
        <v>0.50857076293831194</v>
      </c>
      <c r="AL18" s="54">
        <f t="shared" ref="AL18:AS18" si="13">(W9+W12+W16)/W20</f>
        <v>0.47448057179624598</v>
      </c>
      <c r="AM18" s="54">
        <f t="shared" si="13"/>
        <v>0.11805029146825612</v>
      </c>
      <c r="AN18" s="54">
        <f t="shared" si="13"/>
        <v>0.12441256327528842</v>
      </c>
      <c r="AO18" s="54">
        <f t="shared" si="13"/>
        <v>0.24046164666842812</v>
      </c>
      <c r="AP18" s="54">
        <f t="shared" si="13"/>
        <v>0.20314003751287424</v>
      </c>
      <c r="AQ18" s="54">
        <f t="shared" si="13"/>
        <v>0.30216073034203494</v>
      </c>
      <c r="AR18" s="54">
        <f t="shared" si="13"/>
        <v>8.7118897646504212E-2</v>
      </c>
      <c r="AS18" s="54">
        <f t="shared" si="13"/>
        <v>0.18008336660729354</v>
      </c>
    </row>
    <row r="19" spans="1:48" s="55" customFormat="1" ht="21" customHeight="1">
      <c r="A19" s="58" t="s">
        <v>507</v>
      </c>
      <c r="B19" s="79"/>
      <c r="C19" s="487"/>
      <c r="D19" s="77"/>
      <c r="E19" s="77"/>
      <c r="F19" s="77"/>
      <c r="G19" s="77"/>
      <c r="H19" s="77"/>
      <c r="I19" s="77"/>
      <c r="J19" s="77"/>
      <c r="K19" s="77"/>
      <c r="L19" s="65"/>
      <c r="M19" s="65"/>
      <c r="N19" s="66"/>
      <c r="O19" s="66"/>
      <c r="P19" s="66"/>
      <c r="Q19" s="66"/>
      <c r="R19" s="67"/>
      <c r="S19" s="66">
        <f>'RTEKTY Conv'!H69</f>
        <v>1.29999995231628</v>
      </c>
      <c r="T19" s="69">
        <v>0.16</v>
      </c>
      <c r="U19" s="58" t="s">
        <v>507</v>
      </c>
      <c r="V19" s="70">
        <v>0</v>
      </c>
      <c r="W19" s="508">
        <v>0</v>
      </c>
      <c r="X19" s="70">
        <v>0</v>
      </c>
      <c r="Y19" s="70">
        <v>0</v>
      </c>
      <c r="Z19" s="70">
        <v>0</v>
      </c>
      <c r="AA19" s="70">
        <v>0</v>
      </c>
      <c r="AB19" s="70">
        <v>0</v>
      </c>
      <c r="AC19" s="70">
        <v>0</v>
      </c>
      <c r="AD19" s="70">
        <v>0</v>
      </c>
      <c r="AE19" s="75">
        <f t="shared" si="11"/>
        <v>0</v>
      </c>
      <c r="AF19" s="66">
        <f t="shared" si="12"/>
        <v>0</v>
      </c>
      <c r="AG19" s="66" t="s">
        <v>1210</v>
      </c>
      <c r="AH19" s="66"/>
      <c r="AJ19" s="27" t="s">
        <v>546</v>
      </c>
      <c r="AK19" s="54">
        <f>(V10+V18+V19)/V20</f>
        <v>2.6546633252828936E-4</v>
      </c>
      <c r="AL19" s="54">
        <f t="shared" ref="AL19:AS19" si="14">(W10+W18+W19)/W20</f>
        <v>7.3243070825653872E-3</v>
      </c>
      <c r="AM19" s="54">
        <f t="shared" si="14"/>
        <v>4.8000927194756862E-3</v>
      </c>
      <c r="AN19" s="54">
        <f t="shared" si="14"/>
        <v>7.0509346587365454E-3</v>
      </c>
      <c r="AO19" s="54">
        <f t="shared" si="14"/>
        <v>0.12805029771615301</v>
      </c>
      <c r="AP19" s="54">
        <f t="shared" si="14"/>
        <v>9.6012429259710139E-2</v>
      </c>
      <c r="AQ19" s="54">
        <f t="shared" si="14"/>
        <v>1.882381070936967E-2</v>
      </c>
      <c r="AR19" s="54">
        <f t="shared" si="14"/>
        <v>2.3571292666097032E-2</v>
      </c>
      <c r="AS19" s="54">
        <f t="shared" si="14"/>
        <v>1.3117649034285849E-2</v>
      </c>
    </row>
    <row r="20" spans="1:48" s="55" customFormat="1" ht="21" customHeight="1">
      <c r="A20" s="58"/>
      <c r="B20" s="66"/>
      <c r="C20" s="488"/>
      <c r="D20" s="66"/>
      <c r="E20" s="66"/>
      <c r="F20" s="66"/>
      <c r="G20" s="66"/>
      <c r="H20" s="66"/>
      <c r="I20" s="66"/>
      <c r="J20" s="66"/>
      <c r="K20" s="66"/>
      <c r="L20" s="65"/>
      <c r="M20" s="65"/>
      <c r="N20" s="66"/>
      <c r="O20" s="66"/>
      <c r="P20" s="66"/>
      <c r="Q20" s="66"/>
      <c r="R20" s="67"/>
      <c r="S20" s="66"/>
      <c r="T20" s="69"/>
      <c r="U20" s="58" t="s">
        <v>508</v>
      </c>
      <c r="V20" s="66">
        <f>SUM(V9:V19)</f>
        <v>2201.830852590726</v>
      </c>
      <c r="W20" s="509">
        <f t="shared" ref="W20:AD20" si="15">SUM(W9:W19)</f>
        <v>4184.1847432299382</v>
      </c>
      <c r="X20" s="66">
        <f t="shared" si="15"/>
        <v>6014.4373602277174</v>
      </c>
      <c r="Y20" s="66">
        <f t="shared" si="15"/>
        <v>2934.60581826008</v>
      </c>
      <c r="Z20" s="66">
        <f t="shared" si="15"/>
        <v>3199.1162494231235</v>
      </c>
      <c r="AA20" s="66">
        <f t="shared" si="15"/>
        <v>1247.277466090442</v>
      </c>
      <c r="AB20" s="66">
        <f t="shared" si="15"/>
        <v>1513.0061869446802</v>
      </c>
      <c r="AC20" s="66">
        <f t="shared" si="15"/>
        <v>2214.1806156618786</v>
      </c>
      <c r="AD20" s="66">
        <f t="shared" si="15"/>
        <v>3148.252469606452</v>
      </c>
      <c r="AE20" s="80">
        <f>SUM(V20:AD20)</f>
        <v>26656.89176203504</v>
      </c>
      <c r="AF20" s="80">
        <f>AE20/SUM(AF9:AF18)</f>
        <v>0.85427597943063582</v>
      </c>
      <c r="AG20" s="69">
        <f>USDemand!C265</f>
        <v>0.981853056187732</v>
      </c>
      <c r="AH20" s="66"/>
      <c r="AK20" s="72"/>
      <c r="AL20" s="77"/>
      <c r="AM20" s="77"/>
      <c r="AN20" s="77"/>
    </row>
    <row r="21" spans="1:48" s="55" customFormat="1" ht="21" customHeight="1">
      <c r="A21" s="58" t="s">
        <v>497</v>
      </c>
      <c r="B21" s="63">
        <f>SUM(B9:B19)</f>
        <v>1.0005245901639344</v>
      </c>
      <c r="C21" s="485">
        <f t="shared" ref="C21:J21" si="16">SUM(C9:C19)</f>
        <v>1.000194968553459</v>
      </c>
      <c r="D21" s="63">
        <f t="shared" si="16"/>
        <v>1.0006526315789475</v>
      </c>
      <c r="E21" s="63">
        <f t="shared" si="16"/>
        <v>1.00073908045977</v>
      </c>
      <c r="F21" s="63">
        <f t="shared" si="16"/>
        <v>1.0008235294117644</v>
      </c>
      <c r="G21" s="63">
        <f t="shared" si="16"/>
        <v>1.0000000000000002</v>
      </c>
      <c r="H21" s="63">
        <f>SUM(H9:H19)</f>
        <v>0.99999999999999989</v>
      </c>
      <c r="I21" s="63">
        <f t="shared" si="16"/>
        <v>1</v>
      </c>
      <c r="J21" s="63">
        <f t="shared" si="16"/>
        <v>1</v>
      </c>
      <c r="K21" s="66"/>
      <c r="L21" s="65"/>
      <c r="M21" s="65"/>
      <c r="N21" s="66"/>
      <c r="O21" s="66"/>
      <c r="P21" s="66"/>
      <c r="Q21" s="66"/>
      <c r="R21" s="67"/>
      <c r="S21" s="66"/>
      <c r="T21" s="69"/>
      <c r="U21" s="58"/>
      <c r="V21" s="66">
        <f>V20*0.16</f>
        <v>352.29293641451613</v>
      </c>
      <c r="W21" s="509">
        <f t="shared" ref="W21:AE21" si="17">W20*0.16</f>
        <v>669.46955891679011</v>
      </c>
      <c r="X21" s="66">
        <f t="shared" si="17"/>
        <v>962.30997763643484</v>
      </c>
      <c r="Y21" s="66">
        <f t="shared" si="17"/>
        <v>469.53693092161279</v>
      </c>
      <c r="Z21" s="66">
        <f t="shared" si="17"/>
        <v>511.85859990769978</v>
      </c>
      <c r="AA21" s="66">
        <f t="shared" si="17"/>
        <v>199.56439457447073</v>
      </c>
      <c r="AB21" s="66">
        <f t="shared" si="17"/>
        <v>242.08098991114883</v>
      </c>
      <c r="AC21" s="66">
        <f t="shared" si="17"/>
        <v>354.26889850590061</v>
      </c>
      <c r="AD21" s="66">
        <f t="shared" si="17"/>
        <v>503.72039513703231</v>
      </c>
      <c r="AE21" s="66">
        <f t="shared" si="17"/>
        <v>4265.1026819256067</v>
      </c>
      <c r="AF21" s="66"/>
      <c r="AG21" s="69"/>
      <c r="AH21" s="66"/>
      <c r="AK21" s="72"/>
      <c r="AL21" s="77"/>
      <c r="AM21" s="77"/>
      <c r="AN21" s="77"/>
    </row>
    <row r="22" spans="1:48" s="55" customFormat="1" ht="21" customHeight="1">
      <c r="A22" s="58"/>
      <c r="B22" s="66"/>
      <c r="C22" s="488"/>
      <c r="D22" s="66"/>
      <c r="E22" s="66"/>
      <c r="F22" s="66"/>
      <c r="G22" s="66"/>
      <c r="H22" s="66"/>
      <c r="I22" s="66"/>
      <c r="J22" s="66"/>
      <c r="K22" s="66"/>
      <c r="L22" s="65"/>
      <c r="M22" s="65"/>
      <c r="N22" s="66"/>
      <c r="O22" s="66"/>
      <c r="P22" s="66"/>
      <c r="Q22" s="66"/>
      <c r="R22" s="67"/>
      <c r="S22" s="66"/>
      <c r="T22" s="69"/>
      <c r="U22" s="58" t="s">
        <v>1207</v>
      </c>
      <c r="V22" s="66">
        <f>ResDemand!D18</f>
        <v>0</v>
      </c>
      <c r="W22" s="509">
        <f>ResDemand!D19</f>
        <v>47.297559400895494</v>
      </c>
      <c r="X22" s="66">
        <f>ResDemand!D22</f>
        <v>8.7987803169543231</v>
      </c>
      <c r="Y22" s="66">
        <f>ResDemand!D24</f>
        <v>0</v>
      </c>
      <c r="Z22" s="66">
        <f>ResDemand!D20</f>
        <v>25.669924074564893</v>
      </c>
      <c r="AA22" s="66">
        <f>ResDemand!D21</f>
        <v>30.067435147532464</v>
      </c>
      <c r="AB22" s="66">
        <f>ResDemand!D23</f>
        <v>42.366594742609848</v>
      </c>
      <c r="AC22" s="66">
        <f>ResDemand!D25</f>
        <v>0</v>
      </c>
      <c r="AD22" s="66">
        <f>ResDemand!D26</f>
        <v>0</v>
      </c>
      <c r="AE22" s="80">
        <f>SUM(V22:AD22)</f>
        <v>154.200293682557</v>
      </c>
      <c r="AF22" s="66"/>
      <c r="AG22" s="69"/>
      <c r="AH22" s="66"/>
      <c r="AK22" s="72"/>
      <c r="AL22" s="77"/>
      <c r="AM22" s="77"/>
      <c r="AN22" s="77"/>
    </row>
    <row r="23" spans="1:48" s="55" customFormat="1" ht="21" customHeight="1">
      <c r="A23" s="58"/>
      <c r="B23" s="66"/>
      <c r="C23" s="488"/>
      <c r="D23" s="66"/>
      <c r="E23" s="66"/>
      <c r="F23" s="66"/>
      <c r="G23" s="66"/>
      <c r="H23" s="66"/>
      <c r="I23" s="66"/>
      <c r="J23" s="66"/>
      <c r="K23" s="66"/>
      <c r="L23" s="65"/>
      <c r="M23" s="65"/>
      <c r="N23" s="66"/>
      <c r="O23" s="66"/>
      <c r="P23" s="66"/>
      <c r="Q23" s="66"/>
      <c r="R23" s="67"/>
      <c r="S23" s="66"/>
      <c r="T23" s="69"/>
      <c r="U23" s="58" t="s">
        <v>1208</v>
      </c>
      <c r="V23" s="81">
        <f>V21-V22</f>
        <v>352.29293641451613</v>
      </c>
      <c r="W23" s="510">
        <f t="shared" ref="W23:AE23" si="18">W21-W22</f>
        <v>622.17199951589464</v>
      </c>
      <c r="X23" s="81">
        <f t="shared" si="18"/>
        <v>953.51119731948052</v>
      </c>
      <c r="Y23" s="81">
        <f t="shared" si="18"/>
        <v>469.53693092161279</v>
      </c>
      <c r="Z23" s="81">
        <f t="shared" si="18"/>
        <v>486.18867583313488</v>
      </c>
      <c r="AA23" s="81">
        <f t="shared" si="18"/>
        <v>169.49695942693825</v>
      </c>
      <c r="AB23" s="81">
        <f t="shared" si="18"/>
        <v>199.714395168539</v>
      </c>
      <c r="AC23" s="69">
        <f t="shared" si="18"/>
        <v>354.26889850590061</v>
      </c>
      <c r="AD23" s="81">
        <f t="shared" si="18"/>
        <v>503.72039513703231</v>
      </c>
      <c r="AE23" s="81">
        <f t="shared" si="18"/>
        <v>4110.9023882430502</v>
      </c>
      <c r="AF23" s="66"/>
      <c r="AG23" s="69"/>
      <c r="AH23" s="66"/>
      <c r="AK23" s="72"/>
      <c r="AL23" s="77"/>
      <c r="AM23" s="77"/>
      <c r="AN23" s="77"/>
    </row>
    <row r="24" spans="1:48" s="55" customFormat="1" ht="15">
      <c r="A24" s="57" t="s">
        <v>502</v>
      </c>
      <c r="B24" s="61"/>
      <c r="C24" s="484"/>
      <c r="D24" s="76"/>
      <c r="E24" s="72"/>
      <c r="H24" s="76"/>
      <c r="I24" s="77"/>
      <c r="J24" s="72"/>
      <c r="K24" s="72"/>
      <c r="L24" s="72"/>
      <c r="M24" s="72"/>
      <c r="N24" s="77"/>
      <c r="O24" s="77"/>
      <c r="P24" s="77"/>
      <c r="Q24" s="77"/>
      <c r="R24" s="76"/>
      <c r="S24" s="66"/>
      <c r="T24" s="72"/>
      <c r="U24" s="57" t="s">
        <v>502</v>
      </c>
      <c r="V24" s="61"/>
      <c r="W24" s="505"/>
      <c r="X24" s="76"/>
      <c r="Y24" s="72"/>
      <c r="AB24" s="76"/>
      <c r="AC24" s="77"/>
      <c r="AD24" s="72"/>
      <c r="AE24" s="72"/>
      <c r="AF24" s="77"/>
      <c r="AG24" s="72"/>
      <c r="AH24" s="77"/>
      <c r="AI24" s="77"/>
      <c r="AJ24" s="77"/>
      <c r="AK24" s="72"/>
      <c r="AL24" s="77"/>
      <c r="AM24" s="77"/>
      <c r="AN24" s="77"/>
      <c r="AQ24" s="76"/>
      <c r="AR24" s="76"/>
      <c r="AS24" s="76"/>
      <c r="AT24" s="76"/>
      <c r="AU24" s="76"/>
      <c r="AV24" s="76"/>
    </row>
    <row r="25" spans="1:48" s="55" customFormat="1" ht="21" customHeight="1">
      <c r="A25" s="58" t="s">
        <v>503</v>
      </c>
      <c r="B25" s="63">
        <f>E129/E125</f>
        <v>0.81578947368421062</v>
      </c>
      <c r="C25" s="485">
        <f>D129/D125</f>
        <v>0.59374999999999989</v>
      </c>
      <c r="D25" s="63">
        <f>G129/G125</f>
        <v>0.28750000000000003</v>
      </c>
      <c r="E25" s="63">
        <f>H129/H125</f>
        <v>0.20000000000000007</v>
      </c>
      <c r="F25" s="63">
        <f>J129/J125</f>
        <v>0.16190476190476191</v>
      </c>
      <c r="G25" s="63">
        <f t="shared" ref="G25:H25" si="19">K129/K125</f>
        <v>0.22388059701492546</v>
      </c>
      <c r="H25" s="63">
        <f t="shared" si="19"/>
        <v>0.21186440677966104</v>
      </c>
      <c r="I25" s="63">
        <f>N129/N125</f>
        <v>0.13333333333333333</v>
      </c>
      <c r="J25" s="63">
        <f>O129/O125</f>
        <v>0.31578947368421051</v>
      </c>
      <c r="K25" s="64"/>
      <c r="L25" s="63"/>
      <c r="M25" s="65"/>
      <c r="N25" s="66"/>
      <c r="O25" s="66"/>
      <c r="P25" s="66"/>
      <c r="Q25" s="66"/>
      <c r="R25" s="67"/>
      <c r="S25" s="522">
        <v>2.87</v>
      </c>
      <c r="T25" s="69">
        <v>0.15</v>
      </c>
      <c r="U25" s="58" t="s">
        <v>503</v>
      </c>
      <c r="V25" s="70">
        <f>B25*V$32/$T25</f>
        <v>179.07990872392199</v>
      </c>
      <c r="W25" s="508">
        <f t="shared" ref="W25:AD25" si="20">C25*W$32/$T25</f>
        <v>669.43392212990648</v>
      </c>
      <c r="X25" s="70">
        <f t="shared" si="20"/>
        <v>404.93420035012991</v>
      </c>
      <c r="Y25" s="70">
        <f t="shared" si="20"/>
        <v>183.87679414009179</v>
      </c>
      <c r="Z25" s="70">
        <f t="shared" si="20"/>
        <v>888.66740540881426</v>
      </c>
      <c r="AA25" s="70">
        <f t="shared" si="20"/>
        <v>275.80683630713389</v>
      </c>
      <c r="AB25" s="70">
        <f t="shared" si="20"/>
        <v>1002.8200919220461</v>
      </c>
      <c r="AC25" s="70">
        <f t="shared" si="20"/>
        <v>95.717303738260085</v>
      </c>
      <c r="AD25" s="70">
        <f t="shared" si="20"/>
        <v>249.62436595131138</v>
      </c>
      <c r="AE25" s="75">
        <f t="shared" ref="AE25:AE27" si="21">SUM(V25:AD25)</f>
        <v>3949.9608286716161</v>
      </c>
      <c r="AF25" s="66">
        <f>AE25/S25</f>
        <v>1376.292971662584</v>
      </c>
      <c r="AG25" s="69"/>
      <c r="AH25" s="66"/>
      <c r="AK25" s="72"/>
      <c r="AL25" s="77"/>
      <c r="AM25" s="77"/>
      <c r="AN25" s="77"/>
      <c r="AQ25" s="76"/>
      <c r="AR25" s="76"/>
      <c r="AS25" s="76"/>
      <c r="AT25" s="76"/>
      <c r="AU25" s="76"/>
      <c r="AV25" s="76"/>
    </row>
    <row r="26" spans="1:48" s="55" customFormat="1" ht="21" customHeight="1">
      <c r="A26" s="58" t="s">
        <v>504</v>
      </c>
      <c r="B26" s="63">
        <f>E127/E125</f>
        <v>0.18421052631578946</v>
      </c>
      <c r="C26" s="485">
        <f>D127/D125</f>
        <v>0.37499999999999994</v>
      </c>
      <c r="D26" s="63">
        <f>G127/G125</f>
        <v>0.66249999999999998</v>
      </c>
      <c r="E26" s="63">
        <f>H127/H125</f>
        <v>0.74666666666666659</v>
      </c>
      <c r="F26" s="63">
        <f>J127/J125</f>
        <v>0.51904761904761909</v>
      </c>
      <c r="G26" s="63">
        <f t="shared" ref="G26:H26" si="22">K127/K125</f>
        <v>0.56716417910447769</v>
      </c>
      <c r="H26" s="63">
        <f t="shared" si="22"/>
        <v>0.71186440677966101</v>
      </c>
      <c r="I26" s="63">
        <f>N127/N125</f>
        <v>0.71111111111111114</v>
      </c>
      <c r="J26" s="63">
        <f>O127/O125</f>
        <v>0.57894736842105265</v>
      </c>
      <c r="K26" s="64"/>
      <c r="L26" s="63"/>
      <c r="M26" s="65"/>
      <c r="N26" s="66"/>
      <c r="O26" s="66"/>
      <c r="P26" s="66"/>
      <c r="Q26" s="66"/>
      <c r="R26" s="67"/>
      <c r="S26" s="522">
        <v>2.9175658769245518</v>
      </c>
      <c r="T26" s="69">
        <v>0.15</v>
      </c>
      <c r="U26" s="58" t="s">
        <v>504</v>
      </c>
      <c r="V26" s="70">
        <f>V32/$T$26-SUM(V25,V27)</f>
        <v>39.889418780406771</v>
      </c>
      <c r="W26" s="508">
        <f t="shared" ref="W26:AD26" si="23">W32/$T$26-SUM(W25,W27)</f>
        <v>429.30287311639574</v>
      </c>
      <c r="X26" s="70">
        <f t="shared" si="23"/>
        <v>976.46709255337282</v>
      </c>
      <c r="Y26" s="70">
        <f t="shared" si="23"/>
        <v>716.10869480377323</v>
      </c>
      <c r="Z26" s="70">
        <f t="shared" si="23"/>
        <v>4216.1158854153327</v>
      </c>
      <c r="AA26" s="70">
        <f t="shared" si="23"/>
        <v>843.86086010200631</v>
      </c>
      <c r="AB26" s="70">
        <f t="shared" si="23"/>
        <v>3703.7902337639316</v>
      </c>
      <c r="AC26" s="70">
        <f t="shared" si="23"/>
        <v>573.23331869803576</v>
      </c>
      <c r="AD26" s="70">
        <f t="shared" si="23"/>
        <v>502.13622636236323</v>
      </c>
      <c r="AE26" s="75">
        <f t="shared" si="21"/>
        <v>12000.904603595618</v>
      </c>
      <c r="AF26" s="66">
        <f t="shared" ref="AF26:AF27" si="24">AE26/S26</f>
        <v>4113.327722438934</v>
      </c>
      <c r="AG26" s="69"/>
      <c r="AH26" s="66"/>
      <c r="AK26" s="72"/>
      <c r="AL26" s="77"/>
      <c r="AM26" s="77"/>
      <c r="AN26" s="77"/>
      <c r="AT26" s="76"/>
      <c r="AU26" s="76"/>
      <c r="AV26" s="76"/>
    </row>
    <row r="27" spans="1:48" s="55" customFormat="1" ht="21" customHeight="1">
      <c r="A27" s="58" t="s">
        <v>505</v>
      </c>
      <c r="B27" s="63">
        <f>E128/E125</f>
        <v>0</v>
      </c>
      <c r="C27" s="485">
        <f>D128/D125</f>
        <v>3.125E-2</v>
      </c>
      <c r="D27" s="63">
        <f>G128/G125</f>
        <v>0.05</v>
      </c>
      <c r="E27" s="63">
        <f>H128/H125</f>
        <v>5.3333333333333337E-2</v>
      </c>
      <c r="F27" s="63">
        <f>J128/J125</f>
        <v>0.31904761904761908</v>
      </c>
      <c r="G27" s="63">
        <f t="shared" ref="G27:H27" si="25">K128/K125</f>
        <v>0.20895522388059704</v>
      </c>
      <c r="H27" s="63">
        <f t="shared" si="25"/>
        <v>7.6271186440677957E-2</v>
      </c>
      <c r="I27" s="63">
        <f>N128/N125</f>
        <v>0.15555555555555556</v>
      </c>
      <c r="J27" s="63">
        <f>O128/O125</f>
        <v>0.10526315789473684</v>
      </c>
      <c r="K27" s="64"/>
      <c r="L27" s="63"/>
      <c r="M27" s="65"/>
      <c r="N27" s="66"/>
      <c r="O27" s="66"/>
      <c r="P27" s="66"/>
      <c r="Q27" s="66"/>
      <c r="R27" s="67"/>
      <c r="S27" s="522">
        <v>2.9980069977321731</v>
      </c>
      <c r="T27" s="69">
        <v>0.15</v>
      </c>
      <c r="U27" s="58" t="s">
        <v>505</v>
      </c>
      <c r="V27" s="70">
        <f>V10/$T$10*$T$27</f>
        <v>0.54797996370459046</v>
      </c>
      <c r="W27" s="508">
        <f>W10/$T$10*$T$27</f>
        <v>28.730863077751</v>
      </c>
      <c r="X27" s="70">
        <f>X10/$T$10*$T$27</f>
        <v>27.065490923035902</v>
      </c>
      <c r="Y27" s="70">
        <f t="shared" ref="Y27:AD27" si="26">Y10/$T$10*$T$27</f>
        <v>19.398481756593672</v>
      </c>
      <c r="Z27" s="70">
        <f>Z10/$T$10*$T$27</f>
        <v>384.04480140676287</v>
      </c>
      <c r="AA27" s="70">
        <f>AA10/$T$10*$T$27</f>
        <v>112.26950576272412</v>
      </c>
      <c r="AB27" s="70">
        <f t="shared" si="26"/>
        <v>26.700508186079848</v>
      </c>
      <c r="AC27" s="70">
        <f t="shared" si="26"/>
        <v>48.929155600654731</v>
      </c>
      <c r="AD27" s="70">
        <f t="shared" si="26"/>
        <v>38.716566532144796</v>
      </c>
      <c r="AE27" s="75">
        <f t="shared" si="21"/>
        <v>686.40335320945167</v>
      </c>
      <c r="AF27" s="66">
        <f t="shared" si="24"/>
        <v>228.95321916482447</v>
      </c>
      <c r="AG27" s="69"/>
      <c r="AH27" s="66"/>
      <c r="AK27" s="72"/>
      <c r="AL27" s="77"/>
      <c r="AM27" s="77"/>
      <c r="AN27" s="77"/>
      <c r="AT27" s="76"/>
      <c r="AU27" s="76"/>
      <c r="AV27" s="76"/>
    </row>
    <row r="28" spans="1:48" s="55" customFormat="1" ht="21" customHeight="1">
      <c r="A28" s="58" t="s">
        <v>506</v>
      </c>
      <c r="B28" s="82"/>
      <c r="C28" s="489"/>
      <c r="D28" s="82"/>
      <c r="E28" s="82"/>
      <c r="F28" s="82"/>
      <c r="G28" s="82"/>
      <c r="H28" s="82"/>
      <c r="I28" s="82"/>
      <c r="J28" s="82"/>
      <c r="K28" s="82"/>
      <c r="L28" s="65"/>
      <c r="M28" s="65"/>
      <c r="N28" s="66"/>
      <c r="O28" s="66"/>
      <c r="P28" s="66"/>
      <c r="Q28" s="66"/>
      <c r="R28" s="67"/>
      <c r="S28" s="66"/>
      <c r="T28" s="69"/>
      <c r="U28" s="58" t="s">
        <v>506</v>
      </c>
      <c r="V28" s="82"/>
      <c r="W28" s="511"/>
      <c r="X28" s="82"/>
      <c r="Y28" s="82"/>
      <c r="Z28" s="82"/>
      <c r="AA28" s="82"/>
      <c r="AB28" s="82"/>
      <c r="AC28" s="82"/>
      <c r="AD28" s="82"/>
      <c r="AE28" s="82"/>
      <c r="AF28" s="66"/>
      <c r="AG28" s="69"/>
      <c r="AH28" s="66"/>
      <c r="AK28" s="72"/>
      <c r="AL28" s="77"/>
      <c r="AM28" s="77"/>
      <c r="AN28" s="77"/>
    </row>
    <row r="29" spans="1:48" s="55" customFormat="1" ht="21" customHeight="1">
      <c r="A29" s="58" t="s">
        <v>507</v>
      </c>
      <c r="B29" s="82"/>
      <c r="C29" s="489"/>
      <c r="D29" s="82"/>
      <c r="E29" s="82"/>
      <c r="F29" s="82"/>
      <c r="G29" s="82"/>
      <c r="H29" s="82"/>
      <c r="I29" s="82"/>
      <c r="J29" s="82"/>
      <c r="K29" s="82" t="s">
        <v>486</v>
      </c>
      <c r="L29" s="65"/>
      <c r="M29" s="65"/>
      <c r="N29" s="66"/>
      <c r="O29" s="66"/>
      <c r="P29" s="66"/>
      <c r="Q29" s="66"/>
      <c r="R29" s="67"/>
      <c r="S29" s="66"/>
      <c r="T29" s="69"/>
      <c r="U29" s="58" t="s">
        <v>507</v>
      </c>
      <c r="V29" s="82"/>
      <c r="W29" s="511"/>
      <c r="X29" s="82"/>
      <c r="Y29" s="82"/>
      <c r="Z29" s="82"/>
      <c r="AA29" s="82"/>
      <c r="AB29" s="82"/>
      <c r="AC29" s="82"/>
      <c r="AD29" s="82"/>
      <c r="AE29" s="82" t="s">
        <v>486</v>
      </c>
      <c r="AF29" s="66"/>
      <c r="AG29" s="69"/>
      <c r="AH29" s="66"/>
      <c r="AI29" s="77"/>
      <c r="AJ29" s="77"/>
      <c r="AK29" s="72"/>
      <c r="AL29" s="77"/>
      <c r="AM29" s="77"/>
      <c r="AN29" s="77"/>
      <c r="AQ29" s="76"/>
      <c r="AR29" s="76"/>
      <c r="AS29" s="76"/>
      <c r="AT29" s="76"/>
      <c r="AU29" s="76"/>
      <c r="AV29" s="76"/>
    </row>
    <row r="30" spans="1:48" s="55" customFormat="1" ht="21" customHeight="1">
      <c r="A30" s="58"/>
      <c r="B30" s="82"/>
      <c r="C30" s="489"/>
      <c r="D30" s="82"/>
      <c r="E30" s="82"/>
      <c r="F30" s="82"/>
      <c r="G30" s="82"/>
      <c r="H30" s="82"/>
      <c r="I30" s="82"/>
      <c r="J30" s="82"/>
      <c r="K30" s="82"/>
      <c r="L30" s="65"/>
      <c r="M30" s="65"/>
      <c r="N30" s="66"/>
      <c r="O30" s="66"/>
      <c r="P30" s="66"/>
      <c r="Q30" s="66"/>
      <c r="R30" s="67"/>
      <c r="S30" s="66"/>
      <c r="T30" s="69"/>
      <c r="U30" s="58" t="s">
        <v>508</v>
      </c>
      <c r="V30" s="82">
        <f t="shared" ref="V30:AD30" si="27">SUM(V25:V29)</f>
        <v>219.51730746803335</v>
      </c>
      <c r="W30" s="511">
        <f t="shared" si="27"/>
        <v>1127.4676583240534</v>
      </c>
      <c r="X30" s="82">
        <f t="shared" si="27"/>
        <v>1408.4667838265386</v>
      </c>
      <c r="Y30" s="82">
        <f t="shared" si="27"/>
        <v>919.38397070045869</v>
      </c>
      <c r="Z30" s="82">
        <f t="shared" si="27"/>
        <v>5488.8280922309095</v>
      </c>
      <c r="AA30" s="82">
        <f t="shared" si="27"/>
        <v>1231.9372021718643</v>
      </c>
      <c r="AB30" s="82">
        <f t="shared" si="27"/>
        <v>4733.3108338720576</v>
      </c>
      <c r="AC30" s="82">
        <f t="shared" si="27"/>
        <v>717.8797780369506</v>
      </c>
      <c r="AD30" s="82">
        <f t="shared" si="27"/>
        <v>790.47715884581942</v>
      </c>
      <c r="AE30" s="82">
        <f>SUM(V30:AD30)</f>
        <v>16637.268785476688</v>
      </c>
      <c r="AF30" s="80">
        <f>AE30/SUM(AF25:AF27)</f>
        <v>2.9093387683387997</v>
      </c>
      <c r="AG30" s="69">
        <f>USDemand!C277</f>
        <v>2.8490243556160082</v>
      </c>
      <c r="AH30" s="66"/>
      <c r="AI30" s="77"/>
      <c r="AJ30" s="77"/>
      <c r="AK30" s="72"/>
      <c r="AL30" s="77"/>
      <c r="AM30" s="77"/>
      <c r="AN30" s="77"/>
      <c r="AQ30" s="76"/>
      <c r="AR30" s="76"/>
      <c r="AS30" s="76"/>
      <c r="AT30" s="76"/>
      <c r="AU30" s="76"/>
      <c r="AV30" s="76"/>
    </row>
    <row r="31" spans="1:48" s="55" customFormat="1" ht="21" customHeight="1">
      <c r="A31" s="58" t="s">
        <v>497</v>
      </c>
      <c r="B31" s="74">
        <f>SUM(B25:B27)</f>
        <v>1</v>
      </c>
      <c r="C31" s="486">
        <f t="shared" ref="C31:J31" si="28">SUM(C25:C27)</f>
        <v>0.99999999999999978</v>
      </c>
      <c r="D31" s="74">
        <f t="shared" si="28"/>
        <v>1</v>
      </c>
      <c r="E31" s="74">
        <f t="shared" si="28"/>
        <v>1</v>
      </c>
      <c r="F31" s="74">
        <f t="shared" si="28"/>
        <v>1</v>
      </c>
      <c r="G31" s="74">
        <f t="shared" si="28"/>
        <v>1.0000000000000002</v>
      </c>
      <c r="H31" s="74">
        <f t="shared" si="28"/>
        <v>1</v>
      </c>
      <c r="I31" s="74">
        <f t="shared" si="28"/>
        <v>1</v>
      </c>
      <c r="J31" s="74">
        <f t="shared" si="28"/>
        <v>1</v>
      </c>
      <c r="K31" s="82"/>
      <c r="L31" s="65"/>
      <c r="M31" s="65"/>
      <c r="N31" s="66"/>
      <c r="O31" s="66"/>
      <c r="P31" s="66"/>
      <c r="Q31" s="66"/>
      <c r="R31" s="67"/>
      <c r="S31" s="66"/>
      <c r="T31" s="69"/>
      <c r="U31" s="58"/>
      <c r="V31" s="82">
        <f>V30*0.15</f>
        <v>32.927596120205003</v>
      </c>
      <c r="W31" s="511">
        <f t="shared" ref="W31:AD31" si="29">W30*0.15</f>
        <v>169.12014874860802</v>
      </c>
      <c r="X31" s="82">
        <f t="shared" si="29"/>
        <v>211.27001757398079</v>
      </c>
      <c r="Y31" s="82">
        <f t="shared" si="29"/>
        <v>137.90759560506879</v>
      </c>
      <c r="Z31" s="82">
        <f t="shared" si="29"/>
        <v>823.32421383463645</v>
      </c>
      <c r="AA31" s="82">
        <f t="shared" si="29"/>
        <v>184.79058032577964</v>
      </c>
      <c r="AB31" s="82">
        <f t="shared" si="29"/>
        <v>709.9966250808086</v>
      </c>
      <c r="AC31" s="82">
        <f t="shared" si="29"/>
        <v>107.68196670554259</v>
      </c>
      <c r="AD31" s="82">
        <f t="shared" si="29"/>
        <v>118.57157382687291</v>
      </c>
      <c r="AE31" s="82">
        <f>AE30*0.15</f>
        <v>2495.590317821503</v>
      </c>
      <c r="AF31" s="66"/>
      <c r="AG31" s="69"/>
      <c r="AH31" s="66"/>
      <c r="AI31" s="77"/>
      <c r="AJ31" s="77"/>
      <c r="AK31" s="72"/>
      <c r="AL31" s="77"/>
      <c r="AM31" s="77"/>
      <c r="AN31" s="77"/>
      <c r="AQ31" s="76"/>
      <c r="AR31" s="76"/>
      <c r="AS31" s="76"/>
      <c r="AT31" s="76"/>
      <c r="AU31" s="76"/>
      <c r="AV31" s="76"/>
    </row>
    <row r="32" spans="1:48" s="55" customFormat="1" ht="21" customHeight="1">
      <c r="A32" s="58"/>
      <c r="B32" s="82"/>
      <c r="C32" s="489"/>
      <c r="D32" s="82"/>
      <c r="E32" s="82"/>
      <c r="F32" s="82"/>
      <c r="G32" s="82"/>
      <c r="H32" s="82"/>
      <c r="I32" s="82"/>
      <c r="J32" s="82"/>
      <c r="K32" s="82"/>
      <c r="L32" s="65"/>
      <c r="M32" s="65"/>
      <c r="N32" s="66"/>
      <c r="O32" s="66"/>
      <c r="P32" s="66"/>
      <c r="Q32" s="66"/>
      <c r="R32" s="67"/>
      <c r="S32" s="66"/>
      <c r="T32" s="69"/>
      <c r="U32" s="58" t="s">
        <v>1207</v>
      </c>
      <c r="V32" s="82">
        <v>32.927596120205003</v>
      </c>
      <c r="W32" s="511">
        <v>169.12014874860799</v>
      </c>
      <c r="X32" s="82">
        <v>211.27001757398079</v>
      </c>
      <c r="Y32" s="82">
        <v>137.90759560506879</v>
      </c>
      <c r="Z32" s="82">
        <v>823.32421383463657</v>
      </c>
      <c r="AA32" s="82">
        <v>184.79058032577964</v>
      </c>
      <c r="AB32" s="82">
        <v>709.9966250808086</v>
      </c>
      <c r="AC32" s="82">
        <v>107.68196670554259</v>
      </c>
      <c r="AD32" s="82">
        <v>118.57157382687291</v>
      </c>
      <c r="AE32" s="82">
        <v>2495.5903178215026</v>
      </c>
      <c r="AF32" s="66"/>
      <c r="AG32" s="69"/>
      <c r="AH32" s="66"/>
      <c r="AI32" s="77"/>
      <c r="AJ32" s="77"/>
      <c r="AK32" s="72"/>
      <c r="AL32" s="77"/>
      <c r="AM32" s="77"/>
      <c r="AN32" s="77"/>
      <c r="AQ32" s="76"/>
      <c r="AR32" s="76"/>
      <c r="AS32" s="76"/>
      <c r="AT32" s="76"/>
      <c r="AU32" s="76"/>
      <c r="AV32" s="76"/>
    </row>
    <row r="33" spans="1:48" s="55" customFormat="1" ht="21" customHeight="1">
      <c r="A33" s="58"/>
      <c r="B33" s="82"/>
      <c r="C33" s="489"/>
      <c r="D33" s="82"/>
      <c r="E33" s="82"/>
      <c r="F33" s="82"/>
      <c r="G33" s="82"/>
      <c r="H33" s="82"/>
      <c r="I33" s="82"/>
      <c r="J33" s="82"/>
      <c r="K33" s="82"/>
      <c r="L33" s="65"/>
      <c r="M33" s="65"/>
      <c r="N33" s="66"/>
      <c r="O33" s="66"/>
      <c r="P33" s="66"/>
      <c r="Q33" s="66"/>
      <c r="R33" s="67"/>
      <c r="S33" s="66"/>
      <c r="T33" s="69"/>
      <c r="U33" s="58" t="s">
        <v>1208</v>
      </c>
      <c r="V33" s="66">
        <f>V31-V32</f>
        <v>0</v>
      </c>
      <c r="W33" s="509">
        <f t="shared" ref="W33" si="30">W31-W32</f>
        <v>0</v>
      </c>
      <c r="X33" s="66">
        <f t="shared" ref="X33" si="31">X31-X32</f>
        <v>0</v>
      </c>
      <c r="Y33" s="66">
        <f t="shared" ref="Y33" si="32">Y31-Y32</f>
        <v>0</v>
      </c>
      <c r="Z33" s="66">
        <f t="shared" ref="Z33" si="33">Z31-Z32</f>
        <v>0</v>
      </c>
      <c r="AA33" s="66">
        <f t="shared" ref="AA33" si="34">AA31-AA32</f>
        <v>0</v>
      </c>
      <c r="AB33" s="66">
        <f t="shared" ref="AB33" si="35">AB31-AB32</f>
        <v>0</v>
      </c>
      <c r="AC33" s="66">
        <f t="shared" ref="AC33" si="36">AC31-AC32</f>
        <v>0</v>
      </c>
      <c r="AD33" s="66">
        <f t="shared" ref="AD33" si="37">AD31-AD32</f>
        <v>0</v>
      </c>
      <c r="AE33" s="66">
        <f t="shared" ref="AE33" si="38">AE31-AE32</f>
        <v>0</v>
      </c>
      <c r="AF33" s="66"/>
      <c r="AG33" s="69"/>
      <c r="AH33" s="66"/>
      <c r="AI33" s="77"/>
      <c r="AJ33" s="77"/>
      <c r="AK33" s="72"/>
      <c r="AL33" s="77"/>
      <c r="AM33" s="77"/>
      <c r="AN33" s="77"/>
      <c r="AQ33" s="76"/>
      <c r="AR33" s="76"/>
      <c r="AS33" s="76"/>
      <c r="AT33" s="76"/>
      <c r="AU33" s="76"/>
      <c r="AV33" s="76"/>
    </row>
    <row r="34" spans="1:48" s="55" customFormat="1" ht="15.75" customHeight="1">
      <c r="A34" s="57" t="s">
        <v>518</v>
      </c>
      <c r="B34" s="82"/>
      <c r="C34" s="489"/>
      <c r="D34" s="82"/>
      <c r="E34" s="82"/>
      <c r="F34" s="82"/>
      <c r="G34" s="82"/>
      <c r="H34" s="82"/>
      <c r="I34" s="82"/>
      <c r="J34" s="82"/>
      <c r="K34" s="82"/>
      <c r="L34" s="82"/>
      <c r="M34" s="82"/>
      <c r="N34" s="66"/>
      <c r="O34" s="66"/>
      <c r="P34" s="66"/>
      <c r="Q34" s="66"/>
      <c r="R34" s="67"/>
      <c r="S34" s="66"/>
      <c r="T34" s="69"/>
      <c r="U34" s="57" t="s">
        <v>518</v>
      </c>
      <c r="V34" s="82"/>
      <c r="W34" s="511"/>
      <c r="X34" s="82"/>
      <c r="Y34" s="82"/>
      <c r="Z34" s="82"/>
      <c r="AA34" s="82"/>
      <c r="AB34" s="82"/>
      <c r="AC34" s="82"/>
      <c r="AD34" s="82"/>
      <c r="AE34" s="82"/>
      <c r="AF34" s="66"/>
      <c r="AG34" s="69"/>
      <c r="AH34" s="66"/>
      <c r="AK34" s="72"/>
      <c r="AL34" s="77"/>
      <c r="AM34" s="77"/>
      <c r="AN34" s="77"/>
    </row>
    <row r="35" spans="1:48" s="55" customFormat="1" ht="15.75" customHeight="1">
      <c r="A35" s="58" t="s">
        <v>519</v>
      </c>
      <c r="B35" s="63">
        <f>E165/E161</f>
        <v>0.43396226415094336</v>
      </c>
      <c r="C35" s="485">
        <v>0.65600000000000003</v>
      </c>
      <c r="D35" s="63">
        <f>G165/G161</f>
        <v>0.67231638418079098</v>
      </c>
      <c r="E35" s="63">
        <v>0.72</v>
      </c>
      <c r="F35" s="63">
        <f>J165/J161</f>
        <v>0.2558139534883721</v>
      </c>
      <c r="G35" s="63">
        <f t="shared" ref="G35:H35" si="39">K165/K161</f>
        <v>0.29850746268656714</v>
      </c>
      <c r="H35" s="63">
        <f t="shared" si="39"/>
        <v>0.53333333333333333</v>
      </c>
      <c r="I35" s="63">
        <f>N165/N161</f>
        <v>0.66216216216216217</v>
      </c>
      <c r="J35" s="63">
        <f>O165/O161</f>
        <v>0.70909090909090899</v>
      </c>
      <c r="K35" s="64"/>
      <c r="L35" s="65"/>
      <c r="M35" s="65"/>
      <c r="N35" s="66"/>
      <c r="O35" s="66"/>
      <c r="P35" s="66"/>
      <c r="Q35" s="66"/>
      <c r="R35" s="69"/>
      <c r="S35" s="66">
        <f>'RTEKTY Conv'!H114</f>
        <v>0.57569998502731301</v>
      </c>
      <c r="T35" s="69">
        <v>0.1</v>
      </c>
      <c r="U35" s="58" t="s">
        <v>519</v>
      </c>
      <c r="V35" s="70">
        <f>RESIDs!$N$166*$S35/$T35</f>
        <v>292.68484719793469</v>
      </c>
      <c r="W35" s="508">
        <f>RESIDs!$N$167*$S35/$T35</f>
        <v>1190.0516923675102</v>
      </c>
      <c r="X35" s="70">
        <f>RESIDs!$N$168*$S35/$T35</f>
        <v>1661.5179447174849</v>
      </c>
      <c r="Y35" s="70">
        <f>RESIDs!$N$169*$S35/$T35</f>
        <v>645.37365391799256</v>
      </c>
      <c r="Z35" s="70">
        <f>RESIDs!$N$170*$S35/$T35</f>
        <v>766.01942231064379</v>
      </c>
      <c r="AA35" s="70">
        <f>RESIDs!$N$171*$S35/$T35</f>
        <v>283.59970099272039</v>
      </c>
      <c r="AB35" s="70">
        <f>RESIDs!$N$172*$S35/$T35</f>
        <v>747.82933033026916</v>
      </c>
      <c r="AC35" s="70">
        <f>RESIDs!$N$173*$S35/$T35</f>
        <v>603.50358050276611</v>
      </c>
      <c r="AD35" s="70">
        <f>RESIDs!$N$174*$S35/$T35*1.1</f>
        <v>1384.3677265092761</v>
      </c>
      <c r="AE35" s="82">
        <f>SUM(V35:AD35)</f>
        <v>7574.947898846598</v>
      </c>
      <c r="AF35" s="66">
        <f>AE35/S35</f>
        <v>13157.804578520561</v>
      </c>
      <c r="AG35" s="69"/>
      <c r="AH35" s="66"/>
      <c r="AJ35" s="55" t="s">
        <v>539</v>
      </c>
      <c r="AK35" s="72">
        <f>V35/V40</f>
        <v>0.48597403294563624</v>
      </c>
      <c r="AL35" s="72">
        <f t="shared" ref="AL35:AS35" si="40">W35/W40</f>
        <v>0.67857612838706682</v>
      </c>
      <c r="AM35" s="72">
        <f t="shared" si="40"/>
        <v>0.76056079916487929</v>
      </c>
      <c r="AN35" s="72">
        <f t="shared" si="40"/>
        <v>0.66765952846949705</v>
      </c>
      <c r="AO35" s="72">
        <f t="shared" si="40"/>
        <v>0.35744205157235182</v>
      </c>
      <c r="AP35" s="72">
        <f t="shared" si="40"/>
        <v>0.37835367597209341</v>
      </c>
      <c r="AQ35" s="72">
        <f t="shared" si="40"/>
        <v>0.55666170313538799</v>
      </c>
      <c r="AR35" s="72">
        <f t="shared" si="40"/>
        <v>0.69612735010791771</v>
      </c>
      <c r="AS35" s="72">
        <f t="shared" si="40"/>
        <v>0.74885638523436659</v>
      </c>
      <c r="AT35" s="76"/>
      <c r="AU35" s="76"/>
      <c r="AV35" s="76"/>
    </row>
    <row r="36" spans="1:48" s="55" customFormat="1" ht="15.75" customHeight="1">
      <c r="A36" s="58" t="s">
        <v>520</v>
      </c>
      <c r="B36" s="63">
        <f>E162/E161</f>
        <v>0.26415094339622641</v>
      </c>
      <c r="C36" s="485">
        <v>0.14000000000000001</v>
      </c>
      <c r="D36" s="63">
        <f>G162/G161</f>
        <v>0.28813559322033899</v>
      </c>
      <c r="E36" s="63">
        <v>0.22</v>
      </c>
      <c r="F36" s="63">
        <f>J162/J161</f>
        <v>0.72558139534883714</v>
      </c>
      <c r="G36" s="63">
        <f t="shared" ref="G36:H36" si="41">K162/K161</f>
        <v>0.70149253731343286</v>
      </c>
      <c r="H36" s="63">
        <f t="shared" si="41"/>
        <v>0.43333333333333329</v>
      </c>
      <c r="I36" s="63">
        <f>N162/N161</f>
        <v>0.25675675675675674</v>
      </c>
      <c r="J36" s="63">
        <f>O162/O161</f>
        <v>0.25454545454545457</v>
      </c>
      <c r="K36" s="64"/>
      <c r="L36" s="65"/>
      <c r="M36" s="65"/>
      <c r="N36" s="66"/>
      <c r="O36" s="66"/>
      <c r="P36" s="66"/>
      <c r="Q36" s="66"/>
      <c r="R36" s="69"/>
      <c r="S36" s="66">
        <f>'RTEKTY Conv'!H122</f>
        <v>0.88819998502731301</v>
      </c>
      <c r="T36" s="69">
        <v>0.1</v>
      </c>
      <c r="U36" s="58" t="s">
        <v>520</v>
      </c>
      <c r="V36" s="70">
        <f>RESIDs!$N$175*$S36/$T36</f>
        <v>104.35139765601942</v>
      </c>
      <c r="W36" s="508">
        <f>RESIDs!$N$176*$S36/$T36</f>
        <v>303.49755654813748</v>
      </c>
      <c r="X36" s="70">
        <f>RESIDs!$N$177*$S36/$T36</f>
        <v>434.37185885837869</v>
      </c>
      <c r="Y36" s="70">
        <f>RESIDs!$N$178*$S36/$T36</f>
        <v>260.74929689264712</v>
      </c>
      <c r="Z36" s="70">
        <f>RESIDs!$N$179*$S36/$T36</f>
        <v>1324.042678934843</v>
      </c>
      <c r="AA36" s="70">
        <f>RESIDs!$N$180*$S36/$T36</f>
        <v>439.59451485113891</v>
      </c>
      <c r="AB36" s="70">
        <f>RESIDs!$N$181*$S36/$T36</f>
        <v>536.20613285476372</v>
      </c>
      <c r="AC36" s="70">
        <f>RESIDs!$N$182*$S36/$T36</f>
        <v>209.64964847078335</v>
      </c>
      <c r="AD36" s="70">
        <f>RESIDs!$N$183*$S36/$T36</f>
        <v>400.83614628431548</v>
      </c>
      <c r="AE36" s="82">
        <f>SUM(V36:AD36)</f>
        <v>4013.2992313510276</v>
      </c>
      <c r="AF36" s="66">
        <f t="shared" ref="AF36:AF38" si="42">AE36/S36</f>
        <v>4518.4635206086105</v>
      </c>
      <c r="AG36" s="69"/>
      <c r="AH36" s="66"/>
      <c r="AJ36" s="55" t="s">
        <v>538</v>
      </c>
      <c r="AK36" s="72">
        <f>V36/V40</f>
        <v>0.17326510083425806</v>
      </c>
      <c r="AL36" s="72">
        <f t="shared" ref="AL36:AS36" si="43">W36/W40</f>
        <v>0.17305651361047766</v>
      </c>
      <c r="AM36" s="72">
        <f t="shared" si="43"/>
        <v>0.1988339693582041</v>
      </c>
      <c r="AN36" s="72">
        <f t="shared" si="43"/>
        <v>0.26975342354805742</v>
      </c>
      <c r="AO36" s="72">
        <f t="shared" si="43"/>
        <v>0.61782837059175566</v>
      </c>
      <c r="AP36" s="72">
        <f t="shared" si="43"/>
        <v>0.58646818049842264</v>
      </c>
      <c r="AQ36" s="72">
        <f t="shared" si="43"/>
        <v>0.39913574801185009</v>
      </c>
      <c r="AR36" s="72">
        <f t="shared" si="43"/>
        <v>0.24182599566259566</v>
      </c>
      <c r="AS36" s="72">
        <f t="shared" si="43"/>
        <v>0.21682729366613485</v>
      </c>
      <c r="AT36" s="76"/>
      <c r="AU36" s="76"/>
      <c r="AV36" s="76"/>
    </row>
    <row r="37" spans="1:48" s="55" customFormat="1" ht="15.75" customHeight="1">
      <c r="A37" s="58" t="s">
        <v>521</v>
      </c>
      <c r="B37" s="63">
        <f>E171/E161</f>
        <v>3.7735849056603779E-2</v>
      </c>
      <c r="C37" s="485">
        <f>D171/D161</f>
        <v>3.4246575342465752E-2</v>
      </c>
      <c r="D37" s="63">
        <f>G171/G161</f>
        <v>3.9548022598870053E-2</v>
      </c>
      <c r="E37" s="63">
        <f>H171/H161</f>
        <v>6.4102564102564111E-2</v>
      </c>
      <c r="F37" s="63">
        <f>J171/J161</f>
        <v>1.8604651162790697E-2</v>
      </c>
      <c r="G37" s="63">
        <f t="shared" ref="G37:H37" si="44">K171/K161</f>
        <v>0</v>
      </c>
      <c r="H37" s="63">
        <f t="shared" si="44"/>
        <v>3.3333333333333333E-2</v>
      </c>
      <c r="I37" s="63">
        <f>N171/N161</f>
        <v>8.1081081081081072E-2</v>
      </c>
      <c r="J37" s="63">
        <f>O171/O161</f>
        <v>3.6363636363636362E-2</v>
      </c>
      <c r="K37" s="64"/>
      <c r="L37" s="65"/>
      <c r="M37" s="65"/>
      <c r="N37" s="66"/>
      <c r="O37" s="66"/>
      <c r="P37" s="66"/>
      <c r="Q37" s="66"/>
      <c r="R37" s="69"/>
      <c r="S37" s="66">
        <f>'RTEKTY Conv'!H136</f>
        <v>0.57480001449585005</v>
      </c>
      <c r="T37" s="69">
        <v>0.1</v>
      </c>
      <c r="U37" s="58" t="s">
        <v>521</v>
      </c>
      <c r="V37" s="70">
        <f>RESIDs!$N$184*$S37/$T37</f>
        <v>190.07894150231041</v>
      </c>
      <c r="W37" s="508">
        <f>RESIDs!$N$185*$S37/$T37</f>
        <v>211.67276008720907</v>
      </c>
      <c r="X37" s="70">
        <f>RESIDs!$N$186*$S37/$T37</f>
        <v>0.16092315649069919</v>
      </c>
      <c r="Y37" s="70">
        <f>RESIDs!$N$187*$S37/$T37</f>
        <v>0</v>
      </c>
      <c r="Z37" s="70">
        <f>RESIDs!$N$188*$S37/$T37</f>
        <v>5.4442889209512746</v>
      </c>
      <c r="AA37" s="70">
        <f>RESIDs!$N$189*$S37/$T37</f>
        <v>0</v>
      </c>
      <c r="AB37" s="70">
        <f>RESIDs!$N$190*$S37/$T37</f>
        <v>0</v>
      </c>
      <c r="AC37" s="70">
        <f>RESIDs!$N$191*$S37/$T37</f>
        <v>0</v>
      </c>
      <c r="AD37" s="70">
        <f>RESIDs!$N$192*$S37/$T37</f>
        <v>1.1827007386244563</v>
      </c>
      <c r="AE37" s="82">
        <f>SUM(V37:AD37)</f>
        <v>408.53961440558595</v>
      </c>
      <c r="AF37" s="66">
        <f t="shared" si="42"/>
        <v>710.75087700530241</v>
      </c>
      <c r="AG37" s="69"/>
      <c r="AH37" s="66"/>
      <c r="AJ37" s="55" t="s">
        <v>541</v>
      </c>
      <c r="AK37" s="72">
        <f>V37/V40</f>
        <v>0.31560714763428072</v>
      </c>
      <c r="AL37" s="72">
        <f t="shared" ref="AL37:AS37" si="45">W37/W40</f>
        <v>0.1206973469692149</v>
      </c>
      <c r="AM37" s="72">
        <f t="shared" si="45"/>
        <v>7.3662667859727469E-5</v>
      </c>
      <c r="AN37" s="72">
        <f t="shared" si="45"/>
        <v>0</v>
      </c>
      <c r="AO37" s="72">
        <f t="shared" si="45"/>
        <v>2.5404287992952233E-3</v>
      </c>
      <c r="AP37" s="72">
        <f t="shared" si="45"/>
        <v>0</v>
      </c>
      <c r="AQ37" s="72">
        <f t="shared" si="45"/>
        <v>0</v>
      </c>
      <c r="AR37" s="72">
        <f t="shared" si="45"/>
        <v>0</v>
      </c>
      <c r="AS37" s="72">
        <f t="shared" si="45"/>
        <v>6.397671536114008E-4</v>
      </c>
    </row>
    <row r="38" spans="1:48" s="55" customFormat="1" ht="15.75" customHeight="1">
      <c r="A38" s="58" t="s">
        <v>547</v>
      </c>
      <c r="B38" s="63">
        <f>E168/E161</f>
        <v>0.26415094339622641</v>
      </c>
      <c r="C38" s="485">
        <f>D168/D161</f>
        <v>0.17123287671232876</v>
      </c>
      <c r="D38" s="63">
        <f>G168/G161</f>
        <v>0</v>
      </c>
      <c r="E38" s="63">
        <f>H168/H161</f>
        <v>0</v>
      </c>
      <c r="F38" s="63">
        <f>J168/J161</f>
        <v>0</v>
      </c>
      <c r="G38" s="63">
        <f t="shared" ref="G38:H38" si="46">K168/K161</f>
        <v>0</v>
      </c>
      <c r="H38" s="63">
        <f t="shared" si="46"/>
        <v>0</v>
      </c>
      <c r="I38" s="63">
        <f>N168/N161</f>
        <v>0</v>
      </c>
      <c r="J38" s="63">
        <f>O168/O161</f>
        <v>0</v>
      </c>
      <c r="K38" s="64"/>
      <c r="L38" s="65"/>
      <c r="M38" s="65"/>
      <c r="N38" s="66"/>
      <c r="O38" s="66"/>
      <c r="P38" s="66"/>
      <c r="Q38" s="66"/>
      <c r="R38" s="69"/>
      <c r="S38" s="66">
        <f>'RTEKTY Conv'!H131</f>
        <v>0.54500001668930098</v>
      </c>
      <c r="T38" s="69">
        <v>0.1</v>
      </c>
      <c r="U38" s="58" t="s">
        <v>547</v>
      </c>
      <c r="V38" s="70">
        <f>RESIDs!$N$193*$S38/$T38</f>
        <v>15.149188601967071</v>
      </c>
      <c r="W38" s="508">
        <f>RESIDs!$N$194*$S38/$T38</f>
        <v>48.526233211600392</v>
      </c>
      <c r="X38" s="70">
        <f>RESIDs!$N$195*$S38/$T38</f>
        <v>88.545095905212776</v>
      </c>
      <c r="Y38" s="70">
        <f>RESIDs!$N$196*$S38/$T38</f>
        <v>60.4979486130661</v>
      </c>
      <c r="Z38" s="70">
        <f>RESIDs!$N$197*$S38/$T38</f>
        <v>47.552656582541339</v>
      </c>
      <c r="AA38" s="70">
        <f>RESIDs!$N$198*$S38/$T38</f>
        <v>26.368214768386448</v>
      </c>
      <c r="AB38" s="70">
        <f>RESIDs!$N$199*$S38/$T38</f>
        <v>59.382498061685993</v>
      </c>
      <c r="AC38" s="70">
        <f>RESIDs!$N$200*$S38/$T38</f>
        <v>53.790988071230622</v>
      </c>
      <c r="AD38" s="70">
        <f>RESIDs!$N$201*$S38/$T38</f>
        <v>62.255908264899489</v>
      </c>
      <c r="AE38" s="82">
        <f>SUM(V38:AD38)</f>
        <v>462.06873208059017</v>
      </c>
      <c r="AF38" s="66">
        <f t="shared" si="42"/>
        <v>847.83250996487743</v>
      </c>
      <c r="AG38" s="69"/>
      <c r="AH38" s="66"/>
      <c r="AJ38" s="55" t="s">
        <v>542</v>
      </c>
      <c r="AK38" s="72">
        <f>V38/V40</f>
        <v>2.515371858582487E-2</v>
      </c>
      <c r="AL38" s="72">
        <f t="shared" ref="AL38:AS38" si="47">W38/W40</f>
        <v>2.767001103324063E-2</v>
      </c>
      <c r="AM38" s="72">
        <f t="shared" si="47"/>
        <v>4.0531568809056888E-2</v>
      </c>
      <c r="AN38" s="72">
        <f t="shared" si="47"/>
        <v>6.2587047982445507E-2</v>
      </c>
      <c r="AO38" s="72">
        <f t="shared" si="47"/>
        <v>2.2189149036597345E-2</v>
      </c>
      <c r="AP38" s="72">
        <f t="shared" si="47"/>
        <v>3.5178143529483966E-2</v>
      </c>
      <c r="AQ38" s="72">
        <f t="shared" si="47"/>
        <v>4.4202548852761987E-2</v>
      </c>
      <c r="AR38" s="72">
        <f t="shared" si="47"/>
        <v>6.2046654229486804E-2</v>
      </c>
      <c r="AS38" s="72">
        <f t="shared" si="47"/>
        <v>3.3676553945887276E-2</v>
      </c>
    </row>
    <row r="39" spans="1:48" s="55" customFormat="1" ht="15.75" customHeight="1">
      <c r="A39" s="58" t="s">
        <v>522</v>
      </c>
      <c r="B39" s="66"/>
      <c r="C39" s="488"/>
      <c r="D39" s="66"/>
      <c r="E39" s="66"/>
      <c r="F39" s="66"/>
      <c r="G39" s="66"/>
      <c r="H39" s="66"/>
      <c r="I39" s="66"/>
      <c r="J39" s="66"/>
      <c r="K39" s="82"/>
      <c r="L39" s="65"/>
      <c r="M39" s="65"/>
      <c r="N39" s="69"/>
      <c r="O39" s="69"/>
      <c r="P39" s="69"/>
      <c r="Q39" s="69"/>
      <c r="R39" s="67"/>
      <c r="S39" s="69"/>
      <c r="T39" s="69"/>
      <c r="U39" s="58" t="s">
        <v>522</v>
      </c>
      <c r="V39" s="66"/>
      <c r="W39" s="509"/>
      <c r="X39" s="66"/>
      <c r="Y39" s="66"/>
      <c r="Z39" s="66"/>
      <c r="AA39" s="66"/>
      <c r="AB39" s="66"/>
      <c r="AC39" s="66"/>
      <c r="AD39" s="66"/>
      <c r="AE39" s="82"/>
      <c r="AF39" s="69"/>
      <c r="AG39" s="69"/>
      <c r="AH39" s="69"/>
      <c r="AI39" s="77"/>
      <c r="AJ39" s="77"/>
      <c r="AK39" s="72">
        <f>SUM(AK35:AK38)</f>
        <v>0.99999999999999978</v>
      </c>
      <c r="AL39" s="72">
        <f t="shared" ref="AL39:AS39" si="48">SUM(AL35:AL38)</f>
        <v>1</v>
      </c>
      <c r="AM39" s="72">
        <f t="shared" si="48"/>
        <v>0.99999999999999989</v>
      </c>
      <c r="AN39" s="72">
        <f t="shared" si="48"/>
        <v>1</v>
      </c>
      <c r="AO39" s="72">
        <f t="shared" si="48"/>
        <v>1</v>
      </c>
      <c r="AP39" s="72">
        <f t="shared" si="48"/>
        <v>1</v>
      </c>
      <c r="AQ39" s="72">
        <f t="shared" si="48"/>
        <v>1</v>
      </c>
      <c r="AR39" s="72">
        <f t="shared" si="48"/>
        <v>1.0000000000000002</v>
      </c>
      <c r="AS39" s="72">
        <f t="shared" si="48"/>
        <v>1</v>
      </c>
      <c r="AT39" s="76"/>
      <c r="AU39" s="76"/>
      <c r="AV39" s="76"/>
    </row>
    <row r="40" spans="1:48" s="55" customFormat="1" ht="15.75" customHeight="1">
      <c r="A40" s="58"/>
      <c r="B40" s="66"/>
      <c r="C40" s="488"/>
      <c r="D40" s="66"/>
      <c r="E40" s="66"/>
      <c r="F40" s="66"/>
      <c r="G40" s="66"/>
      <c r="H40" s="66"/>
      <c r="I40" s="66"/>
      <c r="J40" s="66"/>
      <c r="K40" s="82"/>
      <c r="L40" s="65"/>
      <c r="M40" s="65"/>
      <c r="N40" s="65"/>
      <c r="O40" s="65"/>
      <c r="P40" s="65"/>
      <c r="Q40" s="65"/>
      <c r="R40" s="67"/>
      <c r="S40" s="65"/>
      <c r="T40" s="69"/>
      <c r="U40" s="58" t="s">
        <v>508</v>
      </c>
      <c r="V40" s="66">
        <f t="shared" ref="V40:AD40" si="49">SUM(V35:V39)</f>
        <v>602.26437495823166</v>
      </c>
      <c r="W40" s="509">
        <f t="shared" si="49"/>
        <v>1753.7482422144572</v>
      </c>
      <c r="X40" s="66">
        <f t="shared" si="49"/>
        <v>2184.5958226375669</v>
      </c>
      <c r="Y40" s="66">
        <f t="shared" si="49"/>
        <v>966.62089942370574</v>
      </c>
      <c r="Z40" s="66">
        <f t="shared" si="49"/>
        <v>2143.0590467489792</v>
      </c>
      <c r="AA40" s="66">
        <f t="shared" si="49"/>
        <v>749.56243061224575</v>
      </c>
      <c r="AB40" s="66">
        <f t="shared" si="49"/>
        <v>1343.4179612467187</v>
      </c>
      <c r="AC40" s="66">
        <f t="shared" si="49"/>
        <v>866.94421704477998</v>
      </c>
      <c r="AD40" s="66">
        <f t="shared" si="49"/>
        <v>1848.6424817971154</v>
      </c>
      <c r="AE40" s="82">
        <f>SUM(V40:AD40)</f>
        <v>12458.855476683801</v>
      </c>
      <c r="AF40" s="62">
        <f>AE40/SUM(AF35:AF38)</f>
        <v>0.6477229879153249</v>
      </c>
      <c r="AG40" s="69">
        <f>USDemand!C285</f>
        <v>0.69755519719327141</v>
      </c>
      <c r="AH40" s="65"/>
      <c r="AI40" s="77"/>
      <c r="AJ40" s="77"/>
      <c r="AK40" s="72"/>
      <c r="AL40" s="77"/>
      <c r="AM40" s="77"/>
      <c r="AN40" s="77"/>
      <c r="AQ40" s="76"/>
      <c r="AR40" s="76"/>
      <c r="AS40" s="76"/>
      <c r="AT40" s="76"/>
      <c r="AU40" s="76"/>
      <c r="AV40" s="76"/>
    </row>
    <row r="41" spans="1:48" s="55" customFormat="1" ht="15.75" customHeight="1">
      <c r="A41" s="58" t="s">
        <v>497</v>
      </c>
      <c r="B41" s="66">
        <f>SUM(B35:B38)</f>
        <v>1</v>
      </c>
      <c r="C41" s="488">
        <f t="shared" ref="C41:J41" si="50">SUM(C35:C38)</f>
        <v>1.0014794520547945</v>
      </c>
      <c r="D41" s="66">
        <f t="shared" si="50"/>
        <v>1</v>
      </c>
      <c r="E41" s="66">
        <f t="shared" si="50"/>
        <v>1.004102564102564</v>
      </c>
      <c r="F41" s="66">
        <f t="shared" si="50"/>
        <v>1</v>
      </c>
      <c r="G41" s="66">
        <f t="shared" si="50"/>
        <v>1</v>
      </c>
      <c r="H41" s="66">
        <f t="shared" si="50"/>
        <v>0.99999999999999989</v>
      </c>
      <c r="I41" s="66">
        <f t="shared" si="50"/>
        <v>0.99999999999999989</v>
      </c>
      <c r="J41" s="66">
        <f t="shared" si="50"/>
        <v>1</v>
      </c>
      <c r="K41" s="82"/>
      <c r="L41" s="65"/>
      <c r="M41" s="65"/>
      <c r="N41" s="65"/>
      <c r="O41" s="65"/>
      <c r="P41" s="65"/>
      <c r="Q41" s="65"/>
      <c r="R41" s="67"/>
      <c r="S41" s="65"/>
      <c r="T41" s="69"/>
      <c r="U41" s="58"/>
      <c r="V41" s="66">
        <f>V40*0.1</f>
        <v>60.22643749582317</v>
      </c>
      <c r="W41" s="509">
        <f t="shared" ref="W41:AE41" si="51">W40*0.1</f>
        <v>175.37482422144572</v>
      </c>
      <c r="X41" s="66">
        <f t="shared" si="51"/>
        <v>218.45958226375672</v>
      </c>
      <c r="Y41" s="66">
        <f t="shared" si="51"/>
        <v>96.662089942370585</v>
      </c>
      <c r="Z41" s="66">
        <f t="shared" si="51"/>
        <v>214.30590467489793</v>
      </c>
      <c r="AA41" s="66">
        <f t="shared" si="51"/>
        <v>74.956243061224583</v>
      </c>
      <c r="AB41" s="66">
        <f t="shared" si="51"/>
        <v>134.34179612467187</v>
      </c>
      <c r="AC41" s="66">
        <f t="shared" si="51"/>
        <v>86.694421704478003</v>
      </c>
      <c r="AD41" s="66">
        <f t="shared" si="51"/>
        <v>184.86424817971155</v>
      </c>
      <c r="AE41" s="66">
        <f t="shared" si="51"/>
        <v>1245.8855476683802</v>
      </c>
      <c r="AF41" s="65"/>
      <c r="AG41" s="65"/>
      <c r="AH41" s="65"/>
      <c r="AI41" s="77"/>
      <c r="AJ41" s="77"/>
      <c r="AK41" s="72"/>
      <c r="AL41" s="77"/>
      <c r="AM41" s="77"/>
      <c r="AN41" s="77"/>
      <c r="AQ41" s="76"/>
      <c r="AR41" s="76"/>
      <c r="AS41" s="76"/>
      <c r="AT41" s="76"/>
      <c r="AU41" s="76"/>
      <c r="AV41" s="76"/>
    </row>
    <row r="42" spans="1:48" s="55" customFormat="1" ht="15.75" customHeight="1">
      <c r="A42" s="58"/>
      <c r="B42" s="66"/>
      <c r="C42" s="488"/>
      <c r="D42" s="66"/>
      <c r="E42" s="66"/>
      <c r="F42" s="66"/>
      <c r="G42" s="66"/>
      <c r="H42" s="66"/>
      <c r="I42" s="66"/>
      <c r="J42" s="66"/>
      <c r="K42" s="82"/>
      <c r="L42" s="65"/>
      <c r="M42" s="65"/>
      <c r="N42" s="65"/>
      <c r="O42" s="65"/>
      <c r="P42" s="65"/>
      <c r="Q42" s="65"/>
      <c r="R42" s="67"/>
      <c r="S42" s="65"/>
      <c r="T42" s="69"/>
      <c r="U42" s="58" t="s">
        <v>1207</v>
      </c>
      <c r="V42" s="66">
        <f>ResDemand!D103</f>
        <v>0</v>
      </c>
      <c r="W42" s="509">
        <f>ResDemand!D104</f>
        <v>11.304050180531755</v>
      </c>
      <c r="X42" s="66">
        <f>ResDemand!D107</f>
        <v>2.1028961217065172</v>
      </c>
      <c r="Y42" s="66">
        <f>ResDemand!D109</f>
        <v>0</v>
      </c>
      <c r="Z42" s="66">
        <f>ResDemand!D105</f>
        <v>6.1350757532708506</v>
      </c>
      <c r="AA42" s="66">
        <f>ResDemand!D106</f>
        <v>7.1860747153299434</v>
      </c>
      <c r="AB42" s="66">
        <f>ResDemand!D108</f>
        <v>10.125556561796868</v>
      </c>
      <c r="AC42" s="66">
        <f>ResDemand!D110</f>
        <v>0</v>
      </c>
      <c r="AD42" s="66">
        <f>ResDemand!D111</f>
        <v>0</v>
      </c>
      <c r="AE42" s="82">
        <f>SUM(V42:AD42)</f>
        <v>36.853653332635936</v>
      </c>
      <c r="AF42" s="65"/>
      <c r="AG42" s="65"/>
      <c r="AH42" s="65"/>
      <c r="AI42" s="77"/>
      <c r="AJ42" s="77"/>
      <c r="AK42" s="72"/>
      <c r="AL42" s="77"/>
      <c r="AM42" s="77"/>
      <c r="AN42" s="77"/>
      <c r="AQ42" s="76"/>
      <c r="AR42" s="76"/>
      <c r="AS42" s="76"/>
      <c r="AT42" s="76"/>
      <c r="AU42" s="76"/>
      <c r="AV42" s="76"/>
    </row>
    <row r="43" spans="1:48" s="55" customFormat="1" ht="15.75" customHeight="1">
      <c r="A43" s="58"/>
      <c r="B43" s="66"/>
      <c r="C43" s="488"/>
      <c r="D43" s="66"/>
      <c r="E43" s="66"/>
      <c r="F43" s="66"/>
      <c r="G43" s="66"/>
      <c r="H43" s="66"/>
      <c r="I43" s="66"/>
      <c r="J43" s="66"/>
      <c r="K43" s="82"/>
      <c r="L43" s="65"/>
      <c r="M43" s="65"/>
      <c r="N43" s="65"/>
      <c r="O43" s="65"/>
      <c r="P43" s="65"/>
      <c r="Q43" s="65"/>
      <c r="R43" s="67"/>
      <c r="S43" s="65"/>
      <c r="T43" s="69"/>
      <c r="U43" s="58" t="s">
        <v>1208</v>
      </c>
      <c r="V43" s="66">
        <f>V41-V42</f>
        <v>60.22643749582317</v>
      </c>
      <c r="W43" s="509">
        <f t="shared" ref="W43" si="52">W41-W42</f>
        <v>164.07077404091396</v>
      </c>
      <c r="X43" s="66">
        <f t="shared" ref="X43" si="53">X41-X42</f>
        <v>216.35668614205019</v>
      </c>
      <c r="Y43" s="66">
        <f t="shared" ref="Y43" si="54">Y41-Y42</f>
        <v>96.662089942370585</v>
      </c>
      <c r="Z43" s="66">
        <f t="shared" ref="Z43" si="55">Z41-Z42</f>
        <v>208.17082892162708</v>
      </c>
      <c r="AA43" s="66">
        <f t="shared" ref="AA43" si="56">AA41-AA42</f>
        <v>67.770168345894646</v>
      </c>
      <c r="AB43" s="66">
        <f t="shared" ref="AB43" si="57">AB41-AB42</f>
        <v>124.216239562875</v>
      </c>
      <c r="AC43" s="66">
        <f t="shared" ref="AC43" si="58">AC41-AC42</f>
        <v>86.694421704478003</v>
      </c>
      <c r="AD43" s="66">
        <f t="shared" ref="AD43" si="59">AD41-AD42</f>
        <v>184.86424817971155</v>
      </c>
      <c r="AE43" s="66">
        <f t="shared" ref="AE43" si="60">AE41-AE42</f>
        <v>1209.0318943357443</v>
      </c>
      <c r="AF43" s="65"/>
      <c r="AG43" s="65"/>
      <c r="AH43" s="65"/>
      <c r="AI43" s="77"/>
      <c r="AJ43" s="77"/>
      <c r="AK43" s="72"/>
      <c r="AL43" s="77"/>
      <c r="AM43" s="77"/>
      <c r="AN43" s="77"/>
      <c r="AQ43" s="76"/>
      <c r="AR43" s="76"/>
      <c r="AS43" s="76"/>
      <c r="AT43" s="76"/>
      <c r="AU43" s="76"/>
      <c r="AV43" s="76"/>
    </row>
    <row r="44" spans="1:48" s="55" customFormat="1" ht="15.75" customHeight="1">
      <c r="A44" s="57" t="s">
        <v>548</v>
      </c>
      <c r="B44" s="61"/>
      <c r="C44" s="484"/>
      <c r="D44" s="76"/>
      <c r="E44" s="72"/>
      <c r="H44" s="76"/>
      <c r="I44" s="77"/>
      <c r="J44" s="72"/>
      <c r="K44" s="72"/>
      <c r="L44" s="72"/>
      <c r="M44" s="72"/>
      <c r="N44" s="72"/>
      <c r="O44" s="72"/>
      <c r="P44" s="72"/>
      <c r="Q44" s="72"/>
      <c r="R44" s="76"/>
      <c r="S44" s="69"/>
      <c r="T44" s="72"/>
      <c r="U44" s="57" t="s">
        <v>548</v>
      </c>
      <c r="V44" s="61"/>
      <c r="W44" s="505"/>
      <c r="X44" s="76"/>
      <c r="Y44" s="72"/>
      <c r="AB44" s="76"/>
      <c r="AC44" s="77"/>
      <c r="AD44" s="72"/>
      <c r="AE44" s="72"/>
      <c r="AF44" s="72"/>
      <c r="AG44" s="72"/>
      <c r="AH44" s="72"/>
      <c r="AK44" s="72"/>
      <c r="AL44" s="77"/>
      <c r="AM44" s="77"/>
      <c r="AN44" s="77"/>
    </row>
    <row r="45" spans="1:48" s="55" customFormat="1" ht="15.75" customHeight="1">
      <c r="A45" s="58" t="s">
        <v>520</v>
      </c>
      <c r="B45" s="83">
        <v>100</v>
      </c>
      <c r="C45" s="490">
        <v>100</v>
      </c>
      <c r="D45" s="83">
        <v>100</v>
      </c>
      <c r="E45" s="83">
        <v>100</v>
      </c>
      <c r="F45" s="83">
        <v>100</v>
      </c>
      <c r="G45" s="83">
        <v>100</v>
      </c>
      <c r="H45" s="83">
        <v>100</v>
      </c>
      <c r="I45" s="83">
        <v>100</v>
      </c>
      <c r="J45" s="83">
        <v>100</v>
      </c>
      <c r="K45" s="72"/>
      <c r="L45" s="72"/>
      <c r="M45" s="72"/>
      <c r="N45" s="72"/>
      <c r="O45" s="72"/>
      <c r="P45" s="72"/>
      <c r="Q45" s="72"/>
      <c r="R45" s="76"/>
      <c r="S45" s="69"/>
      <c r="T45" s="72"/>
      <c r="U45" s="58" t="s">
        <v>520</v>
      </c>
      <c r="V45" s="83">
        <v>100</v>
      </c>
      <c r="W45" s="512">
        <v>100</v>
      </c>
      <c r="X45" s="83">
        <v>100</v>
      </c>
      <c r="Y45" s="83">
        <v>100</v>
      </c>
      <c r="Z45" s="83">
        <v>100</v>
      </c>
      <c r="AA45" s="83">
        <v>100</v>
      </c>
      <c r="AB45" s="83">
        <v>100</v>
      </c>
      <c r="AC45" s="83">
        <v>100</v>
      </c>
      <c r="AD45" s="83">
        <v>100</v>
      </c>
      <c r="AE45" s="72"/>
      <c r="AF45" s="72"/>
      <c r="AG45" s="72"/>
      <c r="AH45" s="72"/>
      <c r="AK45" s="72"/>
      <c r="AL45" s="77"/>
      <c r="AM45" s="77"/>
      <c r="AN45" s="77"/>
      <c r="AQ45" s="76"/>
      <c r="AR45" s="76"/>
      <c r="AS45" s="76"/>
      <c r="AT45" s="76"/>
      <c r="AU45" s="76"/>
      <c r="AV45" s="76"/>
    </row>
    <row r="46" spans="1:48" s="55" customFormat="1" ht="15.75" customHeight="1">
      <c r="A46" s="57" t="s">
        <v>549</v>
      </c>
      <c r="B46" s="83"/>
      <c r="C46" s="490"/>
      <c r="D46" s="83"/>
      <c r="E46" s="83"/>
      <c r="F46" s="83"/>
      <c r="G46" s="83"/>
      <c r="H46" s="83"/>
      <c r="I46" s="83"/>
      <c r="J46" s="83"/>
      <c r="K46" s="72"/>
      <c r="L46" s="72"/>
      <c r="M46" s="72"/>
      <c r="N46" s="72"/>
      <c r="O46" s="72"/>
      <c r="P46" s="72"/>
      <c r="Q46" s="72"/>
      <c r="R46" s="76"/>
      <c r="S46" s="69"/>
      <c r="T46" s="72"/>
      <c r="U46" s="57" t="s">
        <v>549</v>
      </c>
      <c r="V46" s="83"/>
      <c r="W46" s="512"/>
      <c r="X46" s="83"/>
      <c r="Y46" s="83"/>
      <c r="Z46" s="83"/>
      <c r="AA46" s="83"/>
      <c r="AB46" s="83"/>
      <c r="AC46" s="83"/>
      <c r="AD46" s="83"/>
      <c r="AE46" s="72"/>
      <c r="AF46" s="72"/>
      <c r="AG46" s="72"/>
      <c r="AH46" s="72"/>
      <c r="AK46" s="72"/>
      <c r="AL46" s="77"/>
      <c r="AM46" s="77"/>
      <c r="AN46" s="77"/>
    </row>
    <row r="47" spans="1:48" s="55" customFormat="1" ht="15.75" customHeight="1">
      <c r="A47" s="58" t="s">
        <v>520</v>
      </c>
      <c r="B47" s="83">
        <v>100</v>
      </c>
      <c r="C47" s="490">
        <v>100</v>
      </c>
      <c r="D47" s="83">
        <v>100</v>
      </c>
      <c r="E47" s="83">
        <v>100</v>
      </c>
      <c r="F47" s="83">
        <v>100</v>
      </c>
      <c r="G47" s="83">
        <v>100</v>
      </c>
      <c r="H47" s="83">
        <v>100</v>
      </c>
      <c r="I47" s="83">
        <v>100</v>
      </c>
      <c r="J47" s="83">
        <v>100</v>
      </c>
      <c r="K47" s="72"/>
      <c r="L47" s="72"/>
      <c r="M47" s="72"/>
      <c r="N47" s="72"/>
      <c r="O47" s="72"/>
      <c r="P47" s="72"/>
      <c r="Q47" s="72"/>
      <c r="R47" s="76"/>
      <c r="S47" s="69"/>
      <c r="T47" s="72"/>
      <c r="U47" s="58" t="s">
        <v>520</v>
      </c>
      <c r="V47" s="83">
        <v>100</v>
      </c>
      <c r="W47" s="512">
        <v>100</v>
      </c>
      <c r="X47" s="83">
        <v>100</v>
      </c>
      <c r="Y47" s="83">
        <v>100</v>
      </c>
      <c r="Z47" s="83">
        <v>100</v>
      </c>
      <c r="AA47" s="83">
        <v>100</v>
      </c>
      <c r="AB47" s="83">
        <v>100</v>
      </c>
      <c r="AC47" s="83">
        <v>100</v>
      </c>
      <c r="AD47" s="83">
        <v>100</v>
      </c>
      <c r="AE47" s="72"/>
      <c r="AF47" s="72"/>
      <c r="AG47" s="72"/>
      <c r="AH47" s="72"/>
      <c r="AK47" s="72"/>
      <c r="AL47" s="77"/>
      <c r="AM47" s="77"/>
      <c r="AN47" s="77"/>
      <c r="AQ47" s="76"/>
      <c r="AR47" s="76"/>
      <c r="AS47" s="76"/>
      <c r="AT47" s="76"/>
      <c r="AU47" s="76"/>
      <c r="AV47" s="76"/>
    </row>
    <row r="48" spans="1:48" s="55" customFormat="1" ht="15.75" customHeight="1">
      <c r="A48" s="57" t="s">
        <v>550</v>
      </c>
      <c r="B48" s="61"/>
      <c r="C48" s="484"/>
      <c r="D48" s="76"/>
      <c r="E48" s="72"/>
      <c r="H48" s="76"/>
      <c r="I48" s="77"/>
      <c r="J48" s="72"/>
      <c r="K48" s="72"/>
      <c r="L48" s="72"/>
      <c r="M48" s="72"/>
      <c r="N48" s="72"/>
      <c r="O48" s="72"/>
      <c r="P48" s="72"/>
      <c r="Q48" s="72"/>
      <c r="R48" s="76"/>
      <c r="S48" s="69"/>
      <c r="T48" s="72"/>
      <c r="U48" s="57" t="s">
        <v>550</v>
      </c>
      <c r="V48" s="61"/>
      <c r="W48" s="505"/>
      <c r="X48" s="76"/>
      <c r="Y48" s="72"/>
      <c r="AB48" s="76"/>
      <c r="AC48" s="77"/>
      <c r="AD48" s="72"/>
      <c r="AE48" s="72"/>
      <c r="AF48" s="72"/>
      <c r="AG48" s="72"/>
      <c r="AH48" s="72"/>
      <c r="AK48" s="72"/>
      <c r="AL48" s="77"/>
      <c r="AM48" s="77"/>
      <c r="AN48" s="77"/>
    </row>
    <row r="49" spans="1:48" s="55" customFormat="1" ht="15.75" customHeight="1">
      <c r="A49" s="58" t="s">
        <v>551</v>
      </c>
      <c r="B49" s="69">
        <f>USDemand!C67</f>
        <v>0.60306000000000004</v>
      </c>
      <c r="C49" s="491">
        <f>B49</f>
        <v>0.60306000000000004</v>
      </c>
      <c r="D49" s="69">
        <f>C49</f>
        <v>0.60306000000000004</v>
      </c>
      <c r="E49" s="69">
        <f t="shared" ref="E49:I50" si="61">D49</f>
        <v>0.60306000000000004</v>
      </c>
      <c r="F49" s="69">
        <f t="shared" si="61"/>
        <v>0.60306000000000004</v>
      </c>
      <c r="G49" s="69">
        <f>F49</f>
        <v>0.60306000000000004</v>
      </c>
      <c r="H49" s="69">
        <f t="shared" si="61"/>
        <v>0.60306000000000004</v>
      </c>
      <c r="I49" s="69">
        <f t="shared" si="61"/>
        <v>0.60306000000000004</v>
      </c>
      <c r="J49" s="69">
        <f>I49</f>
        <v>0.60306000000000004</v>
      </c>
      <c r="K49" s="72"/>
      <c r="L49" s="65">
        <f>J49</f>
        <v>0.60306000000000004</v>
      </c>
      <c r="M49" s="72"/>
      <c r="N49" s="72"/>
      <c r="O49" s="72"/>
      <c r="P49" s="72"/>
      <c r="Q49" s="72"/>
      <c r="R49" s="76"/>
      <c r="S49" s="69"/>
      <c r="T49" s="72"/>
      <c r="U49" s="58" t="s">
        <v>551</v>
      </c>
      <c r="V49" s="69">
        <f>USDemand!T67</f>
        <v>0</v>
      </c>
      <c r="W49" s="513">
        <f t="shared" ref="W49:W50" si="62">V49</f>
        <v>0</v>
      </c>
      <c r="X49" s="69">
        <f>W49</f>
        <v>0</v>
      </c>
      <c r="Y49" s="69">
        <f t="shared" ref="Y49:Y50" si="63">X49</f>
        <v>0</v>
      </c>
      <c r="Z49" s="69">
        <f t="shared" ref="Z49:Z50" si="64">Y49</f>
        <v>0</v>
      </c>
      <c r="AA49" s="69">
        <f>Z49</f>
        <v>0</v>
      </c>
      <c r="AB49" s="69">
        <f t="shared" ref="AB49:AB50" si="65">AA49</f>
        <v>0</v>
      </c>
      <c r="AC49" s="69">
        <f t="shared" ref="AC49:AC50" si="66">AB49</f>
        <v>0</v>
      </c>
      <c r="AD49" s="69">
        <f>AC49</f>
        <v>0</v>
      </c>
      <c r="AE49" s="72"/>
      <c r="AF49" s="72"/>
      <c r="AG49" s="72"/>
      <c r="AH49" s="72"/>
      <c r="AK49" s="72"/>
      <c r="AL49" s="77"/>
      <c r="AM49" s="77"/>
      <c r="AN49" s="77"/>
    </row>
    <row r="50" spans="1:48" s="55" customFormat="1" ht="15.75" customHeight="1">
      <c r="A50" s="58" t="s">
        <v>552</v>
      </c>
      <c r="B50" s="69">
        <f>USDemand!C68</f>
        <v>0.11700000000000001</v>
      </c>
      <c r="C50" s="491">
        <f>B50</f>
        <v>0.11700000000000001</v>
      </c>
      <c r="D50" s="69">
        <f>C50</f>
        <v>0.11700000000000001</v>
      </c>
      <c r="E50" s="69">
        <f t="shared" si="61"/>
        <v>0.11700000000000001</v>
      </c>
      <c r="F50" s="69">
        <f t="shared" si="61"/>
        <v>0.11700000000000001</v>
      </c>
      <c r="G50" s="69">
        <f>F50</f>
        <v>0.11700000000000001</v>
      </c>
      <c r="H50" s="69">
        <f t="shared" si="61"/>
        <v>0.11700000000000001</v>
      </c>
      <c r="I50" s="69">
        <f t="shared" si="61"/>
        <v>0.11700000000000001</v>
      </c>
      <c r="J50" s="69">
        <f>I50</f>
        <v>0.11700000000000001</v>
      </c>
      <c r="K50" s="72"/>
      <c r="L50" s="65">
        <f>J50</f>
        <v>0.11700000000000001</v>
      </c>
      <c r="M50" s="72"/>
      <c r="N50" s="72"/>
      <c r="O50" s="72"/>
      <c r="P50" s="72"/>
      <c r="Q50" s="72"/>
      <c r="R50" s="76"/>
      <c r="S50" s="69"/>
      <c r="T50" s="72"/>
      <c r="U50" s="58" t="s">
        <v>552</v>
      </c>
      <c r="V50" s="69">
        <f>USDemand!T68</f>
        <v>0</v>
      </c>
      <c r="W50" s="513">
        <f t="shared" si="62"/>
        <v>0</v>
      </c>
      <c r="X50" s="69">
        <f>W50</f>
        <v>0</v>
      </c>
      <c r="Y50" s="69">
        <f t="shared" si="63"/>
        <v>0</v>
      </c>
      <c r="Z50" s="69">
        <f t="shared" si="64"/>
        <v>0</v>
      </c>
      <c r="AA50" s="69">
        <f>Z50</f>
        <v>0</v>
      </c>
      <c r="AB50" s="69">
        <f t="shared" si="65"/>
        <v>0</v>
      </c>
      <c r="AC50" s="69">
        <f t="shared" si="66"/>
        <v>0</v>
      </c>
      <c r="AD50" s="69">
        <f>AC50</f>
        <v>0</v>
      </c>
      <c r="AE50" s="72"/>
      <c r="AF50" s="72"/>
      <c r="AG50" s="72"/>
      <c r="AH50" s="72"/>
      <c r="AK50" s="72"/>
      <c r="AL50" s="77"/>
      <c r="AM50" s="77"/>
      <c r="AN50" s="77"/>
      <c r="AQ50" s="76"/>
      <c r="AR50" s="76"/>
      <c r="AS50" s="76"/>
      <c r="AT50" s="76"/>
      <c r="AU50" s="76"/>
      <c r="AV50" s="76"/>
    </row>
    <row r="51" spans="1:48" s="55" customFormat="1" ht="15.75" customHeight="1">
      <c r="A51" s="58" t="s">
        <v>553</v>
      </c>
      <c r="B51" s="61"/>
      <c r="C51" s="484"/>
      <c r="D51" s="84"/>
      <c r="E51" s="77"/>
      <c r="H51" s="76"/>
      <c r="I51" s="77"/>
      <c r="J51" s="72"/>
      <c r="K51" s="72"/>
      <c r="L51" s="72"/>
      <c r="M51" s="72"/>
      <c r="N51" s="72"/>
      <c r="O51" s="72"/>
      <c r="P51" s="72"/>
      <c r="Q51" s="72"/>
      <c r="R51" s="76"/>
      <c r="S51" s="69"/>
      <c r="T51" s="72"/>
      <c r="U51" s="58" t="s">
        <v>553</v>
      </c>
      <c r="V51" s="61"/>
      <c r="W51" s="505"/>
      <c r="X51" s="84"/>
      <c r="Y51" s="77"/>
      <c r="AB51" s="76"/>
      <c r="AC51" s="77"/>
      <c r="AD51" s="72"/>
      <c r="AE51" s="72"/>
      <c r="AF51" s="72"/>
      <c r="AG51" s="72"/>
      <c r="AH51" s="72"/>
      <c r="AK51" s="72"/>
      <c r="AL51" s="77"/>
      <c r="AM51" s="77"/>
      <c r="AN51" s="77"/>
      <c r="AQ51" s="76"/>
      <c r="AR51" s="76"/>
      <c r="AS51" s="76"/>
      <c r="AT51" s="76"/>
      <c r="AU51" s="76"/>
      <c r="AV51" s="76"/>
    </row>
    <row r="52" spans="1:48" s="55" customFormat="1" ht="15.75" customHeight="1">
      <c r="A52" s="58" t="s">
        <v>554</v>
      </c>
      <c r="B52" s="61"/>
      <c r="C52" s="484"/>
      <c r="D52" s="76"/>
      <c r="E52" s="77"/>
      <c r="H52" s="76"/>
      <c r="I52" s="77"/>
      <c r="J52" s="72"/>
      <c r="K52" s="72"/>
      <c r="L52" s="72"/>
      <c r="M52" s="72"/>
      <c r="N52" s="72"/>
      <c r="O52" s="72"/>
      <c r="P52" s="72"/>
      <c r="Q52" s="72"/>
      <c r="R52" s="76"/>
      <c r="S52" s="69"/>
      <c r="T52" s="72"/>
      <c r="U52" s="58" t="s">
        <v>554</v>
      </c>
      <c r="V52" s="61"/>
      <c r="W52" s="505"/>
      <c r="X52" s="76"/>
      <c r="Y52" s="77"/>
      <c r="AB52" s="76"/>
      <c r="AC52" s="77"/>
      <c r="AD52" s="72"/>
      <c r="AE52" s="72"/>
      <c r="AF52" s="72"/>
      <c r="AG52" s="72"/>
      <c r="AH52" s="72"/>
      <c r="AK52" s="72"/>
      <c r="AL52" s="77"/>
      <c r="AM52" s="77"/>
      <c r="AN52" s="77"/>
      <c r="AQ52" s="76"/>
      <c r="AR52" s="76"/>
      <c r="AS52" s="76"/>
      <c r="AT52" s="76"/>
      <c r="AU52" s="76"/>
      <c r="AV52" s="76"/>
    </row>
    <row r="53" spans="1:48" s="55" customFormat="1" ht="15.75" customHeight="1">
      <c r="C53" s="484"/>
      <c r="D53" s="76"/>
      <c r="E53" s="72"/>
      <c r="H53" s="76"/>
      <c r="I53" s="77"/>
      <c r="J53" s="72"/>
      <c r="K53" s="72"/>
      <c r="L53" s="72"/>
      <c r="M53" s="72"/>
      <c r="N53" s="72"/>
      <c r="O53" s="72"/>
      <c r="P53" s="72"/>
      <c r="Q53" s="72"/>
      <c r="R53" s="72"/>
      <c r="S53" s="69"/>
      <c r="T53" s="72"/>
      <c r="W53" s="505"/>
      <c r="X53" s="76"/>
      <c r="Y53" s="72"/>
      <c r="AB53" s="76"/>
      <c r="AC53" s="77"/>
      <c r="AD53" s="72"/>
      <c r="AE53" s="72"/>
      <c r="AF53" s="72"/>
      <c r="AG53" s="72"/>
      <c r="AH53" s="72"/>
      <c r="AK53" s="72"/>
      <c r="AL53" s="77"/>
      <c r="AM53" s="77"/>
      <c r="AN53" s="77"/>
      <c r="AQ53" s="76"/>
      <c r="AR53" s="76"/>
      <c r="AS53" s="76"/>
      <c r="AT53" s="76"/>
      <c r="AU53" s="76"/>
      <c r="AV53" s="76"/>
    </row>
    <row r="54" spans="1:48" s="55" customFormat="1" ht="15.75" customHeight="1">
      <c r="A54" s="58" t="s">
        <v>555</v>
      </c>
      <c r="C54" s="484"/>
      <c r="D54" s="76"/>
      <c r="E54" s="72"/>
      <c r="H54" s="76"/>
      <c r="I54" s="77"/>
      <c r="J54" s="72"/>
      <c r="K54" s="72"/>
      <c r="L54" s="72"/>
      <c r="M54" s="72"/>
      <c r="N54" s="72"/>
      <c r="O54" s="72"/>
      <c r="P54" s="72"/>
      <c r="Q54" s="72"/>
      <c r="R54" s="72"/>
      <c r="S54" s="72"/>
      <c r="T54" s="72"/>
      <c r="U54" s="58" t="s">
        <v>555</v>
      </c>
      <c r="W54" s="505"/>
      <c r="X54" s="76"/>
      <c r="Y54" s="72"/>
      <c r="AB54" s="76"/>
      <c r="AC54" s="77"/>
      <c r="AD54" s="72"/>
      <c r="AE54" s="72"/>
      <c r="AF54" s="72"/>
      <c r="AG54" s="72"/>
      <c r="AH54" s="72"/>
      <c r="AK54" s="72"/>
      <c r="AL54" s="77"/>
      <c r="AM54" s="77"/>
      <c r="AN54" s="77"/>
      <c r="AQ54" s="76"/>
      <c r="AR54" s="76"/>
      <c r="AS54" s="76"/>
      <c r="AT54" s="76"/>
      <c r="AU54" s="76"/>
      <c r="AV54" s="76"/>
    </row>
    <row r="55" spans="1:48" s="55" customFormat="1" ht="15.75" customHeight="1">
      <c r="A55" s="58" t="s">
        <v>556</v>
      </c>
      <c r="B55" s="85" t="e">
        <f t="shared" ref="B55:K55" si="67">B10/B20</f>
        <v>#DIV/0!</v>
      </c>
      <c r="C55" s="492" t="e">
        <f t="shared" si="67"/>
        <v>#DIV/0!</v>
      </c>
      <c r="D55" s="85" t="e">
        <f t="shared" si="67"/>
        <v>#DIV/0!</v>
      </c>
      <c r="E55" s="85" t="e">
        <f t="shared" si="67"/>
        <v>#DIV/0!</v>
      </c>
      <c r="F55" s="85" t="e">
        <f t="shared" si="67"/>
        <v>#DIV/0!</v>
      </c>
      <c r="G55" s="85" t="e">
        <f t="shared" si="67"/>
        <v>#DIV/0!</v>
      </c>
      <c r="H55" s="85" t="e">
        <f t="shared" si="67"/>
        <v>#DIV/0!</v>
      </c>
      <c r="I55" s="85" t="e">
        <f t="shared" si="67"/>
        <v>#DIV/0!</v>
      </c>
      <c r="J55" s="85" t="e">
        <f t="shared" si="67"/>
        <v>#DIV/0!</v>
      </c>
      <c r="K55" s="85" t="e">
        <f t="shared" si="67"/>
        <v>#DIV/0!</v>
      </c>
      <c r="L55" s="72"/>
      <c r="M55" s="72"/>
      <c r="N55" s="72"/>
      <c r="O55" s="72"/>
      <c r="P55" s="72"/>
      <c r="Q55" s="72"/>
      <c r="R55" s="72"/>
      <c r="S55" s="72"/>
      <c r="T55" s="72"/>
      <c r="U55" s="58" t="s">
        <v>556</v>
      </c>
      <c r="V55" s="85">
        <f t="shared" ref="V55:AE55" si="68">V10/V20</f>
        <v>2.6546633252828936E-4</v>
      </c>
      <c r="W55" s="514">
        <f t="shared" si="68"/>
        <v>7.3243070825653872E-3</v>
      </c>
      <c r="X55" s="85">
        <f t="shared" si="68"/>
        <v>4.8000927194756862E-3</v>
      </c>
      <c r="Y55" s="85">
        <f t="shared" si="68"/>
        <v>7.0509346587365454E-3</v>
      </c>
      <c r="Z55" s="85">
        <f t="shared" si="68"/>
        <v>0.12805029771615301</v>
      </c>
      <c r="AA55" s="85">
        <f t="shared" si="68"/>
        <v>9.6012429259710139E-2</v>
      </c>
      <c r="AB55" s="85">
        <f t="shared" si="68"/>
        <v>1.882381070936967E-2</v>
      </c>
      <c r="AC55" s="85">
        <f t="shared" si="68"/>
        <v>2.3571292666097032E-2</v>
      </c>
      <c r="AD55" s="85">
        <f t="shared" si="68"/>
        <v>1.3117649034285849E-2</v>
      </c>
      <c r="AE55" s="85">
        <f t="shared" si="68"/>
        <v>2.7466202109861199E-2</v>
      </c>
      <c r="AF55" s="72"/>
      <c r="AG55" s="72"/>
      <c r="AH55" s="72"/>
      <c r="AK55" s="72"/>
      <c r="AL55" s="77"/>
      <c r="AM55" s="77"/>
      <c r="AN55" s="77"/>
      <c r="AQ55" s="76"/>
      <c r="AR55" s="76"/>
      <c r="AS55" s="76"/>
      <c r="AT55" s="76"/>
      <c r="AU55" s="76"/>
      <c r="AV55" s="76"/>
    </row>
    <row r="56" spans="1:48" s="55" customFormat="1" ht="15.75" customHeight="1">
      <c r="A56" s="58" t="s">
        <v>557</v>
      </c>
      <c r="B56" s="85" t="e">
        <f t="shared" ref="B56:K56" si="69">B27/B30</f>
        <v>#DIV/0!</v>
      </c>
      <c r="C56" s="492" t="e">
        <f t="shared" si="69"/>
        <v>#DIV/0!</v>
      </c>
      <c r="D56" s="85" t="e">
        <f t="shared" si="69"/>
        <v>#DIV/0!</v>
      </c>
      <c r="E56" s="85" t="e">
        <f t="shared" si="69"/>
        <v>#DIV/0!</v>
      </c>
      <c r="F56" s="85" t="e">
        <f t="shared" si="69"/>
        <v>#DIV/0!</v>
      </c>
      <c r="G56" s="85" t="e">
        <f t="shared" si="69"/>
        <v>#DIV/0!</v>
      </c>
      <c r="H56" s="85" t="e">
        <f t="shared" si="69"/>
        <v>#DIV/0!</v>
      </c>
      <c r="I56" s="85" t="e">
        <f t="shared" si="69"/>
        <v>#DIV/0!</v>
      </c>
      <c r="J56" s="85" t="e">
        <f t="shared" si="69"/>
        <v>#DIV/0!</v>
      </c>
      <c r="K56" s="85" t="e">
        <f t="shared" si="69"/>
        <v>#DIV/0!</v>
      </c>
      <c r="L56" s="72"/>
      <c r="M56" s="72"/>
      <c r="N56" s="72"/>
      <c r="O56" s="72"/>
      <c r="P56" s="72"/>
      <c r="Q56" s="72"/>
      <c r="R56" s="72"/>
      <c r="S56" s="72"/>
      <c r="T56" s="72"/>
      <c r="U56" s="58" t="s">
        <v>557</v>
      </c>
      <c r="V56" s="85">
        <f t="shared" ref="V56:AE56" si="70">V27/V30</f>
        <v>2.4962950303332627E-3</v>
      </c>
      <c r="W56" s="514">
        <f t="shared" si="70"/>
        <v>2.5482649427353472E-2</v>
      </c>
      <c r="X56" s="85">
        <f t="shared" si="70"/>
        <v>1.9216279172380672E-2</v>
      </c>
      <c r="Y56" s="85">
        <f t="shared" si="70"/>
        <v>2.1099434376492761E-2</v>
      </c>
      <c r="Z56" s="85">
        <f t="shared" si="70"/>
        <v>6.9968451362205003E-2</v>
      </c>
      <c r="AA56" s="85">
        <f t="shared" si="70"/>
        <v>9.1132490815925296E-2</v>
      </c>
      <c r="AB56" s="85">
        <f t="shared" si="70"/>
        <v>5.6409792475508418E-3</v>
      </c>
      <c r="AC56" s="85">
        <f t="shared" si="70"/>
        <v>6.8157868625930651E-2</v>
      </c>
      <c r="AD56" s="85">
        <f t="shared" si="70"/>
        <v>4.8978728985256313E-2</v>
      </c>
      <c r="AE56" s="85">
        <f t="shared" si="70"/>
        <v>4.1256973248436038E-2</v>
      </c>
      <c r="AF56" s="72"/>
      <c r="AG56" s="72"/>
      <c r="AH56" s="72"/>
      <c r="AK56" s="72"/>
      <c r="AL56" s="77"/>
      <c r="AM56" s="77"/>
      <c r="AN56" s="77"/>
      <c r="AR56" s="76"/>
      <c r="AS56" s="76"/>
      <c r="AT56" s="76"/>
      <c r="AU56" s="76"/>
      <c r="AV56" s="76"/>
    </row>
    <row r="57" spans="1:48" ht="15.75" customHeight="1">
      <c r="D57" s="86"/>
      <c r="E57" s="41"/>
      <c r="H57" s="86"/>
      <c r="I57" s="52"/>
      <c r="J57" s="41"/>
      <c r="K57" s="41"/>
      <c r="L57" s="41"/>
      <c r="M57" s="41"/>
      <c r="N57" s="41"/>
      <c r="O57" s="41"/>
      <c r="P57" s="41"/>
      <c r="Q57" s="41"/>
      <c r="R57" s="41"/>
      <c r="S57" s="41"/>
      <c r="T57" s="41"/>
      <c r="U57" s="41"/>
      <c r="V57" s="41"/>
      <c r="W57" s="515"/>
      <c r="X57" s="41"/>
      <c r="Y57" s="41"/>
      <c r="Z57" s="41"/>
      <c r="AA57" s="41"/>
      <c r="AB57" s="41"/>
      <c r="AC57" s="41"/>
      <c r="AD57" s="41"/>
      <c r="AE57" s="41"/>
      <c r="AF57" s="41"/>
      <c r="AI57" s="41"/>
      <c r="AJ57" s="52"/>
      <c r="AK57" s="52"/>
      <c r="AL57" s="52"/>
      <c r="AM57" s="55"/>
      <c r="AN57" s="55"/>
      <c r="AO57" s="55"/>
      <c r="AP57" s="55"/>
      <c r="AQ57" s="55"/>
      <c r="AR57" s="86"/>
      <c r="AS57" s="86"/>
      <c r="AT57" s="86"/>
    </row>
    <row r="58" spans="1:48" ht="15.75" customHeight="1">
      <c r="B58" s="87"/>
      <c r="C58" s="493"/>
      <c r="D58" s="88"/>
      <c r="E58" s="54"/>
      <c r="F58" s="87"/>
      <c r="G58" s="87"/>
      <c r="H58" s="88"/>
      <c r="I58" s="89"/>
      <c r="J58" s="54"/>
      <c r="K58" s="54"/>
      <c r="L58" s="54"/>
      <c r="M58" s="54"/>
      <c r="N58" s="54"/>
      <c r="O58" s="54"/>
      <c r="P58" s="54"/>
      <c r="S58" s="54"/>
      <c r="T58" s="54"/>
      <c r="U58" s="54"/>
      <c r="V58" s="54"/>
      <c r="W58" s="516"/>
      <c r="X58" s="54"/>
      <c r="Y58" s="54"/>
      <c r="Z58" s="54"/>
      <c r="AA58" s="54"/>
      <c r="AB58" s="54"/>
      <c r="AC58" s="54"/>
      <c r="AD58" s="54"/>
      <c r="AE58" s="54"/>
      <c r="AF58" s="54"/>
      <c r="AI58" s="54"/>
      <c r="AJ58" s="89"/>
      <c r="AK58" s="89"/>
      <c r="AL58" s="89"/>
      <c r="AM58" s="55"/>
      <c r="AN58" s="55"/>
      <c r="AO58" s="55"/>
      <c r="AP58" s="55"/>
      <c r="AQ58" s="55"/>
      <c r="AR58" s="88"/>
      <c r="AS58" s="88"/>
      <c r="AT58" s="88"/>
    </row>
    <row r="59" spans="1:48" ht="15.75" customHeight="1">
      <c r="B59" s="87"/>
      <c r="C59" s="493"/>
      <c r="D59" s="88"/>
      <c r="E59" s="54"/>
      <c r="F59" s="87"/>
      <c r="G59" s="87"/>
      <c r="H59" s="88"/>
      <c r="I59" s="89"/>
      <c r="J59" s="54"/>
      <c r="K59" s="54"/>
      <c r="L59" s="54"/>
      <c r="M59" s="54"/>
      <c r="N59" s="54"/>
      <c r="O59" s="54"/>
      <c r="P59" s="54"/>
      <c r="S59" s="54"/>
      <c r="T59" s="54"/>
      <c r="U59" s="54"/>
      <c r="V59" s="54">
        <f>B35*V66*S35</f>
        <v>0</v>
      </c>
      <c r="W59" s="516"/>
      <c r="X59" s="54"/>
      <c r="Y59" s="54"/>
      <c r="Z59" s="54"/>
      <c r="AA59" s="54"/>
      <c r="AB59" s="54"/>
      <c r="AC59" s="54"/>
      <c r="AD59" s="54"/>
      <c r="AE59" s="54"/>
      <c r="AF59" s="54"/>
      <c r="AI59" s="54"/>
      <c r="AJ59" s="89"/>
      <c r="AK59" s="89"/>
      <c r="AL59" s="89"/>
      <c r="AM59" s="55"/>
      <c r="AN59" s="55"/>
      <c r="AO59" s="55"/>
      <c r="AP59" s="55"/>
      <c r="AQ59" s="55"/>
      <c r="AR59" s="88"/>
      <c r="AS59" s="88"/>
      <c r="AT59" s="88"/>
    </row>
    <row r="60" spans="1:48" ht="15.75" customHeight="1">
      <c r="B60" s="87"/>
      <c r="C60" s="493"/>
      <c r="D60" s="88"/>
      <c r="E60" s="54"/>
      <c r="F60" s="87"/>
      <c r="G60" s="87"/>
      <c r="H60" s="88"/>
      <c r="I60" s="89"/>
      <c r="J60" s="54"/>
      <c r="K60" s="54"/>
      <c r="L60" s="54"/>
      <c r="M60" s="54"/>
      <c r="N60" s="54"/>
      <c r="S60" s="89"/>
      <c r="T60" s="89"/>
      <c r="U60" s="89"/>
      <c r="V60" s="54">
        <f>B36*V66*S36</f>
        <v>0</v>
      </c>
      <c r="AA60" s="88"/>
      <c r="AB60" s="88"/>
      <c r="AC60" s="88"/>
    </row>
    <row r="61" spans="1:48" ht="15.75" customHeight="1">
      <c r="A61" s="90" t="s">
        <v>558</v>
      </c>
      <c r="B61" s="87"/>
      <c r="C61" s="493"/>
      <c r="D61" s="88"/>
      <c r="E61" s="54"/>
      <c r="F61" s="87"/>
      <c r="G61" s="87"/>
      <c r="H61" s="88"/>
      <c r="I61" s="89"/>
      <c r="J61" s="54"/>
      <c r="K61" s="54"/>
      <c r="L61" s="54"/>
      <c r="M61" s="54"/>
      <c r="N61" s="54"/>
      <c r="S61" s="89"/>
      <c r="T61" s="89"/>
      <c r="U61" s="89"/>
      <c r="V61" s="54">
        <f>B37*V66*S37</f>
        <v>0</v>
      </c>
      <c r="AA61" s="88"/>
      <c r="AB61" s="88"/>
      <c r="AC61" s="88"/>
    </row>
    <row r="62" spans="1:48" ht="15.75" customHeight="1">
      <c r="A62" s="91" t="s">
        <v>559</v>
      </c>
      <c r="B62" s="87"/>
      <c r="C62" s="493"/>
      <c r="D62" s="88"/>
      <c r="E62" s="54"/>
      <c r="F62" s="87"/>
      <c r="G62" s="87"/>
      <c r="H62" s="88"/>
      <c r="I62" s="89"/>
      <c r="J62" s="54"/>
      <c r="K62" s="54"/>
      <c r="L62" s="54"/>
      <c r="M62" s="54"/>
      <c r="N62" s="54"/>
      <c r="S62" s="89"/>
      <c r="T62" s="89"/>
      <c r="U62" s="89"/>
      <c r="V62" s="54">
        <f>B38*V66*S38</f>
        <v>0</v>
      </c>
      <c r="AA62" s="88"/>
      <c r="AB62" s="88"/>
      <c r="AC62" s="88"/>
    </row>
    <row r="63" spans="1:48" ht="15.75" customHeight="1">
      <c r="B63" s="87"/>
      <c r="C63" s="493"/>
      <c r="D63" s="88"/>
      <c r="E63" s="54"/>
      <c r="F63" s="87"/>
      <c r="G63" s="87"/>
      <c r="H63" s="88"/>
      <c r="I63" s="89"/>
      <c r="J63" s="54"/>
      <c r="K63" s="54"/>
      <c r="L63" s="54"/>
      <c r="M63" s="54"/>
      <c r="N63" s="54"/>
      <c r="S63" s="89"/>
      <c r="T63" s="89"/>
      <c r="U63" s="89"/>
      <c r="V63" s="72">
        <f>SUM(V59:V62)</f>
        <v>0</v>
      </c>
      <c r="AA63" s="88"/>
      <c r="AB63" s="88"/>
      <c r="AC63" s="88"/>
    </row>
    <row r="64" spans="1:48" ht="15.75" customHeight="1">
      <c r="B64" s="87"/>
      <c r="C64" s="493"/>
      <c r="D64" s="88"/>
      <c r="E64" s="54"/>
      <c r="F64" s="87"/>
      <c r="G64" s="87"/>
      <c r="H64" s="88"/>
      <c r="I64" s="89"/>
      <c r="J64" s="54"/>
      <c r="K64" s="54"/>
      <c r="L64" s="54"/>
      <c r="M64" s="54"/>
      <c r="N64" s="54"/>
      <c r="S64" s="89"/>
      <c r="T64" s="89"/>
      <c r="U64" s="89"/>
      <c r="AA64" s="88"/>
      <c r="AB64" s="88"/>
      <c r="AC64" s="88"/>
    </row>
    <row r="65" spans="1:31" ht="15.75" customHeight="1">
      <c r="F65" s="87"/>
      <c r="G65" s="87"/>
      <c r="H65" s="88"/>
      <c r="I65" s="89"/>
      <c r="J65" s="54"/>
      <c r="K65" s="54"/>
      <c r="L65" s="54"/>
      <c r="M65" s="54"/>
      <c r="N65" s="54"/>
      <c r="S65" s="89"/>
      <c r="T65" s="89"/>
      <c r="U65" s="89"/>
      <c r="AA65" s="88"/>
      <c r="AB65" s="88"/>
      <c r="AC65" s="88"/>
    </row>
    <row r="66" spans="1:31" ht="15.75" customHeight="1">
      <c r="A66" s="861" t="s">
        <v>560</v>
      </c>
      <c r="B66" s="862"/>
      <c r="C66" s="862"/>
      <c r="D66" s="862"/>
      <c r="E66" s="862"/>
      <c r="V66" s="55">
        <f>V42/AG40</f>
        <v>0</v>
      </c>
    </row>
    <row r="67" spans="1:31" ht="15.75" customHeight="1"/>
    <row r="68" spans="1:31" s="55" customFormat="1" ht="15.75" customHeight="1">
      <c r="A68" s="57"/>
      <c r="B68" s="57"/>
      <c r="C68" s="848" t="s">
        <v>523</v>
      </c>
      <c r="D68" s="848"/>
      <c r="E68" s="848"/>
      <c r="F68" s="848" t="s">
        <v>524</v>
      </c>
      <c r="G68" s="848"/>
      <c r="H68" s="848"/>
      <c r="I68" s="848" t="s">
        <v>525</v>
      </c>
      <c r="J68" s="848"/>
      <c r="K68" s="848"/>
      <c r="L68" s="851"/>
      <c r="M68" s="848" t="s">
        <v>526</v>
      </c>
      <c r="N68" s="848"/>
      <c r="O68" s="848"/>
      <c r="P68" s="77"/>
      <c r="Q68" s="72"/>
      <c r="R68" s="72"/>
      <c r="S68" s="77"/>
      <c r="T68" s="77"/>
      <c r="U68" s="77"/>
      <c r="V68" s="57"/>
      <c r="W68" s="517"/>
      <c r="X68" s="92"/>
      <c r="Y68" s="92"/>
      <c r="Z68" s="92"/>
      <c r="AA68" s="92"/>
      <c r="AB68" s="92"/>
      <c r="AC68" s="92"/>
      <c r="AE68" s="92"/>
    </row>
    <row r="69" spans="1:31" s="55" customFormat="1" ht="15.75" customHeight="1">
      <c r="A69" s="57"/>
      <c r="B69" s="849" t="s">
        <v>2342</v>
      </c>
      <c r="C69" s="848"/>
      <c r="D69" s="848"/>
      <c r="E69" s="848"/>
      <c r="F69" s="848"/>
      <c r="G69" s="848"/>
      <c r="H69" s="848"/>
      <c r="I69" s="848"/>
      <c r="J69" s="848"/>
      <c r="K69" s="848"/>
      <c r="L69" s="851"/>
      <c r="M69" s="848"/>
      <c r="N69" s="848"/>
      <c r="O69" s="848"/>
      <c r="Q69" s="72"/>
      <c r="R69" s="72"/>
      <c r="S69" s="77"/>
      <c r="T69" s="77"/>
      <c r="U69" s="77"/>
      <c r="V69" s="57"/>
      <c r="W69" s="518"/>
      <c r="X69" s="92"/>
      <c r="Y69" s="92"/>
      <c r="Z69" s="92"/>
      <c r="AA69" s="92"/>
      <c r="AB69" s="92"/>
      <c r="AC69" s="92"/>
      <c r="AE69" s="92"/>
    </row>
    <row r="70" spans="1:31" s="55" customFormat="1" ht="15.75" customHeight="1">
      <c r="B70" s="849"/>
      <c r="C70" s="494"/>
      <c r="D70" s="848" t="s">
        <v>561</v>
      </c>
      <c r="E70" s="848"/>
      <c r="F70" s="57"/>
      <c r="G70" s="848" t="s">
        <v>561</v>
      </c>
      <c r="H70" s="848"/>
      <c r="I70" s="57"/>
      <c r="J70" s="848" t="s">
        <v>561</v>
      </c>
      <c r="K70" s="848"/>
      <c r="L70" s="851"/>
      <c r="M70" s="57"/>
      <c r="N70" s="848" t="s">
        <v>561</v>
      </c>
      <c r="O70" s="848"/>
      <c r="Q70" s="72"/>
      <c r="R70" s="72"/>
      <c r="W70" s="518"/>
      <c r="X70" s="57"/>
      <c r="Y70" s="92"/>
      <c r="Z70" s="92"/>
      <c r="AA70" s="57"/>
      <c r="AB70" s="92"/>
      <c r="AC70" s="92"/>
      <c r="AE70" s="94"/>
    </row>
    <row r="71" spans="1:31" s="55" customFormat="1" ht="14.25" customHeight="1">
      <c r="B71" s="849"/>
      <c r="C71" s="854" t="s">
        <v>562</v>
      </c>
      <c r="D71" s="848"/>
      <c r="E71" s="848"/>
      <c r="F71" s="849" t="s">
        <v>563</v>
      </c>
      <c r="G71" s="848"/>
      <c r="H71" s="848"/>
      <c r="I71" s="849" t="s">
        <v>564</v>
      </c>
      <c r="J71" s="848"/>
      <c r="K71" s="848"/>
      <c r="L71" s="851"/>
      <c r="M71" s="849" t="s">
        <v>565</v>
      </c>
      <c r="N71" s="848"/>
      <c r="O71" s="848"/>
      <c r="P71" s="77"/>
      <c r="Q71" s="72"/>
      <c r="R71" s="72"/>
      <c r="S71" s="77"/>
      <c r="T71" s="77"/>
      <c r="U71" s="77"/>
      <c r="W71" s="518"/>
      <c r="X71" s="93"/>
      <c r="Y71" s="92"/>
      <c r="Z71" s="92"/>
      <c r="AA71" s="95"/>
      <c r="AB71" s="92"/>
      <c r="AC71" s="92"/>
      <c r="AE71" s="94"/>
    </row>
    <row r="72" spans="1:31" s="55" customFormat="1" ht="14.25" customHeight="1">
      <c r="A72" s="848" t="s">
        <v>566</v>
      </c>
      <c r="B72" s="849"/>
      <c r="C72" s="855"/>
      <c r="D72" s="856" t="s">
        <v>567</v>
      </c>
      <c r="E72" s="856" t="s">
        <v>500</v>
      </c>
      <c r="F72" s="850"/>
      <c r="G72" s="849" t="s">
        <v>568</v>
      </c>
      <c r="H72" s="849" t="s">
        <v>569</v>
      </c>
      <c r="I72" s="850"/>
      <c r="J72" s="849" t="s">
        <v>530</v>
      </c>
      <c r="K72" s="849" t="s">
        <v>570</v>
      </c>
      <c r="L72" s="849" t="s">
        <v>571</v>
      </c>
      <c r="M72" s="850"/>
      <c r="N72" s="849" t="s">
        <v>572</v>
      </c>
      <c r="O72" s="849" t="s">
        <v>534</v>
      </c>
      <c r="Q72" s="72"/>
      <c r="R72" s="72"/>
      <c r="S72" s="77"/>
      <c r="T72" s="77"/>
      <c r="U72" s="77"/>
      <c r="V72" s="92"/>
      <c r="W72" s="518"/>
      <c r="X72" s="96"/>
      <c r="Y72" s="97"/>
      <c r="Z72" s="97"/>
      <c r="AA72" s="96"/>
      <c r="AB72" s="93"/>
      <c r="AC72" s="93"/>
      <c r="AD72" s="93"/>
      <c r="AE72" s="94"/>
    </row>
    <row r="73" spans="1:31" s="55" customFormat="1" ht="14.25" customHeight="1">
      <c r="A73" s="848"/>
      <c r="B73" s="849"/>
      <c r="C73" s="855"/>
      <c r="D73" s="856"/>
      <c r="E73" s="856"/>
      <c r="F73" s="850"/>
      <c r="G73" s="849"/>
      <c r="H73" s="849"/>
      <c r="I73" s="850"/>
      <c r="J73" s="849"/>
      <c r="K73" s="849"/>
      <c r="L73" s="852"/>
      <c r="M73" s="850"/>
      <c r="N73" s="849"/>
      <c r="O73" s="849"/>
      <c r="Q73" s="72"/>
      <c r="R73" s="72"/>
      <c r="S73" s="77"/>
      <c r="T73" s="77"/>
      <c r="U73" s="77"/>
      <c r="V73" s="92"/>
      <c r="W73" s="518"/>
      <c r="X73" s="96"/>
      <c r="Y73" s="97"/>
      <c r="Z73" s="97"/>
      <c r="AA73" s="96"/>
      <c r="AB73" s="93"/>
      <c r="AC73" s="93"/>
      <c r="AD73" s="98"/>
      <c r="AE73" s="94"/>
    </row>
    <row r="74" spans="1:31" s="55" customFormat="1">
      <c r="A74" s="99"/>
      <c r="B74" s="100"/>
      <c r="C74" s="495"/>
      <c r="D74" s="100"/>
      <c r="E74" s="100"/>
      <c r="F74" s="100"/>
      <c r="G74" s="100"/>
      <c r="H74" s="100"/>
      <c r="I74" s="100"/>
      <c r="J74" s="100"/>
      <c r="K74" s="100"/>
      <c r="L74" s="100"/>
      <c r="M74" s="100"/>
      <c r="N74" s="100"/>
      <c r="O74" s="100"/>
      <c r="Q74" s="72"/>
      <c r="R74" s="72"/>
      <c r="S74" s="77"/>
      <c r="T74" s="77"/>
      <c r="U74" s="77"/>
      <c r="V74" s="99"/>
      <c r="W74" s="519"/>
      <c r="X74" s="100"/>
      <c r="Y74" s="100"/>
      <c r="Z74" s="100"/>
      <c r="AA74" s="100"/>
      <c r="AB74" s="100"/>
      <c r="AC74" s="100"/>
      <c r="AD74" s="100"/>
      <c r="AE74" s="100"/>
    </row>
    <row r="75" spans="1:31" s="55" customFormat="1" ht="15">
      <c r="A75" s="101" t="s">
        <v>497</v>
      </c>
      <c r="B75" s="100">
        <v>111.1</v>
      </c>
      <c r="C75" s="495">
        <v>20.6</v>
      </c>
      <c r="D75" s="100">
        <v>15.1</v>
      </c>
      <c r="E75" s="100">
        <v>5.5</v>
      </c>
      <c r="F75" s="100">
        <v>25.6</v>
      </c>
      <c r="G75" s="100">
        <v>17.7</v>
      </c>
      <c r="H75" s="100">
        <v>7.9</v>
      </c>
      <c r="I75" s="102">
        <v>40.700000000000003</v>
      </c>
      <c r="J75" s="102">
        <v>21.7</v>
      </c>
      <c r="K75" s="102">
        <v>6.9</v>
      </c>
      <c r="L75" s="102">
        <v>12.1</v>
      </c>
      <c r="M75" s="100">
        <v>24.2</v>
      </c>
      <c r="N75" s="100">
        <v>7.6</v>
      </c>
      <c r="O75" s="100">
        <v>16.600000000000001</v>
      </c>
      <c r="Q75" s="72"/>
      <c r="R75" s="72"/>
      <c r="V75" s="101"/>
      <c r="W75" s="519"/>
      <c r="X75" s="100"/>
      <c r="Y75" s="100"/>
      <c r="Z75" s="100"/>
      <c r="AA75" s="100"/>
      <c r="AB75" s="100"/>
      <c r="AC75" s="100"/>
      <c r="AD75" s="102"/>
      <c r="AE75" s="100"/>
    </row>
    <row r="76" spans="1:31" s="55" customFormat="1" ht="15">
      <c r="A76" s="101"/>
      <c r="B76" s="100"/>
      <c r="C76" s="495"/>
      <c r="D76" s="100"/>
      <c r="E76" s="100"/>
      <c r="F76" s="100"/>
      <c r="G76" s="100"/>
      <c r="H76" s="100"/>
      <c r="I76" s="102"/>
      <c r="J76" s="102"/>
      <c r="K76" s="102"/>
      <c r="L76" s="102"/>
      <c r="M76" s="100"/>
      <c r="N76" s="100"/>
      <c r="O76" s="100"/>
      <c r="Q76" s="72"/>
      <c r="R76" s="72"/>
      <c r="S76" s="77"/>
      <c r="T76" s="77"/>
      <c r="U76" s="77"/>
      <c r="V76" s="101"/>
      <c r="W76" s="519"/>
      <c r="X76" s="100"/>
      <c r="Y76" s="100"/>
      <c r="Z76" s="100"/>
      <c r="AA76" s="100"/>
      <c r="AB76" s="100"/>
      <c r="AC76" s="100"/>
      <c r="AD76" s="102"/>
      <c r="AE76" s="100"/>
    </row>
    <row r="77" spans="1:31" s="55" customFormat="1" ht="15">
      <c r="A77" s="103" t="s">
        <v>573</v>
      </c>
      <c r="B77" s="100">
        <v>1.2</v>
      </c>
      <c r="C77" s="495" t="s">
        <v>574</v>
      </c>
      <c r="D77" s="100" t="s">
        <v>574</v>
      </c>
      <c r="E77" s="100" t="s">
        <v>574</v>
      </c>
      <c r="F77" s="100" t="s">
        <v>574</v>
      </c>
      <c r="G77" s="100" t="s">
        <v>574</v>
      </c>
      <c r="H77" s="100" t="s">
        <v>575</v>
      </c>
      <c r="I77" s="102" t="s">
        <v>574</v>
      </c>
      <c r="J77" s="102" t="s">
        <v>574</v>
      </c>
      <c r="K77" s="102" t="s">
        <v>575</v>
      </c>
      <c r="L77" s="102" t="s">
        <v>574</v>
      </c>
      <c r="M77" s="100">
        <v>0.7</v>
      </c>
      <c r="N77" s="100" t="s">
        <v>574</v>
      </c>
      <c r="O77" s="100">
        <v>0.7</v>
      </c>
      <c r="Q77" s="72"/>
      <c r="R77" s="72"/>
      <c r="S77" s="77"/>
      <c r="T77" s="77"/>
      <c r="U77" s="77"/>
      <c r="V77" s="103"/>
      <c r="W77" s="519"/>
      <c r="X77" s="100"/>
      <c r="Y77" s="100"/>
      <c r="Z77" s="100"/>
      <c r="AA77" s="100"/>
      <c r="AB77" s="100"/>
      <c r="AC77" s="100"/>
      <c r="AD77" s="102"/>
      <c r="AE77" s="100"/>
    </row>
    <row r="78" spans="1:31" s="55" customFormat="1" ht="15">
      <c r="A78" s="103"/>
      <c r="B78" s="100"/>
      <c r="C78" s="495"/>
      <c r="D78" s="100"/>
      <c r="E78" s="100"/>
      <c r="F78" s="100"/>
      <c r="G78" s="100"/>
      <c r="H78" s="100"/>
      <c r="I78" s="102"/>
      <c r="J78" s="102"/>
      <c r="K78" s="102"/>
      <c r="L78" s="102"/>
      <c r="M78" s="100"/>
      <c r="N78" s="100"/>
      <c r="O78" s="100"/>
      <c r="Q78" s="72"/>
      <c r="R78" s="72"/>
      <c r="S78" s="77"/>
      <c r="T78" s="77"/>
      <c r="U78" s="77"/>
      <c r="V78" s="103"/>
      <c r="W78" s="519"/>
      <c r="X78" s="100"/>
      <c r="Y78" s="100"/>
      <c r="Z78" s="100"/>
      <c r="AA78" s="100"/>
      <c r="AB78" s="100"/>
      <c r="AC78" s="100"/>
      <c r="AD78" s="102"/>
      <c r="AE78" s="100"/>
    </row>
    <row r="79" spans="1:31" s="55" customFormat="1" ht="15">
      <c r="A79" s="103" t="s">
        <v>576</v>
      </c>
      <c r="B79" s="100">
        <v>109.8</v>
      </c>
      <c r="C79" s="495">
        <v>20.5</v>
      </c>
      <c r="D79" s="100">
        <v>15.1</v>
      </c>
      <c r="E79" s="100">
        <v>5.4</v>
      </c>
      <c r="F79" s="100">
        <v>25.6</v>
      </c>
      <c r="G79" s="100">
        <v>17.7</v>
      </c>
      <c r="H79" s="100">
        <v>7.9</v>
      </c>
      <c r="I79" s="102">
        <v>40.299999999999997</v>
      </c>
      <c r="J79" s="102">
        <v>21.4</v>
      </c>
      <c r="K79" s="102">
        <v>6.9</v>
      </c>
      <c r="L79" s="102">
        <v>12</v>
      </c>
      <c r="M79" s="100">
        <v>23.4</v>
      </c>
      <c r="N79" s="100">
        <v>7.5</v>
      </c>
      <c r="O79" s="100">
        <v>16</v>
      </c>
      <c r="Q79" s="72"/>
      <c r="R79" s="72"/>
      <c r="V79" s="103"/>
      <c r="W79" s="519"/>
      <c r="X79" s="100"/>
      <c r="Y79" s="100"/>
      <c r="Z79" s="100"/>
      <c r="AA79" s="100"/>
      <c r="AB79" s="100"/>
      <c r="AC79" s="100"/>
      <c r="AD79" s="102"/>
      <c r="AE79" s="100"/>
    </row>
    <row r="80" spans="1:31" s="55" customFormat="1">
      <c r="A80" s="104" t="s">
        <v>577</v>
      </c>
      <c r="B80" s="100">
        <v>109.1</v>
      </c>
      <c r="C80" s="495">
        <v>20.5</v>
      </c>
      <c r="D80" s="100">
        <v>15.1</v>
      </c>
      <c r="E80" s="100">
        <v>5.4</v>
      </c>
      <c r="F80" s="100">
        <v>25.6</v>
      </c>
      <c r="G80" s="100">
        <v>17.7</v>
      </c>
      <c r="H80" s="100">
        <v>7.9</v>
      </c>
      <c r="I80" s="102">
        <v>40.1</v>
      </c>
      <c r="J80" s="102">
        <v>21.2</v>
      </c>
      <c r="K80" s="102">
        <v>6.9</v>
      </c>
      <c r="L80" s="102">
        <v>12</v>
      </c>
      <c r="M80" s="100">
        <v>22.9</v>
      </c>
      <c r="N80" s="100">
        <v>7.4</v>
      </c>
      <c r="O80" s="100">
        <v>15.4</v>
      </c>
      <c r="P80" s="77"/>
      <c r="Q80" s="72"/>
      <c r="R80" s="72"/>
      <c r="S80" s="77"/>
      <c r="T80" s="77"/>
      <c r="U80" s="77"/>
      <c r="V80" s="104"/>
      <c r="W80" s="519"/>
      <c r="X80" s="100"/>
      <c r="Y80" s="100"/>
      <c r="Z80" s="100"/>
      <c r="AA80" s="100"/>
      <c r="AB80" s="100"/>
      <c r="AC80" s="100"/>
      <c r="AD80" s="102"/>
      <c r="AE80" s="100"/>
    </row>
    <row r="81" spans="1:31" s="55" customFormat="1" ht="15">
      <c r="A81" s="104" t="s">
        <v>578</v>
      </c>
      <c r="B81" s="100">
        <v>0.8</v>
      </c>
      <c r="C81" s="495" t="s">
        <v>575</v>
      </c>
      <c r="D81" s="100" t="s">
        <v>575</v>
      </c>
      <c r="E81" s="100" t="s">
        <v>575</v>
      </c>
      <c r="F81" s="100" t="s">
        <v>575</v>
      </c>
      <c r="G81" s="100" t="s">
        <v>575</v>
      </c>
      <c r="H81" s="100" t="s">
        <v>575</v>
      </c>
      <c r="I81" s="102" t="s">
        <v>574</v>
      </c>
      <c r="J81" s="102" t="s">
        <v>574</v>
      </c>
      <c r="K81" s="102" t="s">
        <v>575</v>
      </c>
      <c r="L81" s="102" t="s">
        <v>575</v>
      </c>
      <c r="M81" s="100">
        <v>0.6</v>
      </c>
      <c r="N81" s="100" t="s">
        <v>574</v>
      </c>
      <c r="O81" s="100">
        <v>0.5</v>
      </c>
      <c r="Q81" s="62"/>
      <c r="R81" s="62"/>
      <c r="V81" s="104"/>
      <c r="W81" s="519"/>
      <c r="X81" s="100"/>
      <c r="Y81" s="100"/>
      <c r="Z81" s="100"/>
      <c r="AA81" s="100"/>
      <c r="AB81" s="100"/>
      <c r="AC81" s="100"/>
      <c r="AD81" s="102"/>
      <c r="AE81" s="100"/>
    </row>
    <row r="82" spans="1:31" s="55" customFormat="1" ht="15">
      <c r="B82" s="100"/>
      <c r="C82" s="495"/>
      <c r="D82" s="100"/>
      <c r="E82" s="100"/>
      <c r="F82" s="100"/>
      <c r="G82" s="100"/>
      <c r="H82" s="100"/>
      <c r="I82" s="102"/>
      <c r="J82" s="102"/>
      <c r="K82" s="102"/>
      <c r="L82" s="102"/>
      <c r="M82" s="100"/>
      <c r="N82" s="100"/>
      <c r="O82" s="100"/>
      <c r="P82" s="77"/>
      <c r="Q82" s="62"/>
      <c r="R82" s="62"/>
      <c r="S82" s="77"/>
      <c r="T82" s="77"/>
      <c r="U82" s="77"/>
      <c r="W82" s="519"/>
      <c r="X82" s="100"/>
      <c r="Y82" s="100"/>
      <c r="Z82" s="100"/>
      <c r="AA82" s="100"/>
      <c r="AB82" s="100"/>
      <c r="AC82" s="100"/>
      <c r="AD82" s="102"/>
      <c r="AE82" s="100"/>
    </row>
    <row r="83" spans="1:31" s="55" customFormat="1" ht="15">
      <c r="A83" s="57" t="s">
        <v>579</v>
      </c>
      <c r="B83" s="100">
        <f>B84+B90+B96+B100+B104+B108+B109</f>
        <v>122.9</v>
      </c>
      <c r="C83" s="495"/>
      <c r="D83" s="100">
        <f t="shared" ref="D83:N83" si="71">D84+D90+D96+D100+D104+D108+D109</f>
        <v>15.9</v>
      </c>
      <c r="E83" s="100">
        <f t="shared" si="71"/>
        <v>6.1</v>
      </c>
      <c r="F83" s="100"/>
      <c r="G83" s="100">
        <f t="shared" si="71"/>
        <v>19</v>
      </c>
      <c r="H83" s="100">
        <f>H84+H90+H96+H100+H104+H108+H109</f>
        <v>8.6999999999999993</v>
      </c>
      <c r="I83" s="100"/>
      <c r="J83" s="100">
        <f t="shared" si="71"/>
        <v>25.500000000000004</v>
      </c>
      <c r="K83" s="100">
        <f t="shared" si="71"/>
        <v>7.9999999999999991</v>
      </c>
      <c r="L83" s="100">
        <f t="shared" si="71"/>
        <v>13.099999999999998</v>
      </c>
      <c r="M83" s="100"/>
      <c r="N83" s="100">
        <f t="shared" si="71"/>
        <v>8.1</v>
      </c>
      <c r="O83" s="100">
        <f>O84+O90+O96+O100+O104+O108+O109</f>
        <v>18.100000000000001</v>
      </c>
      <c r="Q83" s="72"/>
      <c r="R83" s="72"/>
      <c r="V83" s="57"/>
      <c r="W83" s="519"/>
      <c r="X83" s="100"/>
      <c r="Y83" s="100"/>
      <c r="Z83" s="100"/>
      <c r="AA83" s="100"/>
      <c r="AB83" s="100"/>
      <c r="AC83" s="100"/>
      <c r="AD83" s="102"/>
      <c r="AE83" s="100"/>
    </row>
    <row r="84" spans="1:31" s="57" customFormat="1" ht="15">
      <c r="A84" s="105" t="s">
        <v>580</v>
      </c>
      <c r="B84" s="106">
        <v>58.2</v>
      </c>
      <c r="C84" s="496">
        <v>11.4</v>
      </c>
      <c r="D84" s="106">
        <f>9.1+0.1</f>
        <v>9.1999999999999993</v>
      </c>
      <c r="E84" s="106">
        <v>2.2999999999999998</v>
      </c>
      <c r="F84" s="106">
        <v>18.399999999999999</v>
      </c>
      <c r="G84" s="106">
        <f>13.1+0.3</f>
        <v>13.4</v>
      </c>
      <c r="H84" s="106">
        <v>5.3</v>
      </c>
      <c r="I84" s="107">
        <v>13.6</v>
      </c>
      <c r="J84" s="107">
        <v>5.6</v>
      </c>
      <c r="K84" s="107">
        <v>2.2999999999999998</v>
      </c>
      <c r="L84" s="107">
        <f>SUM(L85:L89)</f>
        <v>5.5999999999999988</v>
      </c>
      <c r="M84" s="106">
        <v>14.7</v>
      </c>
      <c r="N84" s="106">
        <v>4.5999999999999996</v>
      </c>
      <c r="O84" s="106">
        <f>SUM(O85:O89)</f>
        <v>10.1</v>
      </c>
      <c r="P84" s="108"/>
      <c r="Q84" s="109"/>
      <c r="R84" s="109"/>
      <c r="S84" s="108"/>
      <c r="T84" s="108"/>
      <c r="U84" s="108"/>
      <c r="V84" s="104"/>
      <c r="W84" s="519"/>
      <c r="X84" s="100"/>
      <c r="Y84" s="100"/>
      <c r="Z84" s="100"/>
      <c r="AA84" s="100"/>
      <c r="AB84" s="100"/>
      <c r="AC84" s="100"/>
      <c r="AD84" s="102"/>
      <c r="AE84" s="100"/>
    </row>
    <row r="85" spans="1:31" s="55" customFormat="1">
      <c r="A85" s="110" t="s">
        <v>581</v>
      </c>
      <c r="B85" s="100">
        <f t="shared" ref="B85:B89" si="72">D85+E85+G85+H85+J85+K85+L85+N85+O85</f>
        <v>44.8</v>
      </c>
      <c r="C85" s="495">
        <v>6.1</v>
      </c>
      <c r="D85" s="100">
        <f>5.3</f>
        <v>5.3</v>
      </c>
      <c r="E85" s="100">
        <v>0.8</v>
      </c>
      <c r="F85" s="100">
        <v>16.2</v>
      </c>
      <c r="G85" s="100">
        <f>11.6</f>
        <v>11.6</v>
      </c>
      <c r="H85" s="100">
        <v>4.7</v>
      </c>
      <c r="I85" s="102">
        <v>11</v>
      </c>
      <c r="J85" s="102">
        <v>4.4000000000000004</v>
      </c>
      <c r="K85" s="102">
        <v>1.9</v>
      </c>
      <c r="L85" s="102">
        <v>4.5999999999999996</v>
      </c>
      <c r="M85" s="100">
        <v>11.4</v>
      </c>
      <c r="N85" s="100">
        <v>4</v>
      </c>
      <c r="O85" s="100">
        <f>7.4+0.1</f>
        <v>7.5</v>
      </c>
      <c r="Q85" s="72"/>
      <c r="R85" s="72"/>
      <c r="V85" s="110"/>
      <c r="W85" s="519"/>
      <c r="X85" s="100"/>
      <c r="Y85" s="100"/>
      <c r="Z85" s="100"/>
      <c r="AA85" s="100"/>
      <c r="AB85" s="100"/>
      <c r="AC85" s="100"/>
      <c r="AD85" s="102"/>
      <c r="AE85" s="100"/>
    </row>
    <row r="86" spans="1:31" s="55" customFormat="1">
      <c r="A86" s="110" t="s">
        <v>582</v>
      </c>
      <c r="B86" s="100">
        <f t="shared" si="72"/>
        <v>8.2000000000000011</v>
      </c>
      <c r="C86" s="495">
        <v>4.9000000000000004</v>
      </c>
      <c r="D86" s="100">
        <v>3.6</v>
      </c>
      <c r="E86" s="100">
        <v>1.3</v>
      </c>
      <c r="F86" s="100">
        <v>1.6</v>
      </c>
      <c r="G86" s="100">
        <v>1.2</v>
      </c>
      <c r="H86" s="100">
        <v>0.4</v>
      </c>
      <c r="I86" s="102">
        <v>1.1000000000000001</v>
      </c>
      <c r="J86" s="102">
        <v>0.8</v>
      </c>
      <c r="K86" s="102">
        <v>0.2</v>
      </c>
      <c r="L86" s="102">
        <v>0.1</v>
      </c>
      <c r="M86" s="100">
        <v>0.6</v>
      </c>
      <c r="N86" s="100">
        <v>0.3</v>
      </c>
      <c r="O86" s="100">
        <v>0.3</v>
      </c>
      <c r="P86" s="77"/>
      <c r="Q86" s="72"/>
      <c r="R86" s="72"/>
      <c r="S86" s="77"/>
      <c r="T86" s="77"/>
      <c r="U86" s="77"/>
      <c r="V86" s="110"/>
      <c r="W86" s="519"/>
      <c r="X86" s="100"/>
      <c r="Y86" s="100"/>
      <c r="Z86" s="100"/>
      <c r="AA86" s="100"/>
      <c r="AB86" s="100"/>
      <c r="AC86" s="100"/>
      <c r="AD86" s="102"/>
      <c r="AE86" s="100"/>
    </row>
    <row r="87" spans="1:31" s="55" customFormat="1">
      <c r="A87" s="110" t="s">
        <v>583</v>
      </c>
      <c r="B87" s="100">
        <f t="shared" si="72"/>
        <v>1.8</v>
      </c>
      <c r="C87" s="495">
        <v>0.1</v>
      </c>
      <c r="D87" s="100">
        <v>0</v>
      </c>
      <c r="E87" s="100">
        <v>0</v>
      </c>
      <c r="F87" s="100">
        <v>0.4</v>
      </c>
      <c r="G87" s="100">
        <v>0</v>
      </c>
      <c r="H87" s="100">
        <v>0</v>
      </c>
      <c r="I87" s="102">
        <v>0.2</v>
      </c>
      <c r="J87" s="111">
        <v>0</v>
      </c>
      <c r="K87" s="111">
        <v>0.1</v>
      </c>
      <c r="L87" s="111">
        <v>0.1</v>
      </c>
      <c r="M87" s="111">
        <v>1.6</v>
      </c>
      <c r="N87" s="100">
        <v>0.3</v>
      </c>
      <c r="O87" s="100">
        <v>1.3</v>
      </c>
      <c r="P87" s="77"/>
      <c r="Q87" s="72"/>
      <c r="R87" s="72"/>
      <c r="S87" s="77"/>
      <c r="T87" s="77"/>
      <c r="U87" s="77"/>
      <c r="V87" s="110"/>
      <c r="W87" s="519"/>
      <c r="X87" s="100"/>
      <c r="Y87" s="100"/>
      <c r="Z87" s="100"/>
      <c r="AA87" s="100"/>
      <c r="AB87" s="100"/>
      <c r="AC87" s="100"/>
      <c r="AD87" s="102"/>
      <c r="AE87" s="100"/>
    </row>
    <row r="88" spans="1:31" s="55" customFormat="1">
      <c r="A88" s="110" t="s">
        <v>584</v>
      </c>
      <c r="B88" s="100">
        <f t="shared" si="72"/>
        <v>2.9999999999999982</v>
      </c>
      <c r="C88" s="495">
        <v>0.1</v>
      </c>
      <c r="D88" s="100">
        <f>D84-D85-D86</f>
        <v>0.29999999999999938</v>
      </c>
      <c r="E88" s="100">
        <f>E84-E85-E86</f>
        <v>0.19999999999999973</v>
      </c>
      <c r="F88" s="100">
        <v>0.2</v>
      </c>
      <c r="G88" s="100">
        <f>G84-G85-G86</f>
        <v>0.60000000000000075</v>
      </c>
      <c r="H88" s="100">
        <f>H84-H85-H86</f>
        <v>0.19999999999999962</v>
      </c>
      <c r="I88" s="102">
        <v>0.9</v>
      </c>
      <c r="J88" s="111">
        <f>J84-J85-J86</f>
        <v>0.39999999999999925</v>
      </c>
      <c r="K88" s="111">
        <v>0</v>
      </c>
      <c r="L88" s="111">
        <v>0.5</v>
      </c>
      <c r="M88" s="111">
        <v>0.8</v>
      </c>
      <c r="N88" s="100">
        <v>0</v>
      </c>
      <c r="O88" s="100">
        <v>0.8</v>
      </c>
      <c r="P88" s="77"/>
      <c r="Q88" s="72"/>
      <c r="R88" s="72"/>
      <c r="S88" s="77"/>
      <c r="T88" s="77"/>
      <c r="U88" s="77"/>
      <c r="V88" s="110"/>
      <c r="W88" s="519"/>
      <c r="X88" s="100"/>
      <c r="Y88" s="100"/>
      <c r="Z88" s="100"/>
      <c r="AA88" s="100"/>
      <c r="AB88" s="100"/>
      <c r="AC88" s="100"/>
      <c r="AD88" s="102"/>
      <c r="AE88" s="100"/>
    </row>
    <row r="89" spans="1:31" s="55" customFormat="1">
      <c r="A89" s="110" t="s">
        <v>585</v>
      </c>
      <c r="B89" s="100">
        <f t="shared" si="72"/>
        <v>0.5</v>
      </c>
      <c r="C89" s="495">
        <v>0.2</v>
      </c>
      <c r="D89" s="100">
        <v>0</v>
      </c>
      <c r="E89" s="100">
        <v>0</v>
      </c>
      <c r="F89" s="100">
        <v>0</v>
      </c>
      <c r="G89" s="100">
        <v>0</v>
      </c>
      <c r="H89" s="100">
        <v>0</v>
      </c>
      <c r="I89" s="102">
        <v>0.4</v>
      </c>
      <c r="J89" s="111">
        <v>0</v>
      </c>
      <c r="K89" s="111">
        <v>0</v>
      </c>
      <c r="L89" s="111">
        <v>0.3</v>
      </c>
      <c r="M89" s="111">
        <v>0.3</v>
      </c>
      <c r="N89" s="100">
        <v>0</v>
      </c>
      <c r="O89" s="100">
        <v>0.2</v>
      </c>
      <c r="P89" s="77"/>
      <c r="Q89" s="72"/>
      <c r="R89" s="72"/>
      <c r="S89" s="77"/>
      <c r="T89" s="77"/>
      <c r="U89" s="77"/>
      <c r="V89" s="110"/>
      <c r="W89" s="519"/>
      <c r="X89" s="100"/>
      <c r="Y89" s="100"/>
      <c r="Z89" s="100"/>
      <c r="AA89" s="100"/>
      <c r="AB89" s="100"/>
      <c r="AC89" s="100"/>
      <c r="AD89" s="102"/>
      <c r="AE89" s="100"/>
    </row>
    <row r="90" spans="1:31" s="57" customFormat="1" ht="15">
      <c r="A90" s="105" t="s">
        <v>347</v>
      </c>
      <c r="B90" s="106">
        <v>33.700000000000003</v>
      </c>
      <c r="C90" s="496">
        <v>1.6</v>
      </c>
      <c r="D90" s="106">
        <v>1.3</v>
      </c>
      <c r="E90" s="106">
        <v>0.3</v>
      </c>
      <c r="F90" s="106">
        <v>3.5</v>
      </c>
      <c r="G90" s="106">
        <v>2.1</v>
      </c>
      <c r="H90" s="106">
        <v>1.4</v>
      </c>
      <c r="I90" s="107">
        <v>22.1</v>
      </c>
      <c r="J90" s="75">
        <f>13.5</f>
        <v>13.5</v>
      </c>
      <c r="K90" s="75">
        <f>3.4</f>
        <v>3.4</v>
      </c>
      <c r="L90" s="75">
        <f>SUM(L91:L95)</f>
        <v>5</v>
      </c>
      <c r="M90" s="75">
        <v>6.5</v>
      </c>
      <c r="N90" s="106">
        <v>1.8</v>
      </c>
      <c r="O90" s="106">
        <f>4.7</f>
        <v>4.7</v>
      </c>
      <c r="P90" s="108"/>
      <c r="Q90" s="109"/>
      <c r="R90" s="109"/>
      <c r="S90" s="108"/>
      <c r="T90" s="108"/>
      <c r="U90" s="108"/>
      <c r="V90" s="104"/>
      <c r="W90" s="519"/>
      <c r="X90" s="100"/>
      <c r="Y90" s="100"/>
      <c r="Z90" s="100"/>
      <c r="AA90" s="100"/>
      <c r="AB90" s="100"/>
      <c r="AC90" s="100"/>
      <c r="AD90" s="102"/>
      <c r="AE90" s="100"/>
    </row>
    <row r="91" spans="1:31" s="55" customFormat="1" ht="15">
      <c r="A91" s="110" t="s">
        <v>586</v>
      </c>
      <c r="B91" s="100">
        <f t="shared" ref="B91:B95" si="73">D91+E91+G91+H91+J91+K91+L91+N91+O91</f>
        <v>5.0999999999999996</v>
      </c>
      <c r="C91" s="495">
        <v>0.9</v>
      </c>
      <c r="D91" s="100">
        <v>0.7</v>
      </c>
      <c r="E91" s="100">
        <v>0.2</v>
      </c>
      <c r="F91" s="100">
        <v>1.1000000000000001</v>
      </c>
      <c r="G91" s="100">
        <v>0.8</v>
      </c>
      <c r="H91" s="100">
        <v>0.3</v>
      </c>
      <c r="I91" s="102">
        <v>1.5</v>
      </c>
      <c r="J91" s="111">
        <v>1.1000000000000001</v>
      </c>
      <c r="K91" s="111">
        <v>0.3</v>
      </c>
      <c r="L91" s="111">
        <v>0.1</v>
      </c>
      <c r="M91" s="111">
        <v>1.6</v>
      </c>
      <c r="N91" s="100">
        <v>0.3</v>
      </c>
      <c r="O91" s="100">
        <v>1.3</v>
      </c>
      <c r="P91" s="77"/>
      <c r="Q91" s="72"/>
      <c r="R91" s="72"/>
      <c r="S91" s="77"/>
      <c r="T91" s="108"/>
      <c r="U91" s="108"/>
      <c r="V91" s="110"/>
      <c r="W91" s="519"/>
      <c r="X91" s="100"/>
      <c r="Y91" s="100"/>
      <c r="Z91" s="100"/>
      <c r="AA91" s="100"/>
      <c r="AB91" s="100"/>
      <c r="AC91" s="100"/>
      <c r="AD91" s="102"/>
      <c r="AE91" s="100"/>
    </row>
    <row r="92" spans="1:31" s="55" customFormat="1" ht="15">
      <c r="A92" s="110" t="s">
        <v>581</v>
      </c>
      <c r="B92" s="100">
        <f t="shared" si="73"/>
        <v>16.100000000000001</v>
      </c>
      <c r="C92" s="495">
        <v>0.3</v>
      </c>
      <c r="D92" s="100">
        <v>0.2</v>
      </c>
      <c r="E92" s="100">
        <f>C92-D92</f>
        <v>9.9999999999999978E-2</v>
      </c>
      <c r="F92" s="100">
        <v>1.4</v>
      </c>
      <c r="G92" s="100">
        <f>F92-H92</f>
        <v>0.7</v>
      </c>
      <c r="H92" s="100">
        <v>0.7</v>
      </c>
      <c r="I92" s="102">
        <v>11</v>
      </c>
      <c r="J92" s="111">
        <v>5.2</v>
      </c>
      <c r="K92" s="111">
        <v>2</v>
      </c>
      <c r="L92" s="111">
        <v>3.8</v>
      </c>
      <c r="M92" s="111">
        <v>3.4</v>
      </c>
      <c r="N92" s="100">
        <v>0.9</v>
      </c>
      <c r="O92" s="100">
        <v>2.5</v>
      </c>
      <c r="P92" s="77"/>
      <c r="Q92" s="72"/>
      <c r="R92" s="72"/>
      <c r="S92" s="77"/>
      <c r="T92" s="108"/>
      <c r="U92" s="108"/>
      <c r="V92" s="110"/>
      <c r="W92" s="519"/>
      <c r="X92" s="100"/>
      <c r="Y92" s="100"/>
      <c r="Z92" s="100"/>
      <c r="AA92" s="100"/>
      <c r="AB92" s="100"/>
      <c r="AC92" s="100"/>
      <c r="AD92" s="102"/>
      <c r="AE92" s="100"/>
    </row>
    <row r="93" spans="1:31" s="55" customFormat="1" ht="15">
      <c r="A93" s="110" t="s">
        <v>587</v>
      </c>
      <c r="B93" s="100">
        <f t="shared" si="73"/>
        <v>9.1</v>
      </c>
      <c r="C93" s="495">
        <f>D93+E93</f>
        <v>0.1</v>
      </c>
      <c r="D93" s="100">
        <v>0.1</v>
      </c>
      <c r="E93" s="100">
        <v>0</v>
      </c>
      <c r="F93" s="100">
        <v>0.8</v>
      </c>
      <c r="G93" s="100">
        <v>0.6</v>
      </c>
      <c r="H93" s="100">
        <f>F93-G93</f>
        <v>0.20000000000000007</v>
      </c>
      <c r="I93" s="102">
        <v>7.2</v>
      </c>
      <c r="J93" s="111">
        <v>5.6</v>
      </c>
      <c r="K93" s="111">
        <v>1.1000000000000001</v>
      </c>
      <c r="L93" s="111">
        <v>0.5</v>
      </c>
      <c r="M93" s="111">
        <v>1</v>
      </c>
      <c r="N93" s="100">
        <v>0.5</v>
      </c>
      <c r="O93" s="100">
        <v>0.5</v>
      </c>
      <c r="Q93" s="72"/>
      <c r="R93" s="72"/>
      <c r="S93" s="77"/>
      <c r="T93" s="108"/>
      <c r="U93" s="108"/>
      <c r="V93" s="110"/>
      <c r="W93" s="519"/>
      <c r="X93" s="100"/>
      <c r="Y93" s="100"/>
      <c r="Z93" s="100"/>
      <c r="AA93" s="100"/>
      <c r="AB93" s="100"/>
      <c r="AC93" s="100"/>
      <c r="AD93" s="102"/>
      <c r="AE93" s="100"/>
    </row>
    <row r="94" spans="1:31" s="55" customFormat="1" ht="15">
      <c r="A94" s="110" t="s">
        <v>588</v>
      </c>
      <c r="B94" s="100">
        <f t="shared" si="73"/>
        <v>1.5</v>
      </c>
      <c r="C94" s="495">
        <f>D94+E94</f>
        <v>0.1</v>
      </c>
      <c r="D94" s="100">
        <v>0.1</v>
      </c>
      <c r="E94" s="100">
        <v>0</v>
      </c>
      <c r="F94" s="100">
        <v>0</v>
      </c>
      <c r="G94" s="100">
        <v>0</v>
      </c>
      <c r="H94" s="100">
        <v>0</v>
      </c>
      <c r="I94" s="102">
        <v>0.9</v>
      </c>
      <c r="J94" s="111">
        <f>I94-K94-L94</f>
        <v>0.4</v>
      </c>
      <c r="K94" s="111">
        <v>0</v>
      </c>
      <c r="L94" s="111">
        <v>0.5</v>
      </c>
      <c r="M94" s="111">
        <v>0.5</v>
      </c>
      <c r="N94" s="100">
        <f>M94-O94</f>
        <v>9.9999999999999978E-2</v>
      </c>
      <c r="O94" s="100">
        <v>0.4</v>
      </c>
      <c r="Q94" s="72"/>
      <c r="R94" s="72"/>
      <c r="S94" s="77"/>
      <c r="T94" s="108"/>
      <c r="U94" s="108"/>
      <c r="V94" s="110"/>
      <c r="W94" s="519"/>
      <c r="X94" s="100"/>
      <c r="Y94" s="100"/>
      <c r="Z94" s="100"/>
      <c r="AA94" s="100"/>
      <c r="AB94" s="100"/>
      <c r="AC94" s="100"/>
      <c r="AD94" s="102"/>
      <c r="AE94" s="100"/>
    </row>
    <row r="95" spans="1:31" s="55" customFormat="1" ht="15">
      <c r="A95" s="110" t="s">
        <v>585</v>
      </c>
      <c r="B95" s="100">
        <f t="shared" si="73"/>
        <v>1.8000000000000003</v>
      </c>
      <c r="C95" s="495">
        <v>0.2</v>
      </c>
      <c r="D95" s="100">
        <v>0.2</v>
      </c>
      <c r="E95" s="100">
        <v>0</v>
      </c>
      <c r="F95" s="100">
        <v>0</v>
      </c>
      <c r="G95" s="100">
        <v>0</v>
      </c>
      <c r="H95" s="100">
        <v>0.2</v>
      </c>
      <c r="I95" s="102">
        <v>1.4</v>
      </c>
      <c r="J95" s="111">
        <v>1.2</v>
      </c>
      <c r="K95" s="111">
        <v>0.1</v>
      </c>
      <c r="L95" s="111">
        <v>0.1</v>
      </c>
      <c r="M95" s="111">
        <v>0</v>
      </c>
      <c r="N95" s="100">
        <v>0</v>
      </c>
      <c r="O95" s="100">
        <v>0</v>
      </c>
      <c r="Q95" s="72"/>
      <c r="R95" s="72"/>
      <c r="S95" s="77"/>
      <c r="T95" s="108"/>
      <c r="U95" s="108"/>
      <c r="V95" s="110"/>
      <c r="W95" s="519"/>
      <c r="X95" s="100"/>
      <c r="Y95" s="100"/>
      <c r="Z95" s="100"/>
      <c r="AA95" s="100"/>
      <c r="AB95" s="100"/>
      <c r="AC95" s="100"/>
      <c r="AD95" s="102"/>
      <c r="AE95" s="100"/>
    </row>
    <row r="96" spans="1:31" s="57" customFormat="1" ht="15">
      <c r="A96" s="105" t="s">
        <v>589</v>
      </c>
      <c r="B96" s="106">
        <f>C96+F96+I96+M96</f>
        <v>7.7</v>
      </c>
      <c r="C96" s="496">
        <v>6.2</v>
      </c>
      <c r="D96" s="106">
        <v>3.8</v>
      </c>
      <c r="E96" s="106">
        <f>2.4+0.1</f>
        <v>2.5</v>
      </c>
      <c r="F96" s="106">
        <v>0.7</v>
      </c>
      <c r="G96" s="106">
        <v>0.7</v>
      </c>
      <c r="H96" s="106">
        <f>H98</f>
        <v>9.9999999999999978E-2</v>
      </c>
      <c r="I96" s="107">
        <v>0.5</v>
      </c>
      <c r="J96" s="75">
        <v>0.5</v>
      </c>
      <c r="K96" s="75">
        <v>0</v>
      </c>
      <c r="L96" s="75">
        <v>0</v>
      </c>
      <c r="M96" s="75">
        <v>0.3</v>
      </c>
      <c r="N96" s="106">
        <v>0.2</v>
      </c>
      <c r="O96" s="106">
        <v>0.1</v>
      </c>
      <c r="Q96" s="109"/>
      <c r="R96" s="109"/>
      <c r="S96" s="108"/>
      <c r="T96" s="108"/>
      <c r="U96" s="108"/>
      <c r="V96" s="104"/>
      <c r="W96" s="519"/>
      <c r="X96" s="100"/>
      <c r="Y96" s="100"/>
      <c r="Z96" s="100"/>
      <c r="AA96" s="100"/>
      <c r="AB96" s="100"/>
      <c r="AC96" s="100"/>
      <c r="AD96" s="102"/>
      <c r="AE96" s="100"/>
    </row>
    <row r="97" spans="1:31" s="55" customFormat="1">
      <c r="A97" s="110" t="s">
        <v>582</v>
      </c>
      <c r="B97" s="100">
        <f>D97+E97+G97+H97+J97+K97+L97+N97+O97</f>
        <v>4.9000000000000004</v>
      </c>
      <c r="C97" s="495">
        <v>4.3</v>
      </c>
      <c r="D97" s="100">
        <v>2.8</v>
      </c>
      <c r="E97" s="100">
        <f>1.5+0.1</f>
        <v>1.6</v>
      </c>
      <c r="F97" s="100">
        <v>0.3</v>
      </c>
      <c r="G97" s="100">
        <f>G96-G98</f>
        <v>0.29999999999999993</v>
      </c>
      <c r="H97" s="100">
        <v>0</v>
      </c>
      <c r="I97" s="100">
        <v>0</v>
      </c>
      <c r="J97" s="111">
        <f>J96-J98</f>
        <v>0.2</v>
      </c>
      <c r="K97" s="111">
        <v>0</v>
      </c>
      <c r="L97" s="111">
        <v>0</v>
      </c>
      <c r="M97" s="111">
        <v>0.1</v>
      </c>
      <c r="N97" s="100">
        <v>0</v>
      </c>
      <c r="O97" s="100">
        <v>0</v>
      </c>
      <c r="Q97" s="72"/>
      <c r="R97" s="72"/>
      <c r="S97" s="77"/>
      <c r="T97" s="77"/>
      <c r="U97" s="77"/>
      <c r="V97" s="110"/>
      <c r="W97" s="519"/>
      <c r="X97" s="100"/>
      <c r="Y97" s="100"/>
      <c r="Z97" s="100"/>
      <c r="AA97" s="100"/>
      <c r="AB97" s="100"/>
      <c r="AC97" s="100"/>
      <c r="AD97" s="102"/>
      <c r="AE97" s="100"/>
    </row>
    <row r="98" spans="1:31" s="55" customFormat="1">
      <c r="A98" s="110" t="s">
        <v>581</v>
      </c>
      <c r="B98" s="100">
        <f t="shared" ref="B98:B99" si="74">D98+E98+G98+H98+J98+K98+L98+N98+O98</f>
        <v>2.8000000000000003</v>
      </c>
      <c r="C98" s="495">
        <v>1.8</v>
      </c>
      <c r="D98" s="100">
        <v>0.9</v>
      </c>
      <c r="E98" s="100">
        <v>0.9</v>
      </c>
      <c r="F98" s="100">
        <v>0.5</v>
      </c>
      <c r="G98" s="100">
        <v>0.4</v>
      </c>
      <c r="H98" s="100">
        <f>F98-G98</f>
        <v>9.9999999999999978E-2</v>
      </c>
      <c r="I98" s="102">
        <v>0.3</v>
      </c>
      <c r="J98" s="111">
        <v>0.3</v>
      </c>
      <c r="K98" s="111">
        <v>0</v>
      </c>
      <c r="L98" s="111">
        <v>0</v>
      </c>
      <c r="M98" s="111">
        <v>0.2</v>
      </c>
      <c r="N98" s="100">
        <v>0.2</v>
      </c>
      <c r="O98" s="100">
        <v>0</v>
      </c>
      <c r="Q98" s="72"/>
      <c r="R98" s="72"/>
      <c r="S98" s="77"/>
      <c r="T98" s="77"/>
      <c r="U98" s="77"/>
      <c r="V98" s="110"/>
      <c r="W98" s="519"/>
      <c r="X98" s="100"/>
      <c r="Y98" s="100"/>
      <c r="Z98" s="100"/>
      <c r="AA98" s="100"/>
      <c r="AB98" s="100"/>
      <c r="AC98" s="100"/>
      <c r="AD98" s="102"/>
      <c r="AE98" s="100"/>
    </row>
    <row r="99" spans="1:31" s="55" customFormat="1">
      <c r="A99" s="110" t="s">
        <v>585</v>
      </c>
      <c r="B99" s="100">
        <f t="shared" si="74"/>
        <v>0.19999999999999998</v>
      </c>
      <c r="C99" s="495">
        <v>0.1</v>
      </c>
      <c r="D99" s="100">
        <f>D96-D97-D98</f>
        <v>9.9999999999999978E-2</v>
      </c>
      <c r="E99" s="100">
        <v>0</v>
      </c>
      <c r="F99" s="100">
        <v>0</v>
      </c>
      <c r="G99" s="100">
        <v>0</v>
      </c>
      <c r="H99" s="100">
        <v>0</v>
      </c>
      <c r="I99" s="100">
        <v>0</v>
      </c>
      <c r="J99" s="111">
        <v>0</v>
      </c>
      <c r="K99" s="111">
        <v>0</v>
      </c>
      <c r="L99" s="111">
        <v>0</v>
      </c>
      <c r="M99" s="111">
        <v>0.1</v>
      </c>
      <c r="N99" s="100">
        <v>0</v>
      </c>
      <c r="O99" s="100">
        <v>0.1</v>
      </c>
      <c r="Q99" s="72"/>
      <c r="R99" s="72"/>
      <c r="T99" s="77"/>
      <c r="V99" s="110"/>
      <c r="W99" s="519"/>
      <c r="X99" s="100"/>
      <c r="Y99" s="100"/>
      <c r="Z99" s="100"/>
      <c r="AA99" s="100"/>
      <c r="AB99" s="100"/>
      <c r="AC99" s="100"/>
      <c r="AD99" s="102"/>
      <c r="AE99" s="100"/>
    </row>
    <row r="100" spans="1:31" s="57" customFormat="1" ht="15">
      <c r="A100" s="105" t="s">
        <v>543</v>
      </c>
      <c r="B100" s="100">
        <f>D100+E100+G100+H100+J100+K100+L100+N100+O100</f>
        <v>16</v>
      </c>
      <c r="C100" s="496">
        <v>0.5</v>
      </c>
      <c r="D100" s="106">
        <f>0.6+D103</f>
        <v>1.1000000000000001</v>
      </c>
      <c r="E100" s="106">
        <f>0.7+E103</f>
        <v>0.89999999999999991</v>
      </c>
      <c r="F100" s="106">
        <v>0.7</v>
      </c>
      <c r="G100" s="106">
        <f>0.1+G103</f>
        <v>1.7000000000000002</v>
      </c>
      <c r="H100" s="106">
        <f>0+H103</f>
        <v>1.1000000000000001</v>
      </c>
      <c r="I100" s="107">
        <v>0.9</v>
      </c>
      <c r="J100" s="75">
        <f>2.5+J103</f>
        <v>4.5999999999999996</v>
      </c>
      <c r="K100" s="75">
        <f>0.4+K103</f>
        <v>1.3</v>
      </c>
      <c r="L100" s="75">
        <f>0.7+L103</f>
        <v>1.7</v>
      </c>
      <c r="M100" s="75">
        <v>0.8</v>
      </c>
      <c r="N100" s="106">
        <f>0+N103</f>
        <v>0.9</v>
      </c>
      <c r="O100" s="106">
        <f>0.6+O103</f>
        <v>2.7</v>
      </c>
      <c r="Q100" s="109"/>
      <c r="R100" s="109"/>
      <c r="V100" s="104"/>
      <c r="W100" s="519"/>
      <c r="X100" s="100"/>
      <c r="Y100" s="100"/>
      <c r="Z100" s="100"/>
      <c r="AA100" s="100"/>
      <c r="AB100" s="100"/>
      <c r="AC100" s="100"/>
      <c r="AD100" s="102"/>
      <c r="AE100" s="100"/>
    </row>
    <row r="101" spans="1:31" s="55" customFormat="1">
      <c r="A101" s="110" t="s">
        <v>590</v>
      </c>
      <c r="B101" s="100">
        <v>2</v>
      </c>
      <c r="C101" s="495">
        <v>0.3</v>
      </c>
      <c r="D101" s="100">
        <f>D100</f>
        <v>1.1000000000000001</v>
      </c>
      <c r="E101" s="100" t="s">
        <v>574</v>
      </c>
      <c r="F101" s="100">
        <v>0.4</v>
      </c>
      <c r="G101" s="100" t="s">
        <v>574</v>
      </c>
      <c r="H101" s="100" t="s">
        <v>574</v>
      </c>
      <c r="I101" s="102">
        <v>0.7</v>
      </c>
      <c r="J101" s="102" t="s">
        <v>574</v>
      </c>
      <c r="K101" s="102">
        <v>0.2</v>
      </c>
      <c r="L101" s="102" t="s">
        <v>574</v>
      </c>
      <c r="M101" s="100">
        <v>0.5</v>
      </c>
      <c r="N101" s="100" t="s">
        <v>574</v>
      </c>
      <c r="O101" s="100">
        <v>0.3</v>
      </c>
      <c r="P101" s="77"/>
      <c r="Q101" s="72"/>
      <c r="R101" s="72"/>
      <c r="S101" s="77"/>
      <c r="T101" s="77"/>
      <c r="U101" s="77"/>
      <c r="V101" s="110"/>
      <c r="W101" s="519"/>
      <c r="X101" s="100"/>
      <c r="Y101" s="100"/>
      <c r="Z101" s="100"/>
      <c r="AA101" s="100"/>
      <c r="AB101" s="100"/>
      <c r="AC101" s="100"/>
      <c r="AD101" s="102"/>
      <c r="AE101" s="100"/>
    </row>
    <row r="102" spans="1:31" s="55" customFormat="1">
      <c r="A102" s="110" t="s">
        <v>585</v>
      </c>
      <c r="B102" s="100">
        <v>0.9</v>
      </c>
      <c r="C102" s="495" t="s">
        <v>574</v>
      </c>
      <c r="D102" s="100" t="s">
        <v>574</v>
      </c>
      <c r="E102" s="100" t="s">
        <v>574</v>
      </c>
      <c r="F102" s="100">
        <v>0.3</v>
      </c>
      <c r="G102" s="100" t="s">
        <v>574</v>
      </c>
      <c r="H102" s="100" t="s">
        <v>574</v>
      </c>
      <c r="I102" s="102" t="s">
        <v>574</v>
      </c>
      <c r="J102" s="102" t="s">
        <v>574</v>
      </c>
      <c r="K102" s="102" t="s">
        <v>574</v>
      </c>
      <c r="L102" s="102" t="s">
        <v>574</v>
      </c>
      <c r="M102" s="100">
        <v>0.3</v>
      </c>
      <c r="N102" s="100" t="s">
        <v>574</v>
      </c>
      <c r="O102" s="100" t="s">
        <v>574</v>
      </c>
      <c r="Q102" s="72"/>
      <c r="R102" s="72"/>
      <c r="S102" s="77"/>
      <c r="T102" s="77"/>
      <c r="U102" s="77"/>
      <c r="V102" s="110"/>
      <c r="W102" s="519"/>
      <c r="X102" s="100"/>
      <c r="Y102" s="100"/>
      <c r="Z102" s="100"/>
      <c r="AA102" s="100"/>
      <c r="AB102" s="100"/>
      <c r="AC102" s="100"/>
      <c r="AD102" s="102"/>
      <c r="AE102" s="100"/>
    </row>
    <row r="103" spans="1:31" s="55" customFormat="1">
      <c r="A103" s="110" t="s">
        <v>1211</v>
      </c>
      <c r="B103" s="100"/>
      <c r="C103" s="495"/>
      <c r="D103" s="100">
        <v>0.5</v>
      </c>
      <c r="E103" s="100">
        <v>0.2</v>
      </c>
      <c r="F103" s="100"/>
      <c r="G103" s="100">
        <v>1.6</v>
      </c>
      <c r="H103" s="100">
        <v>1.1000000000000001</v>
      </c>
      <c r="I103" s="102"/>
      <c r="J103" s="102">
        <v>2.1</v>
      </c>
      <c r="K103" s="102">
        <v>0.9</v>
      </c>
      <c r="L103" s="102">
        <v>1</v>
      </c>
      <c r="M103" s="100"/>
      <c r="N103" s="100">
        <v>0.9</v>
      </c>
      <c r="O103" s="100">
        <v>2.1</v>
      </c>
      <c r="Q103" s="72"/>
      <c r="R103" s="72"/>
      <c r="S103" s="77"/>
      <c r="T103" s="77"/>
      <c r="U103" s="77"/>
      <c r="V103" s="110"/>
      <c r="W103" s="519"/>
      <c r="X103" s="100"/>
      <c r="Y103" s="100"/>
      <c r="Z103" s="100"/>
      <c r="AA103" s="100"/>
      <c r="AB103" s="100"/>
      <c r="AC103" s="100"/>
      <c r="AD103" s="102"/>
      <c r="AE103" s="100"/>
    </row>
    <row r="104" spans="1:31" s="57" customFormat="1" ht="15">
      <c r="A104" s="105" t="s">
        <v>591</v>
      </c>
      <c r="B104" s="106">
        <f>C104+F104+I104+M104</f>
        <v>6</v>
      </c>
      <c r="C104" s="496">
        <v>0.4</v>
      </c>
      <c r="D104" s="106">
        <v>0.3</v>
      </c>
      <c r="E104" s="106">
        <f>0.1</f>
        <v>0.1</v>
      </c>
      <c r="F104" s="106">
        <v>1.9</v>
      </c>
      <c r="G104" s="106">
        <v>1.1000000000000001</v>
      </c>
      <c r="H104" s="106">
        <v>0.8</v>
      </c>
      <c r="I104" s="107">
        <v>2.7</v>
      </c>
      <c r="J104" s="107">
        <v>1</v>
      </c>
      <c r="K104" s="107">
        <v>0.9</v>
      </c>
      <c r="L104" s="107">
        <v>0.8</v>
      </c>
      <c r="M104" s="106">
        <v>1</v>
      </c>
      <c r="N104" s="106">
        <v>0.6</v>
      </c>
      <c r="O104" s="106">
        <v>0.4</v>
      </c>
      <c r="Q104" s="109"/>
      <c r="R104" s="109"/>
      <c r="S104" s="108"/>
      <c r="T104" s="108"/>
      <c r="U104" s="108"/>
      <c r="V104" s="104"/>
      <c r="W104" s="519"/>
      <c r="X104" s="100"/>
      <c r="Y104" s="100"/>
      <c r="Z104" s="100"/>
      <c r="AA104" s="100"/>
      <c r="AB104" s="100"/>
      <c r="AC104" s="100"/>
      <c r="AD104" s="102"/>
      <c r="AE104" s="100"/>
    </row>
    <row r="105" spans="1:31" s="55" customFormat="1">
      <c r="A105" s="110" t="s">
        <v>581</v>
      </c>
      <c r="B105" s="100">
        <v>4.0999999999999996</v>
      </c>
      <c r="C105" s="495">
        <v>0.3</v>
      </c>
      <c r="D105" s="100">
        <v>0.2</v>
      </c>
      <c r="E105" s="100">
        <f>E104</f>
        <v>0.1</v>
      </c>
      <c r="F105" s="100">
        <v>1.7</v>
      </c>
      <c r="G105" s="100">
        <v>1</v>
      </c>
      <c r="H105" s="100">
        <v>0.7</v>
      </c>
      <c r="I105" s="102">
        <v>1.5</v>
      </c>
      <c r="J105" s="102">
        <v>0.6</v>
      </c>
      <c r="K105" s="102">
        <v>0.5</v>
      </c>
      <c r="L105" s="102">
        <v>0.4</v>
      </c>
      <c r="M105" s="100">
        <v>0.6</v>
      </c>
      <c r="N105" s="100">
        <v>0.4</v>
      </c>
      <c r="O105" s="100">
        <v>0.2</v>
      </c>
      <c r="Q105" s="72"/>
      <c r="R105" s="72"/>
      <c r="S105" s="77"/>
      <c r="T105" s="77"/>
      <c r="U105" s="77"/>
      <c r="V105" s="110"/>
      <c r="W105" s="519"/>
      <c r="X105" s="100"/>
      <c r="Y105" s="100"/>
      <c r="Z105" s="100"/>
      <c r="AA105" s="100"/>
      <c r="AB105" s="100"/>
      <c r="AC105" s="100"/>
      <c r="AD105" s="102"/>
      <c r="AE105" s="100"/>
    </row>
    <row r="106" spans="1:31" s="55" customFormat="1">
      <c r="A106" s="110" t="s">
        <v>584</v>
      </c>
      <c r="B106" s="100">
        <v>0.9</v>
      </c>
      <c r="C106" s="495">
        <v>0.1</v>
      </c>
      <c r="D106" s="100">
        <f>D104-D105</f>
        <v>9.9999999999999978E-2</v>
      </c>
      <c r="E106" s="100">
        <v>0</v>
      </c>
      <c r="F106" s="100">
        <v>0</v>
      </c>
      <c r="G106" s="100">
        <v>0</v>
      </c>
      <c r="H106" s="100">
        <v>0</v>
      </c>
      <c r="I106" s="102">
        <v>0.7</v>
      </c>
      <c r="J106" s="100">
        <v>0</v>
      </c>
      <c r="K106" s="102">
        <v>0.3</v>
      </c>
      <c r="L106" s="102">
        <f>L104-L105</f>
        <v>0.4</v>
      </c>
      <c r="M106" s="100">
        <v>0.1</v>
      </c>
      <c r="N106" s="100">
        <v>0.1</v>
      </c>
      <c r="O106" s="100" t="s">
        <v>575</v>
      </c>
      <c r="Q106" s="72"/>
      <c r="R106" s="72"/>
      <c r="S106" s="77"/>
      <c r="T106" s="77"/>
      <c r="U106" s="77"/>
      <c r="V106" s="110"/>
      <c r="W106" s="519"/>
      <c r="X106" s="100"/>
      <c r="Y106" s="100"/>
      <c r="Z106" s="100"/>
      <c r="AA106" s="100"/>
      <c r="AB106" s="100"/>
      <c r="AC106" s="100"/>
      <c r="AD106" s="102"/>
      <c r="AE106" s="100"/>
    </row>
    <row r="107" spans="1:31" s="55" customFormat="1">
      <c r="A107" s="110" t="s">
        <v>585</v>
      </c>
      <c r="B107" s="100">
        <v>1</v>
      </c>
      <c r="C107" s="495">
        <v>0</v>
      </c>
      <c r="D107" s="100">
        <v>0</v>
      </c>
      <c r="E107" s="100">
        <v>0</v>
      </c>
      <c r="F107" s="100">
        <v>0.2</v>
      </c>
      <c r="G107" s="100">
        <v>0.1</v>
      </c>
      <c r="H107" s="100">
        <v>0.1</v>
      </c>
      <c r="I107" s="102">
        <v>0.4</v>
      </c>
      <c r="J107" s="100">
        <v>0.4</v>
      </c>
      <c r="K107" s="100">
        <v>0</v>
      </c>
      <c r="L107" s="100">
        <v>0</v>
      </c>
      <c r="M107" s="100">
        <v>0.3</v>
      </c>
      <c r="N107" s="100">
        <v>0.1</v>
      </c>
      <c r="O107" s="100">
        <v>0.2</v>
      </c>
      <c r="Q107" s="72"/>
      <c r="R107" s="72"/>
      <c r="V107" s="110"/>
      <c r="W107" s="519"/>
      <c r="X107" s="100"/>
      <c r="Y107" s="100"/>
      <c r="Z107" s="100"/>
      <c r="AA107" s="100"/>
      <c r="AB107" s="100"/>
      <c r="AC107" s="100"/>
      <c r="AD107" s="102"/>
      <c r="AE107" s="100"/>
    </row>
    <row r="108" spans="1:31" s="57" customFormat="1" ht="15">
      <c r="A108" s="105" t="s">
        <v>592</v>
      </c>
      <c r="B108" s="106">
        <f>C108+F108+I108+M108</f>
        <v>0.70000000000000007</v>
      </c>
      <c r="C108" s="496">
        <v>0.2</v>
      </c>
      <c r="D108" s="106">
        <v>0.2</v>
      </c>
      <c r="E108" s="100">
        <v>0</v>
      </c>
      <c r="F108" s="100">
        <v>0</v>
      </c>
      <c r="G108" s="100">
        <v>0</v>
      </c>
      <c r="H108" s="100">
        <v>0</v>
      </c>
      <c r="I108" s="107">
        <v>0.4</v>
      </c>
      <c r="J108" s="107">
        <v>0.3</v>
      </c>
      <c r="K108" s="102">
        <v>0.1</v>
      </c>
      <c r="L108" s="107">
        <v>0</v>
      </c>
      <c r="M108" s="100">
        <v>0.1</v>
      </c>
      <c r="N108" s="106">
        <v>0</v>
      </c>
      <c r="O108" s="106">
        <v>0.1</v>
      </c>
      <c r="Q108" s="109"/>
      <c r="R108" s="109"/>
      <c r="V108" s="104"/>
      <c r="W108" s="519"/>
      <c r="X108" s="100"/>
      <c r="Y108" s="100"/>
      <c r="Z108" s="100"/>
      <c r="AA108" s="100"/>
      <c r="AB108" s="100"/>
      <c r="AC108" s="100"/>
      <c r="AD108" s="102"/>
      <c r="AE108" s="100"/>
    </row>
    <row r="109" spans="1:31" s="57" customFormat="1" ht="15">
      <c r="A109" s="105" t="s">
        <v>593</v>
      </c>
      <c r="B109" s="106">
        <v>0.6</v>
      </c>
      <c r="C109" s="496" t="s">
        <v>574</v>
      </c>
      <c r="D109" s="106">
        <v>0</v>
      </c>
      <c r="E109" s="106">
        <v>0</v>
      </c>
      <c r="F109" s="106" t="s">
        <v>574</v>
      </c>
      <c r="G109" s="106">
        <v>0</v>
      </c>
      <c r="H109" s="106">
        <v>0</v>
      </c>
      <c r="I109" s="107" t="s">
        <v>574</v>
      </c>
      <c r="J109" s="107">
        <v>0</v>
      </c>
      <c r="K109" s="107">
        <v>0</v>
      </c>
      <c r="L109" s="107">
        <v>0</v>
      </c>
      <c r="M109" s="106" t="s">
        <v>574</v>
      </c>
      <c r="N109" s="106">
        <v>0</v>
      </c>
      <c r="O109" s="106">
        <v>0</v>
      </c>
      <c r="P109" s="108"/>
      <c r="Q109" s="109"/>
      <c r="R109" s="109"/>
      <c r="S109" s="108"/>
      <c r="T109" s="108"/>
      <c r="U109" s="108"/>
      <c r="V109" s="104"/>
      <c r="W109" s="519"/>
      <c r="X109" s="100"/>
      <c r="Y109" s="100"/>
      <c r="Z109" s="100"/>
      <c r="AA109" s="100"/>
      <c r="AB109" s="100"/>
      <c r="AC109" s="100"/>
      <c r="AD109" s="102"/>
      <c r="AE109" s="100"/>
    </row>
    <row r="110" spans="1:31" s="55" customFormat="1">
      <c r="A110" s="112"/>
      <c r="B110" s="100"/>
      <c r="C110" s="495"/>
      <c r="D110" s="100"/>
      <c r="E110" s="100"/>
      <c r="F110" s="100"/>
      <c r="G110" s="100"/>
      <c r="H110" s="100"/>
      <c r="I110" s="102"/>
      <c r="J110" s="102"/>
      <c r="K110" s="102"/>
      <c r="L110" s="102"/>
      <c r="M110" s="100"/>
      <c r="N110" s="100"/>
      <c r="O110" s="100"/>
      <c r="Q110" s="72"/>
      <c r="R110" s="72"/>
      <c r="S110" s="77"/>
      <c r="T110" s="77"/>
      <c r="U110" s="77"/>
      <c r="W110" s="505"/>
    </row>
    <row r="111" spans="1:31" s="55" customFormat="1" ht="15">
      <c r="A111" s="57" t="s">
        <v>594</v>
      </c>
      <c r="B111" s="100"/>
      <c r="C111" s="495"/>
      <c r="D111" s="100">
        <f>D84+D90+D96+D100+D104+D108</f>
        <v>15.9</v>
      </c>
      <c r="E111" s="100">
        <f>E84+E90+E96+E100+E104</f>
        <v>6.1</v>
      </c>
      <c r="F111" s="100"/>
      <c r="G111" s="100">
        <f>G84+G90+G96+G100+G104</f>
        <v>19</v>
      </c>
      <c r="H111" s="100">
        <f>H84+H90+H96+H100+H104</f>
        <v>8.6999999999999993</v>
      </c>
      <c r="I111" s="102"/>
      <c r="J111" s="100">
        <f>J84+J90+J96+J100+J104+J108</f>
        <v>25.500000000000004</v>
      </c>
      <c r="K111" s="100">
        <f>K84+K90+K96+K100+K104+K108</f>
        <v>7.9999999999999991</v>
      </c>
      <c r="L111" s="100">
        <f>L84+L90+L96+L100+L104+L108</f>
        <v>13.099999999999998</v>
      </c>
      <c r="M111" s="100"/>
      <c r="N111" s="100">
        <f>N84+N90+N96+N100+N104+N108</f>
        <v>8.1</v>
      </c>
      <c r="O111" s="100">
        <f>O84+O90+O96+O100+O104+O108</f>
        <v>18.100000000000001</v>
      </c>
      <c r="P111" s="100"/>
      <c r="Q111" s="113"/>
      <c r="R111" s="113"/>
      <c r="W111" s="505"/>
    </row>
    <row r="112" spans="1:31" s="55" customFormat="1" ht="15">
      <c r="A112" s="57"/>
      <c r="B112" s="100"/>
      <c r="C112" s="495"/>
      <c r="D112" s="100"/>
      <c r="E112" s="100"/>
      <c r="F112" s="100"/>
      <c r="G112" s="100"/>
      <c r="H112" s="100"/>
      <c r="I112" s="102"/>
      <c r="J112" s="100"/>
      <c r="K112" s="100"/>
      <c r="L112" s="100"/>
      <c r="M112" s="100"/>
      <c r="N112" s="100"/>
      <c r="O112" s="100"/>
      <c r="Q112" s="72"/>
      <c r="R112" s="72"/>
      <c r="W112" s="505"/>
      <c r="Y112" s="76"/>
      <c r="Z112" s="76"/>
      <c r="AA112" s="76"/>
      <c r="AB112" s="76"/>
      <c r="AC112" s="76"/>
    </row>
    <row r="113" spans="1:31" s="55" customFormat="1" ht="15">
      <c r="A113" s="57"/>
      <c r="B113" s="100"/>
      <c r="C113" s="495"/>
      <c r="D113" s="100"/>
      <c r="E113" s="100"/>
      <c r="F113" s="100"/>
      <c r="G113" s="100"/>
      <c r="H113" s="100"/>
      <c r="I113" s="102"/>
      <c r="J113" s="100"/>
      <c r="K113" s="100"/>
      <c r="L113" s="100"/>
      <c r="M113" s="100"/>
      <c r="N113" s="100"/>
      <c r="O113" s="100"/>
      <c r="Q113" s="72"/>
      <c r="R113" s="72"/>
      <c r="W113" s="505"/>
      <c r="AA113" s="76"/>
      <c r="AB113" s="76"/>
      <c r="AC113" s="76"/>
    </row>
    <row r="114" spans="1:31" s="55" customFormat="1" ht="15">
      <c r="A114" s="57"/>
      <c r="B114" s="100"/>
      <c r="C114" s="495"/>
      <c r="D114" s="100"/>
      <c r="E114" s="100"/>
      <c r="F114" s="100"/>
      <c r="G114" s="100"/>
      <c r="H114" s="100"/>
      <c r="I114" s="102"/>
      <c r="J114" s="100"/>
      <c r="K114" s="100"/>
      <c r="L114" s="100"/>
      <c r="M114" s="100"/>
      <c r="N114" s="100"/>
      <c r="O114" s="100"/>
      <c r="Q114" s="72"/>
      <c r="R114" s="72"/>
      <c r="W114" s="505"/>
    </row>
    <row r="115" spans="1:31" s="55" customFormat="1" ht="15">
      <c r="A115" s="57"/>
      <c r="B115" s="100"/>
      <c r="C115" s="495"/>
      <c r="D115" s="100"/>
      <c r="E115" s="100"/>
      <c r="F115" s="100"/>
      <c r="G115" s="100"/>
      <c r="H115" s="100"/>
      <c r="I115" s="102"/>
      <c r="J115" s="102"/>
      <c r="K115" s="102"/>
      <c r="L115" s="102"/>
      <c r="M115" s="100"/>
      <c r="N115" s="100"/>
      <c r="O115" s="100"/>
      <c r="P115" s="77"/>
      <c r="Q115" s="72"/>
      <c r="R115" s="72"/>
      <c r="S115" s="77"/>
      <c r="T115" s="77"/>
      <c r="U115" s="77"/>
      <c r="W115" s="505"/>
    </row>
    <row r="116" spans="1:31" s="55" customFormat="1" ht="15.75">
      <c r="A116" s="861" t="s">
        <v>595</v>
      </c>
      <c r="B116" s="862"/>
      <c r="C116" s="862"/>
      <c r="D116" s="862"/>
      <c r="E116" s="862"/>
      <c r="F116" s="100"/>
      <c r="G116" s="100"/>
      <c r="H116" s="100"/>
      <c r="I116" s="102"/>
      <c r="J116" s="102"/>
      <c r="K116" s="102"/>
      <c r="L116" s="102"/>
      <c r="M116" s="100"/>
      <c r="N116" s="100"/>
      <c r="O116" s="100"/>
      <c r="Q116" s="72"/>
      <c r="R116" s="72"/>
      <c r="S116" s="77"/>
      <c r="T116" s="77"/>
      <c r="U116" s="77"/>
      <c r="W116" s="505"/>
    </row>
    <row r="117" spans="1:31" s="55" customFormat="1">
      <c r="C117" s="859"/>
      <c r="D117" s="859"/>
      <c r="E117" s="859"/>
      <c r="F117" s="100"/>
      <c r="G117" s="100"/>
      <c r="H117" s="100"/>
      <c r="I117" s="102"/>
      <c r="J117" s="102"/>
      <c r="K117" s="102"/>
      <c r="L117" s="102"/>
      <c r="M117" s="100"/>
      <c r="N117" s="100"/>
      <c r="O117" s="100"/>
      <c r="Q117" s="72"/>
      <c r="R117" s="72"/>
      <c r="W117" s="505"/>
    </row>
    <row r="118" spans="1:31" s="55" customFormat="1" ht="15">
      <c r="A118" s="848" t="s">
        <v>596</v>
      </c>
      <c r="B118" s="849" t="s">
        <v>597</v>
      </c>
      <c r="C118" s="848" t="s">
        <v>598</v>
      </c>
      <c r="D118" s="848"/>
      <c r="E118" s="848"/>
      <c r="F118" s="848" t="s">
        <v>524</v>
      </c>
      <c r="G118" s="848"/>
      <c r="H118" s="848"/>
      <c r="I118" s="848" t="s">
        <v>525</v>
      </c>
      <c r="J118" s="848"/>
      <c r="K118" s="848"/>
      <c r="L118" s="848"/>
      <c r="M118" s="848" t="s">
        <v>526</v>
      </c>
      <c r="N118" s="848"/>
      <c r="O118" s="848"/>
      <c r="Q118" s="72"/>
      <c r="R118" s="72"/>
      <c r="S118" s="77"/>
      <c r="T118" s="77"/>
      <c r="U118" s="77"/>
      <c r="W118" s="505"/>
    </row>
    <row r="119" spans="1:31" s="55" customFormat="1" ht="15">
      <c r="A119" s="848"/>
      <c r="B119" s="849"/>
      <c r="C119" s="860" t="s">
        <v>599</v>
      </c>
      <c r="D119" s="858" t="s">
        <v>561</v>
      </c>
      <c r="E119" s="858"/>
      <c r="F119" s="857" t="s">
        <v>600</v>
      </c>
      <c r="G119" s="858" t="s">
        <v>561</v>
      </c>
      <c r="H119" s="858"/>
      <c r="I119" s="857" t="s">
        <v>601</v>
      </c>
      <c r="J119" s="858" t="s">
        <v>561</v>
      </c>
      <c r="K119" s="858"/>
      <c r="L119" s="858"/>
      <c r="M119" s="857" t="s">
        <v>602</v>
      </c>
      <c r="N119" s="858" t="s">
        <v>561</v>
      </c>
      <c r="O119" s="858"/>
      <c r="Q119" s="72"/>
      <c r="R119" s="72"/>
      <c r="S119" s="77"/>
      <c r="T119" s="77"/>
      <c r="U119" s="77"/>
      <c r="V119" s="57"/>
      <c r="W119" s="517"/>
      <c r="X119" s="57"/>
      <c r="Y119" s="57"/>
      <c r="Z119" s="57"/>
      <c r="AA119" s="57"/>
      <c r="AB119" s="57"/>
      <c r="AC119" s="57"/>
      <c r="AD119" s="57"/>
      <c r="AE119" s="57"/>
    </row>
    <row r="120" spans="1:31" s="55" customFormat="1" ht="45">
      <c r="A120" s="848"/>
      <c r="B120" s="849"/>
      <c r="C120" s="860"/>
      <c r="D120" s="60" t="s">
        <v>567</v>
      </c>
      <c r="E120" s="60" t="s">
        <v>500</v>
      </c>
      <c r="F120" s="857"/>
      <c r="G120" s="114" t="s">
        <v>568</v>
      </c>
      <c r="H120" s="114" t="s">
        <v>569</v>
      </c>
      <c r="I120" s="857"/>
      <c r="J120" s="60" t="s">
        <v>530</v>
      </c>
      <c r="K120" s="114" t="s">
        <v>570</v>
      </c>
      <c r="L120" s="114" t="s">
        <v>571</v>
      </c>
      <c r="M120" s="857"/>
      <c r="N120" s="114" t="s">
        <v>572</v>
      </c>
      <c r="O120" s="114" t="s">
        <v>534</v>
      </c>
      <c r="Q120" s="72"/>
      <c r="R120" s="72"/>
      <c r="S120" s="77"/>
      <c r="T120" s="77"/>
      <c r="U120" s="77"/>
      <c r="V120" s="57"/>
      <c r="W120" s="517"/>
      <c r="X120" s="57"/>
      <c r="Y120" s="57"/>
      <c r="Z120" s="57"/>
      <c r="AA120" s="57"/>
      <c r="AB120" s="57"/>
      <c r="AC120" s="57"/>
      <c r="AD120" s="57"/>
      <c r="AE120" s="57"/>
    </row>
    <row r="121" spans="1:31" s="55" customFormat="1" ht="15">
      <c r="A121" s="115" t="s">
        <v>603</v>
      </c>
      <c r="B121" s="116">
        <v>93.3</v>
      </c>
      <c r="C121" s="497">
        <v>16.5</v>
      </c>
      <c r="D121" s="117">
        <v>12.8</v>
      </c>
      <c r="E121" s="117">
        <v>3.8</v>
      </c>
      <c r="F121" s="84">
        <v>23.5</v>
      </c>
      <c r="G121" s="111">
        <v>16</v>
      </c>
      <c r="H121" s="111">
        <v>7.5</v>
      </c>
      <c r="I121" s="84">
        <v>39.299999999999997</v>
      </c>
      <c r="J121" s="111">
        <v>20.9</v>
      </c>
      <c r="K121" s="111">
        <v>6.7</v>
      </c>
      <c r="L121" s="55">
        <v>11.8</v>
      </c>
      <c r="M121" s="84">
        <v>13.9</v>
      </c>
      <c r="N121" s="111">
        <v>4.5</v>
      </c>
      <c r="O121" s="111">
        <v>9.4</v>
      </c>
      <c r="Q121" s="72"/>
      <c r="R121" s="72"/>
      <c r="V121" s="57"/>
      <c r="W121" s="517"/>
      <c r="X121" s="57"/>
      <c r="Y121" s="57"/>
      <c r="Z121" s="57"/>
      <c r="AA121" s="57"/>
      <c r="AB121" s="57"/>
      <c r="AC121" s="57"/>
      <c r="AD121" s="57"/>
      <c r="AE121" s="57"/>
    </row>
    <row r="122" spans="1:31" s="55" customFormat="1">
      <c r="A122" s="118" t="s">
        <v>604</v>
      </c>
      <c r="B122" s="116">
        <v>91.4</v>
      </c>
      <c r="C122" s="497">
        <v>16.3</v>
      </c>
      <c r="D122" s="117">
        <v>12.6</v>
      </c>
      <c r="E122" s="117">
        <v>3.7</v>
      </c>
      <c r="F122" s="84">
        <v>23.4</v>
      </c>
      <c r="G122" s="111">
        <v>15.9</v>
      </c>
      <c r="H122" s="111">
        <v>7.5</v>
      </c>
      <c r="I122" s="84">
        <v>38.9</v>
      </c>
      <c r="J122" s="111">
        <v>20.7</v>
      </c>
      <c r="K122" s="111">
        <v>6.6</v>
      </c>
      <c r="L122" s="55">
        <v>11.7</v>
      </c>
      <c r="M122" s="84">
        <v>12.9</v>
      </c>
      <c r="N122" s="111">
        <v>4.3</v>
      </c>
      <c r="O122" s="111">
        <v>8.5</v>
      </c>
      <c r="P122" s="77"/>
      <c r="Q122" s="72"/>
      <c r="R122" s="72"/>
      <c r="S122" s="77"/>
      <c r="T122" s="77"/>
      <c r="U122" s="77"/>
      <c r="W122" s="505"/>
    </row>
    <row r="123" spans="1:31" s="55" customFormat="1">
      <c r="A123" s="118" t="s">
        <v>605</v>
      </c>
      <c r="B123" s="116">
        <v>1.9</v>
      </c>
      <c r="C123" s="497">
        <v>0.3</v>
      </c>
      <c r="D123" s="117" t="s">
        <v>574</v>
      </c>
      <c r="E123" s="117" t="s">
        <v>574</v>
      </c>
      <c r="F123" s="111" t="s">
        <v>574</v>
      </c>
      <c r="G123" s="111" t="s">
        <v>574</v>
      </c>
      <c r="H123" s="111" t="s">
        <v>574</v>
      </c>
      <c r="I123" s="111">
        <v>0.5</v>
      </c>
      <c r="J123" s="111" t="s">
        <v>574</v>
      </c>
      <c r="K123" s="111" t="s">
        <v>574</v>
      </c>
      <c r="L123" s="117" t="s">
        <v>574</v>
      </c>
      <c r="M123" s="111">
        <v>1</v>
      </c>
      <c r="N123" s="111" t="s">
        <v>574</v>
      </c>
      <c r="O123" s="111">
        <v>0.8</v>
      </c>
      <c r="Q123" s="72"/>
      <c r="R123" s="72"/>
      <c r="W123" s="505"/>
    </row>
    <row r="124" spans="1:31" s="55" customFormat="1">
      <c r="A124" s="118"/>
      <c r="B124" s="119"/>
      <c r="C124" s="498"/>
      <c r="F124" s="84"/>
      <c r="G124" s="111"/>
      <c r="H124" s="111"/>
      <c r="I124" s="84"/>
      <c r="J124" s="111"/>
      <c r="K124" s="111"/>
      <c r="M124" s="84"/>
      <c r="N124" s="111"/>
      <c r="O124" s="111"/>
      <c r="P124" s="77"/>
      <c r="Q124" s="72"/>
      <c r="R124" s="72"/>
      <c r="S124" s="77"/>
      <c r="T124" s="77"/>
      <c r="U124" s="77"/>
      <c r="W124" s="505"/>
    </row>
    <row r="125" spans="1:31" s="55" customFormat="1" ht="15">
      <c r="A125" s="57" t="s">
        <v>606</v>
      </c>
      <c r="B125" s="84">
        <f>B127+B128+B129</f>
        <v>93.6</v>
      </c>
      <c r="C125" s="499">
        <f t="shared" ref="C125:O125" si="75">C127+C128+C129</f>
        <v>16.7</v>
      </c>
      <c r="D125" s="84">
        <f t="shared" si="75"/>
        <v>12.8</v>
      </c>
      <c r="E125" s="84">
        <f t="shared" si="75"/>
        <v>3.8</v>
      </c>
      <c r="F125" s="84">
        <f t="shared" si="75"/>
        <v>23.9</v>
      </c>
      <c r="G125" s="84">
        <f t="shared" si="75"/>
        <v>16</v>
      </c>
      <c r="H125" s="84">
        <f t="shared" si="75"/>
        <v>7.5</v>
      </c>
      <c r="I125" s="84">
        <f t="shared" si="75"/>
        <v>40.200000000000003</v>
      </c>
      <c r="J125" s="84">
        <f t="shared" si="75"/>
        <v>21</v>
      </c>
      <c r="K125" s="84">
        <f t="shared" si="75"/>
        <v>6.6999999999999993</v>
      </c>
      <c r="L125" s="84">
        <f t="shared" si="75"/>
        <v>11.8</v>
      </c>
      <c r="M125" s="84">
        <f t="shared" si="75"/>
        <v>13.999999999999998</v>
      </c>
      <c r="N125" s="84">
        <f t="shared" si="75"/>
        <v>4.5</v>
      </c>
      <c r="O125" s="84">
        <f t="shared" si="75"/>
        <v>9.5</v>
      </c>
      <c r="Q125" s="72"/>
      <c r="R125" s="72"/>
      <c r="W125" s="505"/>
    </row>
    <row r="126" spans="1:31" s="55" customFormat="1">
      <c r="A126" s="55" t="s">
        <v>607</v>
      </c>
      <c r="B126" s="84">
        <v>65.900000000000006</v>
      </c>
      <c r="C126" s="499">
        <v>6</v>
      </c>
      <c r="D126" s="84">
        <v>5.2</v>
      </c>
      <c r="E126" s="84">
        <v>0.8</v>
      </c>
      <c r="F126" s="84">
        <v>17.3</v>
      </c>
      <c r="G126" s="111">
        <v>11.3</v>
      </c>
      <c r="H126" s="111">
        <v>6</v>
      </c>
      <c r="I126" s="84">
        <v>32.1</v>
      </c>
      <c r="J126" s="111">
        <v>17.600000000000001</v>
      </c>
      <c r="K126" s="111">
        <v>5.2</v>
      </c>
      <c r="L126" s="84">
        <v>9.3000000000000007</v>
      </c>
      <c r="M126" s="84">
        <v>10.5</v>
      </c>
      <c r="N126" s="111">
        <v>3.9</v>
      </c>
      <c r="O126" s="111">
        <v>6.5</v>
      </c>
      <c r="P126" s="77"/>
      <c r="Q126" s="72"/>
      <c r="R126" s="72"/>
      <c r="S126" s="77"/>
      <c r="T126" s="77"/>
      <c r="U126" s="77"/>
      <c r="W126" s="505"/>
    </row>
    <row r="127" spans="1:31" s="57" customFormat="1" ht="15">
      <c r="A127" s="57" t="s">
        <v>608</v>
      </c>
      <c r="B127" s="120">
        <v>53.5</v>
      </c>
      <c r="C127" s="500">
        <v>5.5</v>
      </c>
      <c r="D127" s="120">
        <v>4.8</v>
      </c>
      <c r="E127" s="120">
        <v>0.7</v>
      </c>
      <c r="F127" s="120">
        <v>16.2</v>
      </c>
      <c r="G127" s="75">
        <v>10.6</v>
      </c>
      <c r="H127" s="75">
        <v>5.6</v>
      </c>
      <c r="I127" s="120">
        <v>23.2</v>
      </c>
      <c r="J127" s="75">
        <v>10.9</v>
      </c>
      <c r="K127" s="75">
        <v>3.8</v>
      </c>
      <c r="L127" s="120">
        <v>8.4</v>
      </c>
      <c r="M127" s="120">
        <v>8.6999999999999993</v>
      </c>
      <c r="N127" s="75">
        <v>3.2</v>
      </c>
      <c r="O127" s="75">
        <v>5.5</v>
      </c>
      <c r="P127" s="120"/>
      <c r="Q127" s="109"/>
      <c r="R127" s="109"/>
      <c r="V127" s="55"/>
      <c r="W127" s="505"/>
      <c r="X127" s="55"/>
      <c r="Y127" s="55"/>
      <c r="Z127" s="55"/>
      <c r="AA127" s="55"/>
      <c r="AB127" s="55"/>
      <c r="AC127" s="55"/>
      <c r="AD127" s="55"/>
      <c r="AE127" s="55"/>
    </row>
    <row r="128" spans="1:31" s="57" customFormat="1" ht="15">
      <c r="A128" s="57" t="s">
        <v>609</v>
      </c>
      <c r="B128" s="120">
        <v>12.3</v>
      </c>
      <c r="C128" s="500">
        <v>0.5</v>
      </c>
      <c r="D128" s="120">
        <v>0.4</v>
      </c>
      <c r="E128" s="75">
        <v>0</v>
      </c>
      <c r="F128" s="120">
        <v>1.1000000000000001</v>
      </c>
      <c r="G128" s="75">
        <v>0.8</v>
      </c>
      <c r="H128" s="75">
        <v>0.4</v>
      </c>
      <c r="I128" s="120">
        <v>9</v>
      </c>
      <c r="J128" s="75">
        <v>6.7</v>
      </c>
      <c r="K128" s="75">
        <v>1.4</v>
      </c>
      <c r="L128" s="120">
        <v>0.9</v>
      </c>
      <c r="M128" s="120">
        <v>1.7</v>
      </c>
      <c r="N128" s="75">
        <v>0.7</v>
      </c>
      <c r="O128" s="75">
        <v>1</v>
      </c>
      <c r="P128" s="120"/>
      <c r="Q128" s="109"/>
      <c r="R128" s="109"/>
      <c r="S128" s="108"/>
      <c r="T128" s="108"/>
      <c r="U128" s="108"/>
      <c r="V128" s="55"/>
      <c r="W128" s="505"/>
      <c r="X128" s="55"/>
      <c r="Y128" s="55"/>
      <c r="Z128" s="55"/>
      <c r="AA128" s="55"/>
      <c r="AB128" s="55"/>
      <c r="AC128" s="55"/>
      <c r="AD128" s="55"/>
      <c r="AE128" s="55"/>
    </row>
    <row r="129" spans="1:31" s="57" customFormat="1" ht="15">
      <c r="A129" s="57" t="s">
        <v>610</v>
      </c>
      <c r="B129" s="120">
        <f>D129+E129+G129+H129+J129+K129+L129+N129+O129</f>
        <v>27.8</v>
      </c>
      <c r="C129" s="500">
        <v>10.7</v>
      </c>
      <c r="D129" s="120">
        <v>7.6</v>
      </c>
      <c r="E129" s="120">
        <v>3.1</v>
      </c>
      <c r="F129" s="120">
        <v>6.6</v>
      </c>
      <c r="G129" s="120">
        <f>G121-G127-G128</f>
        <v>4.6000000000000005</v>
      </c>
      <c r="H129" s="120">
        <f>H121-H127-H128</f>
        <v>1.5000000000000004</v>
      </c>
      <c r="I129" s="120">
        <v>8</v>
      </c>
      <c r="J129" s="75">
        <v>3.4</v>
      </c>
      <c r="K129" s="75">
        <f>K121-K127-K128</f>
        <v>1.5000000000000004</v>
      </c>
      <c r="L129" s="120">
        <f>L121-L127-L128</f>
        <v>2.5000000000000004</v>
      </c>
      <c r="M129" s="120">
        <v>3.6</v>
      </c>
      <c r="N129" s="75">
        <v>0.6</v>
      </c>
      <c r="O129" s="75">
        <v>3</v>
      </c>
      <c r="P129" s="120"/>
      <c r="Q129" s="109"/>
      <c r="R129" s="109"/>
      <c r="S129" s="108"/>
      <c r="T129" s="108"/>
      <c r="U129" s="108"/>
      <c r="V129" s="55"/>
      <c r="W129" s="505"/>
      <c r="X129" s="55"/>
      <c r="Y129" s="55"/>
      <c r="Z129" s="55"/>
      <c r="AA129" s="55"/>
      <c r="AB129" s="55"/>
      <c r="AC129" s="55"/>
      <c r="AD129" s="55"/>
      <c r="AE129" s="55"/>
    </row>
    <row r="130" spans="1:31" s="55" customFormat="1">
      <c r="A130" s="55" t="s">
        <v>611</v>
      </c>
      <c r="B130" s="84">
        <v>14.5</v>
      </c>
      <c r="C130" s="499">
        <v>4.3</v>
      </c>
      <c r="D130" s="84">
        <v>2.9</v>
      </c>
      <c r="E130" s="84">
        <v>1.4</v>
      </c>
      <c r="F130" s="84">
        <v>4.0999999999999996</v>
      </c>
      <c r="G130" s="111">
        <v>2.9</v>
      </c>
      <c r="H130" s="111">
        <v>1.2</v>
      </c>
      <c r="I130" s="84">
        <v>3.1</v>
      </c>
      <c r="J130" s="111">
        <v>1.4</v>
      </c>
      <c r="K130" s="111">
        <v>0.8</v>
      </c>
      <c r="L130" s="84">
        <v>0.9</v>
      </c>
      <c r="M130" s="84">
        <v>2.9</v>
      </c>
      <c r="N130" s="111">
        <v>0.5</v>
      </c>
      <c r="O130" s="111">
        <v>2.4</v>
      </c>
      <c r="P130" s="77"/>
      <c r="Q130" s="72"/>
      <c r="R130" s="72"/>
      <c r="S130" s="77"/>
      <c r="T130" s="77"/>
      <c r="U130" s="77"/>
      <c r="W130" s="505"/>
    </row>
    <row r="131" spans="1:31" s="55" customFormat="1">
      <c r="A131" s="55" t="s">
        <v>612</v>
      </c>
      <c r="B131" s="84">
        <v>9.1</v>
      </c>
      <c r="C131" s="499">
        <v>4.0999999999999996</v>
      </c>
      <c r="D131" s="84">
        <v>3.1</v>
      </c>
      <c r="E131" s="84">
        <v>1.1000000000000001</v>
      </c>
      <c r="F131" s="84">
        <v>1.8</v>
      </c>
      <c r="G131" s="111">
        <v>1.4</v>
      </c>
      <c r="H131" s="111">
        <v>0.3</v>
      </c>
      <c r="I131" s="84">
        <v>2.8</v>
      </c>
      <c r="J131" s="111">
        <v>1.1000000000000001</v>
      </c>
      <c r="K131" s="111">
        <v>0.7</v>
      </c>
      <c r="L131" s="84">
        <v>1</v>
      </c>
      <c r="M131" s="84">
        <v>0.4</v>
      </c>
      <c r="N131" s="111" t="s">
        <v>574</v>
      </c>
      <c r="O131" s="111">
        <v>0.4</v>
      </c>
      <c r="P131" s="77"/>
      <c r="Q131" s="72"/>
      <c r="R131" s="72"/>
      <c r="S131" s="77"/>
      <c r="T131" s="77"/>
      <c r="U131" s="77"/>
      <c r="W131" s="505"/>
    </row>
    <row r="132" spans="1:31" s="55" customFormat="1">
      <c r="A132" s="55" t="s">
        <v>613</v>
      </c>
      <c r="B132" s="84">
        <v>5.4</v>
      </c>
      <c r="C132" s="499">
        <v>2.2999999999999998</v>
      </c>
      <c r="D132" s="84">
        <v>1.7</v>
      </c>
      <c r="E132" s="84">
        <v>0.6</v>
      </c>
      <c r="F132" s="84">
        <v>0.7</v>
      </c>
      <c r="G132" s="111">
        <v>0.5</v>
      </c>
      <c r="H132" s="111" t="s">
        <v>574</v>
      </c>
      <c r="I132" s="84">
        <v>2.1</v>
      </c>
      <c r="J132" s="111">
        <v>0.9</v>
      </c>
      <c r="K132" s="111">
        <v>0.2</v>
      </c>
      <c r="L132" s="84">
        <v>1</v>
      </c>
      <c r="M132" s="84">
        <v>0.3</v>
      </c>
      <c r="N132" s="111" t="s">
        <v>574</v>
      </c>
      <c r="O132" s="111" t="s">
        <v>574</v>
      </c>
      <c r="Q132" s="72"/>
      <c r="R132" s="72"/>
      <c r="W132" s="505"/>
    </row>
    <row r="133" spans="1:31" s="55" customFormat="1">
      <c r="B133" s="84"/>
      <c r="C133" s="499"/>
      <c r="D133" s="84"/>
      <c r="E133" s="84"/>
      <c r="L133" s="84"/>
      <c r="P133" s="77"/>
      <c r="Q133" s="72"/>
      <c r="R133" s="72"/>
      <c r="S133" s="77"/>
      <c r="T133" s="77"/>
      <c r="U133" s="77"/>
      <c r="W133" s="505"/>
    </row>
    <row r="134" spans="1:31" s="55" customFormat="1" ht="15">
      <c r="A134" s="57" t="s">
        <v>614</v>
      </c>
      <c r="B134" s="84">
        <v>65.900000000000006</v>
      </c>
      <c r="C134" s="499">
        <v>6</v>
      </c>
      <c r="D134" s="84">
        <v>5.2</v>
      </c>
      <c r="E134" s="84">
        <v>0.8</v>
      </c>
      <c r="F134" s="55">
        <v>17.3</v>
      </c>
      <c r="G134" s="55">
        <v>11.3</v>
      </c>
      <c r="H134" s="84">
        <v>6</v>
      </c>
      <c r="I134" s="55">
        <v>32.1</v>
      </c>
      <c r="J134" s="55">
        <v>17.600000000000001</v>
      </c>
      <c r="K134" s="84">
        <v>5.2</v>
      </c>
      <c r="L134" s="84">
        <v>9.3000000000000007</v>
      </c>
      <c r="M134" s="55">
        <v>10.5</v>
      </c>
      <c r="N134" s="55">
        <v>3.9</v>
      </c>
      <c r="O134" s="84">
        <v>6.5</v>
      </c>
      <c r="P134" s="77"/>
      <c r="Q134" s="72"/>
      <c r="R134" s="72"/>
      <c r="S134" s="77"/>
      <c r="T134" s="77"/>
      <c r="U134" s="77"/>
      <c r="W134" s="505"/>
    </row>
    <row r="135" spans="1:31" s="55" customFormat="1" ht="15">
      <c r="A135" s="57" t="s">
        <v>594</v>
      </c>
      <c r="B135" s="100"/>
      <c r="C135" s="495"/>
      <c r="D135" s="84">
        <f>SUM(D127:D129)</f>
        <v>12.8</v>
      </c>
      <c r="E135" s="84">
        <f>SUM(E127:E129)</f>
        <v>3.8</v>
      </c>
      <c r="F135" s="100"/>
      <c r="G135" s="84">
        <f>SUM(G127:G129)</f>
        <v>16</v>
      </c>
      <c r="H135" s="84">
        <f>SUM(H127:H129)</f>
        <v>7.5</v>
      </c>
      <c r="I135" s="102"/>
      <c r="J135" s="84">
        <f>SUM(J127:J129)</f>
        <v>21</v>
      </c>
      <c r="K135" s="84">
        <f>SUM(K127:K129)</f>
        <v>6.6999999999999993</v>
      </c>
      <c r="L135" s="84">
        <f>SUM(L127:L129)</f>
        <v>11.8</v>
      </c>
      <c r="M135" s="100"/>
      <c r="N135" s="84">
        <f>SUM(N127:N129)</f>
        <v>4.5</v>
      </c>
      <c r="O135" s="84">
        <f>SUM(O127:O129)</f>
        <v>9.5</v>
      </c>
      <c r="P135" s="77"/>
      <c r="Q135" s="72"/>
      <c r="R135" s="72"/>
      <c r="S135" s="77"/>
      <c r="T135" s="77"/>
      <c r="U135" s="77"/>
      <c r="W135" s="505"/>
    </row>
    <row r="136" spans="1:31" s="55" customFormat="1" ht="15">
      <c r="A136" s="57"/>
      <c r="B136" s="100"/>
      <c r="C136" s="495"/>
      <c r="D136" s="100"/>
      <c r="E136" s="100"/>
      <c r="F136" s="100"/>
      <c r="G136" s="100"/>
      <c r="H136" s="100"/>
      <c r="I136" s="102"/>
      <c r="J136" s="102"/>
      <c r="K136" s="102"/>
      <c r="L136" s="102"/>
      <c r="M136" s="100"/>
      <c r="N136" s="100"/>
      <c r="O136" s="100"/>
      <c r="P136" s="77"/>
      <c r="Q136" s="72"/>
      <c r="R136" s="72"/>
      <c r="S136" s="77"/>
      <c r="T136" s="77"/>
      <c r="U136" s="77"/>
      <c r="W136" s="505"/>
    </row>
    <row r="137" spans="1:31" s="55" customFormat="1" ht="15">
      <c r="A137" s="57"/>
      <c r="B137" s="100"/>
      <c r="C137" s="495"/>
      <c r="D137" s="100"/>
      <c r="E137" s="100"/>
      <c r="F137" s="100"/>
      <c r="G137" s="100"/>
      <c r="H137" s="100"/>
      <c r="I137" s="102"/>
      <c r="J137" s="102"/>
      <c r="K137" s="102"/>
      <c r="L137" s="102"/>
      <c r="M137" s="100"/>
      <c r="N137" s="100"/>
      <c r="O137" s="100"/>
      <c r="P137" s="77"/>
      <c r="Q137" s="72"/>
      <c r="R137" s="72"/>
      <c r="S137" s="77"/>
      <c r="T137" s="77"/>
      <c r="U137" s="77"/>
      <c r="W137" s="505"/>
    </row>
    <row r="138" spans="1:31" s="55" customFormat="1" ht="15">
      <c r="A138" s="57"/>
      <c r="B138" s="100"/>
      <c r="C138" s="495"/>
      <c r="D138" s="100"/>
      <c r="E138" s="100"/>
      <c r="F138" s="100"/>
      <c r="G138" s="100"/>
      <c r="H138" s="100"/>
      <c r="I138" s="102"/>
      <c r="J138" s="102"/>
      <c r="K138" s="102"/>
      <c r="L138" s="102"/>
      <c r="M138" s="100"/>
      <c r="N138" s="100"/>
      <c r="O138" s="100"/>
      <c r="P138" s="77"/>
      <c r="Q138" s="72"/>
      <c r="R138" s="72"/>
      <c r="S138" s="77"/>
      <c r="T138" s="77"/>
      <c r="U138" s="77"/>
      <c r="W138" s="505"/>
    </row>
    <row r="139" spans="1:31" s="55" customFormat="1">
      <c r="A139" s="104"/>
      <c r="B139" s="100"/>
      <c r="C139" s="495"/>
      <c r="D139" s="100"/>
      <c r="E139" s="100"/>
      <c r="F139" s="100"/>
      <c r="G139" s="100"/>
      <c r="H139" s="100"/>
      <c r="I139" s="102"/>
      <c r="J139" s="102"/>
      <c r="K139" s="102"/>
      <c r="L139" s="102"/>
      <c r="M139" s="100"/>
      <c r="N139" s="100"/>
      <c r="O139" s="100"/>
      <c r="P139" s="77"/>
      <c r="Q139" s="72"/>
      <c r="R139" s="72"/>
      <c r="S139" s="77"/>
      <c r="T139" s="77"/>
      <c r="U139" s="77"/>
      <c r="W139" s="505"/>
    </row>
    <row r="140" spans="1:31" s="55" customFormat="1" ht="15.75">
      <c r="A140" s="90" t="s">
        <v>615</v>
      </c>
      <c r="B140" s="91"/>
      <c r="C140" s="501"/>
      <c r="D140" s="91"/>
      <c r="E140" s="91"/>
      <c r="F140" s="100"/>
      <c r="G140" s="100"/>
      <c r="H140" s="100"/>
      <c r="I140" s="102"/>
      <c r="J140" s="102"/>
      <c r="K140" s="102"/>
      <c r="L140" s="102"/>
      <c r="M140" s="100"/>
      <c r="N140" s="100"/>
      <c r="O140" s="100"/>
      <c r="P140" s="77"/>
      <c r="Q140" s="72"/>
      <c r="R140" s="72"/>
      <c r="S140" s="77"/>
      <c r="T140" s="77"/>
      <c r="U140" s="77"/>
      <c r="W140" s="505"/>
    </row>
    <row r="141" spans="1:31" s="55" customFormat="1" ht="15">
      <c r="A141" s="853"/>
      <c r="B141" s="851"/>
      <c r="C141" s="851"/>
      <c r="D141" s="851"/>
      <c r="E141" s="851"/>
      <c r="F141" s="100"/>
      <c r="G141" s="100"/>
      <c r="H141" s="100"/>
      <c r="I141" s="102"/>
      <c r="J141" s="102"/>
      <c r="K141" s="102"/>
      <c r="L141" s="102"/>
      <c r="M141" s="100"/>
      <c r="N141" s="100"/>
      <c r="O141" s="100"/>
      <c r="P141" s="77"/>
      <c r="Q141" s="72"/>
      <c r="R141" s="72"/>
      <c r="S141" s="77"/>
      <c r="T141" s="77"/>
      <c r="U141" s="77"/>
      <c r="W141" s="505"/>
    </row>
    <row r="142" spans="1:31" s="55" customFormat="1" ht="15">
      <c r="A142" s="57"/>
      <c r="B142" s="57"/>
      <c r="C142" s="848" t="s">
        <v>523</v>
      </c>
      <c r="D142" s="848"/>
      <c r="E142" s="848"/>
      <c r="F142" s="848" t="s">
        <v>524</v>
      </c>
      <c r="G142" s="848"/>
      <c r="H142" s="848"/>
      <c r="I142" s="848" t="s">
        <v>525</v>
      </c>
      <c r="J142" s="848"/>
      <c r="K142" s="848"/>
      <c r="L142" s="851"/>
      <c r="M142" s="848" t="s">
        <v>526</v>
      </c>
      <c r="N142" s="848"/>
      <c r="O142" s="848"/>
      <c r="Q142" s="72"/>
      <c r="R142" s="72"/>
      <c r="W142" s="505"/>
    </row>
    <row r="143" spans="1:31" s="55" customFormat="1" ht="15">
      <c r="A143" s="57"/>
      <c r="B143" s="849" t="s">
        <v>616</v>
      </c>
      <c r="C143" s="848"/>
      <c r="D143" s="848"/>
      <c r="E143" s="848"/>
      <c r="F143" s="848"/>
      <c r="G143" s="848"/>
      <c r="H143" s="848"/>
      <c r="I143" s="848"/>
      <c r="J143" s="848"/>
      <c r="K143" s="848"/>
      <c r="L143" s="851"/>
      <c r="M143" s="848"/>
      <c r="N143" s="848"/>
      <c r="O143" s="848"/>
      <c r="Q143" s="72"/>
      <c r="R143" s="72"/>
      <c r="W143" s="505"/>
    </row>
    <row r="144" spans="1:31" s="55" customFormat="1" ht="15">
      <c r="B144" s="849"/>
      <c r="C144" s="494"/>
      <c r="D144" s="848" t="s">
        <v>561</v>
      </c>
      <c r="E144" s="848"/>
      <c r="F144" s="57"/>
      <c r="G144" s="848" t="s">
        <v>561</v>
      </c>
      <c r="H144" s="848"/>
      <c r="I144" s="57"/>
      <c r="J144" s="848" t="s">
        <v>561</v>
      </c>
      <c r="K144" s="848"/>
      <c r="L144" s="851"/>
      <c r="M144" s="57"/>
      <c r="N144" s="848" t="s">
        <v>561</v>
      </c>
      <c r="O144" s="848"/>
      <c r="Q144" s="72"/>
      <c r="R144" s="72"/>
      <c r="W144" s="505"/>
    </row>
    <row r="145" spans="1:23" s="55" customFormat="1">
      <c r="B145" s="849"/>
      <c r="C145" s="854" t="s">
        <v>562</v>
      </c>
      <c r="D145" s="848"/>
      <c r="E145" s="848"/>
      <c r="F145" s="849" t="s">
        <v>563</v>
      </c>
      <c r="G145" s="848"/>
      <c r="H145" s="848"/>
      <c r="I145" s="849" t="s">
        <v>564</v>
      </c>
      <c r="J145" s="848"/>
      <c r="K145" s="848"/>
      <c r="L145" s="851"/>
      <c r="M145" s="849" t="s">
        <v>565</v>
      </c>
      <c r="N145" s="848"/>
      <c r="O145" s="848"/>
      <c r="Q145" s="72"/>
      <c r="R145" s="72"/>
      <c r="W145" s="505"/>
    </row>
    <row r="146" spans="1:23" s="55" customFormat="1">
      <c r="A146" s="848" t="s">
        <v>617</v>
      </c>
      <c r="B146" s="849"/>
      <c r="C146" s="855"/>
      <c r="D146" s="856" t="s">
        <v>567</v>
      </c>
      <c r="E146" s="856" t="s">
        <v>500</v>
      </c>
      <c r="F146" s="850"/>
      <c r="G146" s="849" t="s">
        <v>568</v>
      </c>
      <c r="H146" s="849" t="s">
        <v>569</v>
      </c>
      <c r="I146" s="850"/>
      <c r="J146" s="849" t="s">
        <v>530</v>
      </c>
      <c r="K146" s="849" t="s">
        <v>570</v>
      </c>
      <c r="L146" s="849" t="s">
        <v>571</v>
      </c>
      <c r="M146" s="850"/>
      <c r="N146" s="849" t="s">
        <v>572</v>
      </c>
      <c r="O146" s="849" t="s">
        <v>534</v>
      </c>
      <c r="Q146" s="72"/>
      <c r="R146" s="72"/>
      <c r="W146" s="505"/>
    </row>
    <row r="147" spans="1:23" s="55" customFormat="1">
      <c r="A147" s="848"/>
      <c r="B147" s="849"/>
      <c r="C147" s="855"/>
      <c r="D147" s="856"/>
      <c r="E147" s="856"/>
      <c r="F147" s="850"/>
      <c r="G147" s="849"/>
      <c r="H147" s="849"/>
      <c r="I147" s="850"/>
      <c r="J147" s="849"/>
      <c r="K147" s="849"/>
      <c r="L147" s="852"/>
      <c r="M147" s="850"/>
      <c r="N147" s="849"/>
      <c r="O147" s="849"/>
      <c r="Q147" s="72"/>
      <c r="R147" s="72"/>
      <c r="W147" s="505"/>
    </row>
    <row r="148" spans="1:23" s="55" customFormat="1">
      <c r="C148" s="484"/>
      <c r="Q148" s="72"/>
      <c r="R148" s="72"/>
      <c r="W148" s="505"/>
    </row>
    <row r="149" spans="1:23" s="55" customFormat="1" ht="15">
      <c r="A149" s="101" t="s">
        <v>497</v>
      </c>
      <c r="B149" s="121">
        <v>111.1</v>
      </c>
      <c r="C149" s="502">
        <v>20.6</v>
      </c>
      <c r="D149" s="121">
        <v>15.1</v>
      </c>
      <c r="E149" s="121">
        <v>5.5</v>
      </c>
      <c r="F149" s="122">
        <v>25.6</v>
      </c>
      <c r="G149" s="122">
        <v>17.7</v>
      </c>
      <c r="H149" s="122">
        <v>7.9</v>
      </c>
      <c r="I149" s="102">
        <v>40.700000000000003</v>
      </c>
      <c r="J149" s="102">
        <v>21.7</v>
      </c>
      <c r="K149" s="102">
        <v>6.9</v>
      </c>
      <c r="L149" s="102">
        <v>12.1</v>
      </c>
      <c r="M149" s="121">
        <v>24.2</v>
      </c>
      <c r="N149" s="121">
        <v>7.6</v>
      </c>
      <c r="O149" s="121">
        <v>16.600000000000001</v>
      </c>
      <c r="Q149" s="72"/>
      <c r="R149" s="72"/>
      <c r="W149" s="505"/>
    </row>
    <row r="150" spans="1:23" s="55" customFormat="1">
      <c r="B150" s="121"/>
      <c r="C150" s="502"/>
      <c r="D150" s="121"/>
      <c r="E150" s="121"/>
      <c r="F150" s="122"/>
      <c r="G150" s="122"/>
      <c r="H150" s="122"/>
      <c r="I150" s="102"/>
      <c r="J150" s="102"/>
      <c r="K150" s="102"/>
      <c r="L150" s="102"/>
      <c r="M150" s="121"/>
      <c r="N150" s="121"/>
      <c r="O150" s="121"/>
      <c r="Q150" s="72"/>
      <c r="R150" s="72"/>
      <c r="W150" s="505"/>
    </row>
    <row r="151" spans="1:23" s="55" customFormat="1" ht="15">
      <c r="A151" s="57" t="s">
        <v>618</v>
      </c>
      <c r="B151" s="121"/>
      <c r="C151" s="502"/>
      <c r="D151" s="121"/>
      <c r="E151" s="121"/>
      <c r="F151" s="122"/>
      <c r="G151" s="122"/>
      <c r="H151" s="122"/>
      <c r="I151" s="102"/>
      <c r="J151" s="102"/>
      <c r="K151" s="102"/>
      <c r="L151" s="102"/>
      <c r="M151" s="121"/>
      <c r="N151" s="121"/>
      <c r="O151" s="121"/>
      <c r="Q151" s="72"/>
      <c r="R151" s="72"/>
      <c r="W151" s="505"/>
    </row>
    <row r="152" spans="1:23" s="55" customFormat="1">
      <c r="A152" s="104" t="s">
        <v>619</v>
      </c>
      <c r="B152" s="121">
        <v>106.3</v>
      </c>
      <c r="C152" s="502">
        <v>19.600000000000001</v>
      </c>
      <c r="D152" s="121">
        <v>14.4</v>
      </c>
      <c r="E152" s="121">
        <v>5.2</v>
      </c>
      <c r="F152" s="122">
        <v>24.5</v>
      </c>
      <c r="G152" s="122">
        <v>17.100000000000001</v>
      </c>
      <c r="H152" s="122">
        <v>7.4</v>
      </c>
      <c r="I152" s="102">
        <v>39</v>
      </c>
      <c r="J152" s="102">
        <v>21.1</v>
      </c>
      <c r="K152" s="102">
        <v>6.6</v>
      </c>
      <c r="L152" s="102">
        <v>11.3</v>
      </c>
      <c r="M152" s="121">
        <v>23.2</v>
      </c>
      <c r="N152" s="121">
        <v>7.1</v>
      </c>
      <c r="O152" s="121">
        <v>16.100000000000001</v>
      </c>
      <c r="Q152" s="72"/>
      <c r="R152" s="72"/>
      <c r="W152" s="505"/>
    </row>
    <row r="153" spans="1:23" s="55" customFormat="1">
      <c r="A153" s="104" t="s">
        <v>620</v>
      </c>
      <c r="B153" s="121">
        <v>3.7</v>
      </c>
      <c r="C153" s="502">
        <v>0.3</v>
      </c>
      <c r="D153" s="121" t="s">
        <v>574</v>
      </c>
      <c r="E153" s="121" t="s">
        <v>574</v>
      </c>
      <c r="F153" s="122">
        <v>0.9</v>
      </c>
      <c r="G153" s="122">
        <v>0.5</v>
      </c>
      <c r="H153" s="122">
        <v>0.4</v>
      </c>
      <c r="I153" s="102">
        <v>1.5</v>
      </c>
      <c r="J153" s="102">
        <v>0.5</v>
      </c>
      <c r="K153" s="102">
        <v>0.3</v>
      </c>
      <c r="L153" s="102">
        <v>0.7</v>
      </c>
      <c r="M153" s="121">
        <v>1</v>
      </c>
      <c r="N153" s="121">
        <v>0.4</v>
      </c>
      <c r="O153" s="121">
        <v>0.6</v>
      </c>
      <c r="Q153" s="72"/>
      <c r="R153" s="72"/>
      <c r="W153" s="505"/>
    </row>
    <row r="154" spans="1:23" s="55" customFormat="1">
      <c r="A154" s="104" t="s">
        <v>621</v>
      </c>
      <c r="B154" s="121">
        <v>1.1000000000000001</v>
      </c>
      <c r="C154" s="502">
        <v>0.7</v>
      </c>
      <c r="D154" s="121">
        <v>0.6</v>
      </c>
      <c r="E154" s="121" t="s">
        <v>574</v>
      </c>
      <c r="F154" s="122" t="s">
        <v>574</v>
      </c>
      <c r="G154" s="122" t="s">
        <v>574</v>
      </c>
      <c r="H154" s="122" t="s">
        <v>574</v>
      </c>
      <c r="I154" s="102" t="s">
        <v>574</v>
      </c>
      <c r="J154" s="102" t="s">
        <v>574</v>
      </c>
      <c r="K154" s="102" t="s">
        <v>575</v>
      </c>
      <c r="L154" s="102" t="s">
        <v>574</v>
      </c>
      <c r="M154" s="121" t="s">
        <v>574</v>
      </c>
      <c r="N154" s="121" t="s">
        <v>574</v>
      </c>
      <c r="O154" s="121" t="s">
        <v>575</v>
      </c>
      <c r="Q154" s="72"/>
      <c r="R154" s="72"/>
      <c r="W154" s="505"/>
    </row>
    <row r="155" spans="1:23" s="55" customFormat="1">
      <c r="B155" s="121"/>
      <c r="C155" s="502"/>
      <c r="D155" s="121"/>
      <c r="E155" s="121"/>
      <c r="F155" s="122"/>
      <c r="G155" s="122"/>
      <c r="H155" s="122"/>
      <c r="I155" s="102"/>
      <c r="J155" s="102"/>
      <c r="K155" s="102"/>
      <c r="L155" s="102"/>
      <c r="M155" s="121"/>
      <c r="N155" s="121"/>
      <c r="O155" s="121"/>
      <c r="Q155" s="72"/>
      <c r="R155" s="72"/>
      <c r="W155" s="505"/>
    </row>
    <row r="156" spans="1:23" s="55" customFormat="1" ht="15">
      <c r="A156" s="57" t="s">
        <v>622</v>
      </c>
      <c r="B156" s="121"/>
      <c r="C156" s="502"/>
      <c r="D156" s="121"/>
      <c r="E156" s="121"/>
      <c r="F156" s="122"/>
      <c r="G156" s="122"/>
      <c r="H156" s="122"/>
      <c r="I156" s="102"/>
      <c r="J156" s="102"/>
      <c r="K156" s="102"/>
      <c r="L156" s="102"/>
      <c r="M156" s="121"/>
      <c r="N156" s="121"/>
      <c r="O156" s="121"/>
      <c r="Q156" s="72"/>
      <c r="R156" s="72"/>
      <c r="W156" s="505"/>
    </row>
    <row r="157" spans="1:23" s="55" customFormat="1">
      <c r="A157" s="104" t="s">
        <v>623</v>
      </c>
      <c r="B157" s="121">
        <v>99.7</v>
      </c>
      <c r="C157" s="502">
        <v>16.100000000000001</v>
      </c>
      <c r="D157" s="121">
        <v>11.7</v>
      </c>
      <c r="E157" s="121">
        <v>4.5</v>
      </c>
      <c r="F157" s="122">
        <v>23.5</v>
      </c>
      <c r="G157" s="122">
        <v>16.2</v>
      </c>
      <c r="H157" s="122">
        <v>7.3</v>
      </c>
      <c r="I157" s="102">
        <v>38.200000000000003</v>
      </c>
      <c r="J157" s="102">
        <v>20.2</v>
      </c>
      <c r="K157" s="102">
        <v>6.7</v>
      </c>
      <c r="L157" s="102">
        <v>11.3</v>
      </c>
      <c r="M157" s="121">
        <v>21.9</v>
      </c>
      <c r="N157" s="121">
        <v>7.1</v>
      </c>
      <c r="O157" s="121">
        <v>14.8</v>
      </c>
      <c r="Q157" s="72"/>
      <c r="R157" s="72"/>
      <c r="W157" s="505"/>
    </row>
    <row r="158" spans="1:23" s="55" customFormat="1">
      <c r="A158" s="104" t="s">
        <v>624</v>
      </c>
      <c r="B158" s="121">
        <v>10.3</v>
      </c>
      <c r="C158" s="502">
        <v>3.7</v>
      </c>
      <c r="D158" s="121">
        <v>2.9</v>
      </c>
      <c r="E158" s="121">
        <v>0.8</v>
      </c>
      <c r="F158" s="122">
        <v>1.9</v>
      </c>
      <c r="G158" s="122">
        <v>1.4</v>
      </c>
      <c r="H158" s="122">
        <v>0.5</v>
      </c>
      <c r="I158" s="102">
        <v>2.4</v>
      </c>
      <c r="J158" s="102">
        <v>1.5</v>
      </c>
      <c r="K158" s="102">
        <v>0.2</v>
      </c>
      <c r="L158" s="102">
        <v>0.7</v>
      </c>
      <c r="M158" s="121">
        <v>2.2999999999999998</v>
      </c>
      <c r="N158" s="121">
        <v>0.4</v>
      </c>
      <c r="O158" s="121">
        <v>1.9</v>
      </c>
      <c r="Q158" s="72"/>
      <c r="R158" s="72"/>
      <c r="W158" s="505"/>
    </row>
    <row r="159" spans="1:23" s="55" customFormat="1">
      <c r="A159" s="104" t="s">
        <v>621</v>
      </c>
      <c r="B159" s="121">
        <v>1.1000000000000001</v>
      </c>
      <c r="C159" s="502">
        <v>0.7</v>
      </c>
      <c r="D159" s="121">
        <v>0.6</v>
      </c>
      <c r="E159" s="121" t="s">
        <v>574</v>
      </c>
      <c r="F159" s="122" t="s">
        <v>574</v>
      </c>
      <c r="G159" s="122" t="s">
        <v>574</v>
      </c>
      <c r="H159" s="122" t="s">
        <v>574</v>
      </c>
      <c r="I159" s="102" t="s">
        <v>574</v>
      </c>
      <c r="J159" s="102" t="s">
        <v>574</v>
      </c>
      <c r="K159" s="102" t="s">
        <v>575</v>
      </c>
      <c r="L159" s="102" t="s">
        <v>574</v>
      </c>
      <c r="M159" s="121" t="s">
        <v>574</v>
      </c>
      <c r="N159" s="121" t="s">
        <v>574</v>
      </c>
      <c r="O159" s="121" t="s">
        <v>575</v>
      </c>
      <c r="Q159" s="72"/>
      <c r="R159" s="72"/>
      <c r="W159" s="505"/>
    </row>
    <row r="160" spans="1:23" s="55" customFormat="1">
      <c r="B160" s="121"/>
      <c r="C160" s="502"/>
      <c r="D160" s="121"/>
      <c r="E160" s="121"/>
      <c r="F160" s="122"/>
      <c r="G160" s="122"/>
      <c r="H160" s="122"/>
      <c r="I160" s="102"/>
      <c r="J160" s="102"/>
      <c r="K160" s="102"/>
      <c r="L160" s="102"/>
      <c r="M160" s="121"/>
      <c r="N160" s="121"/>
      <c r="O160" s="121"/>
      <c r="Q160" s="72"/>
      <c r="R160" s="72"/>
      <c r="W160" s="505"/>
    </row>
    <row r="161" spans="1:23" s="55" customFormat="1" ht="15">
      <c r="A161" s="57" t="s">
        <v>625</v>
      </c>
      <c r="B161" s="121">
        <f>B162+B165+B168+B171</f>
        <v>109.50000000000001</v>
      </c>
      <c r="C161" s="502">
        <f t="shared" ref="C161:O161" si="76">C162+C165+C168+C171</f>
        <v>19.8</v>
      </c>
      <c r="D161" s="121">
        <f t="shared" si="76"/>
        <v>14.600000000000001</v>
      </c>
      <c r="E161" s="121">
        <f t="shared" si="76"/>
        <v>5.3</v>
      </c>
      <c r="F161" s="121"/>
      <c r="G161" s="121">
        <f t="shared" si="76"/>
        <v>17.7</v>
      </c>
      <c r="H161" s="121">
        <f t="shared" si="76"/>
        <v>7.8</v>
      </c>
      <c r="I161" s="121"/>
      <c r="J161" s="121">
        <f t="shared" si="76"/>
        <v>21.5</v>
      </c>
      <c r="K161" s="121">
        <f t="shared" si="76"/>
        <v>6.7</v>
      </c>
      <c r="L161" s="121">
        <f t="shared" si="76"/>
        <v>12.000000000000002</v>
      </c>
      <c r="M161" s="121"/>
      <c r="N161" s="121">
        <f t="shared" si="76"/>
        <v>7.4</v>
      </c>
      <c r="O161" s="121">
        <f t="shared" si="76"/>
        <v>16.5</v>
      </c>
      <c r="Q161" s="72"/>
      <c r="R161" s="72"/>
      <c r="W161" s="505"/>
    </row>
    <row r="162" spans="1:23" s="55" customFormat="1" ht="15">
      <c r="A162" s="105" t="s">
        <v>626</v>
      </c>
      <c r="B162" s="123">
        <f>D162+E162+G162+H162+J162+K162+L162+N162+O162</f>
        <v>43</v>
      </c>
      <c r="C162" s="503">
        <v>4.0999999999999996</v>
      </c>
      <c r="D162" s="123">
        <v>2.7</v>
      </c>
      <c r="E162" s="123">
        <v>1.4</v>
      </c>
      <c r="F162" s="124">
        <v>7.3</v>
      </c>
      <c r="G162" s="124">
        <v>5.0999999999999996</v>
      </c>
      <c r="H162" s="124">
        <v>2.2000000000000002</v>
      </c>
      <c r="I162" s="107">
        <v>25.5</v>
      </c>
      <c r="J162" s="107">
        <v>15.6</v>
      </c>
      <c r="K162" s="107">
        <v>4.7</v>
      </c>
      <c r="L162" s="107">
        <v>5.2</v>
      </c>
      <c r="M162" s="123">
        <v>6.1</v>
      </c>
      <c r="N162" s="123">
        <v>1.9</v>
      </c>
      <c r="O162" s="123">
        <v>4.2</v>
      </c>
      <c r="P162" s="84"/>
      <c r="Q162" s="109"/>
      <c r="R162" s="109"/>
      <c r="W162" s="505"/>
    </row>
    <row r="163" spans="1:23" s="55" customFormat="1" ht="15">
      <c r="A163" s="110" t="s">
        <v>627</v>
      </c>
      <c r="B163" s="121">
        <v>40.299999999999997</v>
      </c>
      <c r="C163" s="502">
        <v>3.6</v>
      </c>
      <c r="D163" s="121">
        <v>2.4</v>
      </c>
      <c r="E163" s="121">
        <v>1.2</v>
      </c>
      <c r="F163" s="122">
        <v>6.9</v>
      </c>
      <c r="G163" s="122">
        <v>4.8</v>
      </c>
      <c r="H163" s="122">
        <v>2.1</v>
      </c>
      <c r="I163" s="102">
        <v>24.5</v>
      </c>
      <c r="J163" s="102">
        <v>15</v>
      </c>
      <c r="K163" s="102">
        <v>4.5999999999999996</v>
      </c>
      <c r="L163" s="102">
        <v>4.9000000000000004</v>
      </c>
      <c r="M163" s="121">
        <v>5.2</v>
      </c>
      <c r="N163" s="121">
        <v>1.8</v>
      </c>
      <c r="O163" s="121">
        <v>3.4</v>
      </c>
      <c r="Q163" s="109"/>
      <c r="R163" s="109"/>
      <c r="W163" s="505"/>
    </row>
    <row r="164" spans="1:23" s="55" customFormat="1" ht="15">
      <c r="A164" s="110" t="s">
        <v>628</v>
      </c>
      <c r="B164" s="121">
        <v>2.7</v>
      </c>
      <c r="C164" s="502">
        <v>0.5</v>
      </c>
      <c r="D164" s="121" t="s">
        <v>574</v>
      </c>
      <c r="E164" s="121">
        <v>0.2</v>
      </c>
      <c r="F164" s="122">
        <v>0.4</v>
      </c>
      <c r="G164" s="122">
        <v>0.3</v>
      </c>
      <c r="H164" s="122" t="s">
        <v>574</v>
      </c>
      <c r="I164" s="102">
        <v>1</v>
      </c>
      <c r="J164" s="102">
        <v>0.6</v>
      </c>
      <c r="K164" s="102" t="s">
        <v>574</v>
      </c>
      <c r="L164" s="102">
        <v>0.3</v>
      </c>
      <c r="M164" s="121">
        <v>0.9</v>
      </c>
      <c r="N164" s="121" t="s">
        <v>574</v>
      </c>
      <c r="O164" s="121">
        <v>0.8</v>
      </c>
      <c r="Q164" s="109"/>
      <c r="R164" s="109"/>
      <c r="W164" s="505"/>
    </row>
    <row r="165" spans="1:23" s="55" customFormat="1" ht="15">
      <c r="A165" s="105" t="s">
        <v>580</v>
      </c>
      <c r="B165" s="123">
        <v>58.7</v>
      </c>
      <c r="C165" s="503">
        <v>11.2</v>
      </c>
      <c r="D165" s="123">
        <v>8.9</v>
      </c>
      <c r="E165" s="123">
        <v>2.2999999999999998</v>
      </c>
      <c r="F165" s="124">
        <v>16.899999999999999</v>
      </c>
      <c r="G165" s="124">
        <v>11.9</v>
      </c>
      <c r="H165" s="124">
        <v>5.0999999999999996</v>
      </c>
      <c r="I165" s="107">
        <v>13.8</v>
      </c>
      <c r="J165" s="107">
        <v>5.5</v>
      </c>
      <c r="K165" s="107">
        <v>2</v>
      </c>
      <c r="L165" s="107">
        <v>6.4</v>
      </c>
      <c r="M165" s="123">
        <v>16.7</v>
      </c>
      <c r="N165" s="123">
        <v>4.9000000000000004</v>
      </c>
      <c r="O165" s="123">
        <v>11.7</v>
      </c>
      <c r="P165" s="84"/>
      <c r="Q165" s="109"/>
      <c r="R165" s="109"/>
      <c r="W165" s="505"/>
    </row>
    <row r="166" spans="1:23" s="55" customFormat="1" ht="15">
      <c r="A166" s="110" t="s">
        <v>627</v>
      </c>
      <c r="B166" s="121">
        <v>52.5</v>
      </c>
      <c r="C166" s="502">
        <v>9</v>
      </c>
      <c r="D166" s="121">
        <v>7.1</v>
      </c>
      <c r="E166" s="121">
        <v>1.9</v>
      </c>
      <c r="F166" s="122">
        <v>15.4</v>
      </c>
      <c r="G166" s="122">
        <v>10.8</v>
      </c>
      <c r="H166" s="122">
        <v>4.5999999999999996</v>
      </c>
      <c r="I166" s="102">
        <v>12.6</v>
      </c>
      <c r="J166" s="102">
        <v>4.7</v>
      </c>
      <c r="K166" s="102">
        <v>1.8</v>
      </c>
      <c r="L166" s="102">
        <v>6.1</v>
      </c>
      <c r="M166" s="121">
        <v>15.4</v>
      </c>
      <c r="N166" s="121">
        <v>4.7</v>
      </c>
      <c r="O166" s="121">
        <v>10.7</v>
      </c>
      <c r="Q166" s="109"/>
      <c r="R166" s="109"/>
      <c r="W166" s="505"/>
    </row>
    <row r="167" spans="1:23" s="55" customFormat="1" ht="15">
      <c r="A167" s="110" t="s">
        <v>628</v>
      </c>
      <c r="B167" s="121">
        <v>6.2</v>
      </c>
      <c r="C167" s="502">
        <v>2.2000000000000002</v>
      </c>
      <c r="D167" s="121">
        <v>1.8</v>
      </c>
      <c r="E167" s="121">
        <v>0.4</v>
      </c>
      <c r="F167" s="122">
        <v>1.5</v>
      </c>
      <c r="G167" s="122">
        <v>1.1000000000000001</v>
      </c>
      <c r="H167" s="122">
        <v>0.4</v>
      </c>
      <c r="I167" s="102">
        <v>1.2</v>
      </c>
      <c r="J167" s="102">
        <v>0.8</v>
      </c>
      <c r="K167" s="102" t="s">
        <v>574</v>
      </c>
      <c r="L167" s="102">
        <v>0.3</v>
      </c>
      <c r="M167" s="121">
        <v>1.3</v>
      </c>
      <c r="N167" s="121">
        <v>0.2</v>
      </c>
      <c r="O167" s="121">
        <v>1</v>
      </c>
      <c r="Q167" s="109"/>
      <c r="R167" s="109"/>
      <c r="W167" s="505"/>
    </row>
    <row r="168" spans="1:23" s="55" customFormat="1" ht="15">
      <c r="A168" s="105" t="s">
        <v>589</v>
      </c>
      <c r="B168" s="123">
        <f>D168+E168+G168+H168+J168+K168+L168+N168+O168</f>
        <v>3.9</v>
      </c>
      <c r="C168" s="503">
        <v>3.9</v>
      </c>
      <c r="D168" s="123">
        <v>2.5</v>
      </c>
      <c r="E168" s="123">
        <v>1.4</v>
      </c>
      <c r="F168" s="124" t="s">
        <v>575</v>
      </c>
      <c r="G168" s="124">
        <v>0</v>
      </c>
      <c r="H168" s="124">
        <v>0</v>
      </c>
      <c r="I168" s="107" t="s">
        <v>574</v>
      </c>
      <c r="J168" s="107">
        <v>0</v>
      </c>
      <c r="K168" s="107">
        <v>0</v>
      </c>
      <c r="L168" s="107">
        <v>0</v>
      </c>
      <c r="M168" s="123" t="s">
        <v>575</v>
      </c>
      <c r="N168" s="123">
        <v>0</v>
      </c>
      <c r="O168" s="123">
        <v>0</v>
      </c>
      <c r="P168" s="84"/>
      <c r="Q168" s="109"/>
      <c r="R168" s="109"/>
      <c r="W168" s="505"/>
    </row>
    <row r="169" spans="1:23" s="55" customFormat="1" ht="15">
      <c r="A169" s="110" t="s">
        <v>627</v>
      </c>
      <c r="B169" s="121">
        <v>3</v>
      </c>
      <c r="C169" s="502">
        <v>2.9</v>
      </c>
      <c r="D169" s="121">
        <v>1.7</v>
      </c>
      <c r="E169" s="121">
        <v>1.2</v>
      </c>
      <c r="F169" s="122" t="s">
        <v>575</v>
      </c>
      <c r="G169" s="122" t="s">
        <v>575</v>
      </c>
      <c r="H169" s="122" t="s">
        <v>575</v>
      </c>
      <c r="I169" s="102" t="s">
        <v>574</v>
      </c>
      <c r="J169" s="102" t="s">
        <v>574</v>
      </c>
      <c r="K169" s="102" t="s">
        <v>575</v>
      </c>
      <c r="L169" s="102" t="s">
        <v>575</v>
      </c>
      <c r="M169" s="121" t="s">
        <v>575</v>
      </c>
      <c r="N169" s="121" t="s">
        <v>575</v>
      </c>
      <c r="O169" s="121" t="s">
        <v>575</v>
      </c>
      <c r="Q169" s="109"/>
      <c r="R169" s="109"/>
      <c r="W169" s="505"/>
    </row>
    <row r="170" spans="1:23" s="55" customFormat="1" ht="15">
      <c r="A170" s="110" t="s">
        <v>628</v>
      </c>
      <c r="B170" s="121">
        <v>1.1000000000000001</v>
      </c>
      <c r="C170" s="502">
        <v>1</v>
      </c>
      <c r="D170" s="121">
        <v>0.8</v>
      </c>
      <c r="E170" s="121">
        <v>0.2</v>
      </c>
      <c r="F170" s="122" t="s">
        <v>575</v>
      </c>
      <c r="G170" s="122" t="s">
        <v>575</v>
      </c>
      <c r="H170" s="122" t="s">
        <v>575</v>
      </c>
      <c r="I170" s="102" t="s">
        <v>574</v>
      </c>
      <c r="J170" s="102" t="s">
        <v>574</v>
      </c>
      <c r="K170" s="102" t="s">
        <v>575</v>
      </c>
      <c r="L170" s="102" t="s">
        <v>575</v>
      </c>
      <c r="M170" s="121" t="s">
        <v>575</v>
      </c>
      <c r="N170" s="121" t="s">
        <v>575</v>
      </c>
      <c r="O170" s="121" t="s">
        <v>575</v>
      </c>
      <c r="Q170" s="109"/>
      <c r="R170" s="109"/>
      <c r="W170" s="505"/>
    </row>
    <row r="171" spans="1:23" s="55" customFormat="1" ht="15">
      <c r="A171" s="105" t="s">
        <v>591</v>
      </c>
      <c r="B171" s="123">
        <f>D171+E171+G171+H171+J171+K171+L171+N171+O171</f>
        <v>3.9</v>
      </c>
      <c r="C171" s="503">
        <v>0.6</v>
      </c>
      <c r="D171" s="123">
        <v>0.5</v>
      </c>
      <c r="E171" s="123">
        <v>0.2</v>
      </c>
      <c r="F171" s="124">
        <v>1.2</v>
      </c>
      <c r="G171" s="124">
        <v>0.7</v>
      </c>
      <c r="H171" s="124">
        <v>0.5</v>
      </c>
      <c r="I171" s="107">
        <v>1</v>
      </c>
      <c r="J171" s="107">
        <v>0.4</v>
      </c>
      <c r="K171" s="107">
        <v>0</v>
      </c>
      <c r="L171" s="107">
        <v>0.4</v>
      </c>
      <c r="M171" s="123">
        <v>1.2</v>
      </c>
      <c r="N171" s="123">
        <v>0.6</v>
      </c>
      <c r="O171" s="123">
        <v>0.6</v>
      </c>
      <c r="P171" s="84"/>
      <c r="Q171" s="109"/>
      <c r="R171" s="109"/>
      <c r="W171" s="505"/>
    </row>
    <row r="172" spans="1:23" s="55" customFormat="1">
      <c r="A172" s="104" t="s">
        <v>629</v>
      </c>
      <c r="B172" s="121">
        <v>0.2</v>
      </c>
      <c r="C172" s="502" t="s">
        <v>574</v>
      </c>
      <c r="D172" s="121" t="s">
        <v>575</v>
      </c>
      <c r="E172" s="121" t="s">
        <v>574</v>
      </c>
      <c r="F172" s="122" t="s">
        <v>574</v>
      </c>
      <c r="G172" s="122" t="s">
        <v>574</v>
      </c>
      <c r="H172" s="122" t="s">
        <v>575</v>
      </c>
      <c r="I172" s="102" t="s">
        <v>574</v>
      </c>
      <c r="J172" s="102" t="s">
        <v>575</v>
      </c>
      <c r="K172" s="102" t="s">
        <v>574</v>
      </c>
      <c r="L172" s="102" t="s">
        <v>575</v>
      </c>
      <c r="M172" s="121" t="s">
        <v>574</v>
      </c>
      <c r="N172" s="121" t="s">
        <v>574</v>
      </c>
      <c r="O172" s="121" t="s">
        <v>574</v>
      </c>
      <c r="Q172" s="72"/>
      <c r="R172" s="72"/>
      <c r="W172" s="505"/>
    </row>
    <row r="173" spans="1:23" s="55" customFormat="1">
      <c r="A173" s="104" t="s">
        <v>621</v>
      </c>
      <c r="B173" s="121">
        <v>1.1000000000000001</v>
      </c>
      <c r="C173" s="502">
        <v>0.7</v>
      </c>
      <c r="D173" s="121">
        <v>0.6</v>
      </c>
      <c r="E173" s="121" t="s">
        <v>574</v>
      </c>
      <c r="F173" s="122" t="s">
        <v>574</v>
      </c>
      <c r="G173" s="122" t="s">
        <v>574</v>
      </c>
      <c r="H173" s="122" t="s">
        <v>574</v>
      </c>
      <c r="I173" s="102" t="s">
        <v>574</v>
      </c>
      <c r="J173" s="102" t="s">
        <v>574</v>
      </c>
      <c r="K173" s="102" t="s">
        <v>575</v>
      </c>
      <c r="L173" s="102" t="s">
        <v>574</v>
      </c>
      <c r="M173" s="121" t="s">
        <v>574</v>
      </c>
      <c r="N173" s="121" t="s">
        <v>574</v>
      </c>
      <c r="O173" s="121" t="s">
        <v>575</v>
      </c>
      <c r="Q173" s="72"/>
      <c r="R173" s="72"/>
      <c r="W173" s="505"/>
    </row>
    <row r="174" spans="1:23" s="55" customFormat="1">
      <c r="A174" s="61"/>
      <c r="B174" s="61"/>
      <c r="C174" s="504"/>
      <c r="D174" s="61"/>
      <c r="E174" s="61"/>
      <c r="Q174" s="72"/>
      <c r="R174" s="72"/>
      <c r="W174" s="505"/>
    </row>
    <row r="175" spans="1:23" s="55" customFormat="1">
      <c r="A175" s="61" t="s">
        <v>594</v>
      </c>
      <c r="B175" s="125"/>
      <c r="C175" s="504"/>
      <c r="D175" s="111">
        <f>D162+D165+D168+D171</f>
        <v>14.600000000000001</v>
      </c>
      <c r="E175" s="111">
        <f>E162+E165+E168+E171</f>
        <v>5.3</v>
      </c>
      <c r="G175" s="111">
        <f>G162+G165+G168+G171</f>
        <v>17.7</v>
      </c>
      <c r="H175" s="111">
        <f>H162+H165+H168+H171</f>
        <v>7.8</v>
      </c>
      <c r="J175" s="111">
        <f>J162+J165+J168+J171</f>
        <v>21.5</v>
      </c>
      <c r="K175" s="111">
        <f>K162+K165+K168+K171</f>
        <v>6.7</v>
      </c>
      <c r="L175" s="111">
        <f>L162+L165+L168+L171</f>
        <v>12.000000000000002</v>
      </c>
      <c r="N175" s="111">
        <f>N162+N165+N168+N171</f>
        <v>7.4</v>
      </c>
      <c r="O175" s="111">
        <f>O162+O165+O168+O171</f>
        <v>16.5</v>
      </c>
      <c r="Q175" s="72"/>
      <c r="R175" s="72"/>
      <c r="W175" s="505"/>
    </row>
    <row r="176" spans="1:23" s="55" customFormat="1">
      <c r="A176" s="61"/>
      <c r="B176" s="61"/>
      <c r="C176" s="504"/>
      <c r="D176" s="61"/>
      <c r="E176" s="61"/>
      <c r="Q176" s="72"/>
      <c r="R176" s="72"/>
      <c r="W176" s="505"/>
    </row>
    <row r="177" spans="1:31" s="55" customFormat="1">
      <c r="A177" s="61"/>
      <c r="B177" s="61"/>
      <c r="C177" s="504"/>
      <c r="D177" s="61"/>
      <c r="E177" s="61"/>
      <c r="Q177" s="72"/>
      <c r="R177" s="72"/>
      <c r="W177" s="505"/>
    </row>
    <row r="178" spans="1:31" s="55" customFormat="1">
      <c r="A178" s="61"/>
      <c r="B178" s="61"/>
      <c r="C178" s="504"/>
      <c r="D178" s="61"/>
      <c r="E178" s="61"/>
      <c r="Q178" s="72"/>
      <c r="R178" s="72"/>
      <c r="W178" s="505"/>
    </row>
    <row r="179" spans="1:31" s="55" customFormat="1">
      <c r="A179" s="117"/>
      <c r="B179" s="61"/>
      <c r="C179" s="504"/>
      <c r="D179" s="125"/>
      <c r="E179" s="125"/>
      <c r="F179" s="125"/>
      <c r="G179" s="125"/>
      <c r="H179" s="125"/>
      <c r="I179" s="125"/>
      <c r="J179" s="125"/>
      <c r="K179" s="125"/>
      <c r="L179" s="125"/>
      <c r="M179" s="125"/>
      <c r="N179" s="125"/>
      <c r="O179" s="125"/>
      <c r="Q179" s="72"/>
      <c r="R179" s="72"/>
      <c r="W179" s="505"/>
    </row>
    <row r="180" spans="1:31" s="55" customFormat="1">
      <c r="A180" s="117"/>
      <c r="B180" s="61"/>
      <c r="C180" s="504"/>
      <c r="D180" s="125"/>
      <c r="E180" s="125"/>
      <c r="F180" s="125"/>
      <c r="G180" s="125"/>
      <c r="H180" s="125"/>
      <c r="I180" s="125"/>
      <c r="J180" s="125"/>
      <c r="K180" s="125"/>
      <c r="L180" s="125"/>
      <c r="M180" s="125"/>
      <c r="N180" s="125"/>
      <c r="O180" s="125"/>
      <c r="Q180" s="72"/>
      <c r="R180" s="72"/>
      <c r="W180" s="505"/>
    </row>
    <row r="181" spans="1:31" s="55" customFormat="1">
      <c r="A181" s="61"/>
      <c r="B181" s="61"/>
      <c r="C181" s="504"/>
      <c r="D181" s="61"/>
      <c r="E181" s="61"/>
      <c r="Q181" s="72"/>
      <c r="R181" s="72"/>
      <c r="W181" s="505"/>
      <c r="AA181" s="27"/>
      <c r="AB181" s="27"/>
      <c r="AC181" s="27"/>
      <c r="AD181" s="27"/>
      <c r="AE181" s="27"/>
    </row>
    <row r="182" spans="1:31" s="55" customFormat="1">
      <c r="A182" s="61"/>
      <c r="B182" s="61"/>
      <c r="C182" s="504"/>
      <c r="D182" s="61"/>
      <c r="E182" s="61"/>
      <c r="Q182" s="72"/>
      <c r="R182" s="72"/>
      <c r="W182" s="505"/>
      <c r="AA182" s="27"/>
      <c r="AB182" s="27"/>
      <c r="AC182" s="27"/>
      <c r="AD182" s="27"/>
      <c r="AE182" s="27"/>
    </row>
    <row r="183" spans="1:31" s="55" customFormat="1">
      <c r="C183" s="484"/>
      <c r="Q183" s="72"/>
      <c r="R183" s="72"/>
      <c r="W183" s="505"/>
      <c r="AA183" s="27"/>
      <c r="AB183" s="27"/>
      <c r="AC183" s="27"/>
      <c r="AD183" s="27"/>
      <c r="AE183" s="27"/>
    </row>
    <row r="184" spans="1:31" s="55" customFormat="1">
      <c r="C184" s="484"/>
      <c r="Q184" s="72"/>
      <c r="R184" s="72"/>
      <c r="W184" s="505"/>
      <c r="AA184" s="27"/>
      <c r="AB184" s="27"/>
      <c r="AC184" s="27"/>
      <c r="AD184" s="27"/>
      <c r="AE184" s="27"/>
    </row>
    <row r="185" spans="1:31" s="55" customFormat="1">
      <c r="C185" s="484"/>
      <c r="Q185" s="72"/>
      <c r="R185" s="72"/>
      <c r="W185" s="505"/>
      <c r="AA185" s="27"/>
      <c r="AB185" s="27"/>
      <c r="AC185" s="27"/>
      <c r="AD185" s="27"/>
      <c r="AE185" s="27"/>
    </row>
    <row r="186" spans="1:31" s="55" customFormat="1">
      <c r="C186" s="484"/>
      <c r="Q186" s="72"/>
      <c r="R186" s="72"/>
      <c r="W186" s="505"/>
      <c r="AA186" s="27"/>
      <c r="AB186" s="27"/>
      <c r="AC186" s="27"/>
      <c r="AD186" s="27"/>
      <c r="AE186" s="27"/>
    </row>
    <row r="187" spans="1:31" s="55" customFormat="1">
      <c r="C187" s="484"/>
      <c r="Q187" s="72"/>
      <c r="R187" s="72"/>
      <c r="W187" s="505"/>
      <c r="AA187" s="27"/>
      <c r="AB187" s="27"/>
      <c r="AC187" s="27"/>
      <c r="AD187" s="27"/>
      <c r="AE187" s="27"/>
    </row>
    <row r="188" spans="1:31" s="55" customFormat="1">
      <c r="C188" s="484"/>
      <c r="Q188" s="72"/>
      <c r="R188" s="72"/>
      <c r="W188" s="505"/>
      <c r="AA188" s="27"/>
      <c r="AB188" s="27"/>
      <c r="AC188" s="27"/>
      <c r="AD188" s="27"/>
      <c r="AE188" s="27"/>
    </row>
  </sheetData>
  <mergeCells count="72">
    <mergeCell ref="V5:W5"/>
    <mergeCell ref="X5:Y5"/>
    <mergeCell ref="Z5:AB5"/>
    <mergeCell ref="AC5:AD5"/>
    <mergeCell ref="A116:E116"/>
    <mergeCell ref="A66:E66"/>
    <mergeCell ref="A72:A73"/>
    <mergeCell ref="B5:C5"/>
    <mergeCell ref="F5:H5"/>
    <mergeCell ref="D5:E5"/>
    <mergeCell ref="F68:H69"/>
    <mergeCell ref="G70:H71"/>
    <mergeCell ref="F71:F73"/>
    <mergeCell ref="D72:D73"/>
    <mergeCell ref="E72:E73"/>
    <mergeCell ref="C68:E69"/>
    <mergeCell ref="I119:I120"/>
    <mergeCell ref="J119:L119"/>
    <mergeCell ref="C117:E117"/>
    <mergeCell ref="A118:A120"/>
    <mergeCell ref="B118:B120"/>
    <mergeCell ref="C118:E118"/>
    <mergeCell ref="C119:C120"/>
    <mergeCell ref="D119:E119"/>
    <mergeCell ref="F118:H118"/>
    <mergeCell ref="F119:F120"/>
    <mergeCell ref="G119:H119"/>
    <mergeCell ref="M118:O118"/>
    <mergeCell ref="M119:M120"/>
    <mergeCell ref="N119:O119"/>
    <mergeCell ref="I5:J5"/>
    <mergeCell ref="I68:L69"/>
    <mergeCell ref="J70:L71"/>
    <mergeCell ref="I71:I73"/>
    <mergeCell ref="J72:J73"/>
    <mergeCell ref="K72:K73"/>
    <mergeCell ref="L72:L73"/>
    <mergeCell ref="M68:O69"/>
    <mergeCell ref="N70:O71"/>
    <mergeCell ref="M71:M73"/>
    <mergeCell ref="N72:N73"/>
    <mergeCell ref="O72:O73"/>
    <mergeCell ref="I118:L118"/>
    <mergeCell ref="B69:B73"/>
    <mergeCell ref="D70:E71"/>
    <mergeCell ref="C71:C73"/>
    <mergeCell ref="G72:G73"/>
    <mergeCell ref="H72:H73"/>
    <mergeCell ref="A141:E141"/>
    <mergeCell ref="C142:E143"/>
    <mergeCell ref="B143:B147"/>
    <mergeCell ref="D144:E145"/>
    <mergeCell ref="C145:C147"/>
    <mergeCell ref="A146:A147"/>
    <mergeCell ref="D146:D147"/>
    <mergeCell ref="E146:E147"/>
    <mergeCell ref="F142:H143"/>
    <mergeCell ref="G144:H145"/>
    <mergeCell ref="F145:F147"/>
    <mergeCell ref="G146:G147"/>
    <mergeCell ref="H146:H147"/>
    <mergeCell ref="I142:L143"/>
    <mergeCell ref="J144:L145"/>
    <mergeCell ref="I145:I147"/>
    <mergeCell ref="J146:J147"/>
    <mergeCell ref="K146:K147"/>
    <mergeCell ref="L146:L147"/>
    <mergeCell ref="M142:O143"/>
    <mergeCell ref="N144:O145"/>
    <mergeCell ref="M145:M147"/>
    <mergeCell ref="N146:N147"/>
    <mergeCell ref="O146:O147"/>
  </mergeCells>
  <phoneticPr fontId="14" type="noConversion"/>
  <pageMargins left="0.5" right="0.5" top="0.75" bottom="0.75" header="0.5" footer="0.5"/>
  <pageSetup scale="20" fitToHeight="0" orientation="landscape" r:id="rId1"/>
  <headerFooter alignWithMargins="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cols>
    <col min="1" max="1" width="12" customWidth="1"/>
    <col min="2" max="2" width="11.7109375" customWidth="1"/>
    <col min="3" max="3" width="21.42578125" customWidth="1"/>
    <col min="4" max="4" width="8.7109375" customWidth="1"/>
    <col min="5" max="5" width="18.28515625" customWidth="1"/>
    <col min="6" max="6" width="10.28515625" customWidth="1"/>
  </cols>
  <sheetData>
    <row r="1" spans="1:6">
      <c r="A1" s="1" t="s">
        <v>339</v>
      </c>
      <c r="B1" s="2"/>
    </row>
    <row r="4" spans="1:6" ht="18.75" customHeight="1"/>
    <row r="5" spans="1:6" ht="17.25" customHeight="1">
      <c r="C5" s="3"/>
    </row>
    <row r="6" spans="1:6" ht="15.75" customHeight="1"/>
    <row r="7" spans="1:6">
      <c r="B7" s="4" t="s">
        <v>335</v>
      </c>
      <c r="C7" s="1" t="s">
        <v>336</v>
      </c>
      <c r="D7" s="1" t="s">
        <v>332</v>
      </c>
      <c r="E7" s="1" t="s">
        <v>327</v>
      </c>
      <c r="F7" s="1" t="s">
        <v>324</v>
      </c>
    </row>
    <row r="8" spans="1:6">
      <c r="B8" s="1"/>
      <c r="C8" s="1"/>
      <c r="D8" s="1"/>
      <c r="E8" s="3"/>
      <c r="F8" s="1"/>
    </row>
    <row r="10" spans="1:6">
      <c r="B10" s="3"/>
      <c r="C10" s="3"/>
      <c r="D10" s="12"/>
      <c r="E10" s="12"/>
    </row>
    <row r="11" spans="1:6">
      <c r="B11" s="3"/>
      <c r="C11" s="3"/>
    </row>
    <row r="12" spans="1:6">
      <c r="B12" s="3"/>
      <c r="C12" s="3"/>
      <c r="D12" s="3"/>
      <c r="E12" s="3"/>
    </row>
    <row r="13" spans="1:6">
      <c r="B13" s="3"/>
      <c r="C13" s="3"/>
      <c r="D13" s="6"/>
      <c r="E13" s="3"/>
    </row>
    <row r="14" spans="1:6">
      <c r="B14" s="3"/>
      <c r="C14" s="3"/>
      <c r="D14" s="3"/>
      <c r="E14" s="3"/>
    </row>
    <row r="15" spans="1:6">
      <c r="B15" s="3"/>
      <c r="C15" s="3"/>
      <c r="E15" s="3"/>
    </row>
    <row r="16" spans="1:6">
      <c r="B16" s="3"/>
      <c r="C16" s="3"/>
    </row>
    <row r="17" spans="2:5">
      <c r="B17" s="3"/>
      <c r="C17" s="3"/>
      <c r="D17" s="6"/>
      <c r="E17" s="3"/>
    </row>
    <row r="18" spans="2:5">
      <c r="B18" s="4"/>
      <c r="C18" s="3"/>
      <c r="E18" s="3"/>
    </row>
    <row r="19" spans="2:5">
      <c r="E19" s="3"/>
    </row>
    <row r="21" spans="2:5">
      <c r="B21" s="3"/>
      <c r="C21" s="3"/>
      <c r="D21" s="3"/>
      <c r="E21" s="3"/>
    </row>
    <row r="22" spans="2:5">
      <c r="B22" s="3"/>
      <c r="C22" s="3"/>
    </row>
    <row r="23" spans="2:5">
      <c r="B23" s="3"/>
      <c r="C23" s="3"/>
      <c r="E23" s="3"/>
    </row>
    <row r="24" spans="2:5">
      <c r="D24" s="3"/>
      <c r="E24" s="3"/>
    </row>
  </sheetData>
  <phoneticPr fontId="0" type="noConversion"/>
  <pageMargins left="0.75" right="0.75" top="1" bottom="1" header="0.5" footer="0.5"/>
  <pageSetup paperSize="9" orientation="portrait" horizontalDpi="120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57150</xdr:rowOff>
              </from>
              <to>
                <xdr:col>3</xdr:col>
                <xdr:colOff>571500</xdr:colOff>
                <xdr:row>4</xdr:row>
                <xdr:rowOff>28575</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19050</xdr:colOff>
                <xdr:row>3</xdr:row>
                <xdr:rowOff>0</xdr:rowOff>
              </from>
              <to>
                <xdr:col>1</xdr:col>
                <xdr:colOff>0</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cols>
    <col min="1" max="1" width="10.5703125" customWidth="1"/>
    <col min="2" max="2" width="11.7109375" customWidth="1"/>
    <col min="3" max="3" width="24" customWidth="1"/>
    <col min="4" max="4" width="5.42578125" customWidth="1"/>
    <col min="6" max="6" width="10.28515625" bestFit="1" customWidth="1"/>
  </cols>
  <sheetData>
    <row r="1" spans="1:8">
      <c r="A1" s="1" t="s">
        <v>340</v>
      </c>
      <c r="B1" s="2"/>
    </row>
    <row r="3" spans="1:8" ht="15" customHeight="1"/>
    <row r="4" spans="1:8" ht="20.25" customHeight="1"/>
    <row r="5" spans="1:8" ht="19.5" customHeight="1">
      <c r="E5" s="3"/>
      <c r="F5" s="3"/>
      <c r="G5" s="12"/>
      <c r="H5" s="12"/>
    </row>
    <row r="6" spans="1:8" ht="19.5" customHeight="1">
      <c r="E6" s="9"/>
      <c r="F6" s="9"/>
      <c r="G6" s="12"/>
      <c r="H6" s="12"/>
    </row>
    <row r="7" spans="1:8">
      <c r="B7" s="1" t="s">
        <v>328</v>
      </c>
      <c r="C7" s="1" t="s">
        <v>329</v>
      </c>
      <c r="D7" s="1" t="s">
        <v>332</v>
      </c>
      <c r="E7" s="11"/>
      <c r="F7" s="7"/>
      <c r="G7" s="7"/>
      <c r="H7" s="12"/>
    </row>
    <row r="9" spans="1:8">
      <c r="B9" s="9"/>
      <c r="C9" s="9"/>
      <c r="D9" s="9"/>
    </row>
    <row r="10" spans="1:8">
      <c r="B10" s="9"/>
      <c r="C10" s="9"/>
      <c r="D10" s="9"/>
    </row>
    <row r="13" spans="1:8">
      <c r="B13" s="9"/>
      <c r="C13" s="9"/>
      <c r="D13" s="9"/>
    </row>
    <row r="15" spans="1:8">
      <c r="B15" s="9"/>
      <c r="C15" s="9"/>
      <c r="D15" s="9"/>
    </row>
    <row r="17" spans="2:4">
      <c r="B17" s="9"/>
      <c r="C17" s="9"/>
      <c r="D17" s="9"/>
    </row>
    <row r="19" spans="2:4">
      <c r="B19" s="9"/>
      <c r="C19" s="9"/>
      <c r="D19" s="9"/>
    </row>
    <row r="21" spans="2:4">
      <c r="B21" s="9"/>
      <c r="C21" s="9"/>
      <c r="D21" s="9"/>
    </row>
    <row r="23" spans="2:4">
      <c r="B23" s="9"/>
      <c r="C23" s="9"/>
      <c r="D23" s="9"/>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19050</xdr:colOff>
                <xdr:row>3</xdr:row>
                <xdr:rowOff>19050</xdr:rowOff>
              </from>
              <to>
                <xdr:col>1</xdr:col>
                <xdr:colOff>0</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19050</xdr:colOff>
                <xdr:row>5</xdr:row>
                <xdr:rowOff>0</xdr:rowOff>
              </from>
              <to>
                <xdr:col>1</xdr:col>
                <xdr:colOff>0</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19050</xdr:colOff>
                <xdr:row>4</xdr:row>
                <xdr:rowOff>19050</xdr:rowOff>
              </from>
              <to>
                <xdr:col>1</xdr:col>
                <xdr:colOff>0</xdr:colOff>
                <xdr:row>5</xdr:row>
                <xdr:rowOff>9525</xdr:rowOff>
              </to>
            </anchor>
          </controlPr>
        </control>
      </mc:Choice>
      <mc:Fallback>
        <control shapeId="4097" r:id="rId12" name="cmdAddParameter"/>
      </mc:Fallback>
    </mc:AlternateContent>
  </control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cols>
    <col min="1" max="2" width="10.28515625" customWidth="1"/>
    <col min="3" max="3" width="24.28515625" customWidth="1"/>
    <col min="4" max="4" width="7.7109375" customWidth="1"/>
    <col min="6" max="6" width="10.5703125" customWidth="1"/>
    <col min="7" max="7" width="9.7109375" customWidth="1"/>
    <col min="8" max="8" width="8.28515625" customWidth="1"/>
    <col min="9" max="11" width="9.28515625" customWidth="1"/>
    <col min="12" max="12" width="12.5703125" customWidth="1"/>
    <col min="13" max="13" width="12.42578125" customWidth="1"/>
  </cols>
  <sheetData>
    <row r="1" spans="1:16">
      <c r="A1" s="1" t="s">
        <v>341</v>
      </c>
      <c r="B1" s="2"/>
    </row>
    <row r="4" spans="1:16" ht="17.25" customHeight="1"/>
    <row r="5" spans="1:16" ht="18" customHeight="1">
      <c r="G5" s="3"/>
      <c r="H5" s="3"/>
      <c r="I5" s="3"/>
      <c r="J5" s="12"/>
      <c r="K5" s="12"/>
      <c r="L5" s="3"/>
      <c r="M5" s="10"/>
      <c r="N5" s="3"/>
      <c r="O5" s="10"/>
      <c r="P5" s="10"/>
    </row>
    <row r="6" spans="1:16" ht="17.25" customHeight="1">
      <c r="G6" s="3"/>
      <c r="H6" s="3"/>
      <c r="I6" s="3"/>
      <c r="J6" s="3"/>
      <c r="K6" s="3"/>
      <c r="L6" s="3"/>
      <c r="M6" s="9"/>
      <c r="N6" s="3"/>
      <c r="O6" s="9"/>
    </row>
    <row r="7" spans="1:16" ht="15.75" customHeight="1">
      <c r="B7" s="1" t="s">
        <v>330</v>
      </c>
      <c r="C7" s="1" t="s">
        <v>331</v>
      </c>
      <c r="D7" s="1" t="s">
        <v>332</v>
      </c>
      <c r="E7" s="1" t="s">
        <v>333</v>
      </c>
      <c r="F7" s="1" t="s">
        <v>334</v>
      </c>
      <c r="G7" s="3"/>
      <c r="H7" s="3"/>
      <c r="I7" s="3"/>
      <c r="J7" s="12"/>
      <c r="K7" s="3"/>
      <c r="L7" s="3"/>
      <c r="M7" s="9"/>
      <c r="N7" s="3"/>
      <c r="P7" s="9"/>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38100</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19050</xdr:colOff>
                <xdr:row>5</xdr:row>
                <xdr:rowOff>19050</xdr:rowOff>
              </from>
              <to>
                <xdr:col>1</xdr:col>
                <xdr:colOff>19050</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19050</xdr:colOff>
                <xdr:row>4</xdr:row>
                <xdr:rowOff>0</xdr:rowOff>
              </from>
              <to>
                <xdr:col>1</xdr:col>
                <xdr:colOff>19050</xdr:colOff>
                <xdr:row>5</xdr:row>
                <xdr:rowOff>9525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19050</xdr:colOff>
                <xdr:row>2</xdr:row>
                <xdr:rowOff>142875</xdr:rowOff>
              </from>
              <to>
                <xdr:col>6</xdr:col>
                <xdr:colOff>9525</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19050</xdr:colOff>
                <xdr:row>2</xdr:row>
                <xdr:rowOff>142875</xdr:rowOff>
              </from>
              <to>
                <xdr:col>5</xdr:col>
                <xdr:colOff>0</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cols>
    <col min="1" max="1" width="10.42578125" customWidth="1"/>
    <col min="2" max="2" width="11.5703125" customWidth="1"/>
    <col min="3" max="3" width="17.5703125" customWidth="1"/>
    <col min="4" max="4" width="5.7109375" customWidth="1"/>
    <col min="5" max="5" width="10.28515625" customWidth="1"/>
  </cols>
  <sheetData>
    <row r="1" spans="1:5">
      <c r="A1" s="1" t="s">
        <v>342</v>
      </c>
      <c r="B1" s="2"/>
    </row>
    <row r="4" spans="1:5" ht="17.25" customHeight="1"/>
    <row r="5" spans="1:5" ht="18" customHeight="1"/>
    <row r="6" spans="1:5" ht="17.25" customHeight="1"/>
    <row r="7" spans="1:5" ht="15.75" customHeight="1">
      <c r="B7" s="1" t="s">
        <v>335</v>
      </c>
      <c r="C7" s="1" t="s">
        <v>336</v>
      </c>
      <c r="D7" s="1" t="s">
        <v>332</v>
      </c>
      <c r="E7" s="1" t="s">
        <v>330</v>
      </c>
    </row>
    <row r="8" spans="1:5">
      <c r="B8" s="3"/>
      <c r="E8" s="3"/>
    </row>
    <row r="9" spans="1:5">
      <c r="B9" s="8"/>
      <c r="E9" s="3"/>
    </row>
    <row r="10" spans="1:5">
      <c r="B10" s="8"/>
      <c r="E10" s="3"/>
    </row>
    <row r="11" spans="1:5">
      <c r="B11" s="8"/>
      <c r="E11" s="3"/>
    </row>
    <row r="14" spans="1:5">
      <c r="A14" s="1"/>
    </row>
    <row r="18" spans="1:5">
      <c r="A18" s="1"/>
      <c r="B18" s="1"/>
      <c r="C18" s="1"/>
      <c r="D18" s="1"/>
      <c r="E18" s="1"/>
    </row>
  </sheetData>
  <phoneticPr fontId="0" type="noConversion"/>
  <pageMargins left="0.75" right="0.75" top="1" bottom="1" header="0.5" footer="0.5"/>
  <pageSetup paperSize="9" orientation="landscape" horizontalDpi="120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9525</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19050</xdr:colOff>
                <xdr:row>5</xdr:row>
                <xdr:rowOff>0</xdr:rowOff>
              </from>
              <to>
                <xdr:col>1</xdr:col>
                <xdr:colOff>9525</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19050</xdr:colOff>
                <xdr:row>4</xdr:row>
                <xdr:rowOff>0</xdr:rowOff>
              </from>
              <to>
                <xdr:col>1</xdr:col>
                <xdr:colOff>9525</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11265" r:id="rId14" name="cmdConstrNameAndDesc"/>
      </mc:Fallback>
    </mc:AlternateContent>
  </control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P127"/>
  <sheetViews>
    <sheetView showFormulas="1" topLeftCell="A27" workbookViewId="0">
      <selection activeCell="R107" sqref="R107"/>
    </sheetView>
  </sheetViews>
  <sheetFormatPr defaultColWidth="9.28515625" defaultRowHeight="14.25"/>
  <cols>
    <col min="1" max="1" width="9.28515625" style="459"/>
    <col min="2" max="2" width="14.7109375" style="459" customWidth="1"/>
    <col min="3" max="3" width="27.28515625" style="459" customWidth="1"/>
    <col min="4" max="5" width="14.28515625" style="459" customWidth="1"/>
    <col min="6" max="8" width="12.28515625" style="459" customWidth="1"/>
    <col min="9" max="10" width="9.28515625" style="459"/>
    <col min="11" max="11" width="13.42578125" style="459" customWidth="1"/>
    <col min="12" max="12" width="16.28515625" style="459" customWidth="1"/>
    <col min="13" max="15" width="12" style="459" customWidth="1"/>
    <col min="16" max="16" width="12.42578125" style="459" customWidth="1"/>
    <col min="17" max="17" width="10.7109375" style="459" customWidth="1"/>
    <col min="18" max="18" width="12" style="459" customWidth="1"/>
    <col min="19" max="19" width="9.42578125" style="459" customWidth="1"/>
    <col min="20" max="21" width="9.28515625" style="459"/>
    <col min="22" max="22" width="11.5703125" style="459" customWidth="1"/>
    <col min="23" max="26" width="9.28515625" style="459"/>
    <col min="27" max="27" width="3.28515625" style="459" customWidth="1"/>
    <col min="28" max="28" width="9.28515625" style="459"/>
    <col min="29" max="29" width="15.42578125" style="459" customWidth="1"/>
    <col min="30" max="34" width="9.28515625" style="459"/>
    <col min="35" max="35" width="5.5703125" style="459" customWidth="1"/>
    <col min="36" max="16384" width="9.28515625" style="459"/>
  </cols>
  <sheetData>
    <row r="1" spans="1:18" ht="15">
      <c r="B1" s="459" t="s">
        <v>2485</v>
      </c>
      <c r="N1" s="460" t="s">
        <v>2486</v>
      </c>
    </row>
    <row r="2" spans="1:18" ht="15">
      <c r="A2" s="459" t="s">
        <v>2487</v>
      </c>
      <c r="B2" s="459" t="s">
        <v>2488</v>
      </c>
      <c r="C2" s="459" t="s">
        <v>2489</v>
      </c>
      <c r="D2" s="459" t="s">
        <v>2490</v>
      </c>
      <c r="E2" s="459" t="s">
        <v>2491</v>
      </c>
      <c r="F2" s="459" t="s">
        <v>2492</v>
      </c>
      <c r="G2" s="459" t="s">
        <v>2493</v>
      </c>
      <c r="H2" s="459" t="s">
        <v>2494</v>
      </c>
      <c r="N2" s="461">
        <v>100</v>
      </c>
      <c r="O2" s="459">
        <v>1000</v>
      </c>
    </row>
    <row r="3" spans="1:18">
      <c r="A3" s="459" t="s">
        <v>2346</v>
      </c>
      <c r="B3" s="459" t="s">
        <v>491</v>
      </c>
      <c r="C3" s="459" t="s">
        <v>2495</v>
      </c>
      <c r="D3" s="459">
        <v>540775.87804322469</v>
      </c>
      <c r="E3" s="459">
        <v>405581.90853245434</v>
      </c>
      <c r="F3" s="459">
        <v>270387.93902161234</v>
      </c>
      <c r="G3" s="459">
        <v>135193.96951080617</v>
      </c>
      <c r="H3" s="459">
        <v>54077.58780432785</v>
      </c>
    </row>
    <row r="4" spans="1:18">
      <c r="A4" s="459" t="s">
        <v>2346</v>
      </c>
      <c r="B4" s="459" t="s">
        <v>2496</v>
      </c>
      <c r="C4" s="459" t="s">
        <v>2497</v>
      </c>
      <c r="D4" s="459">
        <v>0</v>
      </c>
      <c r="E4" s="459">
        <v>0</v>
      </c>
      <c r="F4" s="459">
        <v>0</v>
      </c>
      <c r="G4" s="459">
        <v>0</v>
      </c>
      <c r="H4" s="459">
        <v>0</v>
      </c>
    </row>
    <row r="5" spans="1:18">
      <c r="A5" s="459" t="s">
        <v>2346</v>
      </c>
      <c r="B5" s="459" t="s">
        <v>492</v>
      </c>
      <c r="C5" s="459" t="s">
        <v>2498</v>
      </c>
      <c r="D5" s="459">
        <v>77690.061166666681</v>
      </c>
      <c r="E5" s="459">
        <v>58267.545874999953</v>
      </c>
      <c r="F5" s="459">
        <v>38845.03058333334</v>
      </c>
      <c r="G5" s="459">
        <v>19422.51529166667</v>
      </c>
      <c r="H5" s="459">
        <v>7769.0061166666692</v>
      </c>
    </row>
    <row r="6" spans="1:18">
      <c r="A6" s="459" t="s">
        <v>2346</v>
      </c>
      <c r="B6" s="459" t="s">
        <v>492</v>
      </c>
      <c r="C6" s="459" t="s">
        <v>2499</v>
      </c>
      <c r="D6" s="459">
        <v>51817.496197691216</v>
      </c>
      <c r="E6" s="459">
        <v>38863.122148268318</v>
      </c>
      <c r="F6" s="459">
        <v>25908.748098845608</v>
      </c>
      <c r="G6" s="459">
        <v>12954.374049422804</v>
      </c>
      <c r="H6" s="459">
        <v>5181.7496197691207</v>
      </c>
    </row>
    <row r="7" spans="1:18">
      <c r="A7" s="459" t="s">
        <v>2346</v>
      </c>
      <c r="B7" s="459" t="s">
        <v>492</v>
      </c>
      <c r="C7" s="459" t="s">
        <v>2500</v>
      </c>
      <c r="D7" s="459">
        <v>29964.876491342002</v>
      </c>
      <c r="E7" s="459">
        <v>22473.657368506501</v>
      </c>
      <c r="F7" s="459">
        <v>14982.438245671001</v>
      </c>
      <c r="G7" s="459">
        <v>7491.2191228355005</v>
      </c>
      <c r="H7" s="459">
        <v>2996.4876491341997</v>
      </c>
    </row>
    <row r="8" spans="1:18">
      <c r="A8" s="459" t="s">
        <v>2346</v>
      </c>
      <c r="B8" s="459" t="s">
        <v>492</v>
      </c>
      <c r="C8" s="459" t="s">
        <v>2501</v>
      </c>
      <c r="D8" s="459">
        <v>93476.642833333332</v>
      </c>
      <c r="E8" s="459">
        <v>70107.48212500001</v>
      </c>
      <c r="F8" s="459">
        <v>46738.321416666666</v>
      </c>
      <c r="G8" s="459">
        <v>23369.160708333333</v>
      </c>
      <c r="H8" s="459">
        <v>9347.6642833333353</v>
      </c>
    </row>
    <row r="9" spans="1:18">
      <c r="A9" s="459" t="s">
        <v>2346</v>
      </c>
      <c r="B9" s="459" t="s">
        <v>2502</v>
      </c>
      <c r="C9" s="459" t="s">
        <v>2502</v>
      </c>
      <c r="D9" s="459">
        <v>39459.57538888885</v>
      </c>
      <c r="E9" s="459">
        <v>29594.681541666672</v>
      </c>
      <c r="F9" s="459">
        <v>19729.787694444425</v>
      </c>
      <c r="G9" s="459">
        <v>9864.8938472222126</v>
      </c>
      <c r="H9" s="459">
        <v>3945.9575388888884</v>
      </c>
      <c r="K9" s="472" t="s">
        <v>2503</v>
      </c>
      <c r="L9" s="459" t="s">
        <v>2504</v>
      </c>
    </row>
    <row r="10" spans="1:18">
      <c r="A10" s="459" t="s">
        <v>2346</v>
      </c>
      <c r="B10" s="459" t="s">
        <v>492</v>
      </c>
      <c r="C10" s="459" t="s">
        <v>2505</v>
      </c>
      <c r="D10" s="459">
        <v>87.815000000000012</v>
      </c>
      <c r="E10" s="459">
        <v>65.861249999999998</v>
      </c>
      <c r="F10" s="459">
        <v>43.907500000000006</v>
      </c>
      <c r="G10" s="459">
        <v>21.953750000000003</v>
      </c>
      <c r="H10" s="459">
        <v>8.7814999999999994</v>
      </c>
      <c r="K10" s="472" t="s">
        <v>2506</v>
      </c>
      <c r="L10" s="472" t="s">
        <v>2346</v>
      </c>
      <c r="M10" s="472" t="s">
        <v>2345</v>
      </c>
      <c r="N10" s="472" t="s">
        <v>2347</v>
      </c>
      <c r="O10" s="472" t="s">
        <v>2349</v>
      </c>
      <c r="P10" s="472" t="s">
        <v>2348</v>
      </c>
      <c r="Q10" s="472" t="s">
        <v>2507</v>
      </c>
      <c r="R10" s="472" t="s">
        <v>2508</v>
      </c>
    </row>
    <row r="11" spans="1:18">
      <c r="A11" s="459" t="s">
        <v>2346</v>
      </c>
      <c r="B11" s="459" t="s">
        <v>493</v>
      </c>
      <c r="C11" s="459" t="s">
        <v>493</v>
      </c>
      <c r="D11" s="459">
        <v>67240.060571428534</v>
      </c>
      <c r="E11" s="459">
        <v>50430.045428571451</v>
      </c>
      <c r="F11" s="459">
        <v>33620.030285714267</v>
      </c>
      <c r="G11" s="459">
        <v>16810.015142857133</v>
      </c>
      <c r="H11" s="459">
        <v>6724.0060571428512</v>
      </c>
      <c r="K11" s="459" t="s">
        <v>492</v>
      </c>
      <c r="L11" s="459">
        <v>331670.10467056569</v>
      </c>
      <c r="M11" s="459">
        <v>582704.58734917839</v>
      </c>
      <c r="N11" s="459">
        <v>322227.95117456425</v>
      </c>
      <c r="O11" s="459">
        <v>642979.06521327246</v>
      </c>
      <c r="P11" s="459">
        <v>40028.159951073838</v>
      </c>
      <c r="R11" s="459">
        <v>1919609.8683586547</v>
      </c>
    </row>
    <row r="12" spans="1:18">
      <c r="A12" s="459" t="s">
        <v>2346</v>
      </c>
      <c r="B12" s="459" t="s">
        <v>491</v>
      </c>
      <c r="C12" s="459" t="s">
        <v>2509</v>
      </c>
      <c r="D12" s="459">
        <v>309335.15236562811</v>
      </c>
      <c r="E12" s="459">
        <v>232001.36427422159</v>
      </c>
      <c r="F12" s="459">
        <v>154667.57618281405</v>
      </c>
      <c r="G12" s="459">
        <v>77333.788091407027</v>
      </c>
      <c r="H12" s="459">
        <v>30933.515236562846</v>
      </c>
      <c r="K12" s="459" t="s">
        <v>2510</v>
      </c>
      <c r="O12" s="459">
        <v>0</v>
      </c>
      <c r="R12" s="459">
        <v>0</v>
      </c>
    </row>
    <row r="13" spans="1:18">
      <c r="A13" s="459" t="s">
        <v>2346</v>
      </c>
      <c r="B13" s="459" t="s">
        <v>492</v>
      </c>
      <c r="C13" s="459" t="s">
        <v>2511</v>
      </c>
      <c r="D13" s="459">
        <v>83207.477619047597</v>
      </c>
      <c r="E13" s="459">
        <v>62405.608214285727</v>
      </c>
      <c r="F13" s="459">
        <v>41603.738809523798</v>
      </c>
      <c r="G13" s="459">
        <v>20801.869404761899</v>
      </c>
      <c r="H13" s="459">
        <v>8320.747761904755</v>
      </c>
      <c r="K13" s="459" t="s">
        <v>2502</v>
      </c>
      <c r="L13" s="459">
        <v>19729.787694444425</v>
      </c>
      <c r="M13" s="459">
        <v>143673.41048051949</v>
      </c>
      <c r="N13" s="459">
        <v>29358.960374602568</v>
      </c>
      <c r="O13" s="459">
        <v>15440.311959093609</v>
      </c>
      <c r="P13" s="459">
        <v>1325.2537987987987</v>
      </c>
      <c r="R13" s="459">
        <v>209527.72430745888</v>
      </c>
    </row>
    <row r="14" spans="1:18">
      <c r="A14" s="459" t="s">
        <v>2346</v>
      </c>
      <c r="B14" s="459" t="s">
        <v>630</v>
      </c>
      <c r="C14" s="459" t="s">
        <v>629</v>
      </c>
      <c r="D14" s="459">
        <v>12106.057500000004</v>
      </c>
      <c r="E14" s="459">
        <v>9079.5431249999929</v>
      </c>
      <c r="F14" s="459">
        <v>6053.0287500000022</v>
      </c>
      <c r="G14" s="459">
        <v>3026.5143750000011</v>
      </c>
      <c r="H14" s="459">
        <v>1210.6057500000002</v>
      </c>
      <c r="K14" s="459" t="s">
        <v>493</v>
      </c>
      <c r="L14" s="459">
        <v>33620.030285714267</v>
      </c>
      <c r="M14" s="459">
        <v>84109.013290043251</v>
      </c>
      <c r="N14" s="459">
        <v>6402.9995892857123</v>
      </c>
      <c r="O14" s="459">
        <v>97762.301552988487</v>
      </c>
      <c r="P14" s="459">
        <v>659.03250000000014</v>
      </c>
      <c r="R14" s="459">
        <v>222553.3772180317</v>
      </c>
    </row>
    <row r="15" spans="1:18">
      <c r="A15" s="459" t="s">
        <v>2346</v>
      </c>
      <c r="B15" s="459" t="s">
        <v>630</v>
      </c>
      <c r="C15" s="459" t="s">
        <v>2512</v>
      </c>
      <c r="D15" s="459">
        <v>0</v>
      </c>
      <c r="E15" s="459">
        <v>0</v>
      </c>
      <c r="F15" s="459">
        <v>0</v>
      </c>
      <c r="G15" s="459">
        <v>0</v>
      </c>
      <c r="H15" s="459">
        <v>0</v>
      </c>
      <c r="K15" s="459" t="s">
        <v>630</v>
      </c>
      <c r="L15" s="459">
        <v>6053.0287500000022</v>
      </c>
      <c r="M15" s="459">
        <v>3604.8270833333345</v>
      </c>
      <c r="N15" s="459">
        <v>3773.1327888888877</v>
      </c>
      <c r="O15" s="459">
        <v>1723.6733333333332</v>
      </c>
      <c r="P15" s="459">
        <v>803.80507142857164</v>
      </c>
      <c r="R15" s="459">
        <v>15958.46702698413</v>
      </c>
    </row>
    <row r="16" spans="1:18">
      <c r="A16" s="459" t="s">
        <v>2346</v>
      </c>
      <c r="B16" s="459" t="s">
        <v>492</v>
      </c>
      <c r="C16" s="459" t="s">
        <v>2513</v>
      </c>
      <c r="D16" s="459">
        <v>4538.383333333335</v>
      </c>
      <c r="E16" s="459">
        <v>3403.7874999999999</v>
      </c>
      <c r="F16" s="459">
        <v>2269.1916666666675</v>
      </c>
      <c r="G16" s="459">
        <v>1134.5958333333338</v>
      </c>
      <c r="H16" s="459">
        <v>453.83833333333337</v>
      </c>
      <c r="K16" s="459" t="s">
        <v>491</v>
      </c>
      <c r="L16" s="459">
        <v>658592.7971964858</v>
      </c>
      <c r="M16" s="459">
        <v>1748367.2703294219</v>
      </c>
      <c r="N16" s="459">
        <v>573258.57783803763</v>
      </c>
      <c r="O16" s="459">
        <v>2609679.5033981609</v>
      </c>
      <c r="P16" s="459">
        <v>584547.24149297224</v>
      </c>
      <c r="R16" s="459">
        <v>6174445.3902550787</v>
      </c>
    </row>
    <row r="17" spans="1:30">
      <c r="A17" s="459" t="s">
        <v>2346</v>
      </c>
      <c r="B17" s="459" t="s">
        <v>2496</v>
      </c>
      <c r="C17" s="459" t="s">
        <v>2514</v>
      </c>
      <c r="D17" s="459">
        <v>2935.0899999999997</v>
      </c>
      <c r="E17" s="459">
        <v>2201.3174999999997</v>
      </c>
      <c r="F17" s="459">
        <v>1467.5449999999998</v>
      </c>
      <c r="G17" s="459">
        <v>733.77249999999992</v>
      </c>
      <c r="H17" s="459">
        <v>293.50900000000007</v>
      </c>
      <c r="K17" s="459" t="s">
        <v>2496</v>
      </c>
      <c r="L17" s="459">
        <v>1467.5449999999998</v>
      </c>
      <c r="M17" s="459">
        <v>40343.432916666672</v>
      </c>
      <c r="N17" s="459">
        <v>19110.5975</v>
      </c>
      <c r="O17" s="459">
        <v>500.6752395400049</v>
      </c>
      <c r="P17" s="459">
        <v>1807.540105263158</v>
      </c>
      <c r="R17" s="459">
        <v>63229.790761469834</v>
      </c>
    </row>
    <row r="18" spans="1:30">
      <c r="A18" s="459" t="s">
        <v>2346</v>
      </c>
      <c r="B18" s="459" t="s">
        <v>491</v>
      </c>
      <c r="C18" s="459" t="s">
        <v>2515</v>
      </c>
      <c r="D18" s="459">
        <v>467074.56398411881</v>
      </c>
      <c r="E18" s="459">
        <v>350305.92298808118</v>
      </c>
      <c r="F18" s="459">
        <v>233537.2819920594</v>
      </c>
      <c r="G18" s="459">
        <v>116768.6409960297</v>
      </c>
      <c r="H18" s="459">
        <v>46707.456398411559</v>
      </c>
      <c r="K18" s="459" t="s">
        <v>2507</v>
      </c>
    </row>
    <row r="19" spans="1:30">
      <c r="A19" s="459" t="s">
        <v>2346</v>
      </c>
      <c r="B19" s="459" t="s">
        <v>492</v>
      </c>
      <c r="C19" s="459" t="s">
        <v>2516</v>
      </c>
      <c r="D19" s="459">
        <v>152929.31454387298</v>
      </c>
      <c r="E19" s="459">
        <v>114696.98590790445</v>
      </c>
      <c r="F19" s="459">
        <v>76464.657271936492</v>
      </c>
      <c r="G19" s="459">
        <v>38232.328635968246</v>
      </c>
      <c r="H19" s="459">
        <v>15292.931454387273</v>
      </c>
      <c r="K19" s="459" t="s">
        <v>2508</v>
      </c>
      <c r="L19" s="459">
        <v>1051133.2935972102</v>
      </c>
      <c r="M19" s="459">
        <v>2602802.5414491631</v>
      </c>
      <c r="N19" s="459">
        <v>954132.21926537913</v>
      </c>
      <c r="O19" s="459">
        <v>3368085.5306963888</v>
      </c>
      <c r="P19" s="459">
        <v>629171.03291953658</v>
      </c>
      <c r="R19" s="459">
        <v>8605324.6179276779</v>
      </c>
    </row>
    <row r="20" spans="1:30">
      <c r="A20" s="459" t="s">
        <v>2346</v>
      </c>
      <c r="B20" s="459" t="s">
        <v>492</v>
      </c>
      <c r="C20" s="459" t="s">
        <v>2517</v>
      </c>
      <c r="D20" s="459">
        <v>51941.221155844156</v>
      </c>
      <c r="E20" s="459">
        <v>38955.91586688313</v>
      </c>
      <c r="F20" s="459">
        <v>25970.610577922078</v>
      </c>
      <c r="G20" s="459">
        <v>12985.305288961039</v>
      </c>
      <c r="H20" s="459">
        <v>5194.1221155844141</v>
      </c>
    </row>
    <row r="21" spans="1:30">
      <c r="A21" s="459" t="s">
        <v>2346</v>
      </c>
      <c r="B21" s="459" t="s">
        <v>492</v>
      </c>
      <c r="C21" s="459" t="s">
        <v>2518</v>
      </c>
      <c r="D21" s="459">
        <v>0</v>
      </c>
      <c r="E21" s="459">
        <v>0</v>
      </c>
      <c r="F21" s="459">
        <v>0</v>
      </c>
      <c r="G21" s="459">
        <v>0</v>
      </c>
      <c r="H21" s="459">
        <v>0</v>
      </c>
    </row>
    <row r="22" spans="1:30">
      <c r="A22" s="459" t="s">
        <v>2346</v>
      </c>
      <c r="B22" s="459" t="s">
        <v>492</v>
      </c>
      <c r="C22" s="459" t="s">
        <v>2519</v>
      </c>
      <c r="D22" s="459">
        <v>0</v>
      </c>
      <c r="E22" s="459">
        <v>0</v>
      </c>
      <c r="F22" s="459">
        <v>0</v>
      </c>
      <c r="G22" s="459">
        <v>0</v>
      </c>
      <c r="H22" s="459">
        <v>0</v>
      </c>
      <c r="K22" s="459" t="s">
        <v>2506</v>
      </c>
      <c r="L22" s="459" t="s">
        <v>2346</v>
      </c>
      <c r="M22" s="459" t="s">
        <v>2345</v>
      </c>
      <c r="N22" s="459" t="s">
        <v>2347</v>
      </c>
      <c r="O22" s="459" t="s">
        <v>2349</v>
      </c>
      <c r="P22" s="459" t="s">
        <v>2348</v>
      </c>
      <c r="Q22" s="459" t="s">
        <v>2507</v>
      </c>
      <c r="R22" s="459" t="s">
        <v>2508</v>
      </c>
      <c r="T22" s="863" t="s">
        <v>2520</v>
      </c>
      <c r="U22" s="863"/>
      <c r="V22" s="863"/>
      <c r="W22" s="863"/>
      <c r="X22" s="863"/>
      <c r="Y22" s="863"/>
      <c r="Z22" s="863"/>
      <c r="AA22" s="863"/>
      <c r="AB22" s="863"/>
      <c r="AC22" s="863"/>
      <c r="AD22" s="863"/>
    </row>
    <row r="23" spans="1:30">
      <c r="A23" s="459" t="s">
        <v>2346</v>
      </c>
      <c r="B23" s="459" t="s">
        <v>492</v>
      </c>
      <c r="C23" s="459" t="s">
        <v>2521</v>
      </c>
      <c r="D23" s="459">
        <v>117686.92100000002</v>
      </c>
      <c r="E23" s="459">
        <v>88265.190750000023</v>
      </c>
      <c r="F23" s="459">
        <v>58843.460500000008</v>
      </c>
      <c r="G23" s="459">
        <v>29421.730250000004</v>
      </c>
      <c r="H23" s="459">
        <v>11768.692100000022</v>
      </c>
      <c r="K23" s="459" t="s">
        <v>492</v>
      </c>
      <c r="L23" s="459">
        <v>331670.10467056569</v>
      </c>
      <c r="M23" s="459">
        <v>582704.58734917839</v>
      </c>
      <c r="N23" s="459">
        <v>322227.95117456425</v>
      </c>
      <c r="O23" s="459">
        <v>642979.06521327246</v>
      </c>
      <c r="P23" s="459">
        <v>40028.159951073838</v>
      </c>
      <c r="R23" s="459">
        <v>1919609.8683586547</v>
      </c>
    </row>
    <row r="24" spans="1:30">
      <c r="A24" s="459" t="s">
        <v>2345</v>
      </c>
      <c r="B24" s="462" t="s">
        <v>491</v>
      </c>
      <c r="C24" s="462" t="s">
        <v>2495</v>
      </c>
      <c r="D24" s="462">
        <v>1681893.1854580806</v>
      </c>
      <c r="E24" s="462">
        <v>1261419.889093691</v>
      </c>
      <c r="F24" s="462">
        <v>840946.59272904031</v>
      </c>
      <c r="G24" s="462">
        <v>420473.29636452015</v>
      </c>
      <c r="H24" s="462">
        <v>168189.31854582977</v>
      </c>
      <c r="K24" s="459" t="s">
        <v>2502</v>
      </c>
      <c r="L24" s="459">
        <v>19729.787694444425</v>
      </c>
      <c r="M24" s="459">
        <v>143673.41048051949</v>
      </c>
      <c r="N24" s="459">
        <v>29358.960374602568</v>
      </c>
      <c r="O24" s="459">
        <v>15440.311959093609</v>
      </c>
      <c r="P24" s="459">
        <v>1325.2537987987987</v>
      </c>
      <c r="R24" s="459">
        <v>209527.72430745888</v>
      </c>
    </row>
    <row r="25" spans="1:30">
      <c r="A25" s="459" t="s">
        <v>2345</v>
      </c>
      <c r="B25" s="462" t="s">
        <v>2496</v>
      </c>
      <c r="C25" s="462" t="s">
        <v>2497</v>
      </c>
      <c r="D25" s="462">
        <v>35.07</v>
      </c>
      <c r="E25" s="462">
        <v>26.302499999999998</v>
      </c>
      <c r="F25" s="462">
        <v>17.535</v>
      </c>
      <c r="G25" s="462">
        <v>8.7675000000000001</v>
      </c>
      <c r="H25" s="462">
        <v>3.5070000000000006</v>
      </c>
      <c r="K25" s="459" t="s">
        <v>493</v>
      </c>
      <c r="L25" s="459">
        <v>33620.030285714267</v>
      </c>
      <c r="M25" s="459">
        <v>84109.013290043251</v>
      </c>
      <c r="N25" s="459">
        <v>6402.9995892857123</v>
      </c>
      <c r="O25" s="459">
        <v>97762.301552988487</v>
      </c>
      <c r="P25" s="459">
        <v>659.03250000000014</v>
      </c>
      <c r="R25" s="459">
        <v>222553.3772180317</v>
      </c>
    </row>
    <row r="26" spans="1:30">
      <c r="A26" s="459" t="s">
        <v>2345</v>
      </c>
      <c r="B26" s="462" t="s">
        <v>492</v>
      </c>
      <c r="C26" s="462" t="s">
        <v>2498</v>
      </c>
      <c r="D26" s="462">
        <v>51774.064166666642</v>
      </c>
      <c r="E26" s="462">
        <v>38830.548124999943</v>
      </c>
      <c r="F26" s="462">
        <v>25887.032083333321</v>
      </c>
      <c r="G26" s="462">
        <v>12943.51604166666</v>
      </c>
      <c r="H26" s="462">
        <v>5177.4064166666649</v>
      </c>
      <c r="K26" s="459" t="s">
        <v>491</v>
      </c>
      <c r="L26" s="459">
        <v>658592.7971964858</v>
      </c>
      <c r="M26" s="459">
        <v>1748367.2703294219</v>
      </c>
      <c r="N26" s="459">
        <v>573258.57783803763</v>
      </c>
      <c r="O26" s="459">
        <v>2609679.5033981609</v>
      </c>
      <c r="P26" s="459">
        <v>584547.24149297224</v>
      </c>
      <c r="R26" s="459">
        <v>6174445.3902550787</v>
      </c>
    </row>
    <row r="27" spans="1:30">
      <c r="A27" s="459" t="s">
        <v>2345</v>
      </c>
      <c r="B27" s="462" t="s">
        <v>492</v>
      </c>
      <c r="C27" s="462" t="s">
        <v>2499</v>
      </c>
      <c r="D27" s="462">
        <v>111602.51194465274</v>
      </c>
      <c r="E27" s="462">
        <v>83701.883958489547</v>
      </c>
      <c r="F27" s="462">
        <v>55801.255972326369</v>
      </c>
      <c r="G27" s="462">
        <v>27900.627986163185</v>
      </c>
      <c r="H27" s="462">
        <v>11160.251194465271</v>
      </c>
      <c r="K27" s="459" t="s">
        <v>2496</v>
      </c>
      <c r="L27" s="459">
        <v>1467.5449999999998</v>
      </c>
      <c r="M27" s="459">
        <v>40343.432916666672</v>
      </c>
      <c r="N27" s="459">
        <v>19110.5975</v>
      </c>
      <c r="O27" s="459">
        <v>500.6752395400049</v>
      </c>
      <c r="P27" s="459">
        <v>1807.540105263158</v>
      </c>
      <c r="R27" s="459">
        <v>63229.790761469834</v>
      </c>
    </row>
    <row r="28" spans="1:30">
      <c r="A28" s="459" t="s">
        <v>2345</v>
      </c>
      <c r="B28" s="462" t="s">
        <v>492</v>
      </c>
      <c r="C28" s="462" t="s">
        <v>2500</v>
      </c>
      <c r="D28" s="462">
        <v>33625.304278860029</v>
      </c>
      <c r="E28" s="462">
        <v>25218.978209145025</v>
      </c>
      <c r="F28" s="462">
        <v>16812.652139430014</v>
      </c>
      <c r="G28" s="462">
        <v>8406.3260697150072</v>
      </c>
      <c r="H28" s="462">
        <v>3362.5304278860035</v>
      </c>
    </row>
    <row r="29" spans="1:30">
      <c r="A29" s="459" t="s">
        <v>2345</v>
      </c>
      <c r="B29" s="462" t="s">
        <v>492</v>
      </c>
      <c r="C29" s="462" t="s">
        <v>2501</v>
      </c>
      <c r="D29" s="462">
        <v>155625.43434711071</v>
      </c>
      <c r="E29" s="462">
        <v>116719.07576033314</v>
      </c>
      <c r="F29" s="462">
        <v>77812.717173555357</v>
      </c>
      <c r="G29" s="462">
        <v>38906.358586777678</v>
      </c>
      <c r="H29" s="462">
        <v>15562.543434711077</v>
      </c>
    </row>
    <row r="30" spans="1:30">
      <c r="A30" s="459" t="s">
        <v>2345</v>
      </c>
      <c r="B30" s="462" t="s">
        <v>2502</v>
      </c>
      <c r="C30" s="462" t="s">
        <v>2502</v>
      </c>
      <c r="D30" s="462">
        <v>287346.82096103899</v>
      </c>
      <c r="E30" s="462">
        <v>215510.11572077926</v>
      </c>
      <c r="F30" s="462">
        <v>143673.41048051949</v>
      </c>
      <c r="G30" s="462">
        <v>71836.705240259747</v>
      </c>
      <c r="H30" s="462">
        <v>28734.682096103897</v>
      </c>
      <c r="K30" s="459" t="s">
        <v>2506</v>
      </c>
      <c r="L30" s="459" t="s">
        <v>2346</v>
      </c>
      <c r="M30" s="459" t="s">
        <v>2345</v>
      </c>
      <c r="N30" s="459" t="s">
        <v>2347</v>
      </c>
      <c r="O30" s="459" t="s">
        <v>2349</v>
      </c>
      <c r="P30" s="459" t="s">
        <v>2348</v>
      </c>
    </row>
    <row r="31" spans="1:30">
      <c r="A31" s="459" t="s">
        <v>2345</v>
      </c>
      <c r="B31" s="462" t="s">
        <v>492</v>
      </c>
      <c r="C31" s="462" t="s">
        <v>2505</v>
      </c>
      <c r="D31" s="462">
        <v>47130.734421384201</v>
      </c>
      <c r="E31" s="462">
        <v>35348.0508160381</v>
      </c>
      <c r="F31" s="462">
        <v>23565.3672106921</v>
      </c>
      <c r="G31" s="462">
        <v>11782.68360534605</v>
      </c>
      <c r="H31" s="462">
        <v>4713.0734421384122</v>
      </c>
      <c r="K31" s="459" t="s">
        <v>2522</v>
      </c>
      <c r="L31" s="459">
        <f>L26</f>
        <v>658592.7971964858</v>
      </c>
      <c r="M31" s="459">
        <f t="shared" ref="M31:P31" si="0">M26</f>
        <v>1748367.2703294219</v>
      </c>
      <c r="N31" s="459">
        <f t="shared" si="0"/>
        <v>573258.57783803763</v>
      </c>
      <c r="O31" s="459">
        <f t="shared" si="0"/>
        <v>2609679.5033981609</v>
      </c>
      <c r="P31" s="459">
        <f t="shared" si="0"/>
        <v>584547.24149297224</v>
      </c>
    </row>
    <row r="32" spans="1:30">
      <c r="A32" s="459" t="s">
        <v>2345</v>
      </c>
      <c r="B32" s="462" t="s">
        <v>493</v>
      </c>
      <c r="C32" s="462" t="s">
        <v>493</v>
      </c>
      <c r="D32" s="462">
        <v>168218.0265800865</v>
      </c>
      <c r="E32" s="462">
        <v>126163.51993506502</v>
      </c>
      <c r="F32" s="462">
        <v>84109.013290043251</v>
      </c>
      <c r="G32" s="462">
        <v>42054.506645021625</v>
      </c>
      <c r="H32" s="462">
        <v>16821.802658008633</v>
      </c>
      <c r="K32" s="459" t="s">
        <v>2523</v>
      </c>
      <c r="L32" s="459">
        <f>L23+L27+L24+L25</f>
        <v>386487.46765072434</v>
      </c>
      <c r="M32" s="459">
        <f t="shared" ref="M32:P32" si="1">M23+M27+M24+M25</f>
        <v>850830.44403640786</v>
      </c>
      <c r="N32" s="459">
        <f t="shared" si="1"/>
        <v>377100.50863845251</v>
      </c>
      <c r="O32" s="459">
        <f t="shared" si="1"/>
        <v>756682.35396489454</v>
      </c>
      <c r="P32" s="459">
        <f t="shared" si="1"/>
        <v>43819.986355135792</v>
      </c>
    </row>
    <row r="33" spans="1:25">
      <c r="B33" s="462"/>
      <c r="C33" s="462"/>
      <c r="D33" s="462"/>
      <c r="E33" s="462"/>
      <c r="F33" s="462"/>
      <c r="G33" s="462"/>
      <c r="H33" s="462"/>
    </row>
    <row r="34" spans="1:25">
      <c r="B34" s="462"/>
      <c r="C34" s="462"/>
      <c r="D34" s="462"/>
      <c r="E34" s="462"/>
      <c r="F34" s="462"/>
      <c r="G34" s="462"/>
      <c r="H34" s="462"/>
      <c r="K34" s="459" t="s">
        <v>2506</v>
      </c>
      <c r="L34" s="459" t="s">
        <v>2346</v>
      </c>
      <c r="M34" s="459" t="s">
        <v>2345</v>
      </c>
      <c r="N34" s="459" t="s">
        <v>2347</v>
      </c>
      <c r="O34" s="459" t="s">
        <v>2349</v>
      </c>
      <c r="P34" s="459" t="s">
        <v>2348</v>
      </c>
    </row>
    <row r="35" spans="1:25">
      <c r="A35" s="459" t="s">
        <v>2345</v>
      </c>
      <c r="B35" s="462" t="s">
        <v>491</v>
      </c>
      <c r="C35" s="462" t="s">
        <v>2509</v>
      </c>
      <c r="D35" s="462">
        <v>414618.08359172504</v>
      </c>
      <c r="E35" s="462">
        <v>310963.56269379344</v>
      </c>
      <c r="F35" s="462">
        <v>207309.04179586252</v>
      </c>
      <c r="G35" s="462">
        <v>103654.52089793126</v>
      </c>
      <c r="H35" s="462">
        <v>41461.808359172363</v>
      </c>
      <c r="K35" s="459" t="s">
        <v>2522</v>
      </c>
      <c r="L35" s="459">
        <f>L31/(L31+L32)</f>
        <v>0.6301839383530714</v>
      </c>
      <c r="M35" s="459">
        <f t="shared" ref="M35:P35" si="2">M31/(M31+M32)</f>
        <v>0.67265651268703142</v>
      </c>
      <c r="N35" s="459">
        <f t="shared" si="2"/>
        <v>0.60320208013523191</v>
      </c>
      <c r="O35" s="459">
        <f t="shared" si="2"/>
        <v>0.77522251438601431</v>
      </c>
      <c r="P35" s="459">
        <f t="shared" si="2"/>
        <v>0.93026373048575317</v>
      </c>
    </row>
    <row r="36" spans="1:25">
      <c r="A36" s="459" t="s">
        <v>2345</v>
      </c>
      <c r="B36" s="462" t="s">
        <v>492</v>
      </c>
      <c r="C36" s="462" t="s">
        <v>2511</v>
      </c>
      <c r="D36" s="462">
        <v>85942.197560051209</v>
      </c>
      <c r="E36" s="462">
        <v>64456.648170038359</v>
      </c>
      <c r="F36" s="462">
        <v>42971.098780025604</v>
      </c>
      <c r="G36" s="462">
        <v>21485.549390012802</v>
      </c>
      <c r="H36" s="462">
        <v>8594.2197560051263</v>
      </c>
      <c r="K36" s="459" t="s">
        <v>2523</v>
      </c>
      <c r="L36" s="459">
        <f>1-L35</f>
        <v>0.3698160616469286</v>
      </c>
      <c r="M36" s="459">
        <f t="shared" ref="M36:O36" si="3">1-M35</f>
        <v>0.32734348731296858</v>
      </c>
      <c r="N36" s="459">
        <f t="shared" si="3"/>
        <v>0.39679791986476809</v>
      </c>
      <c r="O36" s="459">
        <f t="shared" si="3"/>
        <v>0.22477748561398569</v>
      </c>
      <c r="P36" s="459">
        <f>1-P35</f>
        <v>6.9736269514246829E-2</v>
      </c>
    </row>
    <row r="37" spans="1:25">
      <c r="A37" s="459" t="s">
        <v>2345</v>
      </c>
      <c r="B37" s="462" t="s">
        <v>630</v>
      </c>
      <c r="C37" s="462" t="s">
        <v>629</v>
      </c>
      <c r="D37" s="462">
        <v>7209.654166666669</v>
      </c>
      <c r="E37" s="462">
        <v>5407.2406249999995</v>
      </c>
      <c r="F37" s="462">
        <v>3604.8270833333345</v>
      </c>
      <c r="G37" s="462">
        <v>1802.4135416666672</v>
      </c>
      <c r="H37" s="462">
        <v>720.9654166666669</v>
      </c>
      <c r="K37" s="463" t="s">
        <v>2524</v>
      </c>
    </row>
    <row r="38" spans="1:25">
      <c r="A38" s="459" t="s">
        <v>2345</v>
      </c>
      <c r="B38" s="462" t="s">
        <v>630</v>
      </c>
      <c r="C38" s="462" t="s">
        <v>2512</v>
      </c>
      <c r="D38" s="462">
        <v>0</v>
      </c>
      <c r="E38" s="462">
        <v>0</v>
      </c>
      <c r="F38" s="462">
        <v>0</v>
      </c>
      <c r="G38" s="462">
        <v>0</v>
      </c>
      <c r="H38" s="462">
        <v>0</v>
      </c>
      <c r="K38" s="459" t="s">
        <v>2525</v>
      </c>
    </row>
    <row r="39" spans="1:25">
      <c r="A39" s="459" t="s">
        <v>2345</v>
      </c>
      <c r="B39" s="462" t="s">
        <v>492</v>
      </c>
      <c r="C39" s="462" t="s">
        <v>2513</v>
      </c>
      <c r="D39" s="462">
        <v>59252.812333333386</v>
      </c>
      <c r="E39" s="462">
        <v>44439.609249999863</v>
      </c>
      <c r="F39" s="462">
        <v>29626.406166666693</v>
      </c>
      <c r="G39" s="462">
        <v>14813.203083333347</v>
      </c>
      <c r="H39" s="462">
        <v>5925.2812333333222</v>
      </c>
    </row>
    <row r="40" spans="1:25">
      <c r="A40" s="459" t="s">
        <v>2345</v>
      </c>
      <c r="B40" s="462" t="s">
        <v>2496</v>
      </c>
      <c r="C40" s="462" t="s">
        <v>2514</v>
      </c>
      <c r="D40" s="462">
        <v>80651.795833333337</v>
      </c>
      <c r="E40" s="462">
        <v>60488.84687500001</v>
      </c>
      <c r="F40" s="462">
        <v>40325.897916666669</v>
      </c>
      <c r="G40" s="462">
        <v>20162.948958333334</v>
      </c>
      <c r="H40" s="462">
        <v>8065.1795833333317</v>
      </c>
      <c r="K40" s="459" t="s">
        <v>2526</v>
      </c>
    </row>
    <row r="41" spans="1:25">
      <c r="A41" s="459" t="s">
        <v>2345</v>
      </c>
      <c r="B41" s="462" t="s">
        <v>491</v>
      </c>
      <c r="C41" s="462" t="s">
        <v>2515</v>
      </c>
      <c r="D41" s="462">
        <v>1400223.2716090381</v>
      </c>
      <c r="E41" s="462">
        <v>1050167.4537068873</v>
      </c>
      <c r="F41" s="462">
        <v>700111.63580451906</v>
      </c>
      <c r="G41" s="462">
        <v>350055.81790225953</v>
      </c>
      <c r="H41" s="462">
        <v>140022.32716091725</v>
      </c>
      <c r="K41" s="459" t="s">
        <v>2527</v>
      </c>
    </row>
    <row r="42" spans="1:25">
      <c r="A42" s="459" t="s">
        <v>2345</v>
      </c>
      <c r="B42" s="462" t="s">
        <v>492</v>
      </c>
      <c r="C42" s="462" t="s">
        <v>2516</v>
      </c>
      <c r="D42" s="462">
        <v>274395.13417376974</v>
      </c>
      <c r="E42" s="462">
        <v>205796.35063032576</v>
      </c>
      <c r="F42" s="462">
        <v>137197.56708688487</v>
      </c>
      <c r="G42" s="462">
        <v>68598.783543442434</v>
      </c>
      <c r="H42" s="462">
        <v>27439.513417376882</v>
      </c>
      <c r="K42" s="459" t="s">
        <v>2528</v>
      </c>
    </row>
    <row r="43" spans="1:25">
      <c r="A43" s="459" t="s">
        <v>2345</v>
      </c>
      <c r="B43" s="462" t="s">
        <v>492</v>
      </c>
      <c r="C43" s="462" t="s">
        <v>2517</v>
      </c>
      <c r="D43" s="462">
        <v>33974.147377289337</v>
      </c>
      <c r="E43" s="462">
        <v>25480.610532967043</v>
      </c>
      <c r="F43" s="462">
        <v>16987.073688644668</v>
      </c>
      <c r="G43" s="462">
        <v>8493.5368443223342</v>
      </c>
      <c r="H43" s="462">
        <v>3397.4147377289401</v>
      </c>
      <c r="T43" s="459" t="s">
        <v>2529</v>
      </c>
    </row>
    <row r="44" spans="1:25">
      <c r="A44" s="459" t="s">
        <v>2345</v>
      </c>
      <c r="B44" s="462" t="s">
        <v>492</v>
      </c>
      <c r="C44" s="462" t="s">
        <v>2518</v>
      </c>
      <c r="D44" s="462">
        <v>0</v>
      </c>
      <c r="E44" s="462">
        <v>0</v>
      </c>
      <c r="F44" s="462">
        <v>0</v>
      </c>
      <c r="G44" s="462">
        <v>0</v>
      </c>
      <c r="H44" s="462">
        <v>0</v>
      </c>
      <c r="T44" s="464" t="s">
        <v>2345</v>
      </c>
      <c r="U44" s="464" t="s">
        <v>2346</v>
      </c>
      <c r="V44" s="464" t="s">
        <v>2347</v>
      </c>
      <c r="W44" s="464" t="s">
        <v>2483</v>
      </c>
      <c r="X44" s="464" t="s">
        <v>2349</v>
      </c>
      <c r="Y44" s="464" t="s">
        <v>2399</v>
      </c>
    </row>
    <row r="45" spans="1:25">
      <c r="A45" s="459" t="s">
        <v>2345</v>
      </c>
      <c r="B45" s="462" t="s">
        <v>492</v>
      </c>
      <c r="C45" s="462" t="s">
        <v>2519</v>
      </c>
      <c r="D45" s="462">
        <v>3629.09</v>
      </c>
      <c r="E45" s="462">
        <v>2721.8175000000001</v>
      </c>
      <c r="F45" s="462">
        <v>1814.5450000000001</v>
      </c>
      <c r="G45" s="462">
        <v>907.27250000000004</v>
      </c>
      <c r="H45" s="462">
        <v>362.90899999999999</v>
      </c>
      <c r="T45" s="464">
        <v>0.97</v>
      </c>
      <c r="U45" s="464">
        <v>0.54</v>
      </c>
      <c r="V45" s="464">
        <v>0.18</v>
      </c>
      <c r="W45" s="464">
        <v>0.17</v>
      </c>
      <c r="X45" s="464">
        <v>1.52</v>
      </c>
      <c r="Y45" s="464">
        <f>SUM(T45:X45)</f>
        <v>3.38</v>
      </c>
    </row>
    <row r="46" spans="1:25">
      <c r="A46" s="459" t="s">
        <v>2345</v>
      </c>
      <c r="B46" s="462" t="s">
        <v>492</v>
      </c>
      <c r="C46" s="462" t="s">
        <v>2521</v>
      </c>
      <c r="D46" s="462">
        <v>308457.74409523874</v>
      </c>
      <c r="E46" s="462">
        <v>231343.30807142862</v>
      </c>
      <c r="F46" s="462">
        <v>154228.87204761937</v>
      </c>
      <c r="G46" s="462">
        <v>77114.436023809685</v>
      </c>
      <c r="H46" s="462">
        <v>30845.774409523903</v>
      </c>
      <c r="S46" s="459" t="s">
        <v>2522</v>
      </c>
      <c r="T46" s="465">
        <f>T45*M35</f>
        <v>0.65247681730642049</v>
      </c>
      <c r="U46" s="465">
        <f>U45*L35</f>
        <v>0.3402993267106586</v>
      </c>
      <c r="V46" s="465">
        <f t="shared" ref="V46" si="4">V45*N35</f>
        <v>0.10857637442434175</v>
      </c>
      <c r="W46" s="465">
        <f>W45*P35</f>
        <v>0.15814483418257805</v>
      </c>
      <c r="X46" s="465">
        <f>X45*O35</f>
        <v>1.1783382218667418</v>
      </c>
      <c r="Y46" s="465">
        <f>SUM(T46:X46)</f>
        <v>2.4378355744907405</v>
      </c>
    </row>
    <row r="47" spans="1:25">
      <c r="A47" s="459" t="s">
        <v>2347</v>
      </c>
      <c r="B47" s="459" t="s">
        <v>491</v>
      </c>
      <c r="C47" s="459" t="s">
        <v>2495</v>
      </c>
      <c r="D47" s="459">
        <v>83712.548231412933</v>
      </c>
      <c r="E47" s="459">
        <v>62784.411173559041</v>
      </c>
      <c r="F47" s="459">
        <v>41856.274115706467</v>
      </c>
      <c r="G47" s="459">
        <v>20928.137057853233</v>
      </c>
      <c r="H47" s="459">
        <v>8371.2548231411911</v>
      </c>
      <c r="S47" s="459" t="s">
        <v>2523</v>
      </c>
      <c r="T47" s="465">
        <f>T45*M36</f>
        <v>0.31752318269357954</v>
      </c>
      <c r="U47" s="465">
        <f>U45*L36</f>
        <v>0.19970067328934146</v>
      </c>
      <c r="V47" s="465">
        <f t="shared" ref="V47" si="5">V45*N36</f>
        <v>7.1423625575658248E-2</v>
      </c>
      <c r="W47" s="465">
        <f>W45*P36</f>
        <v>1.1855165817421963E-2</v>
      </c>
      <c r="X47" s="465">
        <f>X45*O36</f>
        <v>0.34166177813325826</v>
      </c>
      <c r="Y47" s="465">
        <f>SUM(T47:X47)</f>
        <v>0.9421644255092595</v>
      </c>
    </row>
    <row r="48" spans="1:25">
      <c r="A48" s="459" t="s">
        <v>2347</v>
      </c>
      <c r="B48" s="459" t="s">
        <v>2496</v>
      </c>
      <c r="C48" s="459" t="s">
        <v>2497</v>
      </c>
      <c r="D48" s="459">
        <v>742.375</v>
      </c>
      <c r="E48" s="459">
        <v>556.78125</v>
      </c>
      <c r="F48" s="459">
        <v>371.1875</v>
      </c>
      <c r="G48" s="459">
        <v>185.59375</v>
      </c>
      <c r="H48" s="459">
        <v>74.237499999999997</v>
      </c>
      <c r="T48" s="464"/>
      <c r="U48" s="464"/>
      <c r="V48" s="464"/>
      <c r="W48" s="464"/>
      <c r="X48" s="464"/>
      <c r="Y48" s="464"/>
    </row>
    <row r="49" spans="1:34">
      <c r="A49" s="459" t="s">
        <v>2347</v>
      </c>
      <c r="B49" s="459" t="s">
        <v>492</v>
      </c>
      <c r="C49" s="459" t="s">
        <v>2498</v>
      </c>
      <c r="D49" s="459">
        <v>24407.755269841244</v>
      </c>
      <c r="E49" s="459">
        <v>18305.816452380943</v>
      </c>
      <c r="F49" s="459">
        <v>12203.877634920622</v>
      </c>
      <c r="G49" s="459">
        <v>6101.9388174603109</v>
      </c>
      <c r="H49" s="459">
        <v>2440.7755269841286</v>
      </c>
      <c r="T49" s="464" t="s">
        <v>2530</v>
      </c>
      <c r="U49" s="464"/>
      <c r="V49" s="464"/>
      <c r="W49" s="464"/>
      <c r="X49" s="464"/>
      <c r="Y49" s="464"/>
    </row>
    <row r="50" spans="1:34">
      <c r="A50" s="459" t="s">
        <v>2347</v>
      </c>
      <c r="B50" s="459" t="s">
        <v>492</v>
      </c>
      <c r="C50" s="459" t="s">
        <v>2499</v>
      </c>
      <c r="D50" s="459">
        <v>55244.09661806401</v>
      </c>
      <c r="E50" s="459">
        <v>41433.072463548029</v>
      </c>
      <c r="F50" s="459">
        <v>27622.048309032005</v>
      </c>
      <c r="G50" s="459">
        <v>13811.024154516002</v>
      </c>
      <c r="H50" s="459">
        <v>5524.4096618064059</v>
      </c>
      <c r="T50" s="464" t="s">
        <v>2345</v>
      </c>
      <c r="U50" s="464" t="s">
        <v>2346</v>
      </c>
      <c r="V50" s="464" t="s">
        <v>2347</v>
      </c>
      <c r="W50" s="464" t="s">
        <v>2483</v>
      </c>
      <c r="X50" s="464" t="s">
        <v>2349</v>
      </c>
      <c r="Y50" s="464" t="s">
        <v>2399</v>
      </c>
    </row>
    <row r="51" spans="1:34">
      <c r="A51" s="459" t="s">
        <v>2347</v>
      </c>
      <c r="B51" s="459" t="s">
        <v>492</v>
      </c>
      <c r="C51" s="459" t="s">
        <v>2500</v>
      </c>
      <c r="D51" s="459">
        <v>40963.149280698148</v>
      </c>
      <c r="E51" s="459">
        <v>30722.361960523558</v>
      </c>
      <c r="F51" s="459">
        <v>20481.574640349074</v>
      </c>
      <c r="G51" s="459">
        <v>10240.787320174537</v>
      </c>
      <c r="H51" s="459">
        <v>4096.314928069809</v>
      </c>
      <c r="T51" s="464">
        <v>14.74</v>
      </c>
      <c r="U51" s="464">
        <v>10.57</v>
      </c>
      <c r="V51" s="464">
        <v>1.4</v>
      </c>
      <c r="W51" s="464">
        <v>31.23</v>
      </c>
      <c r="X51" s="464">
        <v>20.5</v>
      </c>
      <c r="Y51" s="464">
        <f>SUM(T51:X51)</f>
        <v>78.44</v>
      </c>
    </row>
    <row r="52" spans="1:34">
      <c r="A52" s="459" t="s">
        <v>2347</v>
      </c>
      <c r="B52" s="459" t="s">
        <v>492</v>
      </c>
      <c r="C52" s="459" t="s">
        <v>2501</v>
      </c>
      <c r="D52" s="459">
        <v>65418.312664141427</v>
      </c>
      <c r="E52" s="459">
        <v>49063.734498106089</v>
      </c>
      <c r="F52" s="459">
        <v>32709.156332070714</v>
      </c>
      <c r="G52" s="459">
        <v>16354.578166035357</v>
      </c>
      <c r="H52" s="459">
        <v>6541.8312664141404</v>
      </c>
      <c r="S52" s="459" t="s">
        <v>2522</v>
      </c>
      <c r="T52" s="465">
        <f>T51*M35</f>
        <v>9.9149569970068434</v>
      </c>
      <c r="U52" s="465">
        <f>U51*L35</f>
        <v>6.6610442283919653</v>
      </c>
      <c r="V52" s="465">
        <f t="shared" ref="V52" si="6">V51*N35</f>
        <v>0.84448291218932459</v>
      </c>
      <c r="W52" s="465">
        <f>W51*P35</f>
        <v>29.052136303070071</v>
      </c>
      <c r="X52" s="465">
        <f>X51*O35</f>
        <v>15.892061544913293</v>
      </c>
      <c r="Y52" s="465">
        <f t="shared" ref="Y52:Y53" si="7">SUM(T52:X52)</f>
        <v>62.364681985571494</v>
      </c>
    </row>
    <row r="53" spans="1:34">
      <c r="A53" s="459" t="s">
        <v>2347</v>
      </c>
      <c r="B53" s="459" t="s">
        <v>2502</v>
      </c>
      <c r="C53" s="459" t="s">
        <v>2502</v>
      </c>
      <c r="D53" s="459">
        <v>58717.920749205136</v>
      </c>
      <c r="E53" s="459">
        <v>44038.440561903888</v>
      </c>
      <c r="F53" s="459">
        <v>29358.960374602568</v>
      </c>
      <c r="G53" s="459">
        <v>14679.480187301284</v>
      </c>
      <c r="H53" s="459">
        <v>5871.7920749205141</v>
      </c>
      <c r="S53" s="459" t="s">
        <v>2523</v>
      </c>
      <c r="T53" s="465">
        <f>T51*M36</f>
        <v>4.8250430029931568</v>
      </c>
      <c r="U53" s="465">
        <f>U51*L36</f>
        <v>3.9089557716080354</v>
      </c>
      <c r="V53" s="465">
        <f t="shared" ref="V53" si="8">V51*N36</f>
        <v>0.55551708781067533</v>
      </c>
      <c r="W53" s="465">
        <f>W51*P36</f>
        <v>2.1778636969299283</v>
      </c>
      <c r="X53" s="465">
        <f>X51*O36</f>
        <v>4.6079384550867069</v>
      </c>
      <c r="Y53" s="465">
        <f t="shared" si="7"/>
        <v>16.075318014428504</v>
      </c>
    </row>
    <row r="54" spans="1:34">
      <c r="A54" s="459" t="s">
        <v>2347</v>
      </c>
      <c r="B54" s="459" t="s">
        <v>492</v>
      </c>
      <c r="C54" s="459" t="s">
        <v>2505</v>
      </c>
      <c r="D54" s="459">
        <v>43393.473510795484</v>
      </c>
      <c r="E54" s="459">
        <v>32545.105133096604</v>
      </c>
      <c r="F54" s="459">
        <v>21696.736755397742</v>
      </c>
      <c r="G54" s="459">
        <v>10848.368377698871</v>
      </c>
      <c r="H54" s="459">
        <v>4339.347351079552</v>
      </c>
      <c r="T54" s="464"/>
      <c r="U54" s="464"/>
      <c r="V54" s="464"/>
      <c r="W54" s="464"/>
      <c r="X54" s="464"/>
      <c r="Y54" s="464"/>
    </row>
    <row r="55" spans="1:34">
      <c r="A55" s="459" t="s">
        <v>2347</v>
      </c>
      <c r="B55" s="459" t="s">
        <v>493</v>
      </c>
      <c r="C55" s="459" t="s">
        <v>493</v>
      </c>
      <c r="D55" s="459">
        <v>12805.999178571425</v>
      </c>
      <c r="E55" s="459">
        <v>9604.4993839285798</v>
      </c>
      <c r="F55" s="459">
        <v>6402.9995892857123</v>
      </c>
      <c r="G55" s="459">
        <v>3201.4997946428562</v>
      </c>
      <c r="H55" s="459">
        <v>1280.5999178571428</v>
      </c>
      <c r="T55" s="464" t="s">
        <v>2531</v>
      </c>
      <c r="U55" s="464"/>
      <c r="V55" s="464"/>
      <c r="W55" s="464"/>
      <c r="X55" s="464"/>
      <c r="Y55" s="464"/>
    </row>
    <row r="56" spans="1:34">
      <c r="A56" s="459" t="s">
        <v>2347</v>
      </c>
      <c r="B56" s="459" t="s">
        <v>491</v>
      </c>
      <c r="C56" s="459" t="s">
        <v>2509</v>
      </c>
      <c r="D56" s="459">
        <v>556484.98174975382</v>
      </c>
      <c r="E56" s="459">
        <v>417363.73631231586</v>
      </c>
      <c r="F56" s="459">
        <v>278242.49087487691</v>
      </c>
      <c r="G56" s="459">
        <v>139121.24543743845</v>
      </c>
      <c r="H56" s="459">
        <v>55648.498174975641</v>
      </c>
      <c r="T56" s="464" t="s">
        <v>2345</v>
      </c>
      <c r="U56" s="464" t="s">
        <v>2346</v>
      </c>
      <c r="V56" s="464" t="s">
        <v>2347</v>
      </c>
      <c r="W56" s="464" t="s">
        <v>2483</v>
      </c>
      <c r="X56" s="464" t="s">
        <v>2349</v>
      </c>
      <c r="Y56" s="464" t="s">
        <v>2399</v>
      </c>
    </row>
    <row r="57" spans="1:34">
      <c r="A57" s="459" t="s">
        <v>2347</v>
      </c>
      <c r="B57" s="459" t="s">
        <v>492</v>
      </c>
      <c r="C57" s="459" t="s">
        <v>2511</v>
      </c>
      <c r="D57" s="459">
        <v>197577.75750341895</v>
      </c>
      <c r="E57" s="459">
        <v>148183.31812756366</v>
      </c>
      <c r="F57" s="459">
        <v>98788.878751709475</v>
      </c>
      <c r="G57" s="459">
        <v>49394.439375854738</v>
      </c>
      <c r="H57" s="459">
        <v>19757.775750341927</v>
      </c>
      <c r="T57" s="464">
        <f>22.24*(891+1837)/1837</f>
        <v>33.02706586826347</v>
      </c>
      <c r="U57" s="464">
        <f>14.3*(306+783)/783</f>
        <v>19.888505747126437</v>
      </c>
      <c r="V57" s="464">
        <f>1.59*(87+126)/126</f>
        <v>2.6878571428571432</v>
      </c>
      <c r="W57" s="464">
        <f>47.1*(941+5208)/5208</f>
        <v>55.610195852534567</v>
      </c>
      <c r="X57" s="464">
        <f>38.97*(1860+4463)/4463</f>
        <v>55.21113824781537</v>
      </c>
      <c r="Y57" s="464">
        <f>SUM(T57:X57)</f>
        <v>166.42476285859698</v>
      </c>
      <c r="AC57" s="466">
        <f>T65*24*365*$AC$60*1000000*3.6*10^(-9)</f>
        <v>7.1945835351661831E-3</v>
      </c>
    </row>
    <row r="58" spans="1:34">
      <c r="A58" s="459" t="s">
        <v>2347</v>
      </c>
      <c r="B58" s="459" t="s">
        <v>630</v>
      </c>
      <c r="C58" s="459" t="s">
        <v>629</v>
      </c>
      <c r="D58" s="459">
        <v>7546.2655777777754</v>
      </c>
      <c r="E58" s="459">
        <v>5659.699183333335</v>
      </c>
      <c r="F58" s="459">
        <v>3773.1327888888877</v>
      </c>
      <c r="G58" s="459">
        <v>1886.5663944444439</v>
      </c>
      <c r="H58" s="459">
        <v>754.62655777777798</v>
      </c>
      <c r="S58" s="459" t="s">
        <v>2522</v>
      </c>
      <c r="T58" s="465">
        <f>T57*M35</f>
        <v>22.21587095123099</v>
      </c>
      <c r="U58" s="465">
        <f>U57*L35</f>
        <v>12.533416879681834</v>
      </c>
      <c r="V58" s="465">
        <f t="shared" ref="V58" si="9">V57*N35</f>
        <v>1.6213210196777699</v>
      </c>
      <c r="W58" s="465">
        <f>W57*P35</f>
        <v>51.732148246822163</v>
      </c>
      <c r="X58" s="465">
        <f>X57*O35</f>
        <v>42.800917414585278</v>
      </c>
      <c r="Y58" s="465">
        <f t="shared" ref="Y58:Y59" si="10">SUM(T58:X58)</f>
        <v>130.90367451199805</v>
      </c>
    </row>
    <row r="59" spans="1:34">
      <c r="A59" s="459" t="s">
        <v>2347</v>
      </c>
      <c r="B59" s="459" t="s">
        <v>630</v>
      </c>
      <c r="C59" s="459" t="s">
        <v>2512</v>
      </c>
      <c r="D59" s="459">
        <v>0</v>
      </c>
      <c r="E59" s="459">
        <v>0</v>
      </c>
      <c r="F59" s="459">
        <v>0</v>
      </c>
      <c r="G59" s="459">
        <v>0</v>
      </c>
      <c r="H59" s="459">
        <v>0</v>
      </c>
      <c r="S59" s="459" t="s">
        <v>2523</v>
      </c>
      <c r="T59" s="465">
        <f>T57*M36</f>
        <v>10.811194917032481</v>
      </c>
      <c r="U59" s="465">
        <f>U57*L36</f>
        <v>7.3550888674446044</v>
      </c>
      <c r="V59" s="465">
        <f t="shared" ref="V59" si="11">V57*N36</f>
        <v>1.0665361231793733</v>
      </c>
      <c r="W59" s="465">
        <f>W57*P36</f>
        <v>3.8780476057124016</v>
      </c>
      <c r="X59" s="465">
        <f>X57*O36</f>
        <v>12.410220833230095</v>
      </c>
      <c r="Y59" s="465">
        <f t="shared" si="10"/>
        <v>35.521088346598958</v>
      </c>
    </row>
    <row r="60" spans="1:34">
      <c r="A60" s="459" t="s">
        <v>2347</v>
      </c>
      <c r="B60" s="459" t="s">
        <v>492</v>
      </c>
      <c r="C60" s="459" t="s">
        <v>2513</v>
      </c>
      <c r="D60" s="459">
        <v>14277.777166666672</v>
      </c>
      <c r="E60" s="459">
        <v>10708.332875</v>
      </c>
      <c r="F60" s="459">
        <v>7138.8885833333361</v>
      </c>
      <c r="G60" s="459">
        <v>3569.4442916666681</v>
      </c>
      <c r="H60" s="459">
        <v>1427.7777166666656</v>
      </c>
      <c r="T60" s="464"/>
      <c r="U60" s="464"/>
      <c r="V60" s="464"/>
      <c r="W60" s="464"/>
      <c r="X60" s="464"/>
      <c r="Y60" s="464"/>
      <c r="AB60" s="459" t="s">
        <v>2532</v>
      </c>
      <c r="AC60" s="459">
        <v>0.34965034965034969</v>
      </c>
    </row>
    <row r="61" spans="1:34">
      <c r="A61" s="459" t="s">
        <v>2347</v>
      </c>
      <c r="B61" s="459" t="s">
        <v>2496</v>
      </c>
      <c r="C61" s="459" t="s">
        <v>2514</v>
      </c>
      <c r="D61" s="459">
        <v>37478.82</v>
      </c>
      <c r="E61" s="459">
        <v>28109.114999999998</v>
      </c>
      <c r="F61" s="459">
        <v>18739.41</v>
      </c>
      <c r="G61" s="459">
        <v>9369.7049999999999</v>
      </c>
      <c r="H61" s="459">
        <v>3747.8820000000001</v>
      </c>
      <c r="T61" s="464"/>
      <c r="U61" s="464"/>
      <c r="V61" s="464"/>
      <c r="W61" s="464"/>
      <c r="X61" s="464"/>
      <c r="Y61" s="464"/>
    </row>
    <row r="62" spans="1:34">
      <c r="A62" s="459" t="s">
        <v>2347</v>
      </c>
      <c r="B62" s="459" t="s">
        <v>491</v>
      </c>
      <c r="C62" s="459" t="s">
        <v>2515</v>
      </c>
      <c r="D62" s="459">
        <v>506319.62569490843</v>
      </c>
      <c r="E62" s="459">
        <v>379739.71927118872</v>
      </c>
      <c r="F62" s="459">
        <v>253159.81284745422</v>
      </c>
      <c r="G62" s="459">
        <v>126579.90642372711</v>
      </c>
      <c r="H62" s="459">
        <v>50631.962569491356</v>
      </c>
      <c r="T62" s="464" t="s">
        <v>2533</v>
      </c>
      <c r="U62" s="464"/>
      <c r="V62" s="464"/>
      <c r="W62" s="464"/>
      <c r="X62" s="464"/>
      <c r="Y62" s="464"/>
      <c r="AB62" s="459" t="s">
        <v>2534</v>
      </c>
    </row>
    <row r="63" spans="1:34">
      <c r="A63" s="459" t="s">
        <v>2347</v>
      </c>
      <c r="B63" s="459" t="s">
        <v>492</v>
      </c>
      <c r="C63" s="459" t="s">
        <v>2516</v>
      </c>
      <c r="D63" s="459">
        <v>130673.33220296477</v>
      </c>
      <c r="E63" s="459">
        <v>98004.999152223885</v>
      </c>
      <c r="F63" s="459">
        <v>65336.666101482384</v>
      </c>
      <c r="G63" s="459">
        <v>32668.333050741192</v>
      </c>
      <c r="H63" s="459">
        <v>13067.333220296436</v>
      </c>
      <c r="T63" s="464" t="s">
        <v>2345</v>
      </c>
      <c r="U63" s="464" t="s">
        <v>2346</v>
      </c>
      <c r="V63" s="464" t="s">
        <v>2347</v>
      </c>
      <c r="W63" s="464" t="s">
        <v>2483</v>
      </c>
      <c r="X63" s="464" t="s">
        <v>2349</v>
      </c>
      <c r="Y63" s="464" t="s">
        <v>2399</v>
      </c>
      <c r="AB63" s="459" t="s">
        <v>2535</v>
      </c>
      <c r="AC63" s="464" t="s">
        <v>2345</v>
      </c>
      <c r="AD63" s="464" t="s">
        <v>2346</v>
      </c>
      <c r="AE63" s="464" t="s">
        <v>2347</v>
      </c>
      <c r="AF63" s="464" t="s">
        <v>2483</v>
      </c>
      <c r="AG63" s="464" t="s">
        <v>2349</v>
      </c>
      <c r="AH63" s="464" t="s">
        <v>2399</v>
      </c>
    </row>
    <row r="64" spans="1:34">
      <c r="A64" s="459" t="s">
        <v>2347</v>
      </c>
      <c r="B64" s="459" t="s">
        <v>492</v>
      </c>
      <c r="C64" s="459" t="s">
        <v>2517</v>
      </c>
      <c r="D64" s="459">
        <v>52058.030626585372</v>
      </c>
      <c r="E64" s="459">
        <v>39043.522969939033</v>
      </c>
      <c r="F64" s="459">
        <v>26029.015313292686</v>
      </c>
      <c r="G64" s="459">
        <v>13014.507656646343</v>
      </c>
      <c r="H64" s="459">
        <v>5205.803062658536</v>
      </c>
      <c r="T64" s="467">
        <f>T45/1000</f>
        <v>9.6999999999999994E-4</v>
      </c>
      <c r="U64" s="467">
        <f t="shared" ref="U64:Y64" si="12">U45/1000</f>
        <v>5.4000000000000001E-4</v>
      </c>
      <c r="V64" s="467">
        <f t="shared" si="12"/>
        <v>1.7999999999999998E-4</v>
      </c>
      <c r="W64" s="467">
        <f t="shared" si="12"/>
        <v>1.7000000000000001E-4</v>
      </c>
      <c r="X64" s="467">
        <f t="shared" si="12"/>
        <v>1.5200000000000001E-3</v>
      </c>
      <c r="Y64" s="467">
        <f t="shared" si="12"/>
        <v>3.3799999999999998E-3</v>
      </c>
      <c r="AC64" s="467">
        <f>SUM(AC65:AC66)</f>
        <v>1.0695776223776227E-2</v>
      </c>
      <c r="AD64" s="467">
        <f t="shared" ref="AD64:AG64" si="13">SUM(AD65:AD66)</f>
        <v>5.954349650349652E-3</v>
      </c>
      <c r="AE64" s="467">
        <f t="shared" si="13"/>
        <v>1.9847832167832172E-3</v>
      </c>
      <c r="AF64" s="467">
        <f t="shared" si="13"/>
        <v>1.8745174825174828E-3</v>
      </c>
      <c r="AG64" s="467">
        <f t="shared" si="13"/>
        <v>1.6760391608391611E-2</v>
      </c>
      <c r="AH64" s="467">
        <f>SUM(AH65:AH66)</f>
        <v>3.7269818181818182E-2</v>
      </c>
    </row>
    <row r="65" spans="1:42">
      <c r="A65" s="459" t="s">
        <v>2347</v>
      </c>
      <c r="B65" s="459" t="s">
        <v>492</v>
      </c>
      <c r="C65" s="459" t="s">
        <v>2518</v>
      </c>
      <c r="D65" s="459">
        <v>228.85</v>
      </c>
      <c r="E65" s="459">
        <v>171.63749999999999</v>
      </c>
      <c r="F65" s="459">
        <v>114.425</v>
      </c>
      <c r="G65" s="459">
        <v>57.212499999999999</v>
      </c>
      <c r="H65" s="459">
        <v>22.885000000000002</v>
      </c>
      <c r="S65" s="459" t="s">
        <v>2522</v>
      </c>
      <c r="T65" s="468">
        <f t="shared" ref="T65:Y66" si="14">T46/1000</f>
        <v>6.5247681730642049E-4</v>
      </c>
      <c r="U65" s="468">
        <f t="shared" si="14"/>
        <v>3.402993267106586E-4</v>
      </c>
      <c r="V65" s="468">
        <f t="shared" si="14"/>
        <v>1.0857637442434175E-4</v>
      </c>
      <c r="W65" s="468">
        <f t="shared" si="14"/>
        <v>1.5814483418257806E-4</v>
      </c>
      <c r="X65" s="468">
        <f t="shared" si="14"/>
        <v>1.1783382218667417E-3</v>
      </c>
      <c r="Y65" s="468">
        <f t="shared" si="14"/>
        <v>2.4378355744907403E-3</v>
      </c>
      <c r="Z65" s="459">
        <f>SUM(T65:Y65)</f>
        <v>4.8756711489814815E-3</v>
      </c>
      <c r="AB65" s="459" t="s">
        <v>2522</v>
      </c>
      <c r="AC65" s="468">
        <f>T46*24*365*$AC$60*1000*3.6*10^(-9)</f>
        <v>7.1945835351661823E-3</v>
      </c>
      <c r="AD65" s="468">
        <f>U65*24*365*$AC$60*1000000*3.6*10^(-9)</f>
        <v>3.7523355129885777E-3</v>
      </c>
      <c r="AE65" s="468">
        <f t="shared" ref="AE65:AG66" si="15">V65*24*365*$AC$60*1000000*3.6*10^(-9)</f>
        <v>1.1972253649811335E-3</v>
      </c>
      <c r="AF65" s="468">
        <f t="shared" si="15"/>
        <v>1.7437956261474761E-3</v>
      </c>
      <c r="AG65" s="468">
        <f t="shared" si="15"/>
        <v>1.2993032924751598E-2</v>
      </c>
      <c r="AH65" s="468">
        <f>SUM(AC65:AG65)</f>
        <v>2.6880972964034966E-2</v>
      </c>
    </row>
    <row r="66" spans="1:42">
      <c r="A66" s="459" t="s">
        <v>2347</v>
      </c>
      <c r="B66" s="459" t="s">
        <v>492</v>
      </c>
      <c r="C66" s="459" t="s">
        <v>2519</v>
      </c>
      <c r="D66" s="459">
        <v>780</v>
      </c>
      <c r="E66" s="459">
        <v>585</v>
      </c>
      <c r="F66" s="459">
        <v>390</v>
      </c>
      <c r="G66" s="459">
        <v>195</v>
      </c>
      <c r="H66" s="459">
        <v>78</v>
      </c>
      <c r="S66" s="459" t="s">
        <v>2523</v>
      </c>
      <c r="T66" s="468">
        <f>T47/1000</f>
        <v>3.1752318269357956E-4</v>
      </c>
      <c r="U66" s="468">
        <f t="shared" si="14"/>
        <v>1.9970067328934146E-4</v>
      </c>
      <c r="V66" s="468">
        <f t="shared" si="14"/>
        <v>7.1423625575658248E-5</v>
      </c>
      <c r="W66" s="468">
        <f t="shared" si="14"/>
        <v>1.1855165817421962E-5</v>
      </c>
      <c r="X66" s="468">
        <f t="shared" si="14"/>
        <v>3.4166177813325829E-4</v>
      </c>
      <c r="Y66" s="468">
        <f t="shared" si="14"/>
        <v>9.4216442550925945E-4</v>
      </c>
      <c r="Z66" s="459">
        <f>SUM(T66:Y66)</f>
        <v>1.8843288510185189E-3</v>
      </c>
      <c r="AB66" s="459" t="s">
        <v>2523</v>
      </c>
      <c r="AC66" s="467">
        <f>T66*24*365*$AC$60*1000000*3.6*10^(-9)</f>
        <v>3.5011926886100446E-3</v>
      </c>
      <c r="AD66" s="467">
        <f>U66*24*365*$AC$60*1000000*3.6*10^(-9)</f>
        <v>2.2020141373610743E-3</v>
      </c>
      <c r="AE66" s="467">
        <f t="shared" si="15"/>
        <v>7.8755785180208355E-4</v>
      </c>
      <c r="AF66" s="467">
        <f t="shared" si="15"/>
        <v>1.3072185637000666E-4</v>
      </c>
      <c r="AG66" s="467">
        <f t="shared" si="15"/>
        <v>3.767358683640012E-3</v>
      </c>
      <c r="AH66" s="467">
        <f>SUM(AC66:AG66)</f>
        <v>1.0388845217783219E-2</v>
      </c>
    </row>
    <row r="67" spans="1:42">
      <c r="A67" s="459" t="s">
        <v>2347</v>
      </c>
      <c r="B67" s="459" t="s">
        <v>492</v>
      </c>
      <c r="C67" s="459" t="s">
        <v>2521</v>
      </c>
      <c r="D67" s="459">
        <v>19433.367505952367</v>
      </c>
      <c r="E67" s="459">
        <v>14575.025629464288</v>
      </c>
      <c r="F67" s="459">
        <v>9716.6837529761833</v>
      </c>
      <c r="G67" s="459">
        <v>4858.3418764880917</v>
      </c>
      <c r="H67" s="459">
        <v>1943.3367505952367</v>
      </c>
      <c r="T67" s="464"/>
      <c r="U67" s="464"/>
      <c r="V67" s="464"/>
      <c r="W67" s="464"/>
      <c r="X67" s="464"/>
      <c r="Y67" s="464"/>
      <c r="AC67" s="464"/>
      <c r="AD67" s="464"/>
      <c r="AE67" s="464"/>
      <c r="AF67" s="464"/>
      <c r="AG67" s="464"/>
      <c r="AH67" s="464"/>
    </row>
    <row r="68" spans="1:42">
      <c r="A68" s="459" t="s">
        <v>2349</v>
      </c>
      <c r="B68" s="459" t="s">
        <v>2510</v>
      </c>
      <c r="C68" s="459" t="s">
        <v>2536</v>
      </c>
      <c r="D68" s="459" t="s">
        <v>2537</v>
      </c>
      <c r="E68" s="459" t="s">
        <v>2491</v>
      </c>
      <c r="F68" s="459" t="s">
        <v>2492</v>
      </c>
      <c r="G68" s="459" t="s">
        <v>2493</v>
      </c>
      <c r="H68" s="459" t="s">
        <v>2494</v>
      </c>
      <c r="T68" s="464" t="s">
        <v>2538</v>
      </c>
      <c r="U68" s="464"/>
      <c r="V68" s="464"/>
      <c r="W68" s="464"/>
      <c r="X68" s="464"/>
      <c r="Y68" s="464"/>
      <c r="AB68" s="459" t="s">
        <v>2539</v>
      </c>
      <c r="AC68" s="464"/>
      <c r="AD68" s="464"/>
      <c r="AE68" s="464"/>
      <c r="AF68" s="464"/>
      <c r="AG68" s="464"/>
      <c r="AH68" s="464"/>
    </row>
    <row r="69" spans="1:42">
      <c r="A69" s="459" t="s">
        <v>2349</v>
      </c>
      <c r="B69" s="459" t="s">
        <v>491</v>
      </c>
      <c r="C69" s="459" t="s">
        <v>2495</v>
      </c>
      <c r="D69" s="459">
        <v>1931631.2762088855</v>
      </c>
      <c r="E69" s="459">
        <v>1448723.4571564887</v>
      </c>
      <c r="F69" s="459">
        <v>965815.63810444274</v>
      </c>
      <c r="G69" s="459">
        <v>482907.81905222137</v>
      </c>
      <c r="H69" s="459">
        <v>193163.12762083518</v>
      </c>
      <c r="T69" s="464" t="s">
        <v>2345</v>
      </c>
      <c r="U69" s="464" t="s">
        <v>2346</v>
      </c>
      <c r="V69" s="464" t="s">
        <v>2347</v>
      </c>
      <c r="W69" s="464" t="s">
        <v>2483</v>
      </c>
      <c r="X69" s="464" t="s">
        <v>2349</v>
      </c>
      <c r="Y69" s="464" t="s">
        <v>2399</v>
      </c>
      <c r="AC69" s="464" t="s">
        <v>2345</v>
      </c>
      <c r="AD69" s="464" t="s">
        <v>2346</v>
      </c>
      <c r="AE69" s="464" t="s">
        <v>2347</v>
      </c>
      <c r="AF69" s="464" t="s">
        <v>2483</v>
      </c>
      <c r="AG69" s="464" t="s">
        <v>2349</v>
      </c>
      <c r="AH69" s="464" t="s">
        <v>2399</v>
      </c>
    </row>
    <row r="70" spans="1:42">
      <c r="A70" s="459" t="s">
        <v>2349</v>
      </c>
      <c r="B70" s="459" t="s">
        <v>2496</v>
      </c>
      <c r="C70" s="459" t="s">
        <v>2497</v>
      </c>
      <c r="D70" s="459">
        <v>981.35047908000979</v>
      </c>
      <c r="E70" s="459">
        <v>736.01285931000734</v>
      </c>
      <c r="F70" s="459">
        <v>490.6752395400049</v>
      </c>
      <c r="G70" s="459">
        <v>245.33761977000245</v>
      </c>
      <c r="H70" s="459">
        <v>98.135047908000985</v>
      </c>
      <c r="T70" s="467">
        <f>T51/1000</f>
        <v>1.474E-2</v>
      </c>
      <c r="U70" s="467">
        <f t="shared" ref="U70:Y70" si="16">U51/1000</f>
        <v>1.057E-2</v>
      </c>
      <c r="V70" s="467">
        <f t="shared" si="16"/>
        <v>1.4E-3</v>
      </c>
      <c r="W70" s="467">
        <f t="shared" si="16"/>
        <v>3.1230000000000001E-2</v>
      </c>
      <c r="X70" s="467">
        <f t="shared" si="16"/>
        <v>2.0500000000000001E-2</v>
      </c>
      <c r="Y70" s="467">
        <f t="shared" si="16"/>
        <v>7.8439999999999996E-2</v>
      </c>
      <c r="AC70" s="467">
        <f>SUM(AC71:AC72)</f>
        <v>0.16253169230769235</v>
      </c>
      <c r="AD70" s="467">
        <f t="shared" ref="AD70:AG70" si="17">SUM(AD71:AD72)</f>
        <v>0.11655088111888115</v>
      </c>
      <c r="AE70" s="467">
        <f t="shared" si="17"/>
        <v>1.5437202797202799E-2</v>
      </c>
      <c r="AF70" s="467">
        <f t="shared" si="17"/>
        <v>0.34435988811188822</v>
      </c>
      <c r="AG70" s="467">
        <f t="shared" si="17"/>
        <v>0.22604475524475529</v>
      </c>
      <c r="AH70" s="467">
        <f>SUM(AH71:AH72)</f>
        <v>0.86492441958041988</v>
      </c>
    </row>
    <row r="71" spans="1:42">
      <c r="A71" s="459" t="s">
        <v>2349</v>
      </c>
      <c r="B71" s="459" t="s">
        <v>492</v>
      </c>
      <c r="C71" s="459" t="s">
        <v>2498</v>
      </c>
      <c r="D71" s="459">
        <v>49818.244019607831</v>
      </c>
      <c r="E71" s="459">
        <v>37363.683014705879</v>
      </c>
      <c r="F71" s="459">
        <v>24909.122009803916</v>
      </c>
      <c r="G71" s="459">
        <v>12454.561004901958</v>
      </c>
      <c r="H71" s="459">
        <v>4981.8244019607828</v>
      </c>
      <c r="K71" s="459" t="s">
        <v>2527</v>
      </c>
      <c r="S71" s="459" t="s">
        <v>2522</v>
      </c>
      <c r="T71" s="468">
        <f t="shared" ref="T71:Y72" si="18">T52/1000</f>
        <v>9.9149569970068442E-3</v>
      </c>
      <c r="U71" s="468">
        <f t="shared" si="18"/>
        <v>6.6610442283919656E-3</v>
      </c>
      <c r="V71" s="468">
        <f t="shared" si="18"/>
        <v>8.4448291218932453E-4</v>
      </c>
      <c r="W71" s="468">
        <f t="shared" si="18"/>
        <v>2.9052136303070072E-2</v>
      </c>
      <c r="X71" s="468">
        <f t="shared" si="18"/>
        <v>1.5892061544913294E-2</v>
      </c>
      <c r="Y71" s="468">
        <f t="shared" si="18"/>
        <v>6.2364681985571491E-2</v>
      </c>
      <c r="AB71" s="459" t="s">
        <v>2522</v>
      </c>
      <c r="AC71" s="468">
        <f>T71*24*365*$AC$60*1000000*3.6*10^(-9)</f>
        <v>0.10932800134881394</v>
      </c>
      <c r="AD71" s="468">
        <f t="shared" ref="AD71:AG72" si="19">U71*24*365*$AC$60*1000000*3.6*10^(-9)</f>
        <v>7.3448493282017149E-2</v>
      </c>
      <c r="AE71" s="468">
        <f t="shared" si="19"/>
        <v>9.3117528387421482E-3</v>
      </c>
      <c r="AF71" s="468">
        <f t="shared" si="19"/>
        <v>0.3203455141446217</v>
      </c>
      <c r="AG71" s="468">
        <f t="shared" si="19"/>
        <v>0.17523498352461039</v>
      </c>
      <c r="AH71" s="468">
        <f>SUM(AC71:AG71)</f>
        <v>0.68766874513880538</v>
      </c>
    </row>
    <row r="72" spans="1:42">
      <c r="A72" s="459" t="s">
        <v>2349</v>
      </c>
      <c r="B72" s="459" t="s">
        <v>492</v>
      </c>
      <c r="C72" s="459" t="s">
        <v>2499</v>
      </c>
      <c r="D72" s="459">
        <v>104340.15744047621</v>
      </c>
      <c r="E72" s="459">
        <v>78255.118080357162</v>
      </c>
      <c r="F72" s="459">
        <v>52170.078720238103</v>
      </c>
      <c r="G72" s="459">
        <v>26085.039360119052</v>
      </c>
      <c r="H72" s="459">
        <v>10434.015744047627</v>
      </c>
      <c r="K72" s="459" t="s">
        <v>2540</v>
      </c>
      <c r="S72" s="459" t="s">
        <v>2523</v>
      </c>
      <c r="T72" s="468">
        <f t="shared" si="18"/>
        <v>4.8250430029931572E-3</v>
      </c>
      <c r="U72" s="468">
        <f t="shared" si="18"/>
        <v>3.9089557716080357E-3</v>
      </c>
      <c r="V72" s="468">
        <f t="shared" si="18"/>
        <v>5.5551708781067534E-4</v>
      </c>
      <c r="W72" s="468">
        <f t="shared" si="18"/>
        <v>2.1778636969299282E-3</v>
      </c>
      <c r="X72" s="468">
        <f t="shared" si="18"/>
        <v>4.6079384550867068E-3</v>
      </c>
      <c r="Y72" s="468">
        <f t="shared" si="18"/>
        <v>1.6075318014428505E-2</v>
      </c>
      <c r="AB72" s="459" t="s">
        <v>2523</v>
      </c>
      <c r="AC72" s="467">
        <f>T72*24*365*$AC$60*1000000*3.6*10^(-9)</f>
        <v>5.3203690958878398E-2</v>
      </c>
      <c r="AD72" s="467">
        <f t="shared" si="19"/>
        <v>4.3102387836864001E-2</v>
      </c>
      <c r="AE72" s="467">
        <f t="shared" si="19"/>
        <v>6.1254499584606509E-3</v>
      </c>
      <c r="AF72" s="467">
        <f t="shared" si="19"/>
        <v>2.4014373967266512E-2</v>
      </c>
      <c r="AG72" s="467">
        <f t="shared" si="19"/>
        <v>5.0809771720144892E-2</v>
      </c>
      <c r="AH72" s="467">
        <f>SUM(AC72:AG72)</f>
        <v>0.17725567444161447</v>
      </c>
    </row>
    <row r="73" spans="1:42" ht="15" customHeight="1">
      <c r="A73" s="459" t="s">
        <v>2349</v>
      </c>
      <c r="B73" s="459" t="s">
        <v>492</v>
      </c>
      <c r="C73" s="459" t="s">
        <v>2500</v>
      </c>
      <c r="D73" s="459">
        <v>23131.250277663512</v>
      </c>
      <c r="E73" s="459">
        <v>17348.437708247649</v>
      </c>
      <c r="F73" s="459">
        <v>11565.625138831756</v>
      </c>
      <c r="G73" s="459">
        <v>5782.812569415878</v>
      </c>
      <c r="H73" s="459">
        <v>2313.1250277663512</v>
      </c>
      <c r="K73" s="864" t="s">
        <v>2541</v>
      </c>
      <c r="L73" s="864"/>
      <c r="M73" s="864"/>
      <c r="N73" s="864"/>
      <c r="O73" s="864"/>
      <c r="T73" s="464"/>
      <c r="U73" s="464"/>
      <c r="V73" s="464"/>
      <c r="W73" s="464"/>
      <c r="X73" s="464"/>
      <c r="Y73" s="464"/>
      <c r="AC73" s="464"/>
      <c r="AD73" s="464"/>
      <c r="AE73" s="464"/>
      <c r="AF73" s="464"/>
      <c r="AG73" s="464"/>
      <c r="AH73" s="464"/>
    </row>
    <row r="74" spans="1:42">
      <c r="A74" s="459" t="s">
        <v>2349</v>
      </c>
      <c r="B74" s="459" t="s">
        <v>492</v>
      </c>
      <c r="C74" s="459" t="s">
        <v>2501</v>
      </c>
      <c r="D74" s="459">
        <v>210381.74083333346</v>
      </c>
      <c r="E74" s="459">
        <v>157786.30562500015</v>
      </c>
      <c r="F74" s="459">
        <v>105190.87041666673</v>
      </c>
      <c r="G74" s="459">
        <v>52595.435208333365</v>
      </c>
      <c r="H74" s="459">
        <v>21038.17408333331</v>
      </c>
      <c r="K74" s="864"/>
      <c r="L74" s="864"/>
      <c r="M74" s="864"/>
      <c r="N74" s="864"/>
      <c r="O74" s="864"/>
      <c r="T74" s="464" t="s">
        <v>2542</v>
      </c>
      <c r="U74" s="464"/>
      <c r="V74" s="464"/>
      <c r="W74" s="464"/>
      <c r="X74" s="464"/>
      <c r="Y74" s="464"/>
      <c r="AB74" s="459" t="s">
        <v>2543</v>
      </c>
      <c r="AC74" s="464"/>
      <c r="AD74" s="464"/>
      <c r="AE74" s="464"/>
      <c r="AF74" s="464"/>
      <c r="AG74" s="464"/>
      <c r="AH74" s="464"/>
      <c r="AJ74" s="459" t="s">
        <v>2544</v>
      </c>
      <c r="AK74" s="464"/>
      <c r="AL74" s="464"/>
      <c r="AM74" s="464"/>
      <c r="AN74" s="464"/>
      <c r="AO74" s="464"/>
      <c r="AP74" s="464"/>
    </row>
    <row r="75" spans="1:42">
      <c r="A75" s="459" t="s">
        <v>2349</v>
      </c>
      <c r="B75" s="459" t="s">
        <v>2502</v>
      </c>
      <c r="C75" s="459" t="s">
        <v>2502</v>
      </c>
      <c r="D75" s="459">
        <v>30880.623918187219</v>
      </c>
      <c r="E75" s="459">
        <v>23160.467938640406</v>
      </c>
      <c r="F75" s="459">
        <v>15440.311959093609</v>
      </c>
      <c r="G75" s="459">
        <v>7720.1559795468047</v>
      </c>
      <c r="H75" s="459">
        <v>3088.0623918187216</v>
      </c>
      <c r="K75" s="864"/>
      <c r="L75" s="864"/>
      <c r="M75" s="864"/>
      <c r="N75" s="864"/>
      <c r="O75" s="864"/>
      <c r="T75" s="464" t="s">
        <v>2345</v>
      </c>
      <c r="U75" s="464" t="s">
        <v>2346</v>
      </c>
      <c r="V75" s="464" t="s">
        <v>2347</v>
      </c>
      <c r="W75" s="464" t="s">
        <v>2483</v>
      </c>
      <c r="X75" s="464" t="s">
        <v>2349</v>
      </c>
      <c r="Y75" s="464" t="s">
        <v>2399</v>
      </c>
      <c r="AC75" s="464" t="s">
        <v>2345</v>
      </c>
      <c r="AD75" s="464" t="s">
        <v>2346</v>
      </c>
      <c r="AE75" s="464" t="s">
        <v>2347</v>
      </c>
      <c r="AF75" s="464" t="s">
        <v>2483</v>
      </c>
      <c r="AG75" s="464" t="s">
        <v>2349</v>
      </c>
      <c r="AH75" s="464" t="s">
        <v>2399</v>
      </c>
      <c r="AK75" s="464" t="s">
        <v>2345</v>
      </c>
      <c r="AL75" s="464" t="s">
        <v>2346</v>
      </c>
      <c r="AM75" s="464" t="s">
        <v>2347</v>
      </c>
      <c r="AN75" s="464" t="s">
        <v>2483</v>
      </c>
      <c r="AO75" s="464" t="s">
        <v>2349</v>
      </c>
      <c r="AP75" s="464" t="s">
        <v>2399</v>
      </c>
    </row>
    <row r="76" spans="1:42">
      <c r="A76" s="459" t="s">
        <v>2349</v>
      </c>
      <c r="B76" s="459" t="s">
        <v>492</v>
      </c>
      <c r="C76" s="459" t="s">
        <v>2505</v>
      </c>
      <c r="D76" s="459">
        <v>60464.318236020939</v>
      </c>
      <c r="E76" s="459">
        <v>45348.23867701571</v>
      </c>
      <c r="F76" s="459">
        <v>30232.15911801047</v>
      </c>
      <c r="G76" s="459">
        <v>15116.079559005235</v>
      </c>
      <c r="H76" s="459">
        <v>6046.4318236020972</v>
      </c>
      <c r="K76" s="864"/>
      <c r="L76" s="864"/>
      <c r="M76" s="864"/>
      <c r="N76" s="864"/>
      <c r="O76" s="864"/>
      <c r="T76" s="467">
        <f>T57/1000</f>
        <v>3.3027065868263469E-2</v>
      </c>
      <c r="U76" s="467">
        <f t="shared" ref="U76:Y76" si="20">U57/1000</f>
        <v>1.9888505747126438E-2</v>
      </c>
      <c r="V76" s="467">
        <f t="shared" si="20"/>
        <v>2.6878571428571433E-3</v>
      </c>
      <c r="W76" s="467">
        <f t="shared" si="20"/>
        <v>5.5610195852534565E-2</v>
      </c>
      <c r="X76" s="467">
        <f t="shared" si="20"/>
        <v>5.5211138247815372E-2</v>
      </c>
      <c r="Y76" s="467">
        <f t="shared" si="20"/>
        <v>0.16642476285859698</v>
      </c>
      <c r="AC76" s="467">
        <f>SUM(AC77:AC78)</f>
        <v>0.36417536686068425</v>
      </c>
      <c r="AD76" s="467">
        <f t="shared" ref="AD76:AG76" si="21">SUM(AD77:AD78)</f>
        <v>0.21930206896551732</v>
      </c>
      <c r="AE76" s="467">
        <f t="shared" si="21"/>
        <v>2.9637854145854153E-2</v>
      </c>
      <c r="AF76" s="467">
        <f t="shared" si="21"/>
        <v>0.61318990783410154</v>
      </c>
      <c r="AG76" s="467">
        <f t="shared" si="21"/>
        <v>0.60878966985423288</v>
      </c>
      <c r="AH76" s="469">
        <f>SUM(AH77:AH78)</f>
        <v>1.83509486766039</v>
      </c>
      <c r="AK76" s="467">
        <f>SUM(AK77:AK78)</f>
        <v>0.55957339780219795</v>
      </c>
      <c r="AL76" s="467">
        <f t="shared" ref="AL76:AO76" si="22">SUM(AL77:AL78)</f>
        <v>0.4012680335664337</v>
      </c>
      <c r="AM76" s="467">
        <f t="shared" si="22"/>
        <v>5.314808391608393E-2</v>
      </c>
      <c r="AN76" s="467">
        <f t="shared" si="22"/>
        <v>1.185581900499501</v>
      </c>
      <c r="AO76" s="467">
        <f t="shared" si="22"/>
        <v>0.77823980019980044</v>
      </c>
      <c r="AP76" s="469">
        <f>SUM(AP77:AP78)</f>
        <v>2.9778112159840173</v>
      </c>
    </row>
    <row r="77" spans="1:42">
      <c r="A77" s="459" t="s">
        <v>2349</v>
      </c>
      <c r="B77" s="459" t="s">
        <v>493</v>
      </c>
      <c r="C77" s="459" t="s">
        <v>493</v>
      </c>
      <c r="D77" s="459">
        <v>195524.60310597697</v>
      </c>
      <c r="E77" s="459">
        <v>146643.45232948291</v>
      </c>
      <c r="F77" s="459">
        <v>97762.301552988487</v>
      </c>
      <c r="G77" s="459">
        <v>48881.150776494243</v>
      </c>
      <c r="H77" s="459">
        <v>19552.460310597718</v>
      </c>
      <c r="K77" s="864"/>
      <c r="L77" s="864"/>
      <c r="M77" s="864"/>
      <c r="N77" s="864"/>
      <c r="O77" s="864"/>
      <c r="S77" s="459" t="s">
        <v>2522</v>
      </c>
      <c r="T77" s="468">
        <f t="shared" ref="T77:Y78" si="23">T58/1000</f>
        <v>2.2215870951230988E-2</v>
      </c>
      <c r="U77" s="468">
        <f t="shared" si="23"/>
        <v>1.2533416879681835E-2</v>
      </c>
      <c r="V77" s="468">
        <f t="shared" si="23"/>
        <v>1.6213210196777698E-3</v>
      </c>
      <c r="W77" s="468">
        <f t="shared" si="23"/>
        <v>5.1732148246822166E-2</v>
      </c>
      <c r="X77" s="468">
        <f t="shared" si="23"/>
        <v>4.2800917414585277E-2</v>
      </c>
      <c r="Y77" s="468">
        <f t="shared" si="23"/>
        <v>0.13090367451199805</v>
      </c>
      <c r="AB77" s="459" t="s">
        <v>2522</v>
      </c>
      <c r="AC77" s="468">
        <f>T77*24*365*$AC$60*1000000*3.6*10^(-9)</f>
        <v>0.24496493227902819</v>
      </c>
      <c r="AD77" s="468">
        <f t="shared" ref="AD77:AG78" si="24">U77*24*365*$AC$60*1000000*3.6*10^(-9)</f>
        <v>0.1382006415096666</v>
      </c>
      <c r="AE77" s="468">
        <f t="shared" si="24"/>
        <v>1.7877615271523831E-2</v>
      </c>
      <c r="AF77" s="468">
        <f t="shared" si="24"/>
        <v>0.57042833115796643</v>
      </c>
      <c r="AG77" s="468">
        <f t="shared" si="24"/>
        <v>0.47194745859662995</v>
      </c>
      <c r="AH77" s="468">
        <f>SUM(AC77:AG77)</f>
        <v>1.4434189788148148</v>
      </c>
      <c r="AJ77" s="459" t="s">
        <v>2522</v>
      </c>
      <c r="AK77" s="468">
        <f>AC71*$L$116</f>
        <v>0.37640069035805945</v>
      </c>
      <c r="AL77" s="468">
        <f>AD71*$L$116</f>
        <v>0.25287266972808764</v>
      </c>
      <c r="AM77" s="468">
        <f t="shared" ref="AM77:AO77" si="25">AE71*$L$116</f>
        <v>3.2059034773383684E-2</v>
      </c>
      <c r="AN77" s="468">
        <f t="shared" si="25"/>
        <v>1.1029038415550547</v>
      </c>
      <c r="AO77" s="468">
        <f t="shared" si="25"/>
        <v>0.60330901470615872</v>
      </c>
      <c r="AP77" s="468">
        <f>SUM(AK77:AO77)</f>
        <v>2.3675452511207444</v>
      </c>
    </row>
    <row r="78" spans="1:42">
      <c r="A78" s="459" t="s">
        <v>2349</v>
      </c>
      <c r="B78" s="459" t="s">
        <v>491</v>
      </c>
      <c r="C78" s="459" t="s">
        <v>2509</v>
      </c>
      <c r="D78" s="459">
        <v>582733.87323352217</v>
      </c>
      <c r="E78" s="459">
        <v>437050.40492514183</v>
      </c>
      <c r="F78" s="459">
        <v>291366.93661676109</v>
      </c>
      <c r="G78" s="459">
        <v>145683.46830838054</v>
      </c>
      <c r="H78" s="459">
        <v>58273.387323352123</v>
      </c>
      <c r="S78" s="459" t="s">
        <v>2523</v>
      </c>
      <c r="T78" s="468">
        <f t="shared" si="23"/>
        <v>1.0811194917032481E-2</v>
      </c>
      <c r="U78" s="468">
        <f t="shared" si="23"/>
        <v>7.3550888674446041E-3</v>
      </c>
      <c r="V78" s="468">
        <f t="shared" si="23"/>
        <v>1.0665361231793733E-3</v>
      </c>
      <c r="W78" s="468">
        <f t="shared" si="23"/>
        <v>3.8780476057124016E-3</v>
      </c>
      <c r="X78" s="468">
        <f t="shared" si="23"/>
        <v>1.2410220833230096E-2</v>
      </c>
      <c r="Y78" s="468">
        <f t="shared" si="23"/>
        <v>3.5521088346598957E-2</v>
      </c>
      <c r="AB78" s="459" t="s">
        <v>2523</v>
      </c>
      <c r="AC78" s="467">
        <f>T78*24*365*$AC$60*1000000*3.6*10^(-9)</f>
        <v>0.11921043458165606</v>
      </c>
      <c r="AD78" s="467">
        <f t="shared" si="24"/>
        <v>8.1101427455850722E-2</v>
      </c>
      <c r="AE78" s="467">
        <f t="shared" si="24"/>
        <v>1.1760238874330323E-2</v>
      </c>
      <c r="AF78" s="467">
        <f t="shared" si="24"/>
        <v>4.2761576676135074E-2</v>
      </c>
      <c r="AG78" s="467">
        <f t="shared" si="24"/>
        <v>0.13684221125760293</v>
      </c>
      <c r="AH78" s="467">
        <f>SUM(AC78:AG78)</f>
        <v>0.39167588884557508</v>
      </c>
      <c r="AJ78" s="459" t="s">
        <v>2523</v>
      </c>
      <c r="AK78" s="467">
        <f>AC72*$L$116</f>
        <v>0.18317270744413849</v>
      </c>
      <c r="AL78" s="467">
        <f t="shared" ref="AL78:AO78" si="26">AD72*$L$116</f>
        <v>0.14839536383834606</v>
      </c>
      <c r="AM78" s="467">
        <f t="shared" si="26"/>
        <v>2.1089049142700243E-2</v>
      </c>
      <c r="AN78" s="467">
        <f t="shared" si="26"/>
        <v>8.2678058944446145E-2</v>
      </c>
      <c r="AO78" s="467">
        <f t="shared" si="26"/>
        <v>0.17493078549364172</v>
      </c>
      <c r="AP78" s="467">
        <f>SUM(AK78:AO78)</f>
        <v>0.61026596486327267</v>
      </c>
    </row>
    <row r="79" spans="1:42">
      <c r="A79" s="459" t="s">
        <v>2349</v>
      </c>
      <c r="B79" s="459" t="s">
        <v>492</v>
      </c>
      <c r="C79" s="459" t="s">
        <v>2511</v>
      </c>
      <c r="D79" s="459">
        <v>110846.76869047619</v>
      </c>
      <c r="E79" s="459">
        <v>83135.076517856985</v>
      </c>
      <c r="F79" s="459">
        <v>55423.384345238097</v>
      </c>
      <c r="G79" s="459">
        <v>27711.692172619049</v>
      </c>
      <c r="H79" s="459">
        <v>11084.6768690476</v>
      </c>
      <c r="T79" s="464"/>
      <c r="U79" s="464"/>
      <c r="V79" s="464"/>
      <c r="W79" s="464"/>
      <c r="X79" s="464"/>
      <c r="Y79" s="464"/>
    </row>
    <row r="80" spans="1:42">
      <c r="A80" s="459" t="s">
        <v>2349</v>
      </c>
      <c r="B80" s="459" t="s">
        <v>630</v>
      </c>
      <c r="C80" s="459" t="s">
        <v>629</v>
      </c>
      <c r="D80" s="459">
        <v>3447.3466666666664</v>
      </c>
      <c r="E80" s="459">
        <v>2585.5099999999998</v>
      </c>
      <c r="F80" s="459">
        <v>1723.6733333333332</v>
      </c>
      <c r="G80" s="459">
        <v>861.83666666666659</v>
      </c>
      <c r="H80" s="459">
        <v>344.73466666666667</v>
      </c>
      <c r="T80" s="464"/>
      <c r="U80" s="464"/>
      <c r="V80" s="464"/>
      <c r="W80" s="464"/>
      <c r="X80" s="464"/>
      <c r="Y80" s="464"/>
    </row>
    <row r="81" spans="1:42">
      <c r="A81" s="459" t="s">
        <v>2349</v>
      </c>
      <c r="B81" s="459" t="s">
        <v>630</v>
      </c>
      <c r="C81" s="459" t="s">
        <v>2512</v>
      </c>
      <c r="D81" s="459">
        <v>0</v>
      </c>
      <c r="E81" s="459">
        <v>0</v>
      </c>
      <c r="F81" s="459">
        <v>0</v>
      </c>
      <c r="G81" s="459">
        <v>0</v>
      </c>
      <c r="H81" s="459">
        <v>0</v>
      </c>
      <c r="Q81" s="72"/>
      <c r="R81" s="464" t="s">
        <v>2545</v>
      </c>
      <c r="S81" s="464" t="s">
        <v>497</v>
      </c>
      <c r="T81" s="464" t="s">
        <v>2522</v>
      </c>
      <c r="U81" s="464" t="s">
        <v>2523</v>
      </c>
      <c r="V81" s="464"/>
      <c r="W81" s="464"/>
      <c r="X81" s="464"/>
      <c r="Y81" s="464"/>
      <c r="AB81" s="459" t="s">
        <v>2546</v>
      </c>
      <c r="AC81" s="464"/>
      <c r="AD81" s="464"/>
      <c r="AE81" s="464"/>
      <c r="AF81" s="464"/>
      <c r="AG81" s="464"/>
      <c r="AH81" s="464"/>
      <c r="AJ81" s="459" t="s">
        <v>2547</v>
      </c>
      <c r="AK81" s="464"/>
      <c r="AL81" s="464"/>
      <c r="AM81" s="464"/>
      <c r="AN81" s="464"/>
      <c r="AO81" s="464"/>
      <c r="AP81" s="464"/>
    </row>
    <row r="82" spans="1:42">
      <c r="A82" s="459" t="s">
        <v>2349</v>
      </c>
      <c r="B82" s="459" t="s">
        <v>492</v>
      </c>
      <c r="C82" s="459" t="s">
        <v>2513</v>
      </c>
      <c r="D82" s="459">
        <v>50020.702203943132</v>
      </c>
      <c r="E82" s="459">
        <v>37515.526652957313</v>
      </c>
      <c r="F82" s="459">
        <v>25010.351101971566</v>
      </c>
      <c r="G82" s="459">
        <v>12505.175550985783</v>
      </c>
      <c r="H82" s="459">
        <v>5002.0702203943047</v>
      </c>
      <c r="Q82" s="72" t="s">
        <v>2345</v>
      </c>
      <c r="R82" s="72">
        <v>25</v>
      </c>
      <c r="S82" s="72">
        <f>R82*24*365*$AC$60*1000000*3.6*10^(-12)</f>
        <v>0.27566433566433568</v>
      </c>
      <c r="T82" s="72">
        <f>$S82*$M35</f>
        <v>0.18542741070015931</v>
      </c>
      <c r="U82" s="72">
        <f>$S82*$M36</f>
        <v>9.0236924964176374E-2</v>
      </c>
      <c r="V82" s="464"/>
      <c r="W82" s="464"/>
      <c r="X82" s="464"/>
      <c r="Y82" s="464"/>
      <c r="AC82" s="464" t="s">
        <v>2345</v>
      </c>
      <c r="AD82" s="464" t="s">
        <v>2346</v>
      </c>
      <c r="AE82" s="464" t="s">
        <v>2347</v>
      </c>
      <c r="AF82" s="464" t="s">
        <v>2483</v>
      </c>
      <c r="AG82" s="464" t="s">
        <v>2349</v>
      </c>
      <c r="AH82" s="464" t="s">
        <v>2399</v>
      </c>
      <c r="AK82" s="464" t="s">
        <v>2345</v>
      </c>
      <c r="AL82" s="464" t="s">
        <v>2346</v>
      </c>
      <c r="AM82" s="464" t="s">
        <v>2347</v>
      </c>
      <c r="AN82" s="464" t="s">
        <v>2483</v>
      </c>
      <c r="AO82" s="464" t="s">
        <v>2349</v>
      </c>
      <c r="AP82" s="464" t="s">
        <v>2399</v>
      </c>
    </row>
    <row r="83" spans="1:42">
      <c r="A83" s="459" t="s">
        <v>2349</v>
      </c>
      <c r="B83" s="459" t="s">
        <v>2496</v>
      </c>
      <c r="C83" s="459" t="s">
        <v>2514</v>
      </c>
      <c r="D83" s="459">
        <v>20</v>
      </c>
      <c r="E83" s="459">
        <v>15</v>
      </c>
      <c r="F83" s="459">
        <v>10</v>
      </c>
      <c r="G83" s="459">
        <v>5</v>
      </c>
      <c r="H83" s="459">
        <v>2</v>
      </c>
      <c r="Q83" s="72" t="s">
        <v>2346</v>
      </c>
      <c r="R83" s="72">
        <v>10</v>
      </c>
      <c r="S83" s="72">
        <f t="shared" ref="S83:S86" si="27">R83*24*365*$AC$60*1000000*3.6*10^(-12)</f>
        <v>0.1102657342657343</v>
      </c>
      <c r="T83" s="72">
        <f>$S83*$L35</f>
        <v>6.9487694684973664E-2</v>
      </c>
      <c r="U83" s="72">
        <f>$S83*$L36</f>
        <v>4.0778039580760643E-2</v>
      </c>
      <c r="V83" s="464"/>
      <c r="W83" s="464"/>
      <c r="X83" s="464"/>
      <c r="Y83" s="464"/>
      <c r="AC83" s="467">
        <f>SUM(AC84:AC85)</f>
        <v>0.63983970252501998</v>
      </c>
      <c r="AD83" s="467">
        <f t="shared" ref="AD83:AG83" si="28">SUM(AD84:AD85)</f>
        <v>0.32956780323125168</v>
      </c>
      <c r="AE83" s="467">
        <f t="shared" si="28"/>
        <v>4.0664427572427581E-2</v>
      </c>
      <c r="AF83" s="467">
        <f t="shared" si="28"/>
        <v>1.1645185791627728</v>
      </c>
      <c r="AG83" s="467">
        <f t="shared" si="28"/>
        <v>1.1601183411829044</v>
      </c>
      <c r="AH83" s="469">
        <f>SUM(AH84:AH85)</f>
        <v>3.3347088536743761</v>
      </c>
      <c r="AK83" s="467">
        <f>SUM(AK84:AK85)</f>
        <v>0.95545416263736294</v>
      </c>
      <c r="AL83" s="467">
        <f t="shared" ref="AL83:AO83" si="29">SUM(AL84:AL85)</f>
        <v>0.68515267972027993</v>
      </c>
      <c r="AM83" s="467">
        <f t="shared" si="29"/>
        <v>9.0748699300699315E-2</v>
      </c>
      <c r="AN83" s="467">
        <f t="shared" si="29"/>
        <v>2.0243441994006002</v>
      </c>
      <c r="AO83" s="467">
        <f t="shared" si="29"/>
        <v>1.3288202397602402</v>
      </c>
      <c r="AP83" s="469">
        <f>SUM(AP84:AP85)</f>
        <v>5.0845199808191825</v>
      </c>
    </row>
    <row r="84" spans="1:42">
      <c r="A84" s="459" t="s">
        <v>2349</v>
      </c>
      <c r="B84" s="459" t="s">
        <v>491</v>
      </c>
      <c r="C84" s="459" t="s">
        <v>2515</v>
      </c>
      <c r="D84" s="459">
        <v>2704993.8573539141</v>
      </c>
      <c r="E84" s="459">
        <v>2028745.3930154911</v>
      </c>
      <c r="F84" s="459">
        <v>1352496.928676957</v>
      </c>
      <c r="G84" s="459">
        <v>676248.46433847852</v>
      </c>
      <c r="H84" s="459">
        <v>270499.38573539938</v>
      </c>
      <c r="Q84" s="72" t="s">
        <v>2347</v>
      </c>
      <c r="R84" s="72">
        <v>1</v>
      </c>
      <c r="S84" s="72">
        <f t="shared" si="27"/>
        <v>1.1026573426573427E-2</v>
      </c>
      <c r="T84" s="72">
        <f>$S84*$N35</f>
        <v>6.6512520276729627E-3</v>
      </c>
      <c r="U84" s="72">
        <f>$S84*$N36</f>
        <v>4.3753213989004645E-3</v>
      </c>
      <c r="V84" s="464"/>
      <c r="W84" s="464"/>
      <c r="X84" s="464"/>
      <c r="Y84" s="464"/>
      <c r="AB84" s="459" t="s">
        <v>2522</v>
      </c>
      <c r="AC84" s="468">
        <f>AC77+$T$82</f>
        <v>0.43039234297918749</v>
      </c>
      <c r="AD84" s="468">
        <f>AD77+$T$83</f>
        <v>0.20768833619464028</v>
      </c>
      <c r="AE84" s="468">
        <f>AE77+$T$84</f>
        <v>2.4528867299196795E-2</v>
      </c>
      <c r="AF84" s="468">
        <f>AF77+$T$85</f>
        <v>1.0833093976719299</v>
      </c>
      <c r="AG84" s="468">
        <f>AG77+$T$86</f>
        <v>0.89934985743714302</v>
      </c>
      <c r="AH84" s="468">
        <f>SUM(AC84:AG84)</f>
        <v>2.6452688015820973</v>
      </c>
      <c r="AJ84" s="459" t="s">
        <v>2522</v>
      </c>
      <c r="AK84" s="468">
        <f>AC71*$M$116</f>
        <v>0.64269246507195632</v>
      </c>
      <c r="AL84" s="468">
        <f t="shared" ref="AL84:AO85" si="30">AD71*$M$116</f>
        <v>0.43177221407928656</v>
      </c>
      <c r="AM84" s="468">
        <f t="shared" si="30"/>
        <v>5.4739804187748486E-2</v>
      </c>
      <c r="AN84" s="468">
        <f t="shared" si="30"/>
        <v>1.8831739867215977</v>
      </c>
      <c r="AO84" s="468">
        <f t="shared" si="30"/>
        <v>1.0301313674339598</v>
      </c>
      <c r="AP84" s="468">
        <f>SUM(AK84:AO84)</f>
        <v>4.0425098374945492</v>
      </c>
    </row>
    <row r="85" spans="1:42">
      <c r="A85" s="459" t="s">
        <v>2349</v>
      </c>
      <c r="B85" s="459" t="s">
        <v>492</v>
      </c>
      <c r="C85" s="459" t="s">
        <v>2516</v>
      </c>
      <c r="D85" s="459">
        <v>339577.83155952417</v>
      </c>
      <c r="E85" s="459">
        <v>254683.37366964272</v>
      </c>
      <c r="F85" s="459">
        <v>169788.91577976209</v>
      </c>
      <c r="G85" s="459">
        <v>84894.457889881043</v>
      </c>
      <c r="H85" s="459">
        <v>33957.783155952413</v>
      </c>
      <c r="Q85" s="72" t="s">
        <v>2483</v>
      </c>
      <c r="R85" s="72">
        <v>50</v>
      </c>
      <c r="S85" s="72">
        <f t="shared" si="27"/>
        <v>0.55132867132867136</v>
      </c>
      <c r="T85" s="72">
        <f>$S85*$P35</f>
        <v>0.51288106651396348</v>
      </c>
      <c r="U85" s="72">
        <f>$S85*$P36</f>
        <v>3.8447604814707832E-2</v>
      </c>
      <c r="V85" s="464"/>
      <c r="W85" s="464"/>
      <c r="X85" s="464"/>
      <c r="Y85" s="464"/>
      <c r="AB85" s="459" t="s">
        <v>2523</v>
      </c>
      <c r="AC85" s="467">
        <f>AC78+$U$82</f>
        <v>0.20944735954583243</v>
      </c>
      <c r="AD85" s="467">
        <f>AD78+$U$83</f>
        <v>0.12187946703661137</v>
      </c>
      <c r="AE85" s="467">
        <f>AE78+$U$84</f>
        <v>1.6135560273230785E-2</v>
      </c>
      <c r="AF85" s="467">
        <f>AF78+$U$85</f>
        <v>8.1209181490842913E-2</v>
      </c>
      <c r="AG85" s="467">
        <f>AG78+$U$86</f>
        <v>0.26076848374576123</v>
      </c>
      <c r="AH85" s="467">
        <f>SUM(AC85:AG85)</f>
        <v>0.68944005209227877</v>
      </c>
      <c r="AJ85" s="459" t="s">
        <v>2523</v>
      </c>
      <c r="AK85" s="467">
        <f>AC72*$M$116</f>
        <v>0.31276169756540662</v>
      </c>
      <c r="AL85" s="467">
        <f t="shared" si="30"/>
        <v>0.25338046564099337</v>
      </c>
      <c r="AM85" s="467">
        <f t="shared" si="30"/>
        <v>3.6008895112950828E-2</v>
      </c>
      <c r="AN85" s="467">
        <f t="shared" si="30"/>
        <v>0.14117021267900243</v>
      </c>
      <c r="AO85" s="467">
        <f t="shared" si="30"/>
        <v>0.29868887232628033</v>
      </c>
      <c r="AP85" s="467">
        <f>SUM(AK85:AO85)</f>
        <v>1.0420101433246336</v>
      </c>
    </row>
    <row r="86" spans="1:42">
      <c r="A86" s="459" t="s">
        <v>2349</v>
      </c>
      <c r="B86" s="459" t="s">
        <v>492</v>
      </c>
      <c r="C86" s="459" t="s">
        <v>2517</v>
      </c>
      <c r="D86" s="459">
        <v>30811.338857142837</v>
      </c>
      <c r="E86" s="459">
        <v>23108.504142857135</v>
      </c>
      <c r="F86" s="459">
        <v>15405.669428571418</v>
      </c>
      <c r="G86" s="459">
        <v>7702.8347142857092</v>
      </c>
      <c r="H86" s="459">
        <v>3081.1338857142873</v>
      </c>
      <c r="Q86" s="72" t="s">
        <v>2349</v>
      </c>
      <c r="R86" s="72">
        <v>50</v>
      </c>
      <c r="S86" s="72">
        <f t="shared" si="27"/>
        <v>0.55132867132867136</v>
      </c>
      <c r="T86" s="72">
        <f>$S86*$O35</f>
        <v>0.42740239884051306</v>
      </c>
      <c r="U86" s="72">
        <f>$S86*$O36</f>
        <v>0.12392627248815827</v>
      </c>
      <c r="V86" s="464"/>
      <c r="W86" s="464"/>
      <c r="X86" s="464"/>
      <c r="Y86" s="464"/>
    </row>
    <row r="87" spans="1:42">
      <c r="A87" s="459" t="s">
        <v>2349</v>
      </c>
      <c r="B87" s="459" t="s">
        <v>492</v>
      </c>
      <c r="C87" s="459" t="s">
        <v>2518</v>
      </c>
      <c r="D87" s="459">
        <v>73.099999999999994</v>
      </c>
      <c r="E87" s="459">
        <v>54.825000000000003</v>
      </c>
      <c r="F87" s="459">
        <v>36.549999999999997</v>
      </c>
      <c r="G87" s="459">
        <v>18.274999999999999</v>
      </c>
      <c r="H87" s="459">
        <v>7.31</v>
      </c>
      <c r="Q87" s="72"/>
      <c r="R87" s="72"/>
      <c r="S87" s="72"/>
      <c r="T87" s="72"/>
      <c r="U87" s="72"/>
      <c r="V87" s="464"/>
      <c r="W87" s="464"/>
      <c r="X87" s="464"/>
      <c r="Y87" s="464"/>
    </row>
    <row r="88" spans="1:42">
      <c r="A88" s="459" t="s">
        <v>2349</v>
      </c>
      <c r="B88" s="459" t="s">
        <v>492</v>
      </c>
      <c r="C88" s="459" t="s">
        <v>2519</v>
      </c>
      <c r="D88" s="459">
        <v>30.4</v>
      </c>
      <c r="E88" s="459">
        <v>22.8</v>
      </c>
      <c r="F88" s="459">
        <v>15.2</v>
      </c>
      <c r="G88" s="459">
        <v>7.6</v>
      </c>
      <c r="H88" s="459">
        <v>3.04</v>
      </c>
      <c r="T88" s="464"/>
      <c r="U88" s="464"/>
      <c r="V88" s="464"/>
      <c r="W88" s="464"/>
      <c r="X88" s="464"/>
      <c r="Y88" s="464"/>
      <c r="AB88" s="459" t="s">
        <v>2548</v>
      </c>
      <c r="AC88" s="464"/>
      <c r="AD88" s="464"/>
      <c r="AE88" s="464"/>
      <c r="AF88" s="464"/>
      <c r="AG88" s="464"/>
      <c r="AH88" s="464"/>
      <c r="AJ88" s="459" t="s">
        <v>2549</v>
      </c>
      <c r="AK88" s="464"/>
      <c r="AL88" s="464"/>
      <c r="AM88" s="464"/>
      <c r="AN88" s="464"/>
      <c r="AO88" s="464"/>
      <c r="AP88" s="464"/>
    </row>
    <row r="89" spans="1:42">
      <c r="A89" s="459" t="s">
        <v>2349</v>
      </c>
      <c r="B89" s="459" t="s">
        <v>492</v>
      </c>
      <c r="C89" s="459" t="s">
        <v>2521</v>
      </c>
      <c r="D89" s="459">
        <v>306462.27830835659</v>
      </c>
      <c r="E89" s="459">
        <v>229846.70873126734</v>
      </c>
      <c r="F89" s="459">
        <v>153231.13915417829</v>
      </c>
      <c r="G89" s="459">
        <v>76615.569577089147</v>
      </c>
      <c r="H89" s="459">
        <v>30646.227830835705</v>
      </c>
      <c r="T89" s="464"/>
      <c r="U89" s="464"/>
      <c r="V89" s="464"/>
      <c r="W89" s="464"/>
      <c r="X89" s="464"/>
      <c r="Y89" s="464"/>
      <c r="AC89" s="464" t="s">
        <v>2345</v>
      </c>
      <c r="AD89" s="464" t="s">
        <v>2346</v>
      </c>
      <c r="AE89" s="464" t="s">
        <v>2347</v>
      </c>
      <c r="AF89" s="464" t="s">
        <v>2483</v>
      </c>
      <c r="AG89" s="464" t="s">
        <v>2349</v>
      </c>
      <c r="AH89" s="464" t="s">
        <v>2399</v>
      </c>
      <c r="AK89" s="464" t="s">
        <v>2345</v>
      </c>
      <c r="AL89" s="464" t="s">
        <v>2346</v>
      </c>
      <c r="AM89" s="464" t="s">
        <v>2347</v>
      </c>
      <c r="AN89" s="464" t="s">
        <v>2483</v>
      </c>
      <c r="AO89" s="464" t="s">
        <v>2349</v>
      </c>
      <c r="AP89" s="464" t="s">
        <v>2399</v>
      </c>
    </row>
    <row r="90" spans="1:42">
      <c r="A90" s="459" t="s">
        <v>2348</v>
      </c>
      <c r="B90" s="459" t="s">
        <v>491</v>
      </c>
      <c r="C90" s="459" t="s">
        <v>2495</v>
      </c>
      <c r="D90" s="459">
        <v>1127864.3667357678</v>
      </c>
      <c r="E90" s="459">
        <v>845898.27505175781</v>
      </c>
      <c r="F90" s="459">
        <v>563932.1833678839</v>
      </c>
      <c r="G90" s="459">
        <v>281966.09168394195</v>
      </c>
      <c r="H90" s="459">
        <v>112786.43667358205</v>
      </c>
      <c r="T90" s="464"/>
      <c r="U90" s="464"/>
      <c r="V90" s="464"/>
      <c r="W90" s="464"/>
      <c r="X90" s="464"/>
      <c r="Y90" s="464"/>
      <c r="AC90" s="467">
        <f>SUM(AC91:AC92)</f>
        <v>0.91550403818935566</v>
      </c>
      <c r="AD90" s="467">
        <f t="shared" ref="AD90:AG90" si="31">SUM(AD91:AD92)</f>
        <v>0.43983353749698595</v>
      </c>
      <c r="AE90" s="467">
        <f t="shared" si="31"/>
        <v>5.1691000999001008E-2</v>
      </c>
      <c r="AF90" s="467">
        <f t="shared" si="31"/>
        <v>1.7158472504914439</v>
      </c>
      <c r="AG90" s="467">
        <f t="shared" si="31"/>
        <v>1.7114470125115755</v>
      </c>
      <c r="AH90" s="469">
        <f>SUM(AH91:AH92)</f>
        <v>4.8343228396883626</v>
      </c>
      <c r="AK90" s="467">
        <f>SUM(AK91:AK92)</f>
        <v>1.3524958681318688</v>
      </c>
      <c r="AL90" s="467">
        <f t="shared" ref="AL90:AO90" si="32">SUM(AL91:AL92)</f>
        <v>0.96986983216783262</v>
      </c>
      <c r="AM90" s="467">
        <f t="shared" si="32"/>
        <v>0.12845958041958047</v>
      </c>
      <c r="AN90" s="467">
        <f t="shared" si="32"/>
        <v>2.8655662117882135</v>
      </c>
      <c r="AO90" s="467">
        <f t="shared" si="32"/>
        <v>1.8810152847152852</v>
      </c>
      <c r="AP90" s="469">
        <f>SUM(AP91:AP92)</f>
        <v>7.1974067772227803</v>
      </c>
    </row>
    <row r="91" spans="1:42">
      <c r="A91" s="459" t="s">
        <v>2348</v>
      </c>
      <c r="B91" s="459" t="s">
        <v>2496</v>
      </c>
      <c r="C91" s="459" t="s">
        <v>2497</v>
      </c>
      <c r="D91" s="459">
        <v>1279.4000000000001</v>
      </c>
      <c r="E91" s="459">
        <v>959.55</v>
      </c>
      <c r="F91" s="459">
        <v>639.70000000000005</v>
      </c>
      <c r="G91" s="459">
        <v>319.85000000000002</v>
      </c>
      <c r="H91" s="459">
        <v>127.94</v>
      </c>
      <c r="T91" s="464"/>
      <c r="U91" s="464"/>
      <c r="V91" s="464"/>
      <c r="W91" s="464"/>
      <c r="X91" s="464"/>
      <c r="Y91" s="464"/>
      <c r="AB91" s="459" t="s">
        <v>2522</v>
      </c>
      <c r="AC91" s="468">
        <f>AC84+$T$82</f>
        <v>0.61581975367934683</v>
      </c>
      <c r="AD91" s="468">
        <f>AD84+$T$83</f>
        <v>0.27717603087961395</v>
      </c>
      <c r="AE91" s="468">
        <f>AE84+$T$84</f>
        <v>3.118011932686976E-2</v>
      </c>
      <c r="AF91" s="468">
        <f>AF84+$T$85</f>
        <v>1.5961904641858933</v>
      </c>
      <c r="AG91" s="468">
        <f>AG84+$T$86</f>
        <v>1.3267522562776561</v>
      </c>
      <c r="AH91" s="468">
        <f>SUM(AC91:AG91)</f>
        <v>3.8471186243493802</v>
      </c>
      <c r="AJ91" s="459" t="s">
        <v>2522</v>
      </c>
      <c r="AK91" s="468">
        <f>AC71*$N$116</f>
        <v>0.90976515408120195</v>
      </c>
      <c r="AL91" s="468">
        <f t="shared" ref="AL91:AO92" si="33">AD71*$N$116</f>
        <v>0.61119639052535712</v>
      </c>
      <c r="AM91" s="468">
        <f t="shared" si="33"/>
        <v>7.7487086122390039E-2</v>
      </c>
      <c r="AN91" s="468">
        <f t="shared" si="33"/>
        <v>2.6657323141320313</v>
      </c>
      <c r="AO91" s="468">
        <f t="shared" si="33"/>
        <v>1.4582053986155081</v>
      </c>
      <c r="AP91" s="468">
        <f>SUM(AK91:AO91)</f>
        <v>5.7223863434764883</v>
      </c>
    </row>
    <row r="92" spans="1:42">
      <c r="A92" s="459" t="s">
        <v>2348</v>
      </c>
      <c r="B92" s="459" t="s">
        <v>492</v>
      </c>
      <c r="C92" s="459" t="s">
        <v>2498</v>
      </c>
      <c r="D92" s="459">
        <v>9289.7997101449255</v>
      </c>
      <c r="E92" s="459">
        <v>6967.3497826086959</v>
      </c>
      <c r="F92" s="459">
        <v>4644.8998550724627</v>
      </c>
      <c r="G92" s="459">
        <v>2322.4499275362314</v>
      </c>
      <c r="H92" s="459">
        <v>928.97997101449255</v>
      </c>
      <c r="T92" s="464"/>
      <c r="U92" s="464"/>
      <c r="V92" s="464"/>
      <c r="W92" s="464"/>
      <c r="X92" s="464"/>
      <c r="Y92" s="464"/>
      <c r="AB92" s="459" t="s">
        <v>2523</v>
      </c>
      <c r="AC92" s="467">
        <f>AC85+$U$82</f>
        <v>0.29968428451000884</v>
      </c>
      <c r="AD92" s="467">
        <f>AD85+$U$83</f>
        <v>0.16265750661737202</v>
      </c>
      <c r="AE92" s="467">
        <f>AE85+$U$84</f>
        <v>2.0510881672131248E-2</v>
      </c>
      <c r="AF92" s="467">
        <f>AF85+$U$85</f>
        <v>0.11965678630555074</v>
      </c>
      <c r="AG92" s="467">
        <f>AG85+$U$86</f>
        <v>0.38469475623391947</v>
      </c>
      <c r="AH92" s="467">
        <f>SUM(AC92:AG92)</f>
        <v>0.98720421533898228</v>
      </c>
      <c r="AJ92" s="459" t="s">
        <v>2523</v>
      </c>
      <c r="AK92" s="467">
        <f>AC72*$N$116</f>
        <v>0.44273071405066677</v>
      </c>
      <c r="AL92" s="467">
        <f t="shared" si="33"/>
        <v>0.3586734416424755</v>
      </c>
      <c r="AM92" s="467">
        <f t="shared" si="33"/>
        <v>5.0972494297190425E-2</v>
      </c>
      <c r="AN92" s="467">
        <f t="shared" si="33"/>
        <v>0.19983389765618209</v>
      </c>
      <c r="AO92" s="467">
        <f t="shared" si="33"/>
        <v>0.42280988609977721</v>
      </c>
      <c r="AP92" s="467">
        <f>SUM(AK92:AO92)</f>
        <v>1.475020433746292</v>
      </c>
    </row>
    <row r="93" spans="1:42">
      <c r="A93" s="459" t="s">
        <v>2348</v>
      </c>
      <c r="B93" s="459" t="s">
        <v>492</v>
      </c>
      <c r="C93" s="459" t="s">
        <v>2499</v>
      </c>
      <c r="D93" s="459">
        <v>4427.0232222222239</v>
      </c>
      <c r="E93" s="459">
        <v>3320.2674166666652</v>
      </c>
      <c r="F93" s="459">
        <v>2213.511611111112</v>
      </c>
      <c r="G93" s="459">
        <v>1106.755805555556</v>
      </c>
      <c r="H93" s="459">
        <v>442.70232222222211</v>
      </c>
      <c r="T93" s="464"/>
      <c r="U93" s="464"/>
      <c r="V93" s="464"/>
      <c r="W93" s="464"/>
      <c r="X93" s="464"/>
      <c r="Y93" s="464"/>
      <c r="AC93" s="467"/>
      <c r="AD93" s="467"/>
      <c r="AE93" s="467"/>
      <c r="AF93" s="467"/>
      <c r="AG93" s="467"/>
      <c r="AH93" s="467"/>
      <c r="AK93" s="467"/>
      <c r="AL93" s="467"/>
      <c r="AM93" s="467"/>
      <c r="AN93" s="467"/>
      <c r="AO93" s="467"/>
      <c r="AP93" s="467"/>
    </row>
    <row r="94" spans="1:42">
      <c r="A94" s="459" t="s">
        <v>2348</v>
      </c>
      <c r="B94" s="459" t="s">
        <v>492</v>
      </c>
      <c r="C94" s="459" t="s">
        <v>2500</v>
      </c>
      <c r="D94" s="459">
        <v>530.39333333333332</v>
      </c>
      <c r="E94" s="459">
        <v>397.79500000000007</v>
      </c>
      <c r="F94" s="459">
        <v>265.19666666666666</v>
      </c>
      <c r="G94" s="459">
        <v>132.59833333333333</v>
      </c>
      <c r="H94" s="459">
        <v>53.03933333333331</v>
      </c>
      <c r="T94" s="464"/>
      <c r="U94" s="464"/>
      <c r="V94" s="464"/>
      <c r="W94" s="464"/>
      <c r="X94" s="464"/>
      <c r="Y94" s="464"/>
    </row>
    <row r="95" spans="1:42">
      <c r="A95" s="459" t="s">
        <v>2348</v>
      </c>
      <c r="B95" s="459" t="s">
        <v>492</v>
      </c>
      <c r="C95" s="459" t="s">
        <v>2501</v>
      </c>
      <c r="D95" s="459">
        <v>10125.106166666672</v>
      </c>
      <c r="E95" s="459">
        <v>7593.8296250000003</v>
      </c>
      <c r="F95" s="459">
        <v>5062.553083333336</v>
      </c>
      <c r="G95" s="459">
        <v>2531.276541666668</v>
      </c>
      <c r="H95" s="459">
        <v>1012.5106166666665</v>
      </c>
      <c r="T95" s="464"/>
      <c r="U95" s="464"/>
      <c r="V95" s="464"/>
      <c r="W95" s="464"/>
      <c r="X95" s="464"/>
      <c r="Y95" s="464"/>
      <c r="AB95" s="459" t="s">
        <v>2550</v>
      </c>
      <c r="AC95" s="464"/>
      <c r="AD95" s="464"/>
      <c r="AE95" s="464"/>
      <c r="AF95" s="464"/>
      <c r="AG95" s="464"/>
      <c r="AH95" s="464"/>
      <c r="AJ95" s="459" t="s">
        <v>2551</v>
      </c>
      <c r="AK95" s="464"/>
      <c r="AL95" s="464"/>
      <c r="AM95" s="464"/>
      <c r="AN95" s="464"/>
      <c r="AO95" s="464"/>
      <c r="AP95" s="464"/>
    </row>
    <row r="96" spans="1:42">
      <c r="A96" s="459" t="s">
        <v>2348</v>
      </c>
      <c r="B96" s="459" t="s">
        <v>2502</v>
      </c>
      <c r="C96" s="459" t="s">
        <v>2502</v>
      </c>
      <c r="D96" s="459">
        <v>2650.5075975975974</v>
      </c>
      <c r="E96" s="459">
        <v>1987.8806981981984</v>
      </c>
      <c r="F96" s="459">
        <v>1325.2537987987987</v>
      </c>
      <c r="G96" s="459">
        <v>662.62689939939935</v>
      </c>
      <c r="H96" s="459">
        <v>265.05075975975973</v>
      </c>
      <c r="T96" s="464"/>
      <c r="U96" s="464"/>
      <c r="V96" s="464"/>
      <c r="W96" s="464"/>
      <c r="X96" s="464"/>
      <c r="Y96" s="464"/>
      <c r="AC96" s="464" t="s">
        <v>2345</v>
      </c>
      <c r="AD96" s="464" t="s">
        <v>2346</v>
      </c>
      <c r="AE96" s="464" t="s">
        <v>2347</v>
      </c>
      <c r="AF96" s="464" t="s">
        <v>2483</v>
      </c>
      <c r="AG96" s="464" t="s">
        <v>2349</v>
      </c>
      <c r="AH96" s="464" t="s">
        <v>2399</v>
      </c>
      <c r="AK96" s="464" t="s">
        <v>2345</v>
      </c>
      <c r="AL96" s="464" t="s">
        <v>2346</v>
      </c>
      <c r="AM96" s="464" t="s">
        <v>2347</v>
      </c>
      <c r="AN96" s="464" t="s">
        <v>2483</v>
      </c>
      <c r="AO96" s="464" t="s">
        <v>2349</v>
      </c>
      <c r="AP96" s="464" t="s">
        <v>2399</v>
      </c>
    </row>
    <row r="97" spans="1:42">
      <c r="A97" s="459" t="s">
        <v>2348</v>
      </c>
      <c r="B97" s="459" t="s">
        <v>492</v>
      </c>
      <c r="C97" s="459" t="s">
        <v>2505</v>
      </c>
      <c r="D97" s="459">
        <v>3987.8966666666661</v>
      </c>
      <c r="E97" s="459">
        <v>2990.9225000000006</v>
      </c>
      <c r="F97" s="459">
        <v>1993.948333333333</v>
      </c>
      <c r="G97" s="459">
        <v>996.97416666666652</v>
      </c>
      <c r="H97" s="459">
        <v>398.78966666666668</v>
      </c>
      <c r="T97" s="464"/>
      <c r="U97" s="464"/>
      <c r="V97" s="464"/>
      <c r="W97" s="464"/>
      <c r="X97" s="464"/>
      <c r="Y97" s="464"/>
      <c r="AC97" s="467">
        <f>SUM(AC98:AC99)</f>
        <v>1.1911683738536913</v>
      </c>
      <c r="AD97" s="467">
        <f t="shared" ref="AD97:AG97" si="34">SUM(AD98:AD99)</f>
        <v>0.55009927176272033</v>
      </c>
      <c r="AE97" s="467">
        <f t="shared" si="34"/>
        <v>6.2717574425574435E-2</v>
      </c>
      <c r="AF97" s="467">
        <f t="shared" si="34"/>
        <v>2.2671759218201153</v>
      </c>
      <c r="AG97" s="467">
        <f t="shared" si="34"/>
        <v>2.2627756838402471</v>
      </c>
      <c r="AH97" s="469">
        <f>SUM(AH98:AH99)</f>
        <v>6.3339368257023478</v>
      </c>
      <c r="AK97" s="467">
        <f>SUM(AK98:AK99)</f>
        <v>1.7483766329670334</v>
      </c>
      <c r="AL97" s="467">
        <f t="shared" ref="AL97:AO97" si="35">SUM(AL98:AL99)</f>
        <v>1.2537544783216787</v>
      </c>
      <c r="AM97" s="467">
        <f t="shared" si="35"/>
        <v>0.16606019580419584</v>
      </c>
      <c r="AN97" s="467">
        <f t="shared" si="35"/>
        <v>3.704328510689312</v>
      </c>
      <c r="AO97" s="467">
        <f t="shared" si="35"/>
        <v>2.4315957242757249</v>
      </c>
      <c r="AP97" s="467">
        <f>SUM(AP98:AP99)</f>
        <v>9.3041155420579464</v>
      </c>
    </row>
    <row r="98" spans="1:42">
      <c r="A98" s="459" t="s">
        <v>2348</v>
      </c>
      <c r="B98" s="459" t="s">
        <v>493</v>
      </c>
      <c r="C98" s="459" t="s">
        <v>493</v>
      </c>
      <c r="D98" s="459">
        <v>1318.0650000000003</v>
      </c>
      <c r="E98" s="459">
        <v>988.54874999999981</v>
      </c>
      <c r="F98" s="459">
        <v>659.03250000000014</v>
      </c>
      <c r="G98" s="459">
        <v>329.51625000000007</v>
      </c>
      <c r="H98" s="459">
        <v>131.8065</v>
      </c>
      <c r="T98" s="464"/>
      <c r="U98" s="464"/>
      <c r="V98" s="464"/>
      <c r="W98" s="464"/>
      <c r="X98" s="464"/>
      <c r="Y98" s="464"/>
      <c r="AB98" s="459" t="s">
        <v>2522</v>
      </c>
      <c r="AC98" s="468">
        <f>AC91+$T$82</f>
        <v>0.80124716437950616</v>
      </c>
      <c r="AD98" s="468">
        <f>AD91+$T$83</f>
        <v>0.34666372556458763</v>
      </c>
      <c r="AE98" s="468">
        <f>AE91+$T$84</f>
        <v>3.7831371354542724E-2</v>
      </c>
      <c r="AF98" s="468">
        <f>AF91+$T$85</f>
        <v>2.1090715306998566</v>
      </c>
      <c r="AG98" s="468">
        <f>AG91+$T$86</f>
        <v>1.7541546551181693</v>
      </c>
      <c r="AH98" s="468">
        <f>SUM(AC98:AG98)</f>
        <v>5.0489684471166623</v>
      </c>
      <c r="AJ98" s="473" t="s">
        <v>2522</v>
      </c>
      <c r="AK98" s="468">
        <f>AC71*$O$116</f>
        <v>1.1760569287950986</v>
      </c>
      <c r="AL98" s="468">
        <f t="shared" ref="AL98:AO99" si="36">AD71*$O$116</f>
        <v>0.79009593487655594</v>
      </c>
      <c r="AM98" s="468">
        <f t="shared" si="36"/>
        <v>0.10016785553675484</v>
      </c>
      <c r="AN98" s="468">
        <f t="shared" si="36"/>
        <v>3.4460024592985739</v>
      </c>
      <c r="AO98" s="468">
        <f t="shared" si="36"/>
        <v>1.8850277513433091</v>
      </c>
      <c r="AP98" s="468">
        <f>SUM(AK98:AO98)</f>
        <v>7.3973509298502931</v>
      </c>
    </row>
    <row r="99" spans="1:42">
      <c r="A99" s="459" t="s">
        <v>2348</v>
      </c>
      <c r="B99" s="459" t="s">
        <v>491</v>
      </c>
      <c r="C99" s="459" t="s">
        <v>2509</v>
      </c>
      <c r="D99" s="459">
        <v>4927.3863043478259</v>
      </c>
      <c r="E99" s="459">
        <v>3695.5397282608697</v>
      </c>
      <c r="F99" s="459">
        <v>2463.6931521739129</v>
      </c>
      <c r="G99" s="459">
        <v>1231.8465760869565</v>
      </c>
      <c r="H99" s="459">
        <v>492.73863043478258</v>
      </c>
      <c r="T99" s="464"/>
      <c r="U99" s="464"/>
      <c r="V99" s="464"/>
      <c r="W99" s="464"/>
      <c r="X99" s="464"/>
      <c r="Y99" s="464"/>
      <c r="AB99" s="459" t="s">
        <v>2523</v>
      </c>
      <c r="AC99" s="467">
        <f>AC92+$U$82</f>
        <v>0.38992120947418518</v>
      </c>
      <c r="AD99" s="467">
        <f>AD92+$U$83</f>
        <v>0.20343554619813267</v>
      </c>
      <c r="AE99" s="467">
        <f>AE92+$U$84</f>
        <v>2.4886203071031711E-2</v>
      </c>
      <c r="AF99" s="467">
        <f>AF92+$U$85</f>
        <v>0.15810439112025856</v>
      </c>
      <c r="AG99" s="467">
        <f>AG92+$U$86</f>
        <v>0.50862102872207771</v>
      </c>
      <c r="AH99" s="467">
        <f>SUM(AC99:AG99)</f>
        <v>1.2849683785856858</v>
      </c>
      <c r="AJ99" s="459" t="s">
        <v>2523</v>
      </c>
      <c r="AK99" s="467">
        <f>AC72*$O$116</f>
        <v>0.57231970417193478</v>
      </c>
      <c r="AL99" s="467">
        <f t="shared" si="36"/>
        <v>0.46365854344512281</v>
      </c>
      <c r="AM99" s="467">
        <f t="shared" si="36"/>
        <v>6.5892340267441007E-2</v>
      </c>
      <c r="AN99" s="467">
        <f t="shared" si="36"/>
        <v>0.25832605139073833</v>
      </c>
      <c r="AO99" s="467">
        <f t="shared" si="36"/>
        <v>0.54656797293241577</v>
      </c>
      <c r="AP99" s="467">
        <f>SUM(AK99:AO99)</f>
        <v>1.9067646122076527</v>
      </c>
    </row>
    <row r="100" spans="1:42">
      <c r="A100" s="459" t="s">
        <v>2348</v>
      </c>
      <c r="B100" s="459" t="s">
        <v>492</v>
      </c>
      <c r="C100" s="459" t="s">
        <v>2511</v>
      </c>
      <c r="D100" s="459">
        <v>18711.78255854288</v>
      </c>
      <c r="E100" s="459">
        <v>14033.836918907184</v>
      </c>
      <c r="F100" s="459">
        <v>9355.89127927144</v>
      </c>
      <c r="G100" s="459">
        <v>4677.94563963572</v>
      </c>
      <c r="H100" s="459">
        <v>1871.178255854288</v>
      </c>
      <c r="T100" s="464"/>
      <c r="U100" s="464"/>
      <c r="V100" s="464"/>
      <c r="W100" s="464"/>
      <c r="X100" s="464"/>
      <c r="Y100" s="464"/>
      <c r="AC100" s="467"/>
      <c r="AD100" s="467"/>
      <c r="AE100" s="467"/>
      <c r="AF100" s="467"/>
      <c r="AG100" s="467"/>
      <c r="AH100" s="467"/>
      <c r="AK100" s="467"/>
      <c r="AL100" s="467"/>
      <c r="AM100" s="467"/>
      <c r="AN100" s="467"/>
      <c r="AO100" s="467"/>
      <c r="AP100" s="467"/>
    </row>
    <row r="101" spans="1:42">
      <c r="A101" s="459" t="s">
        <v>2348</v>
      </c>
      <c r="B101" s="459" t="s">
        <v>630</v>
      </c>
      <c r="C101" s="459" t="s">
        <v>629</v>
      </c>
      <c r="D101" s="459">
        <v>1607.6101428571433</v>
      </c>
      <c r="E101" s="459">
        <v>1205.7076071428571</v>
      </c>
      <c r="F101" s="459">
        <v>803.80507142857164</v>
      </c>
      <c r="G101" s="459">
        <v>401.90253571428582</v>
      </c>
      <c r="H101" s="459">
        <v>160.76101428571428</v>
      </c>
      <c r="T101" s="464"/>
      <c r="U101" s="464"/>
      <c r="V101" s="464"/>
      <c r="W101" s="464"/>
      <c r="X101" s="464"/>
      <c r="Y101" s="464"/>
    </row>
    <row r="102" spans="1:42">
      <c r="A102" s="459" t="s">
        <v>2348</v>
      </c>
      <c r="B102" s="459" t="s">
        <v>630</v>
      </c>
      <c r="C102" s="459" t="s">
        <v>2512</v>
      </c>
      <c r="D102" s="459">
        <v>0</v>
      </c>
      <c r="E102" s="459">
        <v>0</v>
      </c>
      <c r="F102" s="459">
        <v>0</v>
      </c>
      <c r="G102" s="459">
        <v>0</v>
      </c>
      <c r="H102" s="459">
        <v>0</v>
      </c>
      <c r="T102" s="464"/>
      <c r="U102" s="464"/>
      <c r="V102" s="464"/>
      <c r="W102" s="464"/>
      <c r="X102" s="464"/>
      <c r="Y102" s="464"/>
      <c r="AB102" s="459" t="s">
        <v>2552</v>
      </c>
      <c r="AC102" s="464"/>
      <c r="AD102" s="464"/>
      <c r="AE102" s="464"/>
      <c r="AF102" s="464"/>
      <c r="AG102" s="464"/>
      <c r="AH102" s="464"/>
      <c r="AJ102" s="459" t="s">
        <v>2553</v>
      </c>
      <c r="AK102" s="464"/>
      <c r="AL102" s="464"/>
      <c r="AM102" s="464"/>
      <c r="AN102" s="464"/>
      <c r="AO102" s="464"/>
      <c r="AP102" s="464"/>
    </row>
    <row r="103" spans="1:42">
      <c r="A103" s="459" t="s">
        <v>2348</v>
      </c>
      <c r="B103" s="459" t="s">
        <v>492</v>
      </c>
      <c r="C103" s="459" t="s">
        <v>2513</v>
      </c>
      <c r="D103" s="459">
        <v>2953.8283333333334</v>
      </c>
      <c r="E103" s="459">
        <v>2215.3712500000006</v>
      </c>
      <c r="F103" s="459">
        <v>1476.9141666666667</v>
      </c>
      <c r="G103" s="459">
        <v>738.45708333333334</v>
      </c>
      <c r="H103" s="459">
        <v>295.38283333333317</v>
      </c>
      <c r="AC103" s="464" t="s">
        <v>2345</v>
      </c>
      <c r="AD103" s="464" t="s">
        <v>2346</v>
      </c>
      <c r="AE103" s="464" t="s">
        <v>2347</v>
      </c>
      <c r="AF103" s="464" t="s">
        <v>2483</v>
      </c>
      <c r="AG103" s="464" t="s">
        <v>2349</v>
      </c>
      <c r="AH103" s="464" t="s">
        <v>2399</v>
      </c>
      <c r="AK103" s="464" t="s">
        <v>2345</v>
      </c>
      <c r="AL103" s="464" t="s">
        <v>2346</v>
      </c>
      <c r="AM103" s="464" t="s">
        <v>2347</v>
      </c>
      <c r="AN103" s="464" t="s">
        <v>2483</v>
      </c>
      <c r="AO103" s="464" t="s">
        <v>2349</v>
      </c>
      <c r="AP103" s="464" t="s">
        <v>2399</v>
      </c>
    </row>
    <row r="104" spans="1:42">
      <c r="A104" s="459" t="s">
        <v>2348</v>
      </c>
      <c r="B104" s="459" t="s">
        <v>2496</v>
      </c>
      <c r="C104" s="459" t="s">
        <v>2514</v>
      </c>
      <c r="D104" s="459">
        <v>2335.6802105263159</v>
      </c>
      <c r="E104" s="459">
        <v>1751.7601578947369</v>
      </c>
      <c r="F104" s="459">
        <v>1167.840105263158</v>
      </c>
      <c r="G104" s="459">
        <v>583.92005263157898</v>
      </c>
      <c r="H104" s="459">
        <v>233.56802105263154</v>
      </c>
      <c r="AC104" s="467">
        <f>SUM(AC105:AC106)</f>
        <v>1.4668327095180271</v>
      </c>
      <c r="AD104" s="467">
        <f t="shared" ref="AD104:AG104" si="37">SUM(AD105:AD106)</f>
        <v>0.6603650060284546</v>
      </c>
      <c r="AE104" s="467">
        <f t="shared" si="37"/>
        <v>7.3744147852147862E-2</v>
      </c>
      <c r="AF104" s="467">
        <f t="shared" si="37"/>
        <v>2.8185045931487864</v>
      </c>
      <c r="AG104" s="467">
        <f t="shared" si="37"/>
        <v>2.8141043551689182</v>
      </c>
      <c r="AH104" s="467">
        <f>SUM(AH105:AH106)</f>
        <v>7.8335508117163339</v>
      </c>
      <c r="AK104" s="467">
        <f>SUM(AK105:AK106)</f>
        <v>2.1454183384615391</v>
      </c>
      <c r="AL104" s="467">
        <f t="shared" ref="AL104:AO104" si="38">SUM(AL105:AL106)</f>
        <v>1.5384716307692314</v>
      </c>
      <c r="AM104" s="467">
        <f t="shared" si="38"/>
        <v>0.20377107692307694</v>
      </c>
      <c r="AN104" s="467">
        <f t="shared" si="38"/>
        <v>4.5455505230769253</v>
      </c>
      <c r="AO104" s="467">
        <f t="shared" si="38"/>
        <v>2.9837907692307701</v>
      </c>
      <c r="AP104" s="467">
        <f>SUM(AP105:AP106)</f>
        <v>11.417002338461542</v>
      </c>
    </row>
    <row r="105" spans="1:42">
      <c r="A105" s="459" t="s">
        <v>2348</v>
      </c>
      <c r="B105" s="459" t="s">
        <v>491</v>
      </c>
      <c r="C105" s="459" t="s">
        <v>2515</v>
      </c>
      <c r="D105" s="459">
        <v>36302.729945828862</v>
      </c>
      <c r="E105" s="459">
        <v>27227.047459371628</v>
      </c>
      <c r="F105" s="459">
        <v>18151.364972914431</v>
      </c>
      <c r="G105" s="459">
        <v>9075.6824864572154</v>
      </c>
      <c r="H105" s="459">
        <v>3630.2729945828814</v>
      </c>
      <c r="AB105" s="459" t="s">
        <v>2522</v>
      </c>
      <c r="AC105" s="468">
        <f>AC98+$T$82</f>
        <v>0.98667457507966549</v>
      </c>
      <c r="AD105" s="468">
        <f>AD98+$T$83</f>
        <v>0.41615142024956131</v>
      </c>
      <c r="AE105" s="468">
        <f>AE98+$T$84</f>
        <v>4.4482623382215689E-2</v>
      </c>
      <c r="AF105" s="468">
        <f>AF98+$T$85</f>
        <v>2.62195259721382</v>
      </c>
      <c r="AG105" s="468">
        <f>AG98+$T$86</f>
        <v>2.1815570539586822</v>
      </c>
      <c r="AH105" s="468">
        <f>SUM(AC105:AG105)</f>
        <v>6.2508182698839452</v>
      </c>
      <c r="AI105" s="473"/>
      <c r="AJ105" s="473" t="s">
        <v>2522</v>
      </c>
      <c r="AK105" s="468">
        <f>AC71*$P$116</f>
        <v>1.4431296178043442</v>
      </c>
      <c r="AL105" s="468">
        <f t="shared" ref="AL105:AO106" si="39">AD71*$P$116</f>
        <v>0.9695201113226265</v>
      </c>
      <c r="AM105" s="468">
        <f t="shared" si="39"/>
        <v>0.12291513747139636</v>
      </c>
      <c r="AN105" s="468">
        <f t="shared" si="39"/>
        <v>4.2285607867090071</v>
      </c>
      <c r="AO105" s="468">
        <f t="shared" si="39"/>
        <v>2.3131017825248574</v>
      </c>
      <c r="AP105" s="468">
        <f>SUM(AK105:AO105)</f>
        <v>9.0772274358322314</v>
      </c>
    </row>
    <row r="106" spans="1:42">
      <c r="A106" s="459" t="s">
        <v>2348</v>
      </c>
      <c r="B106" s="459" t="s">
        <v>492</v>
      </c>
      <c r="C106" s="459" t="s">
        <v>2516</v>
      </c>
      <c r="D106" s="459">
        <v>16379.230530303037</v>
      </c>
      <c r="E106" s="459">
        <v>12284.422897727265</v>
      </c>
      <c r="F106" s="459">
        <v>8189.6152651515185</v>
      </c>
      <c r="G106" s="459">
        <v>4094.8076325757593</v>
      </c>
      <c r="H106" s="459">
        <v>1637.9230530303028</v>
      </c>
      <c r="AB106" s="459" t="s">
        <v>2523</v>
      </c>
      <c r="AC106" s="467">
        <f>AC99+$U$82</f>
        <v>0.48015813443836153</v>
      </c>
      <c r="AD106" s="467">
        <f>AD99+$U$83</f>
        <v>0.24421358577889332</v>
      </c>
      <c r="AE106" s="467">
        <f>AE99+$U$84</f>
        <v>2.9261524469932174E-2</v>
      </c>
      <c r="AF106" s="467">
        <f>AF99+$U$85</f>
        <v>0.19655199593496639</v>
      </c>
      <c r="AG106" s="467">
        <f>AG99+$U$86</f>
        <v>0.63254730121023595</v>
      </c>
      <c r="AH106" s="467">
        <f>SUM(AC106:AG106)</f>
        <v>1.5827325418323892</v>
      </c>
      <c r="AJ106" s="459" t="s">
        <v>2523</v>
      </c>
      <c r="AK106" s="467">
        <f>AC72*$P$116</f>
        <v>0.70228872065719494</v>
      </c>
      <c r="AL106" s="467">
        <f t="shared" si="39"/>
        <v>0.56895151944660483</v>
      </c>
      <c r="AM106" s="467">
        <f t="shared" si="39"/>
        <v>8.0855939451680597E-2</v>
      </c>
      <c r="AN106" s="467">
        <f t="shared" si="39"/>
        <v>0.316989736367918</v>
      </c>
      <c r="AO106" s="467">
        <f t="shared" si="39"/>
        <v>0.67068898670591259</v>
      </c>
      <c r="AP106" s="467">
        <f>SUM(AK106:AO106)</f>
        <v>2.3397749026293106</v>
      </c>
    </row>
    <row r="107" spans="1:42">
      <c r="A107" s="459" t="s">
        <v>2348</v>
      </c>
      <c r="B107" s="459" t="s">
        <v>492</v>
      </c>
      <c r="C107" s="459" t="s">
        <v>2517</v>
      </c>
      <c r="D107" s="459">
        <v>5965.1333333333332</v>
      </c>
      <c r="E107" s="459">
        <v>4473.8500000000004</v>
      </c>
      <c r="F107" s="459">
        <v>2982.5666666666666</v>
      </c>
      <c r="G107" s="459">
        <v>1491.2833333333333</v>
      </c>
      <c r="H107" s="459">
        <v>596.51333333333332</v>
      </c>
      <c r="AC107" s="467"/>
      <c r="AD107" s="467"/>
      <c r="AE107" s="467"/>
      <c r="AF107" s="467"/>
      <c r="AG107" s="467"/>
      <c r="AH107" s="467"/>
      <c r="AK107" s="467"/>
      <c r="AL107" s="467"/>
      <c r="AM107" s="467"/>
      <c r="AN107" s="467"/>
      <c r="AO107" s="467"/>
      <c r="AP107" s="467"/>
    </row>
    <row r="108" spans="1:42">
      <c r="A108" s="459" t="s">
        <v>2348</v>
      </c>
      <c r="B108" s="459" t="s">
        <v>492</v>
      </c>
      <c r="C108" s="459" t="s">
        <v>2518</v>
      </c>
      <c r="D108" s="459">
        <v>364.78000000000003</v>
      </c>
      <c r="E108" s="459">
        <v>273.58499999999998</v>
      </c>
      <c r="F108" s="459">
        <v>182.39000000000001</v>
      </c>
      <c r="G108" s="459">
        <v>91.195000000000007</v>
      </c>
      <c r="H108" s="459">
        <v>36.478000000000002</v>
      </c>
    </row>
    <row r="109" spans="1:42">
      <c r="A109" s="459" t="s">
        <v>2348</v>
      </c>
      <c r="B109" s="459" t="s">
        <v>492</v>
      </c>
      <c r="C109" s="459" t="s">
        <v>2519</v>
      </c>
      <c r="D109" s="459">
        <v>3069.2849029126214</v>
      </c>
      <c r="E109" s="459">
        <v>2301.9636771844666</v>
      </c>
      <c r="F109" s="459">
        <v>1534.6424514563107</v>
      </c>
      <c r="G109" s="459">
        <v>767.32122572815535</v>
      </c>
      <c r="H109" s="459">
        <v>306.92849029126211</v>
      </c>
      <c r="AB109" s="459" t="s">
        <v>2554</v>
      </c>
      <c r="AC109" s="464"/>
      <c r="AD109" s="464"/>
      <c r="AE109" s="464"/>
      <c r="AF109" s="464"/>
      <c r="AG109" s="464"/>
      <c r="AH109" s="464"/>
      <c r="AJ109" s="459" t="s">
        <v>2555</v>
      </c>
      <c r="AK109" s="464"/>
      <c r="AL109" s="464"/>
      <c r="AM109" s="464"/>
      <c r="AN109" s="464"/>
      <c r="AO109" s="464"/>
      <c r="AP109" s="464"/>
    </row>
    <row r="110" spans="1:42">
      <c r="A110" s="459" t="s">
        <v>2348</v>
      </c>
      <c r="B110" s="459" t="s">
        <v>492</v>
      </c>
      <c r="C110" s="459" t="s">
        <v>2521</v>
      </c>
      <c r="D110" s="459">
        <v>4252.0611446886451</v>
      </c>
      <c r="E110" s="459">
        <v>3189.0458585164806</v>
      </c>
      <c r="F110" s="459">
        <v>2126.0305723443225</v>
      </c>
      <c r="G110" s="459">
        <v>1063.0152861721613</v>
      </c>
      <c r="H110" s="459">
        <v>425.20611446886437</v>
      </c>
      <c r="AC110" s="464" t="s">
        <v>2345</v>
      </c>
      <c r="AD110" s="464" t="s">
        <v>2346</v>
      </c>
      <c r="AE110" s="464" t="s">
        <v>2347</v>
      </c>
      <c r="AF110" s="464" t="s">
        <v>2483</v>
      </c>
      <c r="AG110" s="464" t="s">
        <v>2349</v>
      </c>
      <c r="AH110" s="464" t="s">
        <v>2399</v>
      </c>
      <c r="AK110" s="464" t="s">
        <v>2345</v>
      </c>
      <c r="AL110" s="464" t="s">
        <v>2346</v>
      </c>
      <c r="AM110" s="464" t="s">
        <v>2347</v>
      </c>
      <c r="AN110" s="464" t="s">
        <v>2483</v>
      </c>
      <c r="AO110" s="464" t="s">
        <v>2349</v>
      </c>
      <c r="AP110" s="464" t="s">
        <v>2399</v>
      </c>
    </row>
    <row r="111" spans="1:42">
      <c r="AC111" s="467">
        <f>SUM(AC112:AC113)</f>
        <v>1.7318012689585864</v>
      </c>
      <c r="AD111" s="467">
        <f t="shared" ref="AD111:AG111" si="40">SUM(AD112:AD113)</f>
        <v>0.76467639064383919</v>
      </c>
      <c r="AE111" s="467">
        <f t="shared" si="40"/>
        <v>8.2785938061938069E-2</v>
      </c>
      <c r="AF111" s="467">
        <f t="shared" si="40"/>
        <v>3.3679587469949404</v>
      </c>
      <c r="AG111" s="467">
        <f t="shared" si="40"/>
        <v>3.3486726348891978</v>
      </c>
      <c r="AH111" s="467">
        <f>SUM(AH112:AH113)</f>
        <v>9.2958949795485015</v>
      </c>
      <c r="AK111" s="467">
        <f>SUM(AK112:AK113)</f>
        <v>2.5412991032967041</v>
      </c>
      <c r="AL111" s="467">
        <f t="shared" ref="AL111:AO111" si="41">SUM(AL112:AL113)</f>
        <v>1.8223562769230779</v>
      </c>
      <c r="AM111" s="467">
        <f t="shared" si="41"/>
        <v>0.24137169230769237</v>
      </c>
      <c r="AN111" s="467">
        <f t="shared" si="41"/>
        <v>5.3843128219780239</v>
      </c>
      <c r="AO111" s="467">
        <f t="shared" si="41"/>
        <v>3.5343712087912098</v>
      </c>
      <c r="AP111" s="467">
        <f>SUM(AP112:AP113)</f>
        <v>13.523711103296709</v>
      </c>
    </row>
    <row r="112" spans="1:42">
      <c r="AB112" s="459" t="s">
        <v>2522</v>
      </c>
      <c r="AC112" s="468">
        <f>AC105+$T$82-AC65</f>
        <v>1.1649074022446586</v>
      </c>
      <c r="AD112" s="468">
        <f>AD105+$T$83-AD65</f>
        <v>0.4818867794215464</v>
      </c>
      <c r="AE112" s="468">
        <f>AE105+$T$84-AE65</f>
        <v>4.9936650044907521E-2</v>
      </c>
      <c r="AF112" s="468">
        <f>AF105+$T$85-AF65</f>
        <v>3.1330898681016359</v>
      </c>
      <c r="AG112" s="468">
        <f>AG105+$T$86-AG65</f>
        <v>2.5959664198744434</v>
      </c>
      <c r="AH112" s="468">
        <f>SUM(AC112:AG112)</f>
        <v>7.4257871196871914</v>
      </c>
      <c r="AJ112" s="473" t="s">
        <v>2522</v>
      </c>
      <c r="AK112" s="468">
        <f>AC71*$Q$116</f>
        <v>1.7094213925182411</v>
      </c>
      <c r="AL112" s="468">
        <f t="shared" ref="AL112:AO113" si="42">AD71*$Q$116</f>
        <v>1.1484196556738255</v>
      </c>
      <c r="AM112" s="468">
        <f t="shared" si="42"/>
        <v>0.14559590688576118</v>
      </c>
      <c r="AN112" s="468">
        <f t="shared" si="42"/>
        <v>5.0088309318755497</v>
      </c>
      <c r="AO112" s="468">
        <f t="shared" si="42"/>
        <v>2.7399241352526587</v>
      </c>
      <c r="AP112" s="468">
        <f>SUM(AK112:AO112)</f>
        <v>10.752192022206037</v>
      </c>
    </row>
    <row r="113" spans="2:42">
      <c r="D113" s="459" t="s">
        <v>2556</v>
      </c>
      <c r="AB113" s="459" t="s">
        <v>2523</v>
      </c>
      <c r="AC113" s="467">
        <f>AC106+$U$82-AC66</f>
        <v>0.56689386671392783</v>
      </c>
      <c r="AD113" s="467">
        <f>AD106+$U$83-AD66</f>
        <v>0.28278961122229285</v>
      </c>
      <c r="AE113" s="467">
        <f>AE106+$U$84-AE66</f>
        <v>3.2849288017030555E-2</v>
      </c>
      <c r="AF113" s="467">
        <f>AF106+$U$85-AF66</f>
        <v>0.23486887889330421</v>
      </c>
      <c r="AG113" s="467">
        <f>AG106+$U$86-AG66</f>
        <v>0.75270621501475421</v>
      </c>
      <c r="AH113" s="467">
        <f>SUM(AC113:AG113)</f>
        <v>1.8701078598613097</v>
      </c>
      <c r="AJ113" s="459" t="s">
        <v>2523</v>
      </c>
      <c r="AK113" s="467">
        <f>AC72*$Q$116</f>
        <v>0.83187771077846306</v>
      </c>
      <c r="AL113" s="467">
        <f t="shared" si="42"/>
        <v>0.67393662124925224</v>
      </c>
      <c r="AM113" s="467">
        <f t="shared" si="42"/>
        <v>9.5775785421931187E-2</v>
      </c>
      <c r="AN113" s="467">
        <f t="shared" si="42"/>
        <v>0.37548189010247429</v>
      </c>
      <c r="AO113" s="467">
        <f t="shared" si="42"/>
        <v>0.79444707353855126</v>
      </c>
      <c r="AP113" s="467">
        <f>SUM(AK113:AO113)</f>
        <v>2.771519081090672</v>
      </c>
    </row>
    <row r="114" spans="2:42">
      <c r="I114" s="470">
        <v>2005</v>
      </c>
      <c r="J114" s="470">
        <v>2010</v>
      </c>
      <c r="K114" s="470">
        <v>2015</v>
      </c>
      <c r="L114" s="470">
        <v>2020</v>
      </c>
      <c r="M114" s="470">
        <v>2025</v>
      </c>
      <c r="N114" s="470">
        <v>2030</v>
      </c>
      <c r="O114" s="470">
        <v>2035</v>
      </c>
      <c r="P114" s="470">
        <v>2040</v>
      </c>
      <c r="Q114" s="470">
        <v>2045</v>
      </c>
      <c r="R114" s="470">
        <v>2050</v>
      </c>
      <c r="S114" s="470">
        <v>2055</v>
      </c>
      <c r="AC114" s="467"/>
      <c r="AD114" s="467"/>
      <c r="AE114" s="467"/>
      <c r="AF114" s="467"/>
      <c r="AG114" s="467"/>
      <c r="AH114" s="467"/>
      <c r="AK114" s="467"/>
      <c r="AL114" s="467"/>
      <c r="AM114" s="467"/>
      <c r="AN114" s="467"/>
      <c r="AO114" s="467"/>
      <c r="AP114" s="467"/>
    </row>
    <row r="115" spans="2:42">
      <c r="B115" s="459" t="s">
        <v>2557</v>
      </c>
      <c r="C115" s="459" t="s">
        <v>2558</v>
      </c>
      <c r="D115" s="459">
        <v>2</v>
      </c>
      <c r="E115" s="459" t="s">
        <v>465</v>
      </c>
      <c r="F115" s="459" t="s">
        <v>495</v>
      </c>
      <c r="G115" s="459" t="s">
        <v>2559</v>
      </c>
      <c r="H115" s="459" t="s">
        <v>495</v>
      </c>
      <c r="I115" s="459">
        <v>0</v>
      </c>
      <c r="J115" s="459">
        <v>0.23</v>
      </c>
      <c r="K115" s="459">
        <v>1.4</v>
      </c>
      <c r="L115" s="459">
        <v>4.82</v>
      </c>
      <c r="M115" s="459">
        <v>8.23</v>
      </c>
      <c r="N115" s="459">
        <v>11.65</v>
      </c>
      <c r="O115" s="459">
        <v>15.06</v>
      </c>
      <c r="P115" s="459">
        <v>18.48</v>
      </c>
      <c r="Q115" s="459">
        <v>21.89</v>
      </c>
      <c r="R115" s="459">
        <v>25.31</v>
      </c>
      <c r="S115" s="459">
        <v>28.72</v>
      </c>
    </row>
    <row r="116" spans="2:42">
      <c r="G116" s="459" t="s">
        <v>2560</v>
      </c>
      <c r="K116" s="471"/>
      <c r="L116" s="471">
        <f>L115/$K$115</f>
        <v>3.4428571428571431</v>
      </c>
      <c r="M116" s="471">
        <f t="shared" ref="M116:S116" si="43">M115/$K$115</f>
        <v>5.878571428571429</v>
      </c>
      <c r="N116" s="471">
        <f t="shared" si="43"/>
        <v>8.321428571428573</v>
      </c>
      <c r="O116" s="471">
        <f t="shared" si="43"/>
        <v>10.757142857142858</v>
      </c>
      <c r="P116" s="471">
        <f t="shared" si="43"/>
        <v>13.200000000000001</v>
      </c>
      <c r="Q116" s="471">
        <f t="shared" si="43"/>
        <v>15.635714285714288</v>
      </c>
      <c r="R116" s="471">
        <f t="shared" si="43"/>
        <v>18.078571428571429</v>
      </c>
      <c r="S116" s="471">
        <f t="shared" si="43"/>
        <v>20.514285714285716</v>
      </c>
      <c r="AB116" s="459" t="s">
        <v>2561</v>
      </c>
      <c r="AC116" s="464"/>
      <c r="AD116" s="464"/>
      <c r="AE116" s="464"/>
      <c r="AF116" s="464"/>
      <c r="AG116" s="464"/>
      <c r="AH116" s="464"/>
      <c r="AJ116" s="459" t="s">
        <v>2562</v>
      </c>
      <c r="AK116" s="464"/>
      <c r="AL116" s="464"/>
      <c r="AM116" s="464"/>
      <c r="AN116" s="464"/>
      <c r="AO116" s="464"/>
      <c r="AP116" s="464"/>
    </row>
    <row r="117" spans="2:42">
      <c r="AC117" s="464" t="s">
        <v>2345</v>
      </c>
      <c r="AD117" s="464" t="s">
        <v>2346</v>
      </c>
      <c r="AE117" s="464" t="s">
        <v>2347</v>
      </c>
      <c r="AF117" s="464" t="s">
        <v>2483</v>
      </c>
      <c r="AG117" s="464" t="s">
        <v>2349</v>
      </c>
      <c r="AH117" s="464" t="s">
        <v>2399</v>
      </c>
      <c r="AK117" s="464" t="s">
        <v>2345</v>
      </c>
      <c r="AL117" s="464" t="s">
        <v>2346</v>
      </c>
      <c r="AM117" s="464" t="s">
        <v>2347</v>
      </c>
      <c r="AN117" s="464" t="s">
        <v>2483</v>
      </c>
      <c r="AO117" s="464" t="s">
        <v>2349</v>
      </c>
      <c r="AP117" s="464" t="s">
        <v>2399</v>
      </c>
    </row>
    <row r="118" spans="2:42">
      <c r="AC118" s="467">
        <f>SUM(AC119:AC120)</f>
        <v>1.8449339123152295</v>
      </c>
      <c r="AD118" s="467">
        <f t="shared" ref="AD118:AG118" si="44">SUM(AD119:AD120)</f>
        <v>0.75839124379069245</v>
      </c>
      <c r="AE118" s="467">
        <f t="shared" si="44"/>
        <v>7.8375308691308709E-2</v>
      </c>
      <c r="AF118" s="467">
        <f t="shared" si="44"/>
        <v>3.5749275302117232</v>
      </c>
      <c r="AG118" s="467">
        <f t="shared" si="44"/>
        <v>3.6739565509731138</v>
      </c>
      <c r="AH118" s="469">
        <f>SUM(AH119:AH120)</f>
        <v>9.9305845459820663</v>
      </c>
      <c r="AK118" s="467">
        <f>SUM(AK119:AK120)</f>
        <v>2.9383408087912097</v>
      </c>
      <c r="AL118" s="467">
        <f t="shared" ref="AL118:AO118" si="45">SUM(AL119:AL120)</f>
        <v>2.1070734293706299</v>
      </c>
      <c r="AM118" s="467">
        <f t="shared" si="45"/>
        <v>0.2790825734265735</v>
      </c>
      <c r="AN118" s="467">
        <f t="shared" si="45"/>
        <v>6.2255348343656367</v>
      </c>
      <c r="AO118" s="467">
        <f t="shared" si="45"/>
        <v>4.0865662537462546</v>
      </c>
      <c r="AP118" s="467">
        <f>SUM(AP119:AP120)</f>
        <v>15.636597899700302</v>
      </c>
    </row>
    <row r="119" spans="2:42">
      <c r="AB119" s="459" t="s">
        <v>2522</v>
      </c>
      <c r="AC119" s="468">
        <f>AC112+$T$82-AC71</f>
        <v>1.2410068115960038</v>
      </c>
      <c r="AD119" s="468">
        <f>AD112+$T$83-AD71</f>
        <v>0.47792598082450294</v>
      </c>
      <c r="AE119" s="468">
        <f>AE112+$T$84-AE71</f>
        <v>4.7276149233838341E-2</v>
      </c>
      <c r="AF119" s="468">
        <f>AF112+$T$85-AF71</f>
        <v>3.3256254204709776</v>
      </c>
      <c r="AG119" s="468">
        <f>AG112+$T$86-AG71</f>
        <v>2.848133835190346</v>
      </c>
      <c r="AH119" s="468">
        <f>SUM(AC119:AG119)</f>
        <v>7.9399681973156682</v>
      </c>
      <c r="AJ119" s="473" t="s">
        <v>2522</v>
      </c>
      <c r="AK119" s="468">
        <f>AC71*$R$116</f>
        <v>1.9764940815274865</v>
      </c>
      <c r="AL119" s="468">
        <f t="shared" ref="AL119:AO120" si="46">AD71*$R$116</f>
        <v>1.3278438321198958</v>
      </c>
      <c r="AM119" s="468">
        <f t="shared" si="46"/>
        <v>0.16834318882040269</v>
      </c>
      <c r="AN119" s="468">
        <f t="shared" si="46"/>
        <v>5.7913892592859826</v>
      </c>
      <c r="AO119" s="468">
        <f t="shared" si="46"/>
        <v>3.1679981664342067</v>
      </c>
      <c r="AP119" s="468">
        <f>SUM(AK119:AO119)</f>
        <v>12.432068528187973</v>
      </c>
    </row>
    <row r="120" spans="2:42">
      <c r="AB120" s="459" t="s">
        <v>2523</v>
      </c>
      <c r="AC120" s="467">
        <f>AC113+$U$82-AC72</f>
        <v>0.60392710071922573</v>
      </c>
      <c r="AD120" s="467">
        <f>AD113+$U$83-AD72</f>
        <v>0.28046526296618951</v>
      </c>
      <c r="AE120" s="467">
        <f>AE113+$U$84-AE72</f>
        <v>3.1099159457470368E-2</v>
      </c>
      <c r="AF120" s="467">
        <f>AF113+$U$85-AF72</f>
        <v>0.24930210974074551</v>
      </c>
      <c r="AG120" s="467">
        <f>AG113+$U$86-AG72</f>
        <v>0.82582271578276756</v>
      </c>
      <c r="AH120" s="467">
        <f>SUM(AC120:AG120)</f>
        <v>1.9906163486663986</v>
      </c>
      <c r="AJ120" s="459" t="s">
        <v>2523</v>
      </c>
      <c r="AK120" s="467">
        <f>AC72*$R$116</f>
        <v>0.96184672726372311</v>
      </c>
      <c r="AL120" s="467">
        <f t="shared" si="46"/>
        <v>0.77922959725073426</v>
      </c>
      <c r="AM120" s="467">
        <f t="shared" si="46"/>
        <v>0.11073938460617078</v>
      </c>
      <c r="AN120" s="467">
        <f t="shared" si="46"/>
        <v>0.4341455750796539</v>
      </c>
      <c r="AO120" s="467">
        <f t="shared" si="46"/>
        <v>0.91856808731204809</v>
      </c>
      <c r="AP120" s="467">
        <f>SUM(AK120:AO120)</f>
        <v>3.2045293715123302</v>
      </c>
    </row>
    <row r="121" spans="2:42">
      <c r="AC121" s="467"/>
      <c r="AD121" s="467"/>
      <c r="AE121" s="467"/>
      <c r="AF121" s="467"/>
      <c r="AG121" s="467"/>
      <c r="AH121" s="467"/>
      <c r="AK121" s="467"/>
      <c r="AL121" s="467"/>
      <c r="AM121" s="467"/>
      <c r="AN121" s="467"/>
      <c r="AO121" s="467"/>
      <c r="AP121" s="467"/>
    </row>
    <row r="123" spans="2:42">
      <c r="AB123" s="459" t="s">
        <v>2563</v>
      </c>
      <c r="AC123" s="464"/>
      <c r="AD123" s="464"/>
      <c r="AE123" s="464"/>
      <c r="AF123" s="464"/>
      <c r="AG123" s="464"/>
      <c r="AH123" s="464"/>
      <c r="AJ123" s="459" t="s">
        <v>2564</v>
      </c>
      <c r="AK123" s="464"/>
      <c r="AL123" s="464"/>
      <c r="AM123" s="464"/>
      <c r="AN123" s="464"/>
      <c r="AO123" s="464"/>
      <c r="AP123" s="464"/>
    </row>
    <row r="124" spans="2:42">
      <c r="AC124" s="464" t="s">
        <v>2345</v>
      </c>
      <c r="AD124" s="464" t="s">
        <v>2346</v>
      </c>
      <c r="AE124" s="464" t="s">
        <v>2347</v>
      </c>
      <c r="AF124" s="464" t="s">
        <v>2483</v>
      </c>
      <c r="AG124" s="464" t="s">
        <v>2349</v>
      </c>
      <c r="AH124" s="464" t="s">
        <v>2399</v>
      </c>
      <c r="AK124" s="464" t="s">
        <v>2345</v>
      </c>
      <c r="AL124" s="464" t="s">
        <v>2346</v>
      </c>
      <c r="AM124" s="464" t="s">
        <v>2347</v>
      </c>
      <c r="AN124" s="464" t="s">
        <v>2483</v>
      </c>
      <c r="AO124" s="464" t="s">
        <v>2349</v>
      </c>
      <c r="AP124" s="464" t="s">
        <v>2399</v>
      </c>
    </row>
    <row r="125" spans="2:42">
      <c r="AC125" s="467">
        <f>SUM(AC126:AC127)</f>
        <v>2.0013878133979093</v>
      </c>
      <c r="AD125" s="467">
        <f t="shared" ref="AD125:AG125" si="47">SUM(AD126:AD127)</f>
        <v>0.78755555060057603</v>
      </c>
      <c r="AE125" s="467">
        <f t="shared" si="47"/>
        <v>7.7641643243551814E-2</v>
      </c>
      <c r="AF125" s="467">
        <f t="shared" si="47"/>
        <v>4.0834946248642598</v>
      </c>
      <c r="AG125" s="467">
        <f t="shared" si="47"/>
        <v>4.0884430110441814</v>
      </c>
      <c r="AH125" s="469">
        <f>SUM(AH126:AH127)</f>
        <v>11.038522643150477</v>
      </c>
      <c r="AK125" s="467">
        <f>SUM(AK126:AK127)</f>
        <v>3.3342215736263747</v>
      </c>
      <c r="AL125" s="467">
        <f t="shared" ref="AL125:AO125" si="48">SUM(AL126:AL127)</f>
        <v>2.3909580755244764</v>
      </c>
      <c r="AM125" s="467">
        <f t="shared" si="48"/>
        <v>0.31668318881118884</v>
      </c>
      <c r="AN125" s="467">
        <f t="shared" si="48"/>
        <v>7.0642971332667361</v>
      </c>
      <c r="AO125" s="467">
        <f t="shared" si="48"/>
        <v>4.6371466933066952</v>
      </c>
      <c r="AP125" s="467">
        <f>SUM(AP126:AP127)</f>
        <v>17.743306664535471</v>
      </c>
    </row>
    <row r="126" spans="2:42">
      <c r="AB126" s="459" t="s">
        <v>2522</v>
      </c>
      <c r="AC126" s="468">
        <f>AC119+$T$82-AC78</f>
        <v>1.307223787714507</v>
      </c>
      <c r="AD126" s="468">
        <f>AD119+$T$83-AD78</f>
        <v>0.46631224805362592</v>
      </c>
      <c r="AE126" s="468">
        <f>AE119+$T$84-AE78</f>
        <v>4.2167162387180983E-2</v>
      </c>
      <c r="AF126" s="468">
        <f>AF119+$T$85-AF78</f>
        <v>3.7957449103088061</v>
      </c>
      <c r="AG126" s="468">
        <f>AG119+$T$86-AG78</f>
        <v>3.1386940227732558</v>
      </c>
      <c r="AH126" s="468">
        <f>SUM(AC126:AG126)</f>
        <v>8.7501421312373751</v>
      </c>
      <c r="AJ126" s="473" t="s">
        <v>2522</v>
      </c>
      <c r="AK126" s="468">
        <f>AC71*$S$116</f>
        <v>2.2427858562413836</v>
      </c>
      <c r="AL126" s="468">
        <f t="shared" ref="AL126:AO127" si="49">AD71*$S$116</f>
        <v>1.5067433764710947</v>
      </c>
      <c r="AM126" s="468">
        <f t="shared" si="49"/>
        <v>0.1910239582347675</v>
      </c>
      <c r="AN126" s="468">
        <f t="shared" si="49"/>
        <v>6.5716594044525261</v>
      </c>
      <c r="AO126" s="468">
        <f t="shared" si="49"/>
        <v>3.594820519162008</v>
      </c>
      <c r="AP126" s="468">
        <f>SUM(AK126:AO126)</f>
        <v>14.10703311456178</v>
      </c>
    </row>
    <row r="127" spans="2:42">
      <c r="AB127" s="459" t="s">
        <v>2523</v>
      </c>
      <c r="AC127" s="467">
        <f>AC120+$U$82-AC79</f>
        <v>0.69416402568340208</v>
      </c>
      <c r="AD127" s="467">
        <f>AD120+$U$83-AD79</f>
        <v>0.32124330254695016</v>
      </c>
      <c r="AE127" s="467">
        <f>AE120+$U$84-AE79</f>
        <v>3.5474480856370831E-2</v>
      </c>
      <c r="AF127" s="467">
        <f>AF120+$U$85-AF79</f>
        <v>0.28774971455545334</v>
      </c>
      <c r="AG127" s="467">
        <f>AG120+$U$86-AG79</f>
        <v>0.9497489882709258</v>
      </c>
      <c r="AH127" s="467">
        <f>SUM(AC127:AG127)</f>
        <v>2.2883805119131022</v>
      </c>
      <c r="AJ127" s="459" t="s">
        <v>2523</v>
      </c>
      <c r="AK127" s="467">
        <f>AC72*$S$116</f>
        <v>1.0914357173849911</v>
      </c>
      <c r="AL127" s="467">
        <f t="shared" si="49"/>
        <v>0.88421469905338157</v>
      </c>
      <c r="AM127" s="467">
        <f t="shared" si="49"/>
        <v>0.12565923057642137</v>
      </c>
      <c r="AN127" s="467">
        <f t="shared" si="49"/>
        <v>0.4926377288142102</v>
      </c>
      <c r="AO127" s="467">
        <f t="shared" si="49"/>
        <v>1.0423261741446868</v>
      </c>
      <c r="AP127" s="467">
        <f>SUM(AK127:AO127)</f>
        <v>3.6362735499736907</v>
      </c>
    </row>
  </sheetData>
  <mergeCells count="2">
    <mergeCell ref="T22:AD22"/>
    <mergeCell ref="K73:O77"/>
  </mergeCells>
  <hyperlinks>
    <hyperlink ref="K37" r:id="rId2" xr:uid="{00000000-0004-0000-1C00-000000000000}"/>
  </hyperlinks>
  <pageMargins left="0.7" right="0.7" top="0.75" bottom="0.75" header="0.3" footer="0.3"/>
  <drawing r:id="rId3"/>
  <legacyDrawing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557"/>
  <sheetViews>
    <sheetView topLeftCell="A88" workbookViewId="0">
      <selection activeCell="J77" sqref="J77"/>
    </sheetView>
  </sheetViews>
  <sheetFormatPr defaultColWidth="9.28515625" defaultRowHeight="12.75"/>
  <cols>
    <col min="1" max="1" width="9.28515625" style="27" bestFit="1" customWidth="1"/>
    <col min="2" max="2" width="30.28515625" style="27" bestFit="1" customWidth="1"/>
    <col min="3" max="3" width="10" style="27" bestFit="1" customWidth="1"/>
    <col min="4" max="5" width="9.28515625" style="27" bestFit="1" customWidth="1"/>
    <col min="6" max="6" width="5.7109375" style="27" customWidth="1"/>
    <col min="7" max="9" width="9.28515625" style="27" bestFit="1" customWidth="1"/>
    <col min="10" max="10" width="9.28515625" style="27"/>
    <col min="11" max="11" width="10.5703125" style="27" customWidth="1"/>
    <col min="12" max="12" width="12.42578125" style="28" bestFit="1" customWidth="1"/>
    <col min="13" max="13" width="9.28515625" style="28"/>
    <col min="14" max="14" width="9.28515625" style="27" bestFit="1" customWidth="1"/>
    <col min="15" max="16" width="9.28515625" style="27"/>
    <col min="17" max="17" width="12" style="27" customWidth="1"/>
    <col min="18" max="16384" width="9.28515625" style="27"/>
  </cols>
  <sheetData>
    <row r="1" spans="1:17">
      <c r="K1" s="28" t="s">
        <v>497</v>
      </c>
      <c r="L1" s="28" t="s">
        <v>1521</v>
      </c>
      <c r="N1" s="28" t="s">
        <v>497</v>
      </c>
      <c r="O1" s="27">
        <v>1055.056</v>
      </c>
    </row>
    <row r="2" spans="1:17">
      <c r="C2" s="846" t="s">
        <v>1517</v>
      </c>
      <c r="D2" s="846"/>
      <c r="E2" s="846"/>
      <c r="F2" s="28"/>
      <c r="G2" s="846" t="s">
        <v>1518</v>
      </c>
      <c r="H2" s="846"/>
      <c r="I2" s="846"/>
      <c r="K2" s="28" t="s">
        <v>1519</v>
      </c>
      <c r="L2" s="28" t="s">
        <v>1522</v>
      </c>
      <c r="N2" s="28" t="s">
        <v>1519</v>
      </c>
    </row>
    <row r="3" spans="1:17">
      <c r="A3" s="27" t="s">
        <v>664</v>
      </c>
      <c r="B3" s="27" t="s">
        <v>499</v>
      </c>
      <c r="C3" s="27" t="s">
        <v>1285</v>
      </c>
      <c r="D3" s="27" t="s">
        <v>1286</v>
      </c>
      <c r="E3" s="27" t="s">
        <v>1287</v>
      </c>
      <c r="G3" s="27" t="s">
        <v>1285</v>
      </c>
      <c r="H3" s="27" t="s">
        <v>1286</v>
      </c>
      <c r="I3" s="27" t="s">
        <v>1287</v>
      </c>
      <c r="K3" s="50" t="s">
        <v>1520</v>
      </c>
      <c r="L3" s="50" t="s">
        <v>1523</v>
      </c>
      <c r="M3" s="28" t="s">
        <v>594</v>
      </c>
      <c r="N3" s="50" t="s">
        <v>1524</v>
      </c>
      <c r="Q3" s="28"/>
    </row>
    <row r="4" spans="1:17">
      <c r="A4" s="27">
        <v>1</v>
      </c>
      <c r="B4" s="27" t="str">
        <f>'AEO14 rsstk'!D21</f>
        <v>Electric Furnaces</v>
      </c>
      <c r="C4" s="27">
        <f>'AEO14 rsstk'!A21</f>
        <v>126206</v>
      </c>
      <c r="D4" s="27">
        <f>'AEO14 rsstk'!B21</f>
        <v>303433</v>
      </c>
      <c r="E4" s="27">
        <f>'AEO14 rsstk'!C21</f>
        <v>0</v>
      </c>
      <c r="G4" s="27">
        <f>'AEO14 UEC'!A21</f>
        <v>14.727</v>
      </c>
      <c r="H4" s="27">
        <f>'AEO14 UEC'!B21</f>
        <v>9.6129999999999995</v>
      </c>
      <c r="I4" s="27">
        <f>'AEO14 UEC'!C21</f>
        <v>0</v>
      </c>
      <c r="K4" s="27">
        <f>SUMPRODUCT(C4:E4,G4:I4)</f>
        <v>4775537.1909999996</v>
      </c>
      <c r="N4" s="52">
        <f>K4/1000000000*$O$1</f>
        <v>5.0384591665876961</v>
      </c>
    </row>
    <row r="5" spans="1:17">
      <c r="A5" s="27">
        <v>2</v>
      </c>
      <c r="B5" s="27" t="str">
        <f>'AEO14 rsstk'!D22</f>
        <v>Electric Furnaces</v>
      </c>
      <c r="C5" s="27">
        <f>'AEO14 rsstk'!A22</f>
        <v>668621</v>
      </c>
      <c r="D5" s="27">
        <f>'AEO14 rsstk'!B22</f>
        <v>853248</v>
      </c>
      <c r="E5" s="27">
        <f>'AEO14 rsstk'!C22</f>
        <v>51609</v>
      </c>
      <c r="G5" s="27">
        <f>'AEO14 UEC'!A22</f>
        <v>15.621</v>
      </c>
      <c r="H5" s="27">
        <f>'AEO14 UEC'!B22</f>
        <v>10.884</v>
      </c>
      <c r="I5" s="27">
        <f>'AEO14 UEC'!C22</f>
        <v>14.516</v>
      </c>
      <c r="K5" s="27">
        <f t="shared" ref="K5:K68" si="0">SUMPRODUCT(C5:E5,G5:I5)</f>
        <v>20480436.117000002</v>
      </c>
      <c r="N5" s="52">
        <f t="shared" ref="N5:N68" si="1">K5/1000000000*$O$1</f>
        <v>21.608007007857555</v>
      </c>
    </row>
    <row r="6" spans="1:17">
      <c r="A6" s="27">
        <v>3</v>
      </c>
      <c r="B6" s="27" t="str">
        <f>'AEO14 rsstk'!D23</f>
        <v>Electric Furnaces</v>
      </c>
      <c r="C6" s="27">
        <f>'AEO14 rsstk'!A23</f>
        <v>1052760</v>
      </c>
      <c r="D6" s="27">
        <f>'AEO14 rsstk'!B23</f>
        <v>1319991</v>
      </c>
      <c r="E6" s="27">
        <f>'AEO14 rsstk'!C23</f>
        <v>62910</v>
      </c>
      <c r="G6" s="27">
        <f>'AEO14 UEC'!A23</f>
        <v>18.497</v>
      </c>
      <c r="H6" s="27">
        <f>'AEO14 UEC'!B23</f>
        <v>10.175000000000001</v>
      </c>
      <c r="I6" s="27">
        <f>'AEO14 UEC'!C23</f>
        <v>15.856</v>
      </c>
      <c r="K6" s="27">
        <f t="shared" si="0"/>
        <v>33901311.104999997</v>
      </c>
      <c r="N6" s="52">
        <f t="shared" si="1"/>
        <v>35.76778168919688</v>
      </c>
    </row>
    <row r="7" spans="1:17">
      <c r="A7" s="27">
        <v>4</v>
      </c>
      <c r="B7" s="27" t="str">
        <f>'AEO14 rsstk'!D24</f>
        <v>Electric Furnaces</v>
      </c>
      <c r="C7" s="27">
        <f>'AEO14 rsstk'!A24</f>
        <v>760675</v>
      </c>
      <c r="D7" s="27">
        <f>'AEO14 rsstk'!B24</f>
        <v>655203</v>
      </c>
      <c r="E7" s="27">
        <f>'AEO14 rsstk'!C24</f>
        <v>89410</v>
      </c>
      <c r="G7" s="27">
        <f>'AEO14 UEC'!A24</f>
        <v>18.356999999999999</v>
      </c>
      <c r="H7" s="27">
        <f>'AEO14 UEC'!B24</f>
        <v>11.135999999999999</v>
      </c>
      <c r="I7" s="27">
        <f>'AEO14 UEC'!C24</f>
        <v>17.882000000000001</v>
      </c>
      <c r="K7" s="27">
        <f t="shared" si="0"/>
        <v>22858881.202999998</v>
      </c>
      <c r="N7" s="52">
        <f t="shared" si="1"/>
        <v>24.117399766512364</v>
      </c>
    </row>
    <row r="8" spans="1:17">
      <c r="A8" s="27">
        <v>5</v>
      </c>
      <c r="B8" s="27" t="str">
        <f>'AEO14 rsstk'!D25</f>
        <v>Electric Furnaces</v>
      </c>
      <c r="C8" s="27">
        <f>'AEO14 rsstk'!A25</f>
        <v>4777770</v>
      </c>
      <c r="D8" s="27">
        <f>'AEO14 rsstk'!B25</f>
        <v>2741868</v>
      </c>
      <c r="E8" s="27">
        <f>'AEO14 rsstk'!C25</f>
        <v>1365483</v>
      </c>
      <c r="G8" s="27">
        <f>'AEO14 UEC'!A25</f>
        <v>10.379</v>
      </c>
      <c r="H8" s="27">
        <f>'AEO14 UEC'!B25</f>
        <v>7.008</v>
      </c>
      <c r="I8" s="27">
        <f>'AEO14 UEC'!C25</f>
        <v>10.228</v>
      </c>
      <c r="K8" s="27">
        <f t="shared" si="0"/>
        <v>82769645.897999987</v>
      </c>
      <c r="N8" s="52">
        <f t="shared" si="1"/>
        <v>87.32661152256027</v>
      </c>
    </row>
    <row r="9" spans="1:17">
      <c r="A9" s="27">
        <v>6</v>
      </c>
      <c r="B9" s="27" t="str">
        <f>'AEO14 rsstk'!D26</f>
        <v>Electric Furnaces</v>
      </c>
      <c r="C9" s="27">
        <f>'AEO14 rsstk'!A26</f>
        <v>1496400</v>
      </c>
      <c r="D9" s="27">
        <f>'AEO14 rsstk'!B26</f>
        <v>651670</v>
      </c>
      <c r="E9" s="27">
        <f>'AEO14 rsstk'!C26</f>
        <v>390611</v>
      </c>
      <c r="G9" s="27">
        <f>'AEO14 UEC'!A26</f>
        <v>13.387</v>
      </c>
      <c r="H9" s="27">
        <f>'AEO14 UEC'!B26</f>
        <v>9.5890000000000004</v>
      </c>
      <c r="I9" s="27">
        <f>'AEO14 UEC'!C26</f>
        <v>13.815</v>
      </c>
      <c r="K9" s="27">
        <f t="shared" si="0"/>
        <v>31677461.395</v>
      </c>
      <c r="N9" s="52">
        <f t="shared" si="1"/>
        <v>33.421495709563125</v>
      </c>
    </row>
    <row r="10" spans="1:17">
      <c r="A10" s="27">
        <v>7</v>
      </c>
      <c r="B10" s="27" t="str">
        <f>'AEO14 rsstk'!D27</f>
        <v>Electric Furnaces</v>
      </c>
      <c r="C10" s="27">
        <f>'AEO14 rsstk'!A27</f>
        <v>3174458</v>
      </c>
      <c r="D10" s="27">
        <f>'AEO14 rsstk'!B27</f>
        <v>2137843</v>
      </c>
      <c r="E10" s="27">
        <f>'AEO14 rsstk'!C27</f>
        <v>570587</v>
      </c>
      <c r="G10" s="27">
        <f>'AEO14 UEC'!A27</f>
        <v>8.6460000000000008</v>
      </c>
      <c r="H10" s="27">
        <f>'AEO14 UEC'!B27</f>
        <v>6.7430000000000003</v>
      </c>
      <c r="I10" s="27">
        <f>'AEO14 UEC'!C27</f>
        <v>8.0139999999999993</v>
      </c>
      <c r="K10" s="27">
        <f t="shared" si="0"/>
        <v>46434523.435000002</v>
      </c>
      <c r="N10" s="52">
        <f t="shared" si="1"/>
        <v>48.991022557237365</v>
      </c>
    </row>
    <row r="11" spans="1:17">
      <c r="A11" s="27">
        <v>8</v>
      </c>
      <c r="B11" s="27" t="str">
        <f>'AEO14 rsstk'!D28</f>
        <v>Electric Furnaces</v>
      </c>
      <c r="C11" s="27">
        <f>'AEO14 rsstk'!A28</f>
        <v>767769</v>
      </c>
      <c r="D11" s="27">
        <f>'AEO14 rsstk'!B28</f>
        <v>557795</v>
      </c>
      <c r="E11" s="27">
        <f>'AEO14 rsstk'!C28</f>
        <v>170873</v>
      </c>
      <c r="G11" s="27">
        <f>'AEO14 UEC'!A28</f>
        <v>9.5329999999999995</v>
      </c>
      <c r="H11" s="27">
        <f>'AEO14 UEC'!B28</f>
        <v>5.4809999999999999</v>
      </c>
      <c r="I11" s="27">
        <f>'AEO14 UEC'!C28</f>
        <v>13.638999999999999</v>
      </c>
      <c r="K11" s="27">
        <f t="shared" si="0"/>
        <v>12706953.118999999</v>
      </c>
      <c r="N11" s="52">
        <f t="shared" si="1"/>
        <v>13.406547129919664</v>
      </c>
    </row>
    <row r="12" spans="1:17">
      <c r="A12" s="27">
        <v>9</v>
      </c>
      <c r="B12" s="27" t="str">
        <f>'AEO14 rsstk'!D29</f>
        <v>Electric Furnaces</v>
      </c>
      <c r="C12" s="27">
        <f>'AEO14 rsstk'!A29</f>
        <v>1911212</v>
      </c>
      <c r="D12" s="27">
        <f>'AEO14 rsstk'!B29</f>
        <v>2580399</v>
      </c>
      <c r="E12" s="27">
        <f>'AEO14 rsstk'!C29</f>
        <v>387381</v>
      </c>
      <c r="G12" s="27">
        <f>'AEO14 UEC'!A29</f>
        <v>10.507</v>
      </c>
      <c r="H12" s="27">
        <f>'AEO14 UEC'!B29</f>
        <v>5.52</v>
      </c>
      <c r="I12" s="27">
        <f>'AEO14 UEC'!C29</f>
        <v>13.494</v>
      </c>
      <c r="K12" s="27">
        <f t="shared" si="0"/>
        <v>39552226.178000003</v>
      </c>
      <c r="N12" s="52">
        <f t="shared" si="1"/>
        <v>41.729813542455979</v>
      </c>
    </row>
    <row r="13" spans="1:17">
      <c r="A13" s="27">
        <v>1</v>
      </c>
      <c r="B13" s="27" t="str">
        <f>'AEO14 rsstk'!D30</f>
        <v>Air Source Heat Pumps (heat)</v>
      </c>
      <c r="C13" s="27">
        <f>'AEO14 rsstk'!A30</f>
        <v>2639</v>
      </c>
      <c r="D13" s="27">
        <f>'AEO14 rsstk'!B30</f>
        <v>4066</v>
      </c>
      <c r="E13" s="27">
        <f>'AEO14 rsstk'!C30</f>
        <v>0</v>
      </c>
      <c r="G13" s="27">
        <f>'AEO14 UEC'!A30</f>
        <v>7.391</v>
      </c>
      <c r="H13" s="27">
        <f>'AEO14 UEC'!B30</f>
        <v>4.8250000000000002</v>
      </c>
      <c r="I13" s="27">
        <f>'AEO14 UEC'!C30</f>
        <v>0</v>
      </c>
      <c r="K13" s="27">
        <f t="shared" si="0"/>
        <v>39123.298999999999</v>
      </c>
      <c r="N13" s="52">
        <f t="shared" si="1"/>
        <v>4.1277271349743995E-2</v>
      </c>
    </row>
    <row r="14" spans="1:17">
      <c r="A14" s="27">
        <v>2</v>
      </c>
      <c r="B14" s="27" t="str">
        <f>'AEO14 rsstk'!D31</f>
        <v>Air Source Heat Pumps (heat)</v>
      </c>
      <c r="C14" s="27">
        <f>'AEO14 rsstk'!A31</f>
        <v>205579</v>
      </c>
      <c r="D14" s="27">
        <f>'AEO14 rsstk'!B31</f>
        <v>80453</v>
      </c>
      <c r="E14" s="27">
        <f>'AEO14 rsstk'!C31</f>
        <v>0</v>
      </c>
      <c r="G14" s="27">
        <f>'AEO14 UEC'!A31</f>
        <v>7.84</v>
      </c>
      <c r="H14" s="27">
        <f>'AEO14 UEC'!B31</f>
        <v>5.4630000000000001</v>
      </c>
      <c r="I14" s="27">
        <f>'AEO14 UEC'!C31</f>
        <v>0</v>
      </c>
      <c r="K14" s="27">
        <f t="shared" si="0"/>
        <v>2051254.0989999999</v>
      </c>
      <c r="N14" s="52">
        <f t="shared" si="1"/>
        <v>2.164187944674544</v>
      </c>
    </row>
    <row r="15" spans="1:17">
      <c r="A15" s="27">
        <v>3</v>
      </c>
      <c r="B15" s="27" t="str">
        <f>'AEO14 rsstk'!D32</f>
        <v>Air Source Heat Pumps (heat)</v>
      </c>
      <c r="C15" s="27">
        <f>'AEO14 rsstk'!A32</f>
        <v>198302</v>
      </c>
      <c r="D15" s="27">
        <f>'AEO14 rsstk'!B32</f>
        <v>17881</v>
      </c>
      <c r="E15" s="27">
        <f>'AEO14 rsstk'!C32</f>
        <v>0</v>
      </c>
      <c r="G15" s="27">
        <f>'AEO14 UEC'!A32</f>
        <v>9.2840000000000007</v>
      </c>
      <c r="H15" s="27">
        <f>'AEO14 UEC'!B32</f>
        <v>5.1070000000000002</v>
      </c>
      <c r="I15" s="27">
        <f>'AEO14 UEC'!C32</f>
        <v>0</v>
      </c>
      <c r="K15" s="27">
        <f t="shared" si="0"/>
        <v>1932354.0350000001</v>
      </c>
      <c r="N15" s="52">
        <f t="shared" si="1"/>
        <v>2.0387417187509604</v>
      </c>
    </row>
    <row r="16" spans="1:17">
      <c r="A16" s="27">
        <v>4</v>
      </c>
      <c r="B16" s="27" t="str">
        <f>'AEO14 rsstk'!D33</f>
        <v>Air Source Heat Pumps (heat)</v>
      </c>
      <c r="C16" s="27">
        <f>'AEO14 rsstk'!A33</f>
        <v>130032</v>
      </c>
      <c r="D16" s="27">
        <f>'AEO14 rsstk'!B33</f>
        <v>18511</v>
      </c>
      <c r="E16" s="27">
        <f>'AEO14 rsstk'!C33</f>
        <v>9306</v>
      </c>
      <c r="G16" s="27">
        <f>'AEO14 UEC'!A33</f>
        <v>9.2129999999999992</v>
      </c>
      <c r="H16" s="27">
        <f>'AEO14 UEC'!B33</f>
        <v>5.5890000000000004</v>
      </c>
      <c r="I16" s="27">
        <f>'AEO14 UEC'!C33</f>
        <v>8.9749999999999996</v>
      </c>
      <c r="K16" s="27">
        <f t="shared" si="0"/>
        <v>1384964.145</v>
      </c>
      <c r="N16" s="52">
        <f t="shared" si="1"/>
        <v>1.4612147309671202</v>
      </c>
    </row>
    <row r="17" spans="1:14">
      <c r="A17" s="27">
        <v>5</v>
      </c>
      <c r="B17" s="27" t="str">
        <f>'AEO14 rsstk'!D34</f>
        <v>Air Source Heat Pumps (heat)</v>
      </c>
      <c r="C17" s="27">
        <f>'AEO14 rsstk'!A34</f>
        <v>4138593</v>
      </c>
      <c r="D17" s="27">
        <f>'AEO14 rsstk'!B34</f>
        <v>749966</v>
      </c>
      <c r="E17" s="27">
        <f>'AEO14 rsstk'!C34</f>
        <v>626922</v>
      </c>
      <c r="G17" s="27">
        <f>'AEO14 UEC'!A34</f>
        <v>5.21</v>
      </c>
      <c r="H17" s="27">
        <f>'AEO14 UEC'!B34</f>
        <v>3.5179999999999998</v>
      </c>
      <c r="I17" s="27">
        <f>'AEO14 UEC'!C34</f>
        <v>5.1340000000000003</v>
      </c>
      <c r="K17" s="27">
        <f t="shared" si="0"/>
        <v>27419067.466000002</v>
      </c>
      <c r="N17" s="52">
        <f t="shared" si="1"/>
        <v>28.928651644408099</v>
      </c>
    </row>
    <row r="18" spans="1:14">
      <c r="A18" s="27">
        <v>6</v>
      </c>
      <c r="B18" s="27" t="str">
        <f>'AEO14 rsstk'!D35</f>
        <v>Air Source Heat Pumps (heat)</v>
      </c>
      <c r="C18" s="27">
        <f>'AEO14 rsstk'!A35</f>
        <v>1050730</v>
      </c>
      <c r="D18" s="27">
        <f>'AEO14 rsstk'!B35</f>
        <v>92223</v>
      </c>
      <c r="E18" s="27">
        <f>'AEO14 rsstk'!C35</f>
        <v>73812</v>
      </c>
      <c r="G18" s="27">
        <f>'AEO14 UEC'!A35</f>
        <v>6.7190000000000003</v>
      </c>
      <c r="H18" s="27">
        <f>'AEO14 UEC'!B35</f>
        <v>4.8129999999999997</v>
      </c>
      <c r="I18" s="27">
        <f>'AEO14 UEC'!C35</f>
        <v>6.9340000000000002</v>
      </c>
      <c r="K18" s="27">
        <f t="shared" si="0"/>
        <v>8015536.5769999996</v>
      </c>
      <c r="N18" s="52">
        <f t="shared" si="1"/>
        <v>8.4568399587833127</v>
      </c>
    </row>
    <row r="19" spans="1:14">
      <c r="A19" s="27">
        <v>7</v>
      </c>
      <c r="B19" s="27" t="str">
        <f>'AEO14 rsstk'!D36</f>
        <v>Air Source Heat Pumps (heat)</v>
      </c>
      <c r="C19" s="27">
        <f>'AEO14 rsstk'!A36</f>
        <v>346201</v>
      </c>
      <c r="D19" s="27">
        <f>'AEO14 rsstk'!B36</f>
        <v>71729</v>
      </c>
      <c r="E19" s="27">
        <f>'AEO14 rsstk'!C36</f>
        <v>40129</v>
      </c>
      <c r="G19" s="27">
        <f>'AEO14 UEC'!A36</f>
        <v>4.3390000000000004</v>
      </c>
      <c r="H19" s="27">
        <f>'AEO14 UEC'!B36</f>
        <v>3.3839999999999999</v>
      </c>
      <c r="I19" s="27">
        <f>'AEO14 UEC'!C36</f>
        <v>4.0220000000000002</v>
      </c>
      <c r="K19" s="27">
        <f t="shared" si="0"/>
        <v>1906295.9130000002</v>
      </c>
      <c r="N19" s="52">
        <f t="shared" si="1"/>
        <v>2.0112489407861283</v>
      </c>
    </row>
    <row r="20" spans="1:14">
      <c r="A20" s="27">
        <v>8</v>
      </c>
      <c r="B20" s="27" t="str">
        <f>'AEO14 rsstk'!D37</f>
        <v>Air Source Heat Pumps (heat)</v>
      </c>
      <c r="C20" s="27">
        <f>'AEO14 rsstk'!A37</f>
        <v>544498</v>
      </c>
      <c r="D20" s="27">
        <f>'AEO14 rsstk'!B37</f>
        <v>57183</v>
      </c>
      <c r="E20" s="27">
        <f>'AEO14 rsstk'!C37</f>
        <v>106797</v>
      </c>
      <c r="G20" s="27">
        <f>'AEO14 UEC'!A37</f>
        <v>4.7839999999999998</v>
      </c>
      <c r="H20" s="27">
        <f>'AEO14 UEC'!B37</f>
        <v>2.7509999999999999</v>
      </c>
      <c r="I20" s="27">
        <f>'AEO14 UEC'!C37</f>
        <v>6.8460000000000001</v>
      </c>
      <c r="K20" s="27">
        <f t="shared" si="0"/>
        <v>3493321.1270000003</v>
      </c>
      <c r="N20" s="52">
        <f t="shared" si="1"/>
        <v>3.685649414968112</v>
      </c>
    </row>
    <row r="21" spans="1:14">
      <c r="A21" s="27">
        <v>9</v>
      </c>
      <c r="B21" s="27" t="str">
        <f>'AEO14 rsstk'!D38</f>
        <v>Air Source Heat Pumps (heat)</v>
      </c>
      <c r="C21" s="27">
        <f>'AEO14 rsstk'!A38</f>
        <v>389067</v>
      </c>
      <c r="D21" s="27">
        <f>'AEO14 rsstk'!B38</f>
        <v>67779</v>
      </c>
      <c r="E21" s="27">
        <f>'AEO14 rsstk'!C38</f>
        <v>77440</v>
      </c>
      <c r="G21" s="27">
        <f>'AEO14 UEC'!A38</f>
        <v>5.274</v>
      </c>
      <c r="H21" s="27">
        <f>'AEO14 UEC'!B38</f>
        <v>2.77</v>
      </c>
      <c r="I21" s="27">
        <f>'AEO14 UEC'!C38</f>
        <v>6.7729999999999997</v>
      </c>
      <c r="K21" s="27">
        <f t="shared" si="0"/>
        <v>2764188.3080000002</v>
      </c>
      <c r="L21" s="53">
        <f>SUM(K4:K21)/1000000000+L93</f>
        <v>0.34746193711300005</v>
      </c>
      <c r="M21" s="53">
        <f>USDemand!D120</f>
        <v>0.37431599999999998</v>
      </c>
      <c r="N21" s="52">
        <f t="shared" si="1"/>
        <v>2.9163734594852486</v>
      </c>
    </row>
    <row r="22" spans="1:14">
      <c r="A22" s="27">
        <v>1</v>
      </c>
      <c r="B22" s="27" t="str">
        <f>'AEO14 rsstk'!D39</f>
        <v>Natural Gas Furnaces</v>
      </c>
      <c r="C22" s="27">
        <f>'AEO14 rsstk'!A39</f>
        <v>543051</v>
      </c>
      <c r="D22" s="27">
        <f>'AEO14 rsstk'!B39</f>
        <v>398627</v>
      </c>
      <c r="E22" s="27">
        <f>'AEO14 rsstk'!C39</f>
        <v>15782</v>
      </c>
      <c r="G22" s="27">
        <f>'AEO14 UEC'!A39</f>
        <v>72.397999999999996</v>
      </c>
      <c r="H22" s="27">
        <f>'AEO14 UEC'!B39</f>
        <v>59.911000000000001</v>
      </c>
      <c r="I22" s="27">
        <f>'AEO14 UEC'!C39</f>
        <v>65.977999999999994</v>
      </c>
      <c r="K22" s="27">
        <f t="shared" si="0"/>
        <v>64239213.291000001</v>
      </c>
      <c r="N22" s="52">
        <f t="shared" si="1"/>
        <v>67.775967417949303</v>
      </c>
    </row>
    <row r="23" spans="1:14">
      <c r="A23" s="27">
        <v>2</v>
      </c>
      <c r="B23" s="27" t="str">
        <f>'AEO14 rsstk'!D40</f>
        <v>Natural Gas Furnaces</v>
      </c>
      <c r="C23" s="27">
        <f>'AEO14 rsstk'!A40</f>
        <v>3969078</v>
      </c>
      <c r="D23" s="27">
        <f>'AEO14 rsstk'!B40</f>
        <v>1142480</v>
      </c>
      <c r="E23" s="27">
        <f>'AEO14 rsstk'!C40</f>
        <v>65568</v>
      </c>
      <c r="G23" s="27">
        <f>'AEO14 UEC'!A40</f>
        <v>67.391000000000005</v>
      </c>
      <c r="H23" s="27">
        <f>'AEO14 UEC'!B40</f>
        <v>48.192</v>
      </c>
      <c r="I23" s="27">
        <f>'AEO14 UEC'!C40</f>
        <v>33.191000000000003</v>
      </c>
      <c r="K23" s="27">
        <f t="shared" si="0"/>
        <v>324714799.14600003</v>
      </c>
      <c r="N23" s="52">
        <f t="shared" si="1"/>
        <v>342.59229712778222</v>
      </c>
    </row>
    <row r="24" spans="1:14">
      <c r="A24" s="27">
        <v>3</v>
      </c>
      <c r="B24" s="27" t="str">
        <f>'AEO14 rsstk'!D41</f>
        <v>Natural Gas Furnaces</v>
      </c>
      <c r="C24" s="27">
        <f>'AEO14 rsstk'!A41</f>
        <v>9457930</v>
      </c>
      <c r="D24" s="27">
        <f>'AEO14 rsstk'!B41</f>
        <v>1904950</v>
      </c>
      <c r="E24" s="27">
        <f>'AEO14 rsstk'!C41</f>
        <v>326361</v>
      </c>
      <c r="G24" s="27">
        <f>'AEO14 UEC'!A41</f>
        <v>71.813999999999993</v>
      </c>
      <c r="H24" s="27">
        <f>'AEO14 UEC'!B41</f>
        <v>53.847999999999999</v>
      </c>
      <c r="I24" s="27">
        <f>'AEO14 UEC'!C41</f>
        <v>42.417000000000002</v>
      </c>
      <c r="K24" s="27">
        <f t="shared" si="0"/>
        <v>795632787.15700006</v>
      </c>
      <c r="N24" s="52">
        <f t="shared" si="1"/>
        <v>839.43714588671583</v>
      </c>
    </row>
    <row r="25" spans="1:14">
      <c r="A25" s="27">
        <v>4</v>
      </c>
      <c r="B25" s="27" t="str">
        <f>'AEO14 rsstk'!D42</f>
        <v>Natural Gas Furnaces</v>
      </c>
      <c r="C25" s="27">
        <f>'AEO14 rsstk'!A42</f>
        <v>3602457</v>
      </c>
      <c r="D25" s="27">
        <f>'AEO14 rsstk'!B42</f>
        <v>378608</v>
      </c>
      <c r="E25" s="27">
        <f>'AEO14 rsstk'!C42</f>
        <v>216242</v>
      </c>
      <c r="G25" s="27">
        <f>'AEO14 UEC'!A42</f>
        <v>61.866</v>
      </c>
      <c r="H25" s="27">
        <f>'AEO14 UEC'!B42</f>
        <v>48.698</v>
      </c>
      <c r="I25" s="27">
        <f>'AEO14 UEC'!C42</f>
        <v>53.956000000000003</v>
      </c>
      <c r="K25" s="27">
        <f t="shared" si="0"/>
        <v>252974610.498</v>
      </c>
      <c r="N25" s="52">
        <f t="shared" si="1"/>
        <v>266.90238065357789</v>
      </c>
    </row>
    <row r="26" spans="1:14">
      <c r="A26" s="27">
        <v>5</v>
      </c>
      <c r="B26" s="27" t="str">
        <f>'AEO14 rsstk'!D43</f>
        <v>Natural Gas Furnaces</v>
      </c>
      <c r="C26" s="27">
        <f>'AEO14 rsstk'!A43</f>
        <v>3966313</v>
      </c>
      <c r="D26" s="27">
        <f>'AEO14 rsstk'!B43</f>
        <v>705876</v>
      </c>
      <c r="E26" s="27">
        <f>'AEO14 rsstk'!C43</f>
        <v>67720</v>
      </c>
      <c r="G26" s="27">
        <f>'AEO14 UEC'!A43</f>
        <v>47.460999999999999</v>
      </c>
      <c r="H26" s="27">
        <f>'AEO14 UEC'!B43</f>
        <v>28.952000000000002</v>
      </c>
      <c r="I26" s="27">
        <f>'AEO14 UEC'!C43</f>
        <v>29.433</v>
      </c>
      <c r="K26" s="27">
        <f t="shared" si="0"/>
        <v>210674906.00499997</v>
      </c>
      <c r="N26" s="52">
        <f t="shared" si="1"/>
        <v>222.27382363001126</v>
      </c>
    </row>
    <row r="27" spans="1:14">
      <c r="A27" s="27">
        <v>6</v>
      </c>
      <c r="B27" s="27" t="str">
        <f>'AEO14 rsstk'!D44</f>
        <v>Natural Gas Furnaces</v>
      </c>
      <c r="C27" s="27">
        <f>'AEO14 rsstk'!A44</f>
        <v>1754067</v>
      </c>
      <c r="D27" s="27">
        <f>'AEO14 rsstk'!B44</f>
        <v>168393</v>
      </c>
      <c r="E27" s="27">
        <f>'AEO14 rsstk'!C44</f>
        <v>40422</v>
      </c>
      <c r="G27" s="27">
        <f>'AEO14 UEC'!A44</f>
        <v>43.478999999999999</v>
      </c>
      <c r="H27" s="27">
        <f>'AEO14 UEC'!B44</f>
        <v>47.33</v>
      </c>
      <c r="I27" s="27">
        <f>'AEO14 UEC'!C44</f>
        <v>19.864000000000001</v>
      </c>
      <c r="K27" s="27">
        <f t="shared" si="0"/>
        <v>85038062.390999988</v>
      </c>
      <c r="N27" s="52">
        <f t="shared" si="1"/>
        <v>89.719917953998888</v>
      </c>
    </row>
    <row r="28" spans="1:14">
      <c r="A28" s="27">
        <v>7</v>
      </c>
      <c r="B28" s="27" t="str">
        <f>'AEO14 rsstk'!D45</f>
        <v>Natural Gas Furnaces</v>
      </c>
      <c r="C28" s="27">
        <f>'AEO14 rsstk'!A45</f>
        <v>4022964</v>
      </c>
      <c r="D28" s="27">
        <f>'AEO14 rsstk'!B45</f>
        <v>483727</v>
      </c>
      <c r="E28" s="27">
        <f>'AEO14 rsstk'!C45</f>
        <v>119192</v>
      </c>
      <c r="G28" s="27">
        <f>'AEO14 UEC'!A45</f>
        <v>31.100999999999999</v>
      </c>
      <c r="H28" s="27">
        <f>'AEO14 UEC'!B45</f>
        <v>21.486000000000001</v>
      </c>
      <c r="I28" s="27">
        <f>'AEO14 UEC'!C45</f>
        <v>28.323</v>
      </c>
      <c r="K28" s="27">
        <f t="shared" si="0"/>
        <v>138887436.70199999</v>
      </c>
      <c r="N28" s="52">
        <f t="shared" si="1"/>
        <v>146.5340234170653</v>
      </c>
    </row>
    <row r="29" spans="1:14">
      <c r="A29" s="27">
        <v>8</v>
      </c>
      <c r="B29" s="27" t="str">
        <f>'AEO14 rsstk'!D46</f>
        <v>Natural Gas Furnaces</v>
      </c>
      <c r="C29" s="27">
        <f>'AEO14 rsstk'!A46</f>
        <v>3542600</v>
      </c>
      <c r="D29" s="27">
        <f>'AEO14 rsstk'!B46</f>
        <v>556608</v>
      </c>
      <c r="E29" s="27">
        <f>'AEO14 rsstk'!C46</f>
        <v>275044</v>
      </c>
      <c r="G29" s="27">
        <f>'AEO14 UEC'!A46</f>
        <v>46.194000000000003</v>
      </c>
      <c r="H29" s="27">
        <f>'AEO14 UEC'!B46</f>
        <v>30.439</v>
      </c>
      <c r="I29" s="27">
        <f>'AEO14 UEC'!C46</f>
        <v>41.69</v>
      </c>
      <c r="K29" s="27">
        <f t="shared" si="0"/>
        <v>192056039.67199999</v>
      </c>
      <c r="N29" s="52">
        <f t="shared" si="1"/>
        <v>202.62987699218164</v>
      </c>
    </row>
    <row r="30" spans="1:14">
      <c r="A30" s="27">
        <v>9</v>
      </c>
      <c r="B30" s="27" t="str">
        <f>'AEO14 rsstk'!D47</f>
        <v>Natural Gas Furnaces</v>
      </c>
      <c r="C30" s="27">
        <f>'AEO14 rsstk'!A47</f>
        <v>5956738</v>
      </c>
      <c r="D30" s="27">
        <f>'AEO14 rsstk'!B47</f>
        <v>979652</v>
      </c>
      <c r="E30" s="27">
        <f>'AEO14 rsstk'!C47</f>
        <v>136942</v>
      </c>
      <c r="G30" s="27">
        <f>'AEO14 UEC'!A47</f>
        <v>29.481000000000002</v>
      </c>
      <c r="H30" s="27">
        <f>'AEO14 UEC'!B47</f>
        <v>13.701000000000001</v>
      </c>
      <c r="I30" s="27">
        <f>'AEO14 UEC'!C47</f>
        <v>29.521000000000001</v>
      </c>
      <c r="K30" s="27">
        <f t="shared" si="0"/>
        <v>193075469.81200004</v>
      </c>
      <c r="N30" s="52">
        <f t="shared" si="1"/>
        <v>203.70543287796954</v>
      </c>
    </row>
    <row r="31" spans="1:14">
      <c r="A31" s="27">
        <v>1</v>
      </c>
      <c r="B31" s="27" t="str">
        <f>'AEO14 rsstk'!D48</f>
        <v>Natural Gas Other</v>
      </c>
      <c r="C31" s="27">
        <f>'AEO14 rsstk'!A48</f>
        <v>417465</v>
      </c>
      <c r="D31" s="27">
        <f>'AEO14 rsstk'!B48</f>
        <v>857599</v>
      </c>
      <c r="E31" s="27">
        <f>'AEO14 rsstk'!C48</f>
        <v>3631</v>
      </c>
      <c r="G31" s="27">
        <f>'AEO14 UEC'!A48</f>
        <v>74.254000000000005</v>
      </c>
      <c r="H31" s="27">
        <f>'AEO14 UEC'!B48</f>
        <v>61.447000000000003</v>
      </c>
      <c r="I31" s="27">
        <f>'AEO14 UEC'!C48</f>
        <v>67.668999999999997</v>
      </c>
      <c r="K31" s="27">
        <f t="shared" si="0"/>
        <v>83941038.002000004</v>
      </c>
      <c r="N31" s="52">
        <f t="shared" si="1"/>
        <v>88.562495790238117</v>
      </c>
    </row>
    <row r="32" spans="1:14">
      <c r="A32" s="27">
        <v>2</v>
      </c>
      <c r="B32" s="27" t="str">
        <f>'AEO14 rsstk'!D49</f>
        <v>Natural Gas Other</v>
      </c>
      <c r="C32" s="27">
        <f>'AEO14 rsstk'!A49</f>
        <v>1421102</v>
      </c>
      <c r="D32" s="27">
        <f>'AEO14 rsstk'!B49</f>
        <v>1915210</v>
      </c>
      <c r="E32" s="27">
        <f>'AEO14 rsstk'!C49</f>
        <v>0</v>
      </c>
      <c r="G32" s="27">
        <f>'AEO14 UEC'!A49</f>
        <v>69.119</v>
      </c>
      <c r="H32" s="27">
        <f>'AEO14 UEC'!B49</f>
        <v>49.427</v>
      </c>
      <c r="I32" s="27">
        <f>'AEO14 UEC'!C49</f>
        <v>0</v>
      </c>
      <c r="K32" s="27">
        <f t="shared" si="0"/>
        <v>192888233.808</v>
      </c>
      <c r="N32" s="52">
        <f t="shared" si="1"/>
        <v>203.50788840853326</v>
      </c>
    </row>
    <row r="33" spans="1:14">
      <c r="A33" s="27">
        <v>3</v>
      </c>
      <c r="B33" s="27" t="str">
        <f>'AEO14 rsstk'!D50</f>
        <v>Natural Gas Other</v>
      </c>
      <c r="C33" s="27">
        <f>'AEO14 rsstk'!A50</f>
        <v>597684</v>
      </c>
      <c r="D33" s="27">
        <f>'AEO14 rsstk'!B50</f>
        <v>820300</v>
      </c>
      <c r="E33" s="27">
        <f>'AEO14 rsstk'!C50</f>
        <v>0</v>
      </c>
      <c r="G33" s="27">
        <f>'AEO14 UEC'!A50</f>
        <v>73.656000000000006</v>
      </c>
      <c r="H33" s="27">
        <f>'AEO14 UEC'!B50</f>
        <v>55.228000000000002</v>
      </c>
      <c r="I33" s="27">
        <f>'AEO14 UEC'!C50</f>
        <v>0</v>
      </c>
      <c r="K33" s="27">
        <f t="shared" si="0"/>
        <v>89326541.104000002</v>
      </c>
      <c r="N33" s="52">
        <f t="shared" si="1"/>
        <v>94.244503151021831</v>
      </c>
    </row>
    <row r="34" spans="1:14">
      <c r="A34" s="27">
        <v>4</v>
      </c>
      <c r="B34" s="27" t="str">
        <f>'AEO14 rsstk'!D51</f>
        <v>Natural Gas Other</v>
      </c>
      <c r="C34" s="27">
        <f>'AEO14 rsstk'!A51</f>
        <v>243539</v>
      </c>
      <c r="D34" s="27">
        <f>'AEO14 rsstk'!B51</f>
        <v>289475</v>
      </c>
      <c r="E34" s="27">
        <f>'AEO14 rsstk'!C51</f>
        <v>16907</v>
      </c>
      <c r="G34" s="27">
        <f>'AEO14 UEC'!A51</f>
        <v>63.453000000000003</v>
      </c>
      <c r="H34" s="27">
        <f>'AEO14 UEC'!B51</f>
        <v>49.945999999999998</v>
      </c>
      <c r="I34" s="27">
        <f>'AEO14 UEC'!C51</f>
        <v>55.34</v>
      </c>
      <c r="K34" s="27">
        <f t="shared" si="0"/>
        <v>30847031.897</v>
      </c>
      <c r="N34" s="52">
        <f t="shared" si="1"/>
        <v>32.545346085121231</v>
      </c>
    </row>
    <row r="35" spans="1:14">
      <c r="A35" s="27">
        <v>5</v>
      </c>
      <c r="B35" s="27" t="str">
        <f>'AEO14 rsstk'!D52</f>
        <v>Natural Gas Other</v>
      </c>
      <c r="C35" s="27">
        <f>'AEO14 rsstk'!A52</f>
        <v>405084</v>
      </c>
      <c r="D35" s="27">
        <f>'AEO14 rsstk'!B52</f>
        <v>244174</v>
      </c>
      <c r="E35" s="27">
        <f>'AEO14 rsstk'!C52</f>
        <v>63301</v>
      </c>
      <c r="G35" s="27">
        <f>'AEO14 UEC'!A52</f>
        <v>48.677999999999997</v>
      </c>
      <c r="H35" s="27">
        <f>'AEO14 UEC'!B52</f>
        <v>29.695</v>
      </c>
      <c r="I35" s="27">
        <f>'AEO14 UEC'!C52</f>
        <v>30.187999999999999</v>
      </c>
      <c r="K35" s="27">
        <f t="shared" si="0"/>
        <v>28880356.469999999</v>
      </c>
      <c r="N35" s="52">
        <f t="shared" si="1"/>
        <v>30.470393375812321</v>
      </c>
    </row>
    <row r="36" spans="1:14">
      <c r="A36" s="27">
        <v>6</v>
      </c>
      <c r="B36" s="27" t="str">
        <f>'AEO14 rsstk'!D53</f>
        <v>Natural Gas Other</v>
      </c>
      <c r="C36" s="27">
        <f>'AEO14 rsstk'!A53</f>
        <v>170426</v>
      </c>
      <c r="D36" s="27">
        <f>'AEO14 rsstk'!B53</f>
        <v>10602</v>
      </c>
      <c r="E36" s="27">
        <f>'AEO14 rsstk'!C53</f>
        <v>15637</v>
      </c>
      <c r="G36" s="27">
        <f>'AEO14 UEC'!A53</f>
        <v>44.594000000000001</v>
      </c>
      <c r="H36" s="27">
        <f>'AEO14 UEC'!B53</f>
        <v>48.543999999999997</v>
      </c>
      <c r="I36" s="27">
        <f>'AEO14 UEC'!C53</f>
        <v>20.373999999999999</v>
      </c>
      <c r="K36" s="27">
        <f t="shared" si="0"/>
        <v>8433228.7699999996</v>
      </c>
      <c r="N36" s="52">
        <f t="shared" si="1"/>
        <v>8.8975286131611195</v>
      </c>
    </row>
    <row r="37" spans="1:14">
      <c r="A37" s="27">
        <v>7</v>
      </c>
      <c r="B37" s="27" t="str">
        <f>'AEO14 rsstk'!D54</f>
        <v>Natural Gas Other</v>
      </c>
      <c r="C37" s="27">
        <f>'AEO14 rsstk'!A54</f>
        <v>808047</v>
      </c>
      <c r="D37" s="27">
        <f>'AEO14 rsstk'!B54</f>
        <v>129049</v>
      </c>
      <c r="E37" s="27">
        <f>'AEO14 rsstk'!C54</f>
        <v>0</v>
      </c>
      <c r="G37" s="27">
        <f>'AEO14 UEC'!A54</f>
        <v>31.899000000000001</v>
      </c>
      <c r="H37" s="27">
        <f>'AEO14 UEC'!B54</f>
        <v>22.036999999999999</v>
      </c>
      <c r="I37" s="27">
        <f>'AEO14 UEC'!C54</f>
        <v>0</v>
      </c>
      <c r="K37" s="27">
        <f t="shared" si="0"/>
        <v>28619744.066000003</v>
      </c>
      <c r="N37" s="52">
        <f t="shared" si="1"/>
        <v>30.195432695297701</v>
      </c>
    </row>
    <row r="38" spans="1:14">
      <c r="A38" s="27">
        <v>8</v>
      </c>
      <c r="B38" s="27" t="str">
        <f>'AEO14 rsstk'!D55</f>
        <v>Natural Gas Other</v>
      </c>
      <c r="C38" s="27">
        <f>'AEO14 rsstk'!A55</f>
        <v>419747</v>
      </c>
      <c r="D38" s="27">
        <f>'AEO14 rsstk'!B55</f>
        <v>25489</v>
      </c>
      <c r="E38" s="27">
        <f>'AEO14 rsstk'!C55</f>
        <v>0</v>
      </c>
      <c r="G38" s="27">
        <f>'AEO14 UEC'!A55</f>
        <v>47.378</v>
      </c>
      <c r="H38" s="27">
        <f>'AEO14 UEC'!B55</f>
        <v>31.219000000000001</v>
      </c>
      <c r="I38" s="27">
        <f>'AEO14 UEC'!C55</f>
        <v>0</v>
      </c>
      <c r="K38" s="27">
        <f t="shared" si="0"/>
        <v>20682514.457000002</v>
      </c>
      <c r="N38" s="52">
        <f t="shared" si="1"/>
        <v>21.821210972944595</v>
      </c>
    </row>
    <row r="39" spans="1:14">
      <c r="A39" s="27">
        <v>9</v>
      </c>
      <c r="B39" s="27" t="str">
        <f>'AEO14 rsstk'!D56</f>
        <v>Natural Gas Other</v>
      </c>
      <c r="C39" s="27">
        <f>'AEO14 rsstk'!A56</f>
        <v>1315433</v>
      </c>
      <c r="D39" s="27">
        <f>'AEO14 rsstk'!B56</f>
        <v>1190373</v>
      </c>
      <c r="E39" s="27">
        <f>'AEO14 rsstk'!C56</f>
        <v>16255</v>
      </c>
      <c r="G39" s="27">
        <f>'AEO14 UEC'!A56</f>
        <v>30.236999999999998</v>
      </c>
      <c r="H39" s="27">
        <f>'AEO14 UEC'!B56</f>
        <v>14.052</v>
      </c>
      <c r="I39" s="27">
        <f>'AEO14 UEC'!C56</f>
        <v>30.277999999999999</v>
      </c>
      <c r="K39" s="27">
        <f t="shared" si="0"/>
        <v>56994037.906999998</v>
      </c>
      <c r="L39" s="53">
        <f>SUM(K22:K39)/1000000000+L102</f>
        <v>2.8026888765779989</v>
      </c>
      <c r="M39" s="53">
        <f>USDemand!D137</f>
        <v>3.0893359999999999</v>
      </c>
      <c r="N39" s="52">
        <f t="shared" si="1"/>
        <v>60.131901658007791</v>
      </c>
    </row>
    <row r="40" spans="1:14">
      <c r="A40" s="27">
        <v>1</v>
      </c>
      <c r="B40" s="27" t="str">
        <f>'AEO14 rsstk'!D57</f>
        <v>Kerosene Furnaces</v>
      </c>
      <c r="C40" s="27">
        <f>'AEO14 rsstk'!A57</f>
        <v>46922</v>
      </c>
      <c r="D40" s="27">
        <f>'AEO14 rsstk'!B57</f>
        <v>8834</v>
      </c>
      <c r="E40" s="27">
        <f>'AEO14 rsstk'!C57</f>
        <v>24904</v>
      </c>
      <c r="G40" s="27">
        <f>'AEO14 UEC'!A57</f>
        <v>31.335000000000001</v>
      </c>
      <c r="H40" s="27">
        <f>'AEO14 UEC'!B57</f>
        <v>31.358000000000001</v>
      </c>
      <c r="I40" s="27">
        <f>'AEO14 UEC'!C57</f>
        <v>58.88</v>
      </c>
      <c r="K40" s="27">
        <f t="shared" si="0"/>
        <v>3213664.9620000003</v>
      </c>
      <c r="N40" s="52">
        <f t="shared" si="1"/>
        <v>3.3905965001478724</v>
      </c>
    </row>
    <row r="41" spans="1:14">
      <c r="A41" s="27">
        <v>2</v>
      </c>
      <c r="B41" s="27" t="str">
        <f>'AEO14 rsstk'!D58</f>
        <v>Kerosene Furnaces</v>
      </c>
      <c r="C41" s="27">
        <v>0</v>
      </c>
      <c r="D41" s="27">
        <v>0</v>
      </c>
      <c r="E41" s="27">
        <v>0</v>
      </c>
      <c r="G41" s="27">
        <v>0</v>
      </c>
      <c r="H41" s="27">
        <v>0</v>
      </c>
      <c r="I41" s="27">
        <v>0</v>
      </c>
      <c r="K41" s="27">
        <f t="shared" si="0"/>
        <v>0</v>
      </c>
      <c r="N41" s="52">
        <f t="shared" si="1"/>
        <v>0</v>
      </c>
    </row>
    <row r="42" spans="1:14">
      <c r="A42" s="27">
        <v>3</v>
      </c>
      <c r="B42" s="27" t="str">
        <f>'AEO14 rsstk'!D59</f>
        <v>Kerosene Furnaces</v>
      </c>
      <c r="C42" s="27">
        <f>'AEO14 rsstk'!A59</f>
        <v>0</v>
      </c>
      <c r="D42" s="27">
        <f>'AEO14 rsstk'!B59</f>
        <v>0</v>
      </c>
      <c r="E42" s="27">
        <f>'AEO14 rsstk'!C59</f>
        <v>0</v>
      </c>
      <c r="G42" s="27">
        <f>'AEO14 UEC'!A59</f>
        <v>0</v>
      </c>
      <c r="H42" s="27">
        <f>'AEO14 UEC'!B59</f>
        <v>0</v>
      </c>
      <c r="I42" s="27">
        <f>'AEO14 UEC'!C59</f>
        <v>0</v>
      </c>
      <c r="K42" s="27">
        <f t="shared" si="0"/>
        <v>0</v>
      </c>
      <c r="N42" s="52">
        <f t="shared" si="1"/>
        <v>0</v>
      </c>
    </row>
    <row r="43" spans="1:14">
      <c r="A43" s="27">
        <v>4</v>
      </c>
      <c r="B43" s="27" t="str">
        <f>'AEO14 rsstk'!D60</f>
        <v>Kerosene Furnaces</v>
      </c>
      <c r="C43" s="27">
        <f>'AEO14 rsstk'!A60</f>
        <v>0</v>
      </c>
      <c r="D43" s="27">
        <f>'AEO14 rsstk'!B60</f>
        <v>0</v>
      </c>
      <c r="E43" s="27">
        <f>'AEO14 rsstk'!C60</f>
        <v>0</v>
      </c>
      <c r="G43" s="27">
        <f>'AEO14 UEC'!A60</f>
        <v>0</v>
      </c>
      <c r="H43" s="27">
        <f>'AEO14 UEC'!B60</f>
        <v>0</v>
      </c>
      <c r="I43" s="27">
        <f>'AEO14 UEC'!C60</f>
        <v>0</v>
      </c>
      <c r="K43" s="27">
        <f t="shared" si="0"/>
        <v>0</v>
      </c>
      <c r="N43" s="52">
        <f t="shared" si="1"/>
        <v>0</v>
      </c>
    </row>
    <row r="44" spans="1:14">
      <c r="A44" s="27">
        <v>5</v>
      </c>
      <c r="B44" s="27" t="str">
        <f>'AEO14 rsstk'!D61</f>
        <v>Kerosene Furnaces</v>
      </c>
      <c r="C44" s="27">
        <f>'AEO14 rsstk'!A61</f>
        <v>107310</v>
      </c>
      <c r="D44" s="27">
        <f>'AEO14 rsstk'!B61</f>
        <v>0</v>
      </c>
      <c r="E44" s="27">
        <f>'AEO14 rsstk'!C61</f>
        <v>32712</v>
      </c>
      <c r="G44" s="27">
        <f>'AEO14 UEC'!A61</f>
        <v>29.036999999999999</v>
      </c>
      <c r="H44" s="27">
        <f>'AEO14 UEC'!B61</f>
        <v>0</v>
      </c>
      <c r="I44" s="27">
        <f>'AEO14 UEC'!C61</f>
        <v>26.515000000000001</v>
      </c>
      <c r="K44" s="27">
        <f t="shared" si="0"/>
        <v>3983319.15</v>
      </c>
      <c r="N44" s="52">
        <f t="shared" si="1"/>
        <v>4.2026247691224006</v>
      </c>
    </row>
    <row r="45" spans="1:14">
      <c r="A45" s="27">
        <v>6</v>
      </c>
      <c r="B45" s="27" t="str">
        <f>'AEO14 rsstk'!D62</f>
        <v>Kerosene Furnaces</v>
      </c>
      <c r="C45" s="27">
        <f>'AEO14 rsstk'!A62</f>
        <v>12110</v>
      </c>
      <c r="D45" s="27">
        <f>'AEO14 rsstk'!B62</f>
        <v>0</v>
      </c>
      <c r="E45" s="27">
        <f>'AEO14 rsstk'!C62</f>
        <v>0</v>
      </c>
      <c r="G45" s="27">
        <f>'AEO14 UEC'!A62</f>
        <v>24.408999999999999</v>
      </c>
      <c r="H45" s="27">
        <f>'AEO14 UEC'!B62</f>
        <v>0</v>
      </c>
      <c r="I45" s="27">
        <f>'AEO14 UEC'!C62</f>
        <v>0</v>
      </c>
      <c r="K45" s="27">
        <f t="shared" si="0"/>
        <v>295592.99</v>
      </c>
      <c r="N45" s="52">
        <f t="shared" si="1"/>
        <v>0.31186715765744005</v>
      </c>
    </row>
    <row r="46" spans="1:14">
      <c r="A46" s="27">
        <v>7</v>
      </c>
      <c r="B46" s="27" t="str">
        <f>'AEO14 rsstk'!D63</f>
        <v>Kerosene Furnaces</v>
      </c>
      <c r="C46" s="27">
        <f>'AEO14 rsstk'!A63</f>
        <v>0</v>
      </c>
      <c r="D46" s="27">
        <f>'AEO14 rsstk'!B63</f>
        <v>0</v>
      </c>
      <c r="E46" s="27">
        <f>'AEO14 rsstk'!C63</f>
        <v>0</v>
      </c>
      <c r="G46" s="27">
        <f>'AEO14 UEC'!A63</f>
        <v>0</v>
      </c>
      <c r="H46" s="27">
        <f>'AEO14 UEC'!B63</f>
        <v>0</v>
      </c>
      <c r="I46" s="27">
        <f>'AEO14 UEC'!C63</f>
        <v>0</v>
      </c>
      <c r="K46" s="27">
        <f t="shared" si="0"/>
        <v>0</v>
      </c>
      <c r="N46" s="52">
        <f t="shared" si="1"/>
        <v>0</v>
      </c>
    </row>
    <row r="47" spans="1:14">
      <c r="A47" s="27">
        <v>8</v>
      </c>
      <c r="B47" s="27" t="str">
        <f>'AEO14 rsstk'!D64</f>
        <v>Kerosene Furnaces</v>
      </c>
      <c r="C47" s="27">
        <f>'AEO14 rsstk'!A64</f>
        <v>0</v>
      </c>
      <c r="D47" s="27">
        <f>'AEO14 rsstk'!B64</f>
        <v>0</v>
      </c>
      <c r="E47" s="27">
        <f>'AEO14 rsstk'!C64</f>
        <v>0</v>
      </c>
      <c r="G47" s="27">
        <f>'AEO14 UEC'!A64</f>
        <v>0</v>
      </c>
      <c r="H47" s="27">
        <f>'AEO14 UEC'!B64</f>
        <v>0</v>
      </c>
      <c r="I47" s="27">
        <f>'AEO14 UEC'!C64</f>
        <v>0</v>
      </c>
      <c r="K47" s="27">
        <f t="shared" si="0"/>
        <v>0</v>
      </c>
      <c r="N47" s="52">
        <f t="shared" si="1"/>
        <v>0</v>
      </c>
    </row>
    <row r="48" spans="1:14">
      <c r="A48" s="27">
        <v>9</v>
      </c>
      <c r="B48" s="27" t="str">
        <f>'AEO14 rsstk'!D65</f>
        <v>Kerosene Furnaces</v>
      </c>
      <c r="C48" s="27">
        <f>'AEO14 rsstk'!A65</f>
        <v>7131</v>
      </c>
      <c r="D48" s="27">
        <f>'AEO14 rsstk'!B65</f>
        <v>8913</v>
      </c>
      <c r="E48" s="27">
        <f>'AEO14 rsstk'!C65</f>
        <v>15042</v>
      </c>
      <c r="G48" s="27">
        <f>'AEO14 UEC'!A65</f>
        <v>15.406000000000001</v>
      </c>
      <c r="H48" s="27">
        <f>'AEO14 UEC'!B65</f>
        <v>13.686999999999999</v>
      </c>
      <c r="I48" s="27">
        <f>'AEO14 UEC'!C65</f>
        <v>29.957000000000001</v>
      </c>
      <c r="K48" s="27">
        <f t="shared" si="0"/>
        <v>682465.61100000003</v>
      </c>
      <c r="L48" s="53">
        <f>SUM(K40:K48)/1000000000</f>
        <v>8.1750427129999997E-3</v>
      </c>
      <c r="M48" s="53">
        <f>USDemand!D159</f>
        <v>1.8530000000000001E-2</v>
      </c>
      <c r="N48" s="52">
        <f t="shared" si="1"/>
        <v>0.72003943767921597</v>
      </c>
    </row>
    <row r="49" spans="1:14">
      <c r="A49" s="27">
        <v>1</v>
      </c>
      <c r="B49" s="27" t="str">
        <f>'AEO14 rsstk'!D66</f>
        <v>LPG Furnaces</v>
      </c>
      <c r="C49" s="27">
        <f>'AEO14 rsstk'!A66</f>
        <v>96490</v>
      </c>
      <c r="D49" s="27">
        <f>'AEO14 rsstk'!B66</f>
        <v>66306</v>
      </c>
      <c r="E49" s="27">
        <f>'AEO14 rsstk'!C66</f>
        <v>4266</v>
      </c>
      <c r="G49" s="27">
        <f>'AEO14 UEC'!A66</f>
        <v>53.713000000000001</v>
      </c>
      <c r="H49" s="27">
        <f>'AEO14 UEC'!B66</f>
        <v>46.898000000000003</v>
      </c>
      <c r="I49" s="27">
        <f>'AEO14 UEC'!C66</f>
        <v>44.738</v>
      </c>
      <c r="K49" s="27">
        <f t="shared" si="0"/>
        <v>8483238.466</v>
      </c>
      <c r="N49" s="52">
        <f t="shared" si="1"/>
        <v>8.9502916429840962</v>
      </c>
    </row>
    <row r="50" spans="1:14">
      <c r="A50" s="27">
        <v>2</v>
      </c>
      <c r="B50" s="27" t="str">
        <f>'AEO14 rsstk'!D67</f>
        <v>LPG Furnaces</v>
      </c>
      <c r="C50" s="27">
        <v>0</v>
      </c>
      <c r="D50" s="27">
        <v>0</v>
      </c>
      <c r="E50" s="27">
        <v>0</v>
      </c>
      <c r="F50" s="27">
        <v>0</v>
      </c>
      <c r="G50" s="27">
        <v>0</v>
      </c>
      <c r="H50" s="27">
        <v>0</v>
      </c>
      <c r="I50" s="27">
        <v>0</v>
      </c>
      <c r="K50" s="27">
        <f t="shared" si="0"/>
        <v>0</v>
      </c>
      <c r="N50" s="52">
        <f t="shared" si="1"/>
        <v>0</v>
      </c>
    </row>
    <row r="51" spans="1:14">
      <c r="A51" s="27">
        <v>3</v>
      </c>
      <c r="B51" s="27" t="str">
        <f>'AEO14 rsstk'!D68</f>
        <v>LPG Furnaces</v>
      </c>
      <c r="C51" s="27">
        <f>'AEO14 rsstk'!A68</f>
        <v>913336</v>
      </c>
      <c r="D51" s="27">
        <f>'AEO14 rsstk'!B68</f>
        <v>61015</v>
      </c>
      <c r="E51" s="27">
        <f>'AEO14 rsstk'!C68</f>
        <v>112202</v>
      </c>
      <c r="G51" s="27">
        <f>'AEO14 UEC'!A68</f>
        <v>65.83</v>
      </c>
      <c r="H51" s="27">
        <f>'AEO14 UEC'!B68</f>
        <v>53.186999999999998</v>
      </c>
      <c r="I51" s="27">
        <f>'AEO14 UEC'!C68</f>
        <v>46.988</v>
      </c>
      <c r="K51" s="27">
        <f t="shared" si="0"/>
        <v>68642261.260999992</v>
      </c>
      <c r="N51" s="52">
        <f t="shared" si="1"/>
        <v>72.421429596985618</v>
      </c>
    </row>
    <row r="52" spans="1:14">
      <c r="A52" s="27">
        <v>4</v>
      </c>
      <c r="B52" s="27" t="str">
        <f>'AEO14 rsstk'!D69</f>
        <v>LPG Furnaces</v>
      </c>
      <c r="C52" s="27">
        <f>'AEO14 rsstk'!A69</f>
        <v>875643</v>
      </c>
      <c r="D52" s="27">
        <f>'AEO14 rsstk'!B69</f>
        <v>8317</v>
      </c>
      <c r="E52" s="27">
        <f>'AEO14 rsstk'!C69</f>
        <v>143019</v>
      </c>
      <c r="G52" s="27">
        <f>'AEO14 UEC'!A69</f>
        <v>70.402000000000001</v>
      </c>
      <c r="H52" s="27">
        <f>'AEO14 UEC'!B69</f>
        <v>51.378</v>
      </c>
      <c r="I52" s="27">
        <f>'AEO14 UEC'!C69</f>
        <v>57.533999999999999</v>
      </c>
      <c r="K52" s="27">
        <f t="shared" si="0"/>
        <v>70302784.458000004</v>
      </c>
      <c r="N52" s="52">
        <f t="shared" si="1"/>
        <v>74.173374559119651</v>
      </c>
    </row>
    <row r="53" spans="1:14">
      <c r="A53" s="27">
        <v>5</v>
      </c>
      <c r="B53" s="27" t="str">
        <f>'AEO14 rsstk'!D70</f>
        <v>LPG Furnaces</v>
      </c>
      <c r="C53" s="27">
        <f>'AEO14 rsstk'!A70</f>
        <v>496301</v>
      </c>
      <c r="D53" s="27">
        <f>'AEO14 rsstk'!B70</f>
        <v>14467</v>
      </c>
      <c r="E53" s="27">
        <f>'AEO14 rsstk'!C70</f>
        <v>163043</v>
      </c>
      <c r="G53" s="27">
        <f>'AEO14 UEC'!A70</f>
        <v>41.262</v>
      </c>
      <c r="H53" s="27">
        <f>'AEO14 UEC'!B70</f>
        <v>43.223999999999997</v>
      </c>
      <c r="I53" s="27">
        <f>'AEO14 UEC'!C70</f>
        <v>24.75</v>
      </c>
      <c r="K53" s="27">
        <f t="shared" si="0"/>
        <v>25139007.719999999</v>
      </c>
      <c r="N53" s="52">
        <f t="shared" si="1"/>
        <v>26.523060929032319</v>
      </c>
    </row>
    <row r="54" spans="1:14">
      <c r="A54" s="27">
        <v>6</v>
      </c>
      <c r="B54" s="27" t="str">
        <f>'AEO14 rsstk'!D71</f>
        <v>LPG Furnaces</v>
      </c>
      <c r="C54" s="27">
        <f>'AEO14 rsstk'!A71</f>
        <v>602041</v>
      </c>
      <c r="D54" s="27">
        <f>'AEO14 rsstk'!B71</f>
        <v>0</v>
      </c>
      <c r="E54" s="27">
        <f>'AEO14 rsstk'!C71</f>
        <v>117901</v>
      </c>
      <c r="G54" s="27">
        <f>'AEO14 UEC'!A71</f>
        <v>37.273000000000003</v>
      </c>
      <c r="H54" s="27">
        <f>'AEO14 UEC'!B71</f>
        <v>0</v>
      </c>
      <c r="I54" s="27">
        <f>'AEO14 UEC'!C71</f>
        <v>21.917999999999999</v>
      </c>
      <c r="K54" s="27">
        <f t="shared" si="0"/>
        <v>25024028.311000004</v>
      </c>
      <c r="N54" s="52">
        <f t="shared" si="1"/>
        <v>26.401751213690421</v>
      </c>
    </row>
    <row r="55" spans="1:14">
      <c r="A55" s="27">
        <v>7</v>
      </c>
      <c r="B55" s="27" t="str">
        <f>'AEO14 rsstk'!D72</f>
        <v>LPG Furnaces</v>
      </c>
      <c r="C55" s="27">
        <f>'AEO14 rsstk'!A72</f>
        <v>455740</v>
      </c>
      <c r="D55" s="27">
        <f>'AEO14 rsstk'!B72</f>
        <v>0</v>
      </c>
      <c r="E55" s="27">
        <f>'AEO14 rsstk'!C72</f>
        <v>48138</v>
      </c>
      <c r="G55" s="27">
        <f>'AEO14 UEC'!A72</f>
        <v>34.255000000000003</v>
      </c>
      <c r="H55" s="27">
        <f>'AEO14 UEC'!B72</f>
        <v>0</v>
      </c>
      <c r="I55" s="27">
        <f>'AEO14 UEC'!C72</f>
        <v>22.927</v>
      </c>
      <c r="K55" s="27">
        <f t="shared" si="0"/>
        <v>16715033.626000002</v>
      </c>
      <c r="N55" s="52">
        <f t="shared" si="1"/>
        <v>17.635296517313058</v>
      </c>
    </row>
    <row r="56" spans="1:14">
      <c r="A56" s="27">
        <v>8</v>
      </c>
      <c r="B56" s="27" t="str">
        <f>'AEO14 rsstk'!D73</f>
        <v>LPG Furnaces</v>
      </c>
      <c r="C56" s="27">
        <f>'AEO14 rsstk'!A73</f>
        <v>387981</v>
      </c>
      <c r="D56" s="27">
        <f>'AEO14 rsstk'!B73</f>
        <v>53483</v>
      </c>
      <c r="E56" s="27">
        <f>'AEO14 rsstk'!C73</f>
        <v>81131</v>
      </c>
      <c r="G56" s="27">
        <f>'AEO14 UEC'!A73</f>
        <v>57.05</v>
      </c>
      <c r="H56" s="27">
        <f>'AEO14 UEC'!B73</f>
        <v>56.204999999999998</v>
      </c>
      <c r="I56" s="27">
        <f>'AEO14 UEC'!C73</f>
        <v>37.421999999999997</v>
      </c>
      <c r="K56" s="27">
        <f t="shared" si="0"/>
        <v>28176412.347000003</v>
      </c>
      <c r="N56" s="52">
        <f t="shared" si="1"/>
        <v>29.727692905176436</v>
      </c>
    </row>
    <row r="57" spans="1:14">
      <c r="A57" s="27">
        <v>9</v>
      </c>
      <c r="B57" s="27" t="str">
        <f>'AEO14 rsstk'!D74</f>
        <v>LPG Furnaces</v>
      </c>
      <c r="C57" s="27">
        <f>'AEO14 rsstk'!A74</f>
        <v>272256</v>
      </c>
      <c r="D57" s="27">
        <f>'AEO14 rsstk'!B74</f>
        <v>21753</v>
      </c>
      <c r="E57" s="27">
        <f>'AEO14 rsstk'!C74</f>
        <v>40246</v>
      </c>
      <c r="G57" s="27">
        <f>'AEO14 UEC'!A74</f>
        <v>33.737000000000002</v>
      </c>
      <c r="H57" s="27">
        <f>'AEO14 UEC'!B74</f>
        <v>30.672999999999998</v>
      </c>
      <c r="I57" s="27">
        <f>'AEO14 UEC'!C74</f>
        <v>33.018000000000001</v>
      </c>
      <c r="K57" s="27">
        <f t="shared" si="0"/>
        <v>11181172.868999999</v>
      </c>
      <c r="L57" s="53">
        <f>SUM(K49:K57)/1000000000</f>
        <v>0.253663939058</v>
      </c>
      <c r="M57" s="53">
        <f>USDemand!D152</f>
        <v>0.36563099999999998</v>
      </c>
      <c r="N57" s="52">
        <f t="shared" si="1"/>
        <v>11.796763522475663</v>
      </c>
    </row>
    <row r="58" spans="1:14">
      <c r="A58" s="27">
        <v>1</v>
      </c>
      <c r="B58" s="27" t="str">
        <f>'AEO14 rsstk'!D75</f>
        <v>Distillate Furnaces</v>
      </c>
      <c r="C58" s="27">
        <f>'AEO14 rsstk'!A75</f>
        <v>690802</v>
      </c>
      <c r="D58" s="27">
        <f>'AEO14 rsstk'!B75</f>
        <v>88159</v>
      </c>
      <c r="E58" s="27">
        <f>'AEO14 rsstk'!C75</f>
        <v>29687</v>
      </c>
      <c r="G58" s="27">
        <f>'AEO14 UEC'!A75</f>
        <v>85.366</v>
      </c>
      <c r="H58" s="27">
        <f>'AEO14 UEC'!B75</f>
        <v>62.625999999999998</v>
      </c>
      <c r="I58" s="27">
        <f>'AEO14 UEC'!C75</f>
        <v>49.183</v>
      </c>
      <c r="K58" s="27">
        <f t="shared" si="0"/>
        <v>65952144.787</v>
      </c>
      <c r="N58" s="52">
        <f t="shared" si="1"/>
        <v>69.583206070393075</v>
      </c>
    </row>
    <row r="59" spans="1:14">
      <c r="A59" s="27">
        <v>2</v>
      </c>
      <c r="B59" s="27" t="str">
        <f>'AEO14 rsstk'!D76</f>
        <v>Distillate Furnaces</v>
      </c>
      <c r="C59" s="27">
        <f>'AEO14 rsstk'!A76</f>
        <v>786526</v>
      </c>
      <c r="D59" s="27">
        <f>'AEO14 rsstk'!B76</f>
        <v>203501</v>
      </c>
      <c r="E59" s="27">
        <f>'AEO14 rsstk'!C76</f>
        <v>16064</v>
      </c>
      <c r="G59" s="27">
        <f>'AEO14 UEC'!A76</f>
        <v>78.772000000000006</v>
      </c>
      <c r="H59" s="27">
        <f>'AEO14 UEC'!B76</f>
        <v>47.048999999999999</v>
      </c>
      <c r="I59" s="27">
        <f>'AEO14 UEC'!C76</f>
        <v>46.213999999999999</v>
      </c>
      <c r="K59" s="27">
        <f t="shared" si="0"/>
        <v>72273126.317000002</v>
      </c>
      <c r="N59" s="52">
        <f t="shared" si="1"/>
        <v>76.252195559508763</v>
      </c>
    </row>
    <row r="60" spans="1:14">
      <c r="A60" s="27">
        <v>3</v>
      </c>
      <c r="B60" s="27" t="str">
        <f>'AEO14 rsstk'!D77</f>
        <v>Distillate Furnaces</v>
      </c>
      <c r="C60" s="27">
        <f>'AEO14 rsstk'!A77</f>
        <v>252267</v>
      </c>
      <c r="D60" s="27">
        <f>'AEO14 rsstk'!B77</f>
        <v>10574</v>
      </c>
      <c r="E60" s="27">
        <f>'AEO14 rsstk'!C77</f>
        <v>0</v>
      </c>
      <c r="G60" s="27">
        <f>'AEO14 UEC'!A77</f>
        <v>56.375</v>
      </c>
      <c r="H60" s="27">
        <f>'AEO14 UEC'!B77</f>
        <v>62.411000000000001</v>
      </c>
      <c r="I60" s="27">
        <f>'AEO14 UEC'!C77</f>
        <v>0</v>
      </c>
      <c r="K60" s="27">
        <f t="shared" si="0"/>
        <v>14881486.039000001</v>
      </c>
      <c r="N60" s="52">
        <f t="shared" si="1"/>
        <v>15.700801134363186</v>
      </c>
    </row>
    <row r="61" spans="1:14">
      <c r="A61" s="27">
        <v>4</v>
      </c>
      <c r="B61" s="27" t="str">
        <f>'AEO14 rsstk'!D78</f>
        <v>Distillate Furnaces</v>
      </c>
      <c r="C61" s="27">
        <f>'AEO14 rsstk'!A78</f>
        <v>100113</v>
      </c>
      <c r="D61" s="27">
        <f>'AEO14 rsstk'!B78</f>
        <v>0</v>
      </c>
      <c r="E61" s="27">
        <f>'AEO14 rsstk'!C78</f>
        <v>0</v>
      </c>
      <c r="G61" s="27">
        <f>'AEO14 UEC'!A78</f>
        <v>67.8</v>
      </c>
      <c r="H61" s="27">
        <f>'AEO14 UEC'!B78</f>
        <v>0</v>
      </c>
      <c r="I61" s="27">
        <f>'AEO14 UEC'!C78</f>
        <v>0</v>
      </c>
      <c r="K61" s="27">
        <f t="shared" si="0"/>
        <v>6787661.3999999994</v>
      </c>
      <c r="N61" s="52">
        <f t="shared" si="1"/>
        <v>7.1613628860383995</v>
      </c>
    </row>
    <row r="62" spans="1:14">
      <c r="A62" s="27">
        <v>5</v>
      </c>
      <c r="B62" s="27" t="str">
        <f>'AEO14 rsstk'!D79</f>
        <v>Distillate Furnaces</v>
      </c>
      <c r="C62" s="27">
        <f>'AEO14 rsstk'!A79</f>
        <v>387196</v>
      </c>
      <c r="D62" s="27">
        <f>'AEO14 rsstk'!B79</f>
        <v>0</v>
      </c>
      <c r="E62" s="27">
        <f>'AEO14 rsstk'!C79</f>
        <v>0</v>
      </c>
      <c r="G62" s="27">
        <f>'AEO14 UEC'!A79</f>
        <v>60.462000000000003</v>
      </c>
      <c r="H62" s="27">
        <f>'AEO14 UEC'!B79</f>
        <v>0</v>
      </c>
      <c r="I62" s="27">
        <f>'AEO14 UEC'!C79</f>
        <v>0</v>
      </c>
      <c r="K62" s="27">
        <f t="shared" si="0"/>
        <v>23410644.552000001</v>
      </c>
      <c r="N62" s="52">
        <f t="shared" si="1"/>
        <v>24.699540998454914</v>
      </c>
    </row>
    <row r="63" spans="1:14">
      <c r="A63" s="27">
        <v>6</v>
      </c>
      <c r="B63" s="27" t="str">
        <f>'AEO14 rsstk'!D80</f>
        <v>Distillate Furnaces</v>
      </c>
      <c r="C63" s="27">
        <f>'AEO14 rsstk'!A80</f>
        <v>0</v>
      </c>
      <c r="D63" s="27">
        <f>'AEO14 rsstk'!B80</f>
        <v>0</v>
      </c>
      <c r="E63" s="27">
        <f>'AEO14 rsstk'!C80</f>
        <v>0</v>
      </c>
      <c r="G63" s="27">
        <f>'AEO14 UEC'!A80</f>
        <v>0</v>
      </c>
      <c r="H63" s="27">
        <f>'AEO14 UEC'!B80</f>
        <v>0</v>
      </c>
      <c r="I63" s="27">
        <f>'AEO14 UEC'!C80</f>
        <v>0</v>
      </c>
      <c r="K63" s="27">
        <f t="shared" si="0"/>
        <v>0</v>
      </c>
      <c r="N63" s="52">
        <f t="shared" si="1"/>
        <v>0</v>
      </c>
    </row>
    <row r="64" spans="1:14">
      <c r="A64" s="27">
        <v>7</v>
      </c>
      <c r="B64" s="27" t="str">
        <f>'AEO14 rsstk'!D81</f>
        <v>Distillate Furnaces</v>
      </c>
      <c r="C64" s="27">
        <f>'AEO14 rsstk'!A81</f>
        <v>0</v>
      </c>
      <c r="D64" s="27">
        <f>'AEO14 rsstk'!B81</f>
        <v>0</v>
      </c>
      <c r="E64" s="27">
        <f>'AEO14 rsstk'!C81</f>
        <v>0</v>
      </c>
      <c r="G64" s="27">
        <f>'AEO14 UEC'!A81</f>
        <v>0</v>
      </c>
      <c r="H64" s="27">
        <f>'AEO14 UEC'!B81</f>
        <v>0</v>
      </c>
      <c r="I64" s="27">
        <f>'AEO14 UEC'!C81</f>
        <v>0</v>
      </c>
      <c r="K64" s="27">
        <f t="shared" si="0"/>
        <v>0</v>
      </c>
      <c r="N64" s="52">
        <f t="shared" si="1"/>
        <v>0</v>
      </c>
    </row>
    <row r="65" spans="1:14">
      <c r="A65" s="27">
        <v>8</v>
      </c>
      <c r="B65" s="27" t="str">
        <f>'AEO14 rsstk'!D82</f>
        <v>Distillate Furnaces</v>
      </c>
      <c r="C65" s="27">
        <f>'AEO14 rsstk'!A82</f>
        <v>26365</v>
      </c>
      <c r="D65" s="27">
        <f>'AEO14 rsstk'!B82</f>
        <v>0</v>
      </c>
      <c r="E65" s="27">
        <f>'AEO14 rsstk'!C82</f>
        <v>0</v>
      </c>
      <c r="G65" s="27">
        <f>'AEO14 UEC'!A82</f>
        <v>43.456000000000003</v>
      </c>
      <c r="H65" s="27">
        <f>'AEO14 UEC'!B82</f>
        <v>0</v>
      </c>
      <c r="I65" s="27">
        <f>'AEO14 UEC'!C82</f>
        <v>0</v>
      </c>
      <c r="K65" s="27">
        <f t="shared" si="0"/>
        <v>1145717.4400000002</v>
      </c>
      <c r="N65" s="52">
        <f t="shared" si="1"/>
        <v>1.2087960593766403</v>
      </c>
    </row>
    <row r="66" spans="1:14">
      <c r="A66" s="27">
        <v>9</v>
      </c>
      <c r="B66" s="27" t="str">
        <f>'AEO14 rsstk'!D83</f>
        <v>Distillate Furnaces</v>
      </c>
      <c r="C66" s="27">
        <f>'AEO14 rsstk'!A83</f>
        <v>84370</v>
      </c>
      <c r="D66" s="27">
        <f>'AEO14 rsstk'!B83</f>
        <v>0</v>
      </c>
      <c r="E66" s="27">
        <f>'AEO14 rsstk'!C83</f>
        <v>0</v>
      </c>
      <c r="G66" s="27">
        <f>'AEO14 UEC'!A83</f>
        <v>57.127000000000002</v>
      </c>
      <c r="H66" s="27">
        <f>'AEO14 UEC'!B83</f>
        <v>0</v>
      </c>
      <c r="I66" s="27">
        <f>'AEO14 UEC'!C83</f>
        <v>0</v>
      </c>
      <c r="K66" s="27">
        <f t="shared" si="0"/>
        <v>4819804.99</v>
      </c>
      <c r="N66" s="52">
        <f t="shared" si="1"/>
        <v>5.0851641735294404</v>
      </c>
    </row>
    <row r="67" spans="1:14">
      <c r="A67" s="27">
        <v>1</v>
      </c>
      <c r="B67" s="27" t="str">
        <f>'AEO14 rsstk'!D84</f>
        <v>Distillate Other</v>
      </c>
      <c r="C67" s="27">
        <f>'AEO14 rsstk'!A84</f>
        <v>1160522</v>
      </c>
      <c r="D67" s="27">
        <f>'AEO14 rsstk'!B84</f>
        <v>318220</v>
      </c>
      <c r="E67" s="27">
        <f>'AEO14 rsstk'!C84</f>
        <v>6166</v>
      </c>
      <c r="G67" s="27">
        <f>'AEO14 UEC'!A84</f>
        <v>87.555000000000007</v>
      </c>
      <c r="H67" s="27">
        <f>'AEO14 UEC'!B84</f>
        <v>64.230999999999995</v>
      </c>
      <c r="I67" s="27">
        <f>'AEO14 UEC'!C84</f>
        <v>50.444000000000003</v>
      </c>
      <c r="K67" s="27">
        <f t="shared" si="0"/>
        <v>122360130.234</v>
      </c>
      <c r="N67" s="52">
        <f t="shared" si="1"/>
        <v>129.09678956416312</v>
      </c>
    </row>
    <row r="68" spans="1:14">
      <c r="A68" s="27">
        <v>2</v>
      </c>
      <c r="B68" s="27" t="str">
        <f>'AEO14 rsstk'!D85</f>
        <v>Distillate Other</v>
      </c>
      <c r="C68" s="27">
        <f>'AEO14 rsstk'!A85</f>
        <v>1271386</v>
      </c>
      <c r="D68" s="27">
        <f>'AEO14 rsstk'!B85</f>
        <v>1142580</v>
      </c>
      <c r="E68" s="27">
        <f>'AEO14 rsstk'!C85</f>
        <v>0</v>
      </c>
      <c r="G68" s="27">
        <f>'AEO14 UEC'!A85</f>
        <v>80.792000000000002</v>
      </c>
      <c r="H68" s="27">
        <f>'AEO14 UEC'!B85</f>
        <v>48.256</v>
      </c>
      <c r="I68" s="27">
        <f>'AEO14 UEC'!C85</f>
        <v>0</v>
      </c>
      <c r="K68" s="27">
        <f t="shared" si="0"/>
        <v>157854158.192</v>
      </c>
      <c r="N68" s="52">
        <f t="shared" si="1"/>
        <v>166.54497672541876</v>
      </c>
    </row>
    <row r="69" spans="1:14">
      <c r="A69" s="27">
        <v>3</v>
      </c>
      <c r="B69" s="27" t="str">
        <f>'AEO14 rsstk'!D86</f>
        <v>Distillate Other</v>
      </c>
      <c r="C69" s="27">
        <f>'AEO14 rsstk'!A86</f>
        <v>49947</v>
      </c>
      <c r="D69" s="27">
        <f>'AEO14 rsstk'!B86</f>
        <v>0</v>
      </c>
      <c r="E69" s="27">
        <f>'AEO14 rsstk'!C86</f>
        <v>0</v>
      </c>
      <c r="G69" s="27">
        <f>'AEO14 UEC'!A86</f>
        <v>57.820999999999998</v>
      </c>
      <c r="H69" s="27">
        <f>'AEO14 UEC'!B86</f>
        <v>0</v>
      </c>
      <c r="I69" s="27">
        <f>'AEO14 UEC'!C86</f>
        <v>0</v>
      </c>
      <c r="K69" s="27">
        <f t="shared" ref="K69:K132" si="2">SUMPRODUCT(C69:E69,G69:I69)</f>
        <v>2887985.4869999997</v>
      </c>
      <c r="N69" s="52">
        <f t="shared" ref="N69:N132" si="3">K69/1000000000*$O$1</f>
        <v>3.0469864159722717</v>
      </c>
    </row>
    <row r="70" spans="1:14">
      <c r="A70" s="27">
        <v>4</v>
      </c>
      <c r="B70" s="27" t="str">
        <f>'AEO14 rsstk'!D87</f>
        <v>Distillate Other</v>
      </c>
      <c r="C70" s="27">
        <f>'AEO14 rsstk'!A87</f>
        <v>41616</v>
      </c>
      <c r="D70" s="27">
        <f>'AEO14 rsstk'!B87</f>
        <v>20347</v>
      </c>
      <c r="E70" s="27">
        <f>'AEO14 rsstk'!C87</f>
        <v>0</v>
      </c>
      <c r="G70" s="27">
        <f>'AEO14 UEC'!A87</f>
        <v>69.539000000000001</v>
      </c>
      <c r="H70" s="27">
        <f>'AEO14 UEC'!B87</f>
        <v>58.026000000000003</v>
      </c>
      <c r="I70" s="27">
        <f>'AEO14 UEC'!C87</f>
        <v>0</v>
      </c>
      <c r="K70" s="27">
        <f t="shared" si="2"/>
        <v>4074590.0460000001</v>
      </c>
      <c r="N70" s="52">
        <f t="shared" si="3"/>
        <v>4.2989206755725764</v>
      </c>
    </row>
    <row r="71" spans="1:14">
      <c r="A71" s="27">
        <v>5</v>
      </c>
      <c r="B71" s="27" t="str">
        <f>'AEO14 rsstk'!D88</f>
        <v>Distillate Other</v>
      </c>
      <c r="C71" s="27">
        <f>'AEO14 rsstk'!A88</f>
        <v>206185</v>
      </c>
      <c r="D71" s="27">
        <f>'AEO14 rsstk'!B88</f>
        <v>15361</v>
      </c>
      <c r="E71" s="27">
        <f>'AEO14 rsstk'!C88</f>
        <v>0</v>
      </c>
      <c r="G71" s="27">
        <f>'AEO14 UEC'!A88</f>
        <v>62.012</v>
      </c>
      <c r="H71" s="27">
        <f>'AEO14 UEC'!B88</f>
        <v>45.314999999999998</v>
      </c>
      <c r="I71" s="27">
        <f>'AEO14 UEC'!C88</f>
        <v>0</v>
      </c>
      <c r="K71" s="27">
        <f t="shared" si="2"/>
        <v>13482027.935000001</v>
      </c>
      <c r="N71" s="52">
        <f t="shared" si="3"/>
        <v>14.224294464989361</v>
      </c>
    </row>
    <row r="72" spans="1:14">
      <c r="A72" s="27">
        <v>6</v>
      </c>
      <c r="B72" s="27" t="str">
        <f>'AEO14 rsstk'!D89</f>
        <v>Distillate Other</v>
      </c>
      <c r="C72" s="27">
        <f>'AEO14 rsstk'!A89</f>
        <v>0</v>
      </c>
      <c r="D72" s="27">
        <f>'AEO14 rsstk'!B89</f>
        <v>0</v>
      </c>
      <c r="E72" s="27">
        <f>'AEO14 rsstk'!C89</f>
        <v>0</v>
      </c>
      <c r="G72" s="27">
        <f>'AEO14 UEC'!A89</f>
        <v>0</v>
      </c>
      <c r="H72" s="27">
        <f>'AEO14 UEC'!B89</f>
        <v>0</v>
      </c>
      <c r="I72" s="27">
        <f>'AEO14 UEC'!C89</f>
        <v>0</v>
      </c>
      <c r="K72" s="27">
        <f t="shared" si="2"/>
        <v>0</v>
      </c>
      <c r="N72" s="52">
        <f t="shared" si="3"/>
        <v>0</v>
      </c>
    </row>
    <row r="73" spans="1:14">
      <c r="A73" s="27">
        <v>7</v>
      </c>
      <c r="B73" s="27" t="str">
        <f>'AEO14 rsstk'!D90</f>
        <v>Distillate Other</v>
      </c>
      <c r="C73" s="27">
        <f>'AEO14 rsstk'!A90</f>
        <v>0</v>
      </c>
      <c r="D73" s="27">
        <f>'AEO14 rsstk'!B90</f>
        <v>0</v>
      </c>
      <c r="E73" s="27">
        <f>'AEO14 rsstk'!C90</f>
        <v>0</v>
      </c>
      <c r="G73" s="27">
        <f>'AEO14 UEC'!A90</f>
        <v>0</v>
      </c>
      <c r="H73" s="27">
        <f>'AEO14 UEC'!B90</f>
        <v>0</v>
      </c>
      <c r="I73" s="27">
        <f>'AEO14 UEC'!C90</f>
        <v>0</v>
      </c>
      <c r="K73" s="27">
        <f t="shared" si="2"/>
        <v>0</v>
      </c>
      <c r="N73" s="52">
        <f t="shared" si="3"/>
        <v>0</v>
      </c>
    </row>
    <row r="74" spans="1:14">
      <c r="A74" s="27">
        <v>8</v>
      </c>
      <c r="B74" s="27" t="str">
        <f>'AEO14 rsstk'!D91</f>
        <v>Distillate Other</v>
      </c>
      <c r="C74" s="27">
        <f>'AEO14 rsstk'!A91</f>
        <v>0</v>
      </c>
      <c r="D74" s="27">
        <f>'AEO14 rsstk'!B91</f>
        <v>0</v>
      </c>
      <c r="E74" s="27">
        <f>'AEO14 rsstk'!C91</f>
        <v>0</v>
      </c>
      <c r="G74" s="27">
        <f>'AEO14 UEC'!A91</f>
        <v>0</v>
      </c>
      <c r="H74" s="27">
        <f>'AEO14 UEC'!B91</f>
        <v>0</v>
      </c>
      <c r="I74" s="27">
        <f>'AEO14 UEC'!C91</f>
        <v>0</v>
      </c>
      <c r="K74" s="27">
        <f t="shared" si="2"/>
        <v>0</v>
      </c>
      <c r="N74" s="52">
        <f t="shared" si="3"/>
        <v>0</v>
      </c>
    </row>
    <row r="75" spans="1:14">
      <c r="A75" s="27">
        <v>9</v>
      </c>
      <c r="B75" s="27" t="str">
        <f>'AEO14 rsstk'!D92</f>
        <v>Distillate Other</v>
      </c>
      <c r="C75" s="27">
        <f>'AEO14 rsstk'!A92</f>
        <v>17720</v>
      </c>
      <c r="D75" s="27">
        <f>'AEO14 rsstk'!B92</f>
        <v>0</v>
      </c>
      <c r="E75" s="27">
        <f>'AEO14 rsstk'!C92</f>
        <v>0</v>
      </c>
      <c r="G75" s="27">
        <f>'AEO14 UEC'!A92</f>
        <v>58.591999999999999</v>
      </c>
      <c r="H75" s="27">
        <f>'AEO14 UEC'!B92</f>
        <v>0</v>
      </c>
      <c r="I75" s="27">
        <f>'AEO14 UEC'!C92</f>
        <v>0</v>
      </c>
      <c r="K75" s="27">
        <f t="shared" si="2"/>
        <v>1038250.24</v>
      </c>
      <c r="L75" s="53">
        <f>SUM(K58:K75)/1000000000</f>
        <v>0.4909677276590001</v>
      </c>
      <c r="M75" s="53">
        <f>USDemand!D146</f>
        <v>0.45935300000000001</v>
      </c>
      <c r="N75" s="52">
        <f t="shared" si="3"/>
        <v>1.09541214521344</v>
      </c>
    </row>
    <row r="76" spans="1:14">
      <c r="A76" s="27">
        <v>1</v>
      </c>
      <c r="B76" s="27" t="str">
        <f>'AEO14 rsstk'!D93</f>
        <v>Wood Stoves</v>
      </c>
      <c r="C76" s="27">
        <f>'AEO14 rsstk'!A93</f>
        <v>267558</v>
      </c>
      <c r="D76" s="27">
        <f>'AEO14 rsstk'!B93</f>
        <v>0</v>
      </c>
      <c r="E76" s="27">
        <f>'AEO14 rsstk'!C93</f>
        <v>0</v>
      </c>
      <c r="G76" s="27">
        <f>'AEO14 UEC'!A93</f>
        <v>122.90300000000001</v>
      </c>
      <c r="H76" s="27">
        <f>'AEO14 UEC'!B93</f>
        <v>0</v>
      </c>
      <c r="I76" s="27">
        <f>'AEO14 UEC'!C93</f>
        <v>0</v>
      </c>
      <c r="K76" s="27">
        <f t="shared" si="2"/>
        <v>32883680.874000002</v>
      </c>
      <c r="N76" s="52">
        <f t="shared" si="3"/>
        <v>34.69412480819895</v>
      </c>
    </row>
    <row r="77" spans="1:14">
      <c r="A77" s="27">
        <v>2</v>
      </c>
      <c r="B77" s="27" t="str">
        <f>'AEO14 rsstk'!D94</f>
        <v>Wood Stoves</v>
      </c>
      <c r="C77" s="27">
        <v>0</v>
      </c>
      <c r="D77" s="27">
        <v>0</v>
      </c>
      <c r="E77" s="27">
        <v>0</v>
      </c>
      <c r="G77" s="27">
        <v>0</v>
      </c>
      <c r="H77" s="27">
        <f>'AEO14 UEC'!B94</f>
        <v>0</v>
      </c>
      <c r="I77" s="27">
        <v>0</v>
      </c>
      <c r="K77" s="27">
        <f t="shared" si="2"/>
        <v>0</v>
      </c>
      <c r="N77" s="52">
        <f t="shared" si="3"/>
        <v>0</v>
      </c>
    </row>
    <row r="78" spans="1:14">
      <c r="A78" s="27">
        <v>3</v>
      </c>
      <c r="B78" s="27" t="str">
        <f>'AEO14 rsstk'!D95</f>
        <v>Wood Stoves</v>
      </c>
      <c r="C78" s="27">
        <f>'AEO14 rsstk'!A95</f>
        <v>321984</v>
      </c>
      <c r="D78" s="27">
        <f>'AEO14 rsstk'!B95</f>
        <v>11026</v>
      </c>
      <c r="E78" s="27">
        <f>'AEO14 rsstk'!C95</f>
        <v>57328</v>
      </c>
      <c r="G78" s="27">
        <f>'AEO14 UEC'!A95</f>
        <v>156.09700000000001</v>
      </c>
      <c r="H78" s="27">
        <f>'AEO14 UEC'!B95</f>
        <v>135.49100000000001</v>
      </c>
      <c r="I78" s="27">
        <f>'AEO14 UEC'!C95</f>
        <v>91.671999999999997</v>
      </c>
      <c r="K78" s="27">
        <f t="shared" si="2"/>
        <v>57010032.63000001</v>
      </c>
      <c r="N78" s="52">
        <f t="shared" si="3"/>
        <v>60.148776986477294</v>
      </c>
    </row>
    <row r="79" spans="1:14">
      <c r="A79" s="27">
        <v>4</v>
      </c>
      <c r="B79" s="27" t="str">
        <f>'AEO14 rsstk'!D96</f>
        <v>Wood Stoves</v>
      </c>
      <c r="C79" s="27">
        <f>'AEO14 rsstk'!A96</f>
        <v>221229</v>
      </c>
      <c r="D79" s="27">
        <f>'AEO14 rsstk'!B96</f>
        <v>0</v>
      </c>
      <c r="E79" s="27">
        <f>'AEO14 rsstk'!C96</f>
        <v>14142</v>
      </c>
      <c r="G79" s="27">
        <f>'AEO14 UEC'!A96</f>
        <v>152.518</v>
      </c>
      <c r="H79" s="27">
        <f>'AEO14 UEC'!B96</f>
        <v>0</v>
      </c>
      <c r="I79" s="27">
        <f>'AEO14 UEC'!C96</f>
        <v>210.16900000000001</v>
      </c>
      <c r="K79" s="27">
        <f t="shared" si="2"/>
        <v>36713614.620000005</v>
      </c>
      <c r="N79" s="52">
        <f t="shared" si="3"/>
        <v>38.734919386518726</v>
      </c>
    </row>
    <row r="80" spans="1:14">
      <c r="A80" s="27">
        <v>5</v>
      </c>
      <c r="B80" s="27" t="str">
        <f>'AEO14 rsstk'!D97</f>
        <v>Wood Stoves</v>
      </c>
      <c r="C80" s="27">
        <f>'AEO14 rsstk'!A97</f>
        <v>330342</v>
      </c>
      <c r="D80" s="27">
        <f>'AEO14 rsstk'!B97</f>
        <v>6344</v>
      </c>
      <c r="E80" s="27">
        <f>'AEO14 rsstk'!C97</f>
        <v>49289</v>
      </c>
      <c r="G80" s="27">
        <f>'AEO14 UEC'!A97</f>
        <v>136.744</v>
      </c>
      <c r="H80" s="27">
        <f>'AEO14 UEC'!B97</f>
        <v>165.77199999999999</v>
      </c>
      <c r="I80" s="27">
        <f>'AEO14 UEC'!C97</f>
        <v>251.072</v>
      </c>
      <c r="K80" s="27">
        <f t="shared" si="2"/>
        <v>58599031.824000001</v>
      </c>
      <c r="N80" s="52">
        <f t="shared" si="3"/>
        <v>61.825260120102151</v>
      </c>
    </row>
    <row r="81" spans="1:14">
      <c r="A81" s="27">
        <v>6</v>
      </c>
      <c r="B81" s="27" t="str">
        <f>'AEO14 rsstk'!D98</f>
        <v>Wood Stoves</v>
      </c>
      <c r="C81" s="27">
        <f>'AEO14 rsstk'!A98</f>
        <v>221769</v>
      </c>
      <c r="D81" s="27">
        <f>'AEO14 rsstk'!B98</f>
        <v>0</v>
      </c>
      <c r="E81" s="27">
        <f>'AEO14 rsstk'!C98</f>
        <v>20088</v>
      </c>
      <c r="G81" s="27">
        <f>'AEO14 UEC'!A98</f>
        <v>113.94799999999999</v>
      </c>
      <c r="H81" s="27">
        <f>'AEO14 UEC'!B98</f>
        <v>0</v>
      </c>
      <c r="I81" s="27">
        <f>'AEO14 UEC'!C98</f>
        <v>84.122</v>
      </c>
      <c r="K81" s="27">
        <f t="shared" si="2"/>
        <v>26959976.748</v>
      </c>
      <c r="N81" s="52">
        <f t="shared" si="3"/>
        <v>28.444285227837888</v>
      </c>
    </row>
    <row r="82" spans="1:14">
      <c r="A82" s="27">
        <v>7</v>
      </c>
      <c r="B82" s="27" t="str">
        <f>'AEO14 rsstk'!D99</f>
        <v>Wood Stoves</v>
      </c>
      <c r="C82" s="27">
        <f>'AEO14 rsstk'!A99</f>
        <v>127955</v>
      </c>
      <c r="D82" s="27">
        <f>'AEO14 rsstk'!B99</f>
        <v>0</v>
      </c>
      <c r="E82" s="27">
        <f>'AEO14 rsstk'!C99</f>
        <v>51285</v>
      </c>
      <c r="G82" s="27">
        <f>'AEO14 UEC'!A99</f>
        <v>111.03100000000001</v>
      </c>
      <c r="H82" s="27">
        <f>'AEO14 UEC'!B99</f>
        <v>0</v>
      </c>
      <c r="I82" s="27">
        <f>'AEO14 UEC'!C99</f>
        <v>85.197999999999993</v>
      </c>
      <c r="K82" s="27">
        <f t="shared" si="2"/>
        <v>18576351.035</v>
      </c>
      <c r="N82" s="52">
        <f t="shared" si="3"/>
        <v>19.599090617582963</v>
      </c>
    </row>
    <row r="83" spans="1:14">
      <c r="A83" s="27">
        <v>8</v>
      </c>
      <c r="B83" s="27" t="str">
        <f>'AEO14 rsstk'!D100</f>
        <v>Wood Stoves</v>
      </c>
      <c r="C83" s="27">
        <f>'AEO14 rsstk'!A100</f>
        <v>189761</v>
      </c>
      <c r="D83" s="27">
        <f>'AEO14 rsstk'!B100</f>
        <v>0</v>
      </c>
      <c r="E83" s="27">
        <f>'AEO14 rsstk'!C100</f>
        <v>7421</v>
      </c>
      <c r="G83" s="27">
        <f>'AEO14 UEC'!A100</f>
        <v>92.501999999999995</v>
      </c>
      <c r="H83" s="27">
        <f>'AEO14 UEC'!B100</f>
        <v>0</v>
      </c>
      <c r="I83" s="27">
        <f>'AEO14 UEC'!C100</f>
        <v>90.143000000000001</v>
      </c>
      <c r="K83" s="27">
        <f t="shared" si="2"/>
        <v>18222223.225000001</v>
      </c>
      <c r="N83" s="52">
        <f t="shared" si="3"/>
        <v>19.225465946875602</v>
      </c>
    </row>
    <row r="84" spans="1:14">
      <c r="A84" s="27">
        <v>9</v>
      </c>
      <c r="B84" s="27" t="str">
        <f>'AEO14 rsstk'!D101</f>
        <v>Wood Stoves</v>
      </c>
      <c r="C84" s="27">
        <f>'AEO14 rsstk'!A101</f>
        <v>535473</v>
      </c>
      <c r="D84" s="27">
        <f>'AEO14 rsstk'!B101</f>
        <v>0</v>
      </c>
      <c r="E84" s="27">
        <f>'AEO14 rsstk'!C101</f>
        <v>65171</v>
      </c>
      <c r="G84" s="27">
        <f>'AEO14 UEC'!A101</f>
        <v>85.974000000000004</v>
      </c>
      <c r="H84" s="27">
        <f>'AEO14 UEC'!B101</f>
        <v>0</v>
      </c>
      <c r="I84" s="27">
        <f>'AEO14 UEC'!C101</f>
        <v>77.067999999999998</v>
      </c>
      <c r="K84" s="27">
        <f t="shared" si="2"/>
        <v>51059354.329999998</v>
      </c>
      <c r="L84" s="53">
        <f>((SUM(K76:K84)+SUM(K499:K507))/1000000000)</f>
        <v>0.46667764889100005</v>
      </c>
      <c r="M84" s="53">
        <f>USDemand!D158</f>
        <v>0.53766800000000003</v>
      </c>
      <c r="N84" s="52">
        <f t="shared" si="3"/>
        <v>53.870478141992486</v>
      </c>
    </row>
    <row r="85" spans="1:14">
      <c r="A85" s="27">
        <v>1</v>
      </c>
      <c r="B85" s="27" t="str">
        <f>'AEO14 rsstk'!D102</f>
        <v>Ground Source Heat Pumps (heat)</v>
      </c>
      <c r="C85" s="27">
        <f>'AEO14 rsstk'!A102</f>
        <v>6603</v>
      </c>
      <c r="D85" s="27">
        <f>'AEO14 rsstk'!B102</f>
        <v>0</v>
      </c>
      <c r="E85" s="27">
        <f>'AEO14 rsstk'!C102</f>
        <v>0</v>
      </c>
      <c r="G85" s="27">
        <f>'AEO14 UEC'!A102</f>
        <v>4.9089999999999998</v>
      </c>
      <c r="H85" s="27">
        <f>'AEO14 UEC'!B102</f>
        <v>0</v>
      </c>
      <c r="I85" s="27">
        <f>'AEO14 UEC'!C102</f>
        <v>0</v>
      </c>
      <c r="K85" s="27">
        <f t="shared" si="2"/>
        <v>32414.127</v>
      </c>
      <c r="N85" s="52">
        <f t="shared" si="3"/>
        <v>3.4198719176112002E-2</v>
      </c>
    </row>
    <row r="86" spans="1:14">
      <c r="A86" s="27">
        <v>2</v>
      </c>
      <c r="B86" s="27" t="str">
        <f>'AEO14 rsstk'!D103</f>
        <v>Ground Source Heat Pumps (heat)</v>
      </c>
      <c r="C86" s="27">
        <f>'AEO14 rsstk'!A103</f>
        <v>99423</v>
      </c>
      <c r="D86" s="27">
        <f>'AEO14 rsstk'!B103</f>
        <v>0</v>
      </c>
      <c r="E86" s="27">
        <f>'AEO14 rsstk'!C103</f>
        <v>0</v>
      </c>
      <c r="G86" s="27">
        <f>'AEO14 UEC'!A103</f>
        <v>5.2069999999999999</v>
      </c>
      <c r="H86" s="27">
        <f>'AEO14 UEC'!B103</f>
        <v>0</v>
      </c>
      <c r="I86" s="27">
        <f>'AEO14 UEC'!C103</f>
        <v>0</v>
      </c>
      <c r="K86" s="27">
        <f t="shared" si="2"/>
        <v>517695.56099999999</v>
      </c>
      <c r="N86" s="52">
        <f t="shared" si="3"/>
        <v>0.54619780780641602</v>
      </c>
    </row>
    <row r="87" spans="1:14">
      <c r="A87" s="27">
        <v>3</v>
      </c>
      <c r="B87" s="27" t="str">
        <f>'AEO14 rsstk'!D104</f>
        <v>Ground Source Heat Pumps (heat)</v>
      </c>
      <c r="C87" s="27">
        <f>'AEO14 rsstk'!A104</f>
        <v>112580</v>
      </c>
      <c r="D87" s="27">
        <f>'AEO14 rsstk'!B104</f>
        <v>0</v>
      </c>
      <c r="E87" s="27">
        <f>'AEO14 rsstk'!C104</f>
        <v>0</v>
      </c>
      <c r="G87" s="27">
        <f>'AEO14 UEC'!A104</f>
        <v>6.1660000000000004</v>
      </c>
      <c r="H87" s="27">
        <f>'AEO14 UEC'!B104</f>
        <v>0</v>
      </c>
      <c r="I87" s="27">
        <f>'AEO14 UEC'!C104</f>
        <v>0</v>
      </c>
      <c r="K87" s="27">
        <f t="shared" si="2"/>
        <v>694168.28</v>
      </c>
      <c r="N87" s="52">
        <f t="shared" si="3"/>
        <v>0.73238640882368011</v>
      </c>
    </row>
    <row r="88" spans="1:14">
      <c r="A88" s="27">
        <v>4</v>
      </c>
      <c r="B88" s="27" t="str">
        <f>'AEO14 rsstk'!D105</f>
        <v>Ground Source Heat Pumps (heat)</v>
      </c>
      <c r="C88" s="27">
        <f>'AEO14 rsstk'!A105</f>
        <v>127509</v>
      </c>
      <c r="D88" s="27">
        <f>'AEO14 rsstk'!B105</f>
        <v>0</v>
      </c>
      <c r="E88" s="27">
        <f>'AEO14 rsstk'!C105</f>
        <v>0</v>
      </c>
      <c r="G88" s="27">
        <f>'AEO14 UEC'!A105</f>
        <v>6.1189999999999998</v>
      </c>
      <c r="H88" s="27">
        <f>'AEO14 UEC'!B105</f>
        <v>0</v>
      </c>
      <c r="I88" s="27">
        <f>'AEO14 UEC'!C105</f>
        <v>0</v>
      </c>
      <c r="K88" s="27">
        <f t="shared" si="2"/>
        <v>780227.571</v>
      </c>
      <c r="N88" s="52">
        <f t="shared" si="3"/>
        <v>0.82318378014897597</v>
      </c>
    </row>
    <row r="89" spans="1:14">
      <c r="A89" s="27">
        <v>5</v>
      </c>
      <c r="B89" s="27" t="str">
        <f>'AEO14 rsstk'!D106</f>
        <v>Ground Source Heat Pumps (heat)</v>
      </c>
      <c r="C89" s="27">
        <f>'AEO14 rsstk'!A106</f>
        <v>92917</v>
      </c>
      <c r="D89" s="27">
        <f>'AEO14 rsstk'!B106</f>
        <v>0</v>
      </c>
      <c r="E89" s="27">
        <f>'AEO14 rsstk'!C106</f>
        <v>0</v>
      </c>
      <c r="G89" s="27">
        <f>'AEO14 UEC'!A106</f>
        <v>3.46</v>
      </c>
      <c r="H89" s="27">
        <f>'AEO14 UEC'!B106</f>
        <v>0</v>
      </c>
      <c r="I89" s="27">
        <f>'AEO14 UEC'!C106</f>
        <v>0</v>
      </c>
      <c r="K89" s="27">
        <f t="shared" si="2"/>
        <v>321492.82</v>
      </c>
      <c r="N89" s="52">
        <f t="shared" si="3"/>
        <v>0.33919292869792006</v>
      </c>
    </row>
    <row r="90" spans="1:14">
      <c r="A90" s="27">
        <v>6</v>
      </c>
      <c r="B90" s="27" t="str">
        <f>'AEO14 rsstk'!D107</f>
        <v>Ground Source Heat Pumps (heat)</v>
      </c>
      <c r="C90" s="27">
        <f>'AEO14 rsstk'!A107</f>
        <v>108807</v>
      </c>
      <c r="D90" s="27">
        <f>'AEO14 rsstk'!B107</f>
        <v>0</v>
      </c>
      <c r="E90" s="27">
        <f>'AEO14 rsstk'!C107</f>
        <v>0</v>
      </c>
      <c r="G90" s="27">
        <f>'AEO14 UEC'!A107</f>
        <v>4.4619999999999997</v>
      </c>
      <c r="H90" s="27">
        <f>'AEO14 UEC'!B107</f>
        <v>0</v>
      </c>
      <c r="I90" s="27">
        <f>'AEO14 UEC'!C107</f>
        <v>0</v>
      </c>
      <c r="K90" s="27">
        <f t="shared" si="2"/>
        <v>485496.83399999997</v>
      </c>
      <c r="N90" s="52">
        <f t="shared" si="3"/>
        <v>0.51222634769270392</v>
      </c>
    </row>
    <row r="91" spans="1:14">
      <c r="A91" s="27">
        <v>7</v>
      </c>
      <c r="B91" s="27" t="str">
        <f>'AEO14 rsstk'!D108</f>
        <v>Ground Source Heat Pumps (heat)</v>
      </c>
      <c r="C91" s="27">
        <f>'AEO14 rsstk'!A108</f>
        <v>75853</v>
      </c>
      <c r="D91" s="27">
        <f>'AEO14 rsstk'!B108</f>
        <v>0</v>
      </c>
      <c r="E91" s="27">
        <f>'AEO14 rsstk'!C108</f>
        <v>0</v>
      </c>
      <c r="G91" s="27">
        <f>'AEO14 UEC'!A108</f>
        <v>2.8820000000000001</v>
      </c>
      <c r="H91" s="27">
        <f>'AEO14 UEC'!B108</f>
        <v>0</v>
      </c>
      <c r="I91" s="27">
        <f>'AEO14 UEC'!C108</f>
        <v>0</v>
      </c>
      <c r="K91" s="27">
        <f t="shared" si="2"/>
        <v>218608.34600000002</v>
      </c>
      <c r="N91" s="52">
        <f t="shared" si="3"/>
        <v>0.23064404709737601</v>
      </c>
    </row>
    <row r="92" spans="1:14">
      <c r="A92" s="27">
        <v>8</v>
      </c>
      <c r="B92" s="27" t="str">
        <f>'AEO14 rsstk'!D109</f>
        <v>Ground Source Heat Pumps (heat)</v>
      </c>
      <c r="C92" s="27">
        <f>'AEO14 rsstk'!A109</f>
        <v>48037</v>
      </c>
      <c r="D92" s="27">
        <f>'AEO14 rsstk'!B109</f>
        <v>0</v>
      </c>
      <c r="E92" s="27">
        <f>'AEO14 rsstk'!C109</f>
        <v>0</v>
      </c>
      <c r="G92" s="27">
        <f>'AEO14 UEC'!A109</f>
        <v>3.1779999999999999</v>
      </c>
      <c r="H92" s="27">
        <f>'AEO14 UEC'!B109</f>
        <v>0</v>
      </c>
      <c r="I92" s="27">
        <f>'AEO14 UEC'!C109</f>
        <v>0</v>
      </c>
      <c r="K92" s="27">
        <f t="shared" si="2"/>
        <v>152661.58600000001</v>
      </c>
      <c r="N92" s="52">
        <f t="shared" si="3"/>
        <v>0.16106652227881602</v>
      </c>
    </row>
    <row r="93" spans="1:14">
      <c r="A93" s="27">
        <v>9</v>
      </c>
      <c r="B93" s="27" t="str">
        <f>'AEO14 rsstk'!D110</f>
        <v>Ground Source Heat Pumps (heat)</v>
      </c>
      <c r="C93" s="27">
        <f>'AEO14 rsstk'!A110</f>
        <v>27439</v>
      </c>
      <c r="D93" s="27">
        <f>'AEO14 rsstk'!B110</f>
        <v>0</v>
      </c>
      <c r="E93" s="27">
        <f>'AEO14 rsstk'!C110</f>
        <v>0</v>
      </c>
      <c r="G93" s="27">
        <f>'AEO14 UEC'!A110</f>
        <v>3.5019999999999998</v>
      </c>
      <c r="H93" s="27">
        <f>'AEO14 UEC'!B110</f>
        <v>0</v>
      </c>
      <c r="I93" s="27">
        <f>'AEO14 UEC'!C110</f>
        <v>0</v>
      </c>
      <c r="K93" s="27">
        <f t="shared" si="2"/>
        <v>96091.377999999997</v>
      </c>
      <c r="L93" s="51">
        <f>SUM(K85:K93)/1000000000</f>
        <v>3.2988565029999995E-3</v>
      </c>
      <c r="N93" s="52">
        <f t="shared" si="3"/>
        <v>0.101381784907168</v>
      </c>
    </row>
    <row r="94" spans="1:14">
      <c r="A94" s="27">
        <v>1</v>
      </c>
      <c r="B94" s="27" t="str">
        <f>'AEO14 rsstk'!D111</f>
        <v>Natural Gas Heat Pumps (heat)</v>
      </c>
      <c r="C94" s="27">
        <f>'AEO14 rsstk'!A111</f>
        <v>0</v>
      </c>
      <c r="D94" s="27">
        <f>'AEO14 rsstk'!B111</f>
        <v>0</v>
      </c>
      <c r="E94" s="27">
        <f>'AEO14 rsstk'!C111</f>
        <v>0</v>
      </c>
      <c r="G94" s="27">
        <f>'AEO14 UEC'!A111</f>
        <v>0</v>
      </c>
      <c r="H94" s="27">
        <f>'AEO14 UEC'!B111</f>
        <v>0</v>
      </c>
      <c r="I94" s="27">
        <f>'AEO14 UEC'!C111</f>
        <v>0</v>
      </c>
      <c r="K94" s="27">
        <f t="shared" si="2"/>
        <v>0</v>
      </c>
      <c r="N94" s="52">
        <f t="shared" si="3"/>
        <v>0</v>
      </c>
    </row>
    <row r="95" spans="1:14">
      <c r="A95" s="27">
        <v>2</v>
      </c>
      <c r="B95" s="27" t="str">
        <f>'AEO14 rsstk'!D112</f>
        <v>Natural Gas Heat Pumps (heat)</v>
      </c>
      <c r="C95" s="27">
        <f>'AEO14 rsstk'!A112</f>
        <v>0</v>
      </c>
      <c r="D95" s="27">
        <f>'AEO14 rsstk'!B112</f>
        <v>44245</v>
      </c>
      <c r="E95" s="27">
        <f>'AEO14 rsstk'!C112</f>
        <v>0</v>
      </c>
      <c r="G95" s="27">
        <f>'AEO14 UEC'!A112</f>
        <v>0</v>
      </c>
      <c r="H95" s="27">
        <f>'AEO14 UEC'!B112</f>
        <v>12.851000000000001</v>
      </c>
      <c r="I95" s="27">
        <f>'AEO14 UEC'!C112</f>
        <v>0</v>
      </c>
      <c r="K95" s="27">
        <f t="shared" si="2"/>
        <v>568592.495</v>
      </c>
      <c r="N95" s="52">
        <f t="shared" si="3"/>
        <v>0.59989692340472001</v>
      </c>
    </row>
    <row r="96" spans="1:14">
      <c r="A96" s="27">
        <v>3</v>
      </c>
      <c r="B96" s="27" t="str">
        <f>'AEO14 rsstk'!D113</f>
        <v>Natural Gas Heat Pumps (heat)</v>
      </c>
      <c r="C96" s="27">
        <f>'AEO14 rsstk'!A113</f>
        <v>10845</v>
      </c>
      <c r="D96" s="27">
        <f>'AEO14 rsstk'!B113</f>
        <v>0</v>
      </c>
      <c r="E96" s="27">
        <f>'AEO14 rsstk'!C113</f>
        <v>0</v>
      </c>
      <c r="G96" s="27">
        <f>'AEO14 UEC'!A113</f>
        <v>19.149999999999999</v>
      </c>
      <c r="H96" s="27">
        <f>'AEO14 UEC'!B113</f>
        <v>0</v>
      </c>
      <c r="I96" s="27">
        <f>'AEO14 UEC'!C113</f>
        <v>0</v>
      </c>
      <c r="K96" s="27">
        <f t="shared" si="2"/>
        <v>207681.74999999997</v>
      </c>
      <c r="N96" s="52">
        <f t="shared" si="3"/>
        <v>0.21911587642799998</v>
      </c>
    </row>
    <row r="97" spans="1:14">
      <c r="A97" s="27">
        <v>4</v>
      </c>
      <c r="B97" s="27" t="str">
        <f>'AEO14 rsstk'!D114</f>
        <v>Natural Gas Heat Pumps (heat)</v>
      </c>
      <c r="C97" s="27">
        <f>'AEO14 rsstk'!A114</f>
        <v>30994</v>
      </c>
      <c r="D97" s="27">
        <f>'AEO14 rsstk'!B114</f>
        <v>8657</v>
      </c>
      <c r="E97" s="27">
        <f>'AEO14 rsstk'!C114</f>
        <v>0</v>
      </c>
      <c r="G97" s="27">
        <f>'AEO14 UEC'!A114</f>
        <v>16.498000000000001</v>
      </c>
      <c r="H97" s="27">
        <f>'AEO14 UEC'!B114</f>
        <v>12.986000000000001</v>
      </c>
      <c r="I97" s="27">
        <f>'AEO14 UEC'!C114</f>
        <v>0</v>
      </c>
      <c r="K97" s="27">
        <f t="shared" si="2"/>
        <v>623758.81400000001</v>
      </c>
      <c r="N97" s="52">
        <f t="shared" si="3"/>
        <v>0.65810047926358395</v>
      </c>
    </row>
    <row r="98" spans="1:14">
      <c r="A98" s="27">
        <v>5</v>
      </c>
      <c r="B98" s="27" t="str">
        <f>'AEO14 rsstk'!D115</f>
        <v>Natural Gas Heat Pumps (heat)</v>
      </c>
      <c r="C98" s="27">
        <f>'AEO14 rsstk'!A115</f>
        <v>112498</v>
      </c>
      <c r="D98" s="27">
        <f>'AEO14 rsstk'!B115</f>
        <v>41617</v>
      </c>
      <c r="E98" s="27">
        <f>'AEO14 rsstk'!C115</f>
        <v>0</v>
      </c>
      <c r="G98" s="27">
        <f>'AEO14 UEC'!A115</f>
        <v>12.656000000000001</v>
      </c>
      <c r="H98" s="27">
        <f>'AEO14 UEC'!B115</f>
        <v>7.7210000000000001</v>
      </c>
      <c r="I98" s="27">
        <f>'AEO14 UEC'!C115</f>
        <v>0</v>
      </c>
      <c r="K98" s="27">
        <f t="shared" si="2"/>
        <v>1745099.5450000002</v>
      </c>
      <c r="N98" s="52">
        <f t="shared" si="3"/>
        <v>1.8411777455495202</v>
      </c>
    </row>
    <row r="99" spans="1:14">
      <c r="A99" s="27">
        <v>6</v>
      </c>
      <c r="B99" s="27" t="str">
        <f>'AEO14 rsstk'!D116</f>
        <v>Natural Gas Heat Pumps (heat)</v>
      </c>
      <c r="C99" s="27">
        <f>'AEO14 rsstk'!A116</f>
        <v>43852</v>
      </c>
      <c r="D99" s="27">
        <f>'AEO14 rsstk'!B116</f>
        <v>0</v>
      </c>
      <c r="E99" s="27">
        <f>'AEO14 rsstk'!C116</f>
        <v>0</v>
      </c>
      <c r="G99" s="27">
        <f>'AEO14 UEC'!A116</f>
        <v>11.593999999999999</v>
      </c>
      <c r="H99" s="27">
        <f>'AEO14 UEC'!B116</f>
        <v>0</v>
      </c>
      <c r="I99" s="27">
        <f>'AEO14 UEC'!C116</f>
        <v>0</v>
      </c>
      <c r="K99" s="27">
        <f t="shared" si="2"/>
        <v>508420.08799999999</v>
      </c>
      <c r="N99" s="52">
        <f t="shared" si="3"/>
        <v>0.53641166436492793</v>
      </c>
    </row>
    <row r="100" spans="1:14">
      <c r="A100" s="27">
        <v>7</v>
      </c>
      <c r="B100" s="27" t="str">
        <f>'AEO14 rsstk'!D117</f>
        <v>Natural Gas Heat Pumps (heat)</v>
      </c>
      <c r="C100" s="27">
        <f>'AEO14 rsstk'!A117</f>
        <v>21446</v>
      </c>
      <c r="D100" s="27">
        <f>'AEO14 rsstk'!B117</f>
        <v>0</v>
      </c>
      <c r="E100" s="27">
        <f>'AEO14 rsstk'!C117</f>
        <v>0</v>
      </c>
      <c r="G100" s="27">
        <f>'AEO14 UEC'!A117</f>
        <v>8.2940000000000005</v>
      </c>
      <c r="H100" s="27">
        <f>'AEO14 UEC'!B117</f>
        <v>0</v>
      </c>
      <c r="I100" s="27">
        <f>'AEO14 UEC'!C117</f>
        <v>0</v>
      </c>
      <c r="K100" s="27">
        <f t="shared" si="2"/>
        <v>177873.12400000001</v>
      </c>
      <c r="N100" s="52">
        <f t="shared" si="3"/>
        <v>0.18766610671494402</v>
      </c>
    </row>
    <row r="101" spans="1:14">
      <c r="A101" s="27">
        <v>8</v>
      </c>
      <c r="B101" s="27" t="str">
        <f>'AEO14 rsstk'!D118</f>
        <v>Natural Gas Heat Pumps (heat)</v>
      </c>
      <c r="C101" s="27">
        <f>'AEO14 rsstk'!A118</f>
        <v>52831</v>
      </c>
      <c r="D101" s="27">
        <f>'AEO14 rsstk'!B118</f>
        <v>7959</v>
      </c>
      <c r="E101" s="27">
        <f>'AEO14 rsstk'!C118</f>
        <v>0</v>
      </c>
      <c r="G101" s="27">
        <f>'AEO14 UEC'!A118</f>
        <v>12.318</v>
      </c>
      <c r="H101" s="27">
        <f>'AEO14 UEC'!B118</f>
        <v>8.1170000000000009</v>
      </c>
      <c r="I101" s="27">
        <f>'AEO14 UEC'!C118</f>
        <v>0</v>
      </c>
      <c r="K101" s="27">
        <f t="shared" si="2"/>
        <v>715375.46100000001</v>
      </c>
      <c r="N101" s="52">
        <f t="shared" si="3"/>
        <v>0.75476117238081597</v>
      </c>
    </row>
    <row r="102" spans="1:14">
      <c r="A102" s="27">
        <v>9</v>
      </c>
      <c r="B102" s="27" t="str">
        <f>'AEO14 rsstk'!D119</f>
        <v>Natural Gas Heat Pumps (heat)</v>
      </c>
      <c r="C102" s="27">
        <f>'AEO14 rsstk'!A119</f>
        <v>26174</v>
      </c>
      <c r="D102" s="27">
        <f>'AEO14 rsstk'!B119</f>
        <v>8277</v>
      </c>
      <c r="E102" s="27">
        <f>'AEO14 rsstk'!C119</f>
        <v>0</v>
      </c>
      <c r="G102" s="27">
        <f>'AEO14 UEC'!A119</f>
        <v>7.8620000000000001</v>
      </c>
      <c r="H102" s="27">
        <f>'AEO14 UEC'!B119</f>
        <v>3.6539999999999999</v>
      </c>
      <c r="I102" s="27">
        <f>'AEO14 UEC'!C119</f>
        <v>0</v>
      </c>
      <c r="K102" s="27">
        <f t="shared" si="2"/>
        <v>236024.14600000001</v>
      </c>
      <c r="L102" s="51">
        <f>SUM(K94:K102)/1000000000</f>
        <v>4.7828254229999997E-3</v>
      </c>
      <c r="N102" s="52">
        <f t="shared" si="3"/>
        <v>0.249018691382176</v>
      </c>
    </row>
    <row r="103" spans="1:14">
      <c r="A103" s="27">
        <v>1</v>
      </c>
      <c r="B103" s="27" t="str">
        <f>'AEO14 rsstk'!D120</f>
        <v>Room Air Conditioners</v>
      </c>
      <c r="C103" s="27">
        <f>'AEO14 rsstk'!A120</f>
        <v>4061292</v>
      </c>
      <c r="D103" s="27">
        <f>'AEO14 rsstk'!B120</f>
        <v>1978166</v>
      </c>
      <c r="E103" s="27">
        <f>'AEO14 rsstk'!C120</f>
        <v>55834</v>
      </c>
      <c r="G103" s="27">
        <f>'AEO14 UEC'!A120</f>
        <v>0.36899999999999999</v>
      </c>
      <c r="H103" s="27">
        <f>'AEO14 UEC'!B120</f>
        <v>0.433</v>
      </c>
      <c r="I103" s="27">
        <f>'AEO14 UEC'!C120</f>
        <v>0.496</v>
      </c>
      <c r="K103" s="27">
        <f t="shared" si="2"/>
        <v>2382856.29</v>
      </c>
      <c r="N103" s="52">
        <f t="shared" si="3"/>
        <v>2.5140468259022404</v>
      </c>
    </row>
    <row r="104" spans="1:14">
      <c r="A104" s="27">
        <v>2</v>
      </c>
      <c r="B104" s="27" t="str">
        <f>'AEO14 rsstk'!D121</f>
        <v>Room Air Conditioners</v>
      </c>
      <c r="C104" s="27">
        <f>'AEO14 rsstk'!A121</f>
        <v>7855170</v>
      </c>
      <c r="D104" s="27">
        <f>'AEO14 rsstk'!B121</f>
        <v>6229371</v>
      </c>
      <c r="E104" s="27">
        <f>'AEO14 rsstk'!C121</f>
        <v>153356</v>
      </c>
      <c r="G104" s="27">
        <f>'AEO14 UEC'!A121</f>
        <v>0.78200000000000003</v>
      </c>
      <c r="H104" s="27">
        <f>'AEO14 UEC'!B121</f>
        <v>0.89</v>
      </c>
      <c r="I104" s="27">
        <f>'AEO14 UEC'!C121</f>
        <v>0.49299999999999999</v>
      </c>
      <c r="K104" s="27">
        <f t="shared" si="2"/>
        <v>11762487.638</v>
      </c>
      <c r="N104" s="52">
        <f t="shared" si="3"/>
        <v>12.410083157397729</v>
      </c>
    </row>
    <row r="105" spans="1:14">
      <c r="A105" s="27">
        <v>3</v>
      </c>
      <c r="B105" s="27" t="str">
        <f>'AEO14 rsstk'!D122</f>
        <v>Room Air Conditioners</v>
      </c>
      <c r="C105" s="27">
        <f>'AEO14 rsstk'!A122</f>
        <v>4531746</v>
      </c>
      <c r="D105" s="27">
        <f>'AEO14 rsstk'!B122</f>
        <v>2263033</v>
      </c>
      <c r="E105" s="27">
        <f>'AEO14 rsstk'!C122</f>
        <v>259113</v>
      </c>
      <c r="G105" s="27">
        <f>'AEO14 UEC'!A122</f>
        <v>0.90300000000000002</v>
      </c>
      <c r="H105" s="27">
        <f>'AEO14 UEC'!B122</f>
        <v>0.82199999999999995</v>
      </c>
      <c r="I105" s="27">
        <f>'AEO14 UEC'!C122</f>
        <v>0.40899999999999997</v>
      </c>
      <c r="K105" s="27">
        <f t="shared" si="2"/>
        <v>6058356.9810000006</v>
      </c>
      <c r="N105" s="52">
        <f t="shared" si="3"/>
        <v>6.3919058829459372</v>
      </c>
    </row>
    <row r="106" spans="1:14">
      <c r="A106" s="27">
        <v>4</v>
      </c>
      <c r="B106" s="27" t="str">
        <f>'AEO14 rsstk'!D123</f>
        <v>Room Air Conditioners</v>
      </c>
      <c r="C106" s="27">
        <f>'AEO14 rsstk'!A123</f>
        <v>1194293</v>
      </c>
      <c r="D106" s="27">
        <f>'AEO14 rsstk'!B123</f>
        <v>748666</v>
      </c>
      <c r="E106" s="27">
        <f>'AEO14 rsstk'!C123</f>
        <v>227387</v>
      </c>
      <c r="G106" s="27">
        <f>'AEO14 UEC'!A123</f>
        <v>0.99</v>
      </c>
      <c r="H106" s="27">
        <f>'AEO14 UEC'!B123</f>
        <v>0.73299999999999998</v>
      </c>
      <c r="I106" s="27">
        <f>'AEO14 UEC'!C123</f>
        <v>0.94899999999999995</v>
      </c>
      <c r="K106" s="27">
        <f t="shared" si="2"/>
        <v>1946912.5110000002</v>
      </c>
      <c r="N106" s="52">
        <f t="shared" si="3"/>
        <v>2.0541017262056163</v>
      </c>
    </row>
    <row r="107" spans="1:14">
      <c r="A107" s="27">
        <v>5</v>
      </c>
      <c r="B107" s="27" t="str">
        <f>'AEO14 rsstk'!D124</f>
        <v>Room Air Conditioners</v>
      </c>
      <c r="C107" s="27">
        <f>'AEO14 rsstk'!A124</f>
        <v>3804690</v>
      </c>
      <c r="D107" s="27">
        <f>'AEO14 rsstk'!B124</f>
        <v>1004505</v>
      </c>
      <c r="E107" s="27">
        <f>'AEO14 rsstk'!C124</f>
        <v>1753141</v>
      </c>
      <c r="G107" s="27">
        <f>'AEO14 UEC'!A124</f>
        <v>2.028</v>
      </c>
      <c r="H107" s="27">
        <f>'AEO14 UEC'!B124</f>
        <v>2.335</v>
      </c>
      <c r="I107" s="27">
        <f>'AEO14 UEC'!C124</f>
        <v>3.1120000000000001</v>
      </c>
      <c r="K107" s="27">
        <f t="shared" si="2"/>
        <v>15517205.287</v>
      </c>
      <c r="N107" s="52">
        <f t="shared" si="3"/>
        <v>16.371520541281075</v>
      </c>
    </row>
    <row r="108" spans="1:14">
      <c r="A108" s="27">
        <v>6</v>
      </c>
      <c r="B108" s="27" t="str">
        <f>'AEO14 rsstk'!D125</f>
        <v>Room Air Conditioners</v>
      </c>
      <c r="C108" s="27">
        <f>'AEO14 rsstk'!A125</f>
        <v>1439829</v>
      </c>
      <c r="D108" s="27">
        <f>'AEO14 rsstk'!B125</f>
        <v>254277</v>
      </c>
      <c r="E108" s="27">
        <f>'AEO14 rsstk'!C125</f>
        <v>316827</v>
      </c>
      <c r="G108" s="27">
        <f>'AEO14 UEC'!A125</f>
        <v>2.0230000000000001</v>
      </c>
      <c r="H108" s="27">
        <f>'AEO14 UEC'!B125</f>
        <v>2.1930000000000001</v>
      </c>
      <c r="I108" s="27">
        <f>'AEO14 UEC'!C125</f>
        <v>2.8540000000000001</v>
      </c>
      <c r="K108" s="27">
        <f t="shared" si="2"/>
        <v>4374627.7860000003</v>
      </c>
      <c r="N108" s="52">
        <f t="shared" si="3"/>
        <v>4.6154772933860162</v>
      </c>
    </row>
    <row r="109" spans="1:14">
      <c r="A109" s="27">
        <v>7</v>
      </c>
      <c r="B109" s="27" t="str">
        <f>'AEO14 rsstk'!D126</f>
        <v>Room Air Conditioners</v>
      </c>
      <c r="C109" s="27">
        <f>'AEO14 rsstk'!A126</f>
        <v>3921136</v>
      </c>
      <c r="D109" s="27">
        <f>'AEO14 rsstk'!B126</f>
        <v>291388</v>
      </c>
      <c r="E109" s="27">
        <f>'AEO14 rsstk'!C126</f>
        <v>573802</v>
      </c>
      <c r="G109" s="27">
        <f>'AEO14 UEC'!A126</f>
        <v>3.9169999999999998</v>
      </c>
      <c r="H109" s="27">
        <f>'AEO14 UEC'!B126</f>
        <v>4.2350000000000003</v>
      </c>
      <c r="I109" s="27">
        <f>'AEO14 UEC'!C126</f>
        <v>3.8519999999999999</v>
      </c>
      <c r="K109" s="27">
        <f t="shared" si="2"/>
        <v>18803403.195999999</v>
      </c>
      <c r="N109" s="52">
        <f t="shared" si="3"/>
        <v>19.838643362358972</v>
      </c>
    </row>
    <row r="110" spans="1:14">
      <c r="A110" s="27">
        <v>8</v>
      </c>
      <c r="B110" s="27" t="str">
        <f>'AEO14 rsstk'!D127</f>
        <v>Room Air Conditioners</v>
      </c>
      <c r="C110" s="27">
        <f>'AEO14 rsstk'!A127</f>
        <v>955549</v>
      </c>
      <c r="D110" s="27">
        <f>'AEO14 rsstk'!B127</f>
        <v>106461</v>
      </c>
      <c r="E110" s="27">
        <f>'AEO14 rsstk'!C127</f>
        <v>248321</v>
      </c>
      <c r="G110" s="27">
        <f>'AEO14 UEC'!A127</f>
        <v>1.002</v>
      </c>
      <c r="H110" s="27">
        <f>'AEO14 UEC'!B127</f>
        <v>0.25600000000000001</v>
      </c>
      <c r="I110" s="27">
        <f>'AEO14 UEC'!C127</f>
        <v>4.867</v>
      </c>
      <c r="K110" s="27">
        <f t="shared" si="2"/>
        <v>2193292.4210000001</v>
      </c>
      <c r="N110" s="52">
        <f t="shared" si="3"/>
        <v>2.3140463285305759</v>
      </c>
    </row>
    <row r="111" spans="1:14">
      <c r="A111" s="27">
        <v>9</v>
      </c>
      <c r="B111" s="27" t="str">
        <f>'AEO14 rsstk'!D128</f>
        <v>Room Air Conditioners</v>
      </c>
      <c r="C111" s="27">
        <f>'AEO14 rsstk'!A128</f>
        <v>2852758</v>
      </c>
      <c r="D111" s="27">
        <f>'AEO14 rsstk'!B128</f>
        <v>1691961</v>
      </c>
      <c r="E111" s="27">
        <f>'AEO14 rsstk'!C128</f>
        <v>329610</v>
      </c>
      <c r="G111" s="27">
        <f>'AEO14 UEC'!A128</f>
        <v>1.0760000000000001</v>
      </c>
      <c r="H111" s="27">
        <f>'AEO14 UEC'!B128</f>
        <v>0.95099999999999996</v>
      </c>
      <c r="I111" s="27">
        <f>'AEO14 UEC'!C128</f>
        <v>0.98799999999999999</v>
      </c>
      <c r="K111" s="27">
        <f t="shared" si="2"/>
        <v>5004277.1989999991</v>
      </c>
      <c r="L111" s="51"/>
      <c r="N111" s="52">
        <f t="shared" si="3"/>
        <v>5.2797926844681431</v>
      </c>
    </row>
    <row r="112" spans="1:14">
      <c r="A112" s="27">
        <v>1</v>
      </c>
      <c r="B112" s="27" t="str">
        <f>'AEO14 rsstk'!D129</f>
        <v>Central Air Conditioners</v>
      </c>
      <c r="C112" s="27">
        <f>'AEO14 rsstk'!A129</f>
        <v>792691</v>
      </c>
      <c r="D112" s="27">
        <f>'AEO14 rsstk'!B129</f>
        <v>234504</v>
      </c>
      <c r="E112" s="27">
        <f>'AEO14 rsstk'!C129</f>
        <v>25230</v>
      </c>
      <c r="G112" s="27">
        <f>'AEO14 UEC'!A129</f>
        <v>2.2530000000000001</v>
      </c>
      <c r="H112" s="27">
        <f>'AEO14 UEC'!B129</f>
        <v>0.93400000000000005</v>
      </c>
      <c r="I112" s="27">
        <f>'AEO14 UEC'!C129</f>
        <v>0.70399999999999996</v>
      </c>
      <c r="K112" s="27">
        <f t="shared" si="2"/>
        <v>2022721.4790000001</v>
      </c>
      <c r="N112" s="52">
        <f t="shared" si="3"/>
        <v>2.1340844327478243</v>
      </c>
    </row>
    <row r="113" spans="1:14">
      <c r="A113" s="27">
        <v>2</v>
      </c>
      <c r="B113" s="27" t="str">
        <f>'AEO14 rsstk'!D130</f>
        <v>Central Air Conditioners</v>
      </c>
      <c r="C113" s="27">
        <f>'AEO14 rsstk'!A130</f>
        <v>4832816</v>
      </c>
      <c r="D113" s="27">
        <f>'AEO14 rsstk'!B130</f>
        <v>906252</v>
      </c>
      <c r="E113" s="27">
        <f>'AEO14 rsstk'!C130</f>
        <v>288262</v>
      </c>
      <c r="G113" s="27">
        <f>'AEO14 UEC'!A130</f>
        <v>3.8079999999999998</v>
      </c>
      <c r="H113" s="27">
        <f>'AEO14 UEC'!B130</f>
        <v>1.89</v>
      </c>
      <c r="I113" s="27">
        <f>'AEO14 UEC'!C130</f>
        <v>2.855</v>
      </c>
      <c r="K113" s="27">
        <f t="shared" si="2"/>
        <v>20939167.618000001</v>
      </c>
      <c r="N113" s="52">
        <f t="shared" si="3"/>
        <v>22.091994430376609</v>
      </c>
    </row>
    <row r="114" spans="1:14">
      <c r="A114" s="27">
        <v>3</v>
      </c>
      <c r="B114" s="27" t="str">
        <f>'AEO14 rsstk'!D131</f>
        <v>Central Air Conditioners</v>
      </c>
      <c r="C114" s="27">
        <f>'AEO14 rsstk'!A131</f>
        <v>9138965</v>
      </c>
      <c r="D114" s="27">
        <f>'AEO14 rsstk'!B131</f>
        <v>1826705</v>
      </c>
      <c r="E114" s="27">
        <f>'AEO14 rsstk'!C131</f>
        <v>250039</v>
      </c>
      <c r="G114" s="27">
        <f>'AEO14 UEC'!A131</f>
        <v>3.097</v>
      </c>
      <c r="H114" s="27">
        <f>'AEO14 UEC'!B131</f>
        <v>1.44</v>
      </c>
      <c r="I114" s="27">
        <f>'AEO14 UEC'!C131</f>
        <v>1.329</v>
      </c>
      <c r="K114" s="27">
        <f t="shared" si="2"/>
        <v>31266131.636</v>
      </c>
      <c r="N114" s="52">
        <f t="shared" si="3"/>
        <v>32.987519779351615</v>
      </c>
    </row>
    <row r="115" spans="1:14">
      <c r="A115" s="27">
        <v>4</v>
      </c>
      <c r="B115" s="27" t="str">
        <f>'AEO14 rsstk'!D132</f>
        <v>Central Air Conditioners</v>
      </c>
      <c r="C115" s="27">
        <f>'AEO14 rsstk'!A132</f>
        <v>4856560</v>
      </c>
      <c r="D115" s="27">
        <f>'AEO14 rsstk'!B132</f>
        <v>707991</v>
      </c>
      <c r="E115" s="27">
        <f>'AEO14 rsstk'!C132</f>
        <v>305023</v>
      </c>
      <c r="G115" s="27">
        <f>'AEO14 UEC'!A132</f>
        <v>4.74</v>
      </c>
      <c r="H115" s="27">
        <f>'AEO14 UEC'!B132</f>
        <v>2.3530000000000002</v>
      </c>
      <c r="I115" s="27">
        <f>'AEO14 UEC'!C132</f>
        <v>3.8010000000000002</v>
      </c>
      <c r="K115" s="27">
        <f t="shared" si="2"/>
        <v>25845389.646000002</v>
      </c>
      <c r="N115" s="52">
        <f t="shared" si="3"/>
        <v>27.268333418350178</v>
      </c>
    </row>
    <row r="116" spans="1:14">
      <c r="A116" s="27">
        <v>5</v>
      </c>
      <c r="B116" s="27" t="str">
        <f>'AEO14 rsstk'!D133</f>
        <v>Central Air Conditioners</v>
      </c>
      <c r="C116" s="27">
        <f>'AEO14 rsstk'!A133</f>
        <v>8868932</v>
      </c>
      <c r="D116" s="27">
        <f>'AEO14 rsstk'!B133</f>
        <v>3086512</v>
      </c>
      <c r="E116" s="27">
        <f>'AEO14 rsstk'!C133</f>
        <v>946882</v>
      </c>
      <c r="G116" s="27">
        <f>'AEO14 UEC'!A133</f>
        <v>12.84</v>
      </c>
      <c r="H116" s="27">
        <f>'AEO14 UEC'!B133</f>
        <v>5.52</v>
      </c>
      <c r="I116" s="27">
        <f>'AEO14 UEC'!C133</f>
        <v>8.8699999999999992</v>
      </c>
      <c r="K116" s="27">
        <f t="shared" si="2"/>
        <v>139313476.45999998</v>
      </c>
      <c r="N116" s="52">
        <f t="shared" si="3"/>
        <v>146.98351921998173</v>
      </c>
    </row>
    <row r="117" spans="1:14">
      <c r="A117" s="27">
        <v>6</v>
      </c>
      <c r="B117" s="27" t="str">
        <f>'AEO14 rsstk'!D134</f>
        <v>Central Air Conditioners</v>
      </c>
      <c r="C117" s="27">
        <f>'AEO14 rsstk'!A134</f>
        <v>3468554</v>
      </c>
      <c r="D117" s="27">
        <f>'AEO14 rsstk'!B134</f>
        <v>626822</v>
      </c>
      <c r="E117" s="27">
        <f>'AEO14 rsstk'!C134</f>
        <v>369044</v>
      </c>
      <c r="G117" s="27">
        <f>'AEO14 UEC'!A134</f>
        <v>11.696</v>
      </c>
      <c r="H117" s="27">
        <f>'AEO14 UEC'!B134</f>
        <v>4.649</v>
      </c>
      <c r="I117" s="27">
        <f>'AEO14 UEC'!C134</f>
        <v>5.2050000000000001</v>
      </c>
      <c r="K117" s="27">
        <f t="shared" si="2"/>
        <v>45403177.082000002</v>
      </c>
      <c r="N117" s="52">
        <f t="shared" si="3"/>
        <v>47.902894399426593</v>
      </c>
    </row>
    <row r="118" spans="1:14">
      <c r="A118" s="27">
        <v>7</v>
      </c>
      <c r="B118" s="27" t="str">
        <f>'AEO14 rsstk'!D135</f>
        <v>Central Air Conditioners</v>
      </c>
      <c r="C118" s="27">
        <f>'AEO14 rsstk'!A135</f>
        <v>7028829</v>
      </c>
      <c r="D118" s="27">
        <f>'AEO14 rsstk'!B135</f>
        <v>2501729</v>
      </c>
      <c r="E118" s="27">
        <f>'AEO14 rsstk'!C135</f>
        <v>495562</v>
      </c>
      <c r="G118" s="27">
        <f>'AEO14 UEC'!A135</f>
        <v>15.96</v>
      </c>
      <c r="H118" s="27">
        <f>'AEO14 UEC'!B135</f>
        <v>6.0309999999999997</v>
      </c>
      <c r="I118" s="27">
        <f>'AEO14 UEC'!C135</f>
        <v>11.597</v>
      </c>
      <c r="K118" s="27">
        <f t="shared" si="2"/>
        <v>133015070.95300001</v>
      </c>
      <c r="N118" s="52">
        <f t="shared" si="3"/>
        <v>140.33834869938838</v>
      </c>
    </row>
    <row r="119" spans="1:14">
      <c r="A119" s="27">
        <v>8</v>
      </c>
      <c r="B119" s="27" t="str">
        <f>'AEO14 rsstk'!D136</f>
        <v>Central Air Conditioners</v>
      </c>
      <c r="C119" s="27">
        <f>'AEO14 rsstk'!A136</f>
        <v>3201886</v>
      </c>
      <c r="D119" s="27">
        <f>'AEO14 rsstk'!B136</f>
        <v>873254</v>
      </c>
      <c r="E119" s="27">
        <f>'AEO14 rsstk'!C136</f>
        <v>165065</v>
      </c>
      <c r="G119" s="27">
        <f>'AEO14 UEC'!A136</f>
        <v>12.083</v>
      </c>
      <c r="H119" s="27">
        <f>'AEO14 UEC'!B136</f>
        <v>6.4269999999999996</v>
      </c>
      <c r="I119" s="27">
        <f>'AEO14 UEC'!C136</f>
        <v>10.52</v>
      </c>
      <c r="K119" s="27">
        <f t="shared" si="2"/>
        <v>46037275.795999996</v>
      </c>
      <c r="N119" s="52">
        <f t="shared" si="3"/>
        <v>48.571904052224575</v>
      </c>
    </row>
    <row r="120" spans="1:14">
      <c r="A120" s="27">
        <v>9</v>
      </c>
      <c r="B120" s="27" t="str">
        <f>'AEO14 rsstk'!D137</f>
        <v>Central Air Conditioners</v>
      </c>
      <c r="C120" s="27">
        <f>'AEO14 rsstk'!A137</f>
        <v>4557845</v>
      </c>
      <c r="D120" s="27">
        <f>'AEO14 rsstk'!B137</f>
        <v>1131196</v>
      </c>
      <c r="E120" s="27">
        <f>'AEO14 rsstk'!C137</f>
        <v>220037</v>
      </c>
      <c r="G120" s="27">
        <f>'AEO14 UEC'!A137</f>
        <v>5.2110000000000003</v>
      </c>
      <c r="H120" s="27">
        <f>'AEO14 UEC'!B137</f>
        <v>2.2240000000000002</v>
      </c>
      <c r="I120" s="27">
        <f>'AEO14 UEC'!C137</f>
        <v>2.2599999999999998</v>
      </c>
      <c r="K120" s="27">
        <f t="shared" si="2"/>
        <v>26763993.819000002</v>
      </c>
      <c r="N120" s="52">
        <f t="shared" si="3"/>
        <v>28.237512262698868</v>
      </c>
    </row>
    <row r="121" spans="1:14">
      <c r="A121" s="27">
        <v>1</v>
      </c>
      <c r="B121" s="27" t="str">
        <f>'AEO14 rsstk'!D138</f>
        <v>Air Source Heat Pumps (cool)</v>
      </c>
      <c r="C121" s="27">
        <f>'AEO14 rsstk'!A138</f>
        <v>2639</v>
      </c>
      <c r="D121" s="27">
        <f>'AEO14 rsstk'!B138</f>
        <v>4066</v>
      </c>
      <c r="E121" s="27">
        <f>'AEO14 rsstk'!C138</f>
        <v>0</v>
      </c>
      <c r="G121" s="27">
        <f>'AEO14 UEC'!A138</f>
        <v>2.1909999999999998</v>
      </c>
      <c r="H121" s="27">
        <f>'AEO14 UEC'!B138</f>
        <v>0.90800000000000003</v>
      </c>
      <c r="I121" s="27">
        <f>'AEO14 UEC'!C138</f>
        <v>0</v>
      </c>
      <c r="K121" s="27">
        <f t="shared" si="2"/>
        <v>9473.9770000000008</v>
      </c>
      <c r="N121" s="52">
        <f t="shared" si="3"/>
        <v>9.9955762777120018E-3</v>
      </c>
    </row>
    <row r="122" spans="1:14">
      <c r="A122" s="27">
        <v>2</v>
      </c>
      <c r="B122" s="27" t="str">
        <f>'AEO14 rsstk'!D139</f>
        <v>Air Source Heat Pumps (cool)</v>
      </c>
      <c r="C122" s="27">
        <f>'AEO14 rsstk'!A139</f>
        <v>205579</v>
      </c>
      <c r="D122" s="27">
        <f>'AEO14 rsstk'!B139</f>
        <v>80453</v>
      </c>
      <c r="E122" s="27">
        <f>'AEO14 rsstk'!C139</f>
        <v>0</v>
      </c>
      <c r="G122" s="27">
        <f>'AEO14 UEC'!A139</f>
        <v>3.7029999999999998</v>
      </c>
      <c r="H122" s="27">
        <f>'AEO14 UEC'!B139</f>
        <v>1.837</v>
      </c>
      <c r="I122" s="27">
        <f>'AEO14 UEC'!C139</f>
        <v>0</v>
      </c>
      <c r="K122" s="27">
        <f t="shared" si="2"/>
        <v>909051.19799999997</v>
      </c>
      <c r="N122" s="52">
        <f t="shared" si="3"/>
        <v>0.95909992075708805</v>
      </c>
    </row>
    <row r="123" spans="1:14">
      <c r="A123" s="27">
        <v>3</v>
      </c>
      <c r="B123" s="27" t="str">
        <f>'AEO14 rsstk'!D140</f>
        <v>Air Source Heat Pumps (cool)</v>
      </c>
      <c r="C123" s="27">
        <f>'AEO14 rsstk'!A140</f>
        <v>198302</v>
      </c>
      <c r="D123" s="27">
        <f>'AEO14 rsstk'!B140</f>
        <v>17881</v>
      </c>
      <c r="E123" s="27">
        <f>'AEO14 rsstk'!C140</f>
        <v>0</v>
      </c>
      <c r="G123" s="27">
        <f>'AEO14 UEC'!A140</f>
        <v>3.0110000000000001</v>
      </c>
      <c r="H123" s="27">
        <f>'AEO14 UEC'!B140</f>
        <v>1.4</v>
      </c>
      <c r="I123" s="27">
        <f>'AEO14 UEC'!C140</f>
        <v>0</v>
      </c>
      <c r="K123" s="27">
        <f t="shared" si="2"/>
        <v>622120.72200000007</v>
      </c>
      <c r="N123" s="52">
        <f t="shared" si="3"/>
        <v>0.6563722004704321</v>
      </c>
    </row>
    <row r="124" spans="1:14">
      <c r="A124" s="27">
        <v>4</v>
      </c>
      <c r="B124" s="27" t="str">
        <f>'AEO14 rsstk'!D141</f>
        <v>Air Source Heat Pumps (cool)</v>
      </c>
      <c r="C124" s="27">
        <f>'AEO14 rsstk'!A141</f>
        <v>130032</v>
      </c>
      <c r="D124" s="27">
        <f>'AEO14 rsstk'!B141</f>
        <v>18511</v>
      </c>
      <c r="E124" s="27">
        <f>'AEO14 rsstk'!C141</f>
        <v>9306</v>
      </c>
      <c r="G124" s="27">
        <f>'AEO14 UEC'!A141</f>
        <v>4.609</v>
      </c>
      <c r="H124" s="27">
        <f>'AEO14 UEC'!B141</f>
        <v>2.2879999999999998</v>
      </c>
      <c r="I124" s="27">
        <f>'AEO14 UEC'!C141</f>
        <v>3.6960000000000002</v>
      </c>
      <c r="K124" s="27">
        <f t="shared" si="2"/>
        <v>676065.63199999998</v>
      </c>
      <c r="N124" s="52">
        <f t="shared" si="3"/>
        <v>0.71328710143539198</v>
      </c>
    </row>
    <row r="125" spans="1:14">
      <c r="A125" s="27">
        <v>5</v>
      </c>
      <c r="B125" s="27" t="str">
        <f>'AEO14 rsstk'!D142</f>
        <v>Air Source Heat Pumps (cool)</v>
      </c>
      <c r="C125" s="27">
        <f>'AEO14 rsstk'!A142</f>
        <v>4138593</v>
      </c>
      <c r="D125" s="27">
        <f>'AEO14 rsstk'!B142</f>
        <v>749966</v>
      </c>
      <c r="E125" s="27">
        <f>'AEO14 rsstk'!C142</f>
        <v>626922</v>
      </c>
      <c r="G125" s="27">
        <f>'AEO14 UEC'!A142</f>
        <v>12.483000000000001</v>
      </c>
      <c r="H125" s="27">
        <f>'AEO14 UEC'!B142</f>
        <v>5.367</v>
      </c>
      <c r="I125" s="27">
        <f>'AEO14 UEC'!C142</f>
        <v>8.6229999999999993</v>
      </c>
      <c r="K125" s="27">
        <f t="shared" si="2"/>
        <v>61093072.347000003</v>
      </c>
      <c r="N125" s="52">
        <f t="shared" si="3"/>
        <v>64.45661253813644</v>
      </c>
    </row>
    <row r="126" spans="1:14">
      <c r="A126" s="27">
        <v>6</v>
      </c>
      <c r="B126" s="27" t="str">
        <f>'AEO14 rsstk'!D143</f>
        <v>Air Source Heat Pumps (cool)</v>
      </c>
      <c r="C126" s="27">
        <f>'AEO14 rsstk'!A143</f>
        <v>1050730</v>
      </c>
      <c r="D126" s="27">
        <f>'AEO14 rsstk'!B143</f>
        <v>92223</v>
      </c>
      <c r="E126" s="27">
        <f>'AEO14 rsstk'!C143</f>
        <v>73812</v>
      </c>
      <c r="G126" s="27">
        <f>'AEO14 UEC'!A143</f>
        <v>11.371</v>
      </c>
      <c r="H126" s="27">
        <f>'AEO14 UEC'!B143</f>
        <v>4.5199999999999996</v>
      </c>
      <c r="I126" s="27">
        <f>'AEO14 UEC'!C143</f>
        <v>5.0599999999999996</v>
      </c>
      <c r="K126" s="27">
        <f t="shared" si="2"/>
        <v>12738187.51</v>
      </c>
      <c r="N126" s="52">
        <f t="shared" si="3"/>
        <v>13.439501161550561</v>
      </c>
    </row>
    <row r="127" spans="1:14">
      <c r="A127" s="27">
        <v>7</v>
      </c>
      <c r="B127" s="27" t="str">
        <f>'AEO14 rsstk'!D144</f>
        <v>Air Source Heat Pumps (cool)</v>
      </c>
      <c r="C127" s="27">
        <f>'AEO14 rsstk'!A144</f>
        <v>346201</v>
      </c>
      <c r="D127" s="27">
        <f>'AEO14 rsstk'!B144</f>
        <v>71729</v>
      </c>
      <c r="E127" s="27">
        <f>'AEO14 rsstk'!C144</f>
        <v>40129</v>
      </c>
      <c r="G127" s="27">
        <f>'AEO14 UEC'!A144</f>
        <v>15.516999999999999</v>
      </c>
      <c r="H127" s="27">
        <f>'AEO14 UEC'!B144</f>
        <v>5.8639999999999999</v>
      </c>
      <c r="I127" s="27">
        <f>'AEO14 UEC'!C144</f>
        <v>11.275</v>
      </c>
      <c r="K127" s="27">
        <f t="shared" si="2"/>
        <v>6245074.2479999987</v>
      </c>
      <c r="N127" s="52">
        <f t="shared" si="3"/>
        <v>6.5889030557978874</v>
      </c>
    </row>
    <row r="128" spans="1:14">
      <c r="A128" s="27">
        <v>8</v>
      </c>
      <c r="B128" s="27" t="str">
        <f>'AEO14 rsstk'!D145</f>
        <v>Air Source Heat Pumps (cool)</v>
      </c>
      <c r="C128" s="27">
        <f>'AEO14 rsstk'!A145</f>
        <v>544498</v>
      </c>
      <c r="D128" s="27">
        <f>'AEO14 rsstk'!B145</f>
        <v>57183</v>
      </c>
      <c r="E128" s="27">
        <f>'AEO14 rsstk'!C145</f>
        <v>106797</v>
      </c>
      <c r="G128" s="27">
        <f>'AEO14 UEC'!A145</f>
        <v>11.747</v>
      </c>
      <c r="H128" s="27">
        <f>'AEO14 UEC'!B145</f>
        <v>6.2489999999999997</v>
      </c>
      <c r="I128" s="27">
        <f>'AEO14 UEC'!C145</f>
        <v>10.228</v>
      </c>
      <c r="K128" s="27">
        <f t="shared" si="2"/>
        <v>7845874.2889999999</v>
      </c>
      <c r="N128" s="52">
        <f t="shared" si="3"/>
        <v>8.2778367438551843</v>
      </c>
    </row>
    <row r="129" spans="1:14">
      <c r="A129" s="27">
        <v>9</v>
      </c>
      <c r="B129" s="27" t="str">
        <f>'AEO14 rsstk'!D146</f>
        <v>Air Source Heat Pumps (cool)</v>
      </c>
      <c r="C129" s="27">
        <f>'AEO14 rsstk'!A146</f>
        <v>389067</v>
      </c>
      <c r="D129" s="27">
        <f>'AEO14 rsstk'!B146</f>
        <v>67779</v>
      </c>
      <c r="E129" s="27">
        <f>'AEO14 rsstk'!C146</f>
        <v>77440</v>
      </c>
      <c r="G129" s="27">
        <f>'AEO14 UEC'!A146</f>
        <v>5.0659999999999998</v>
      </c>
      <c r="H129" s="27">
        <f>'AEO14 UEC'!B146</f>
        <v>2.1629999999999998</v>
      </c>
      <c r="I129" s="27">
        <f>'AEO14 UEC'!C146</f>
        <v>2.1970000000000001</v>
      </c>
      <c r="K129" s="27">
        <f t="shared" si="2"/>
        <v>2287755.0790000004</v>
      </c>
      <c r="L129" s="53"/>
      <c r="N129" s="52">
        <f t="shared" si="3"/>
        <v>2.4137097226294246</v>
      </c>
    </row>
    <row r="130" spans="1:14">
      <c r="A130" s="27">
        <v>1</v>
      </c>
      <c r="B130" s="27" t="str">
        <f>'AEO14 rsstk'!D147</f>
        <v>Ground Source Heat Pumps (cool)</v>
      </c>
      <c r="C130" s="27">
        <f>'AEO14 rsstk'!A147</f>
        <v>6603</v>
      </c>
      <c r="D130" s="27">
        <f>'AEO14 rsstk'!B147</f>
        <v>0</v>
      </c>
      <c r="E130" s="27">
        <f>'AEO14 rsstk'!C147</f>
        <v>0</v>
      </c>
      <c r="G130" s="27">
        <f>'AEO14 UEC'!A147</f>
        <v>1.643</v>
      </c>
      <c r="H130" s="27">
        <f>'AEO14 UEC'!B147</f>
        <v>0</v>
      </c>
      <c r="I130" s="27">
        <f>'AEO14 UEC'!C147</f>
        <v>0</v>
      </c>
      <c r="K130" s="27">
        <f t="shared" si="2"/>
        <v>10848.728999999999</v>
      </c>
      <c r="N130" s="52">
        <f t="shared" si="3"/>
        <v>1.1446016623823999E-2</v>
      </c>
    </row>
    <row r="131" spans="1:14">
      <c r="A131" s="27">
        <v>2</v>
      </c>
      <c r="B131" s="27" t="str">
        <f>'AEO14 rsstk'!D148</f>
        <v>Ground Source Heat Pumps (cool)</v>
      </c>
      <c r="C131" s="27">
        <f>'AEO14 rsstk'!A148</f>
        <v>99423</v>
      </c>
      <c r="D131" s="27">
        <f>'AEO14 rsstk'!B148</f>
        <v>0</v>
      </c>
      <c r="E131" s="27">
        <f>'AEO14 rsstk'!C148</f>
        <v>0</v>
      </c>
      <c r="G131" s="27">
        <f>'AEO14 UEC'!A148</f>
        <v>2.7770000000000001</v>
      </c>
      <c r="H131" s="27">
        <f>'AEO14 UEC'!B148</f>
        <v>0</v>
      </c>
      <c r="I131" s="27">
        <f>'AEO14 UEC'!C148</f>
        <v>0</v>
      </c>
      <c r="K131" s="27">
        <f t="shared" si="2"/>
        <v>276097.67100000003</v>
      </c>
      <c r="N131" s="52">
        <f t="shared" si="3"/>
        <v>0.29129850437457605</v>
      </c>
    </row>
    <row r="132" spans="1:14">
      <c r="A132" s="27">
        <v>3</v>
      </c>
      <c r="B132" s="27" t="str">
        <f>'AEO14 rsstk'!D149</f>
        <v>Ground Source Heat Pumps (cool)</v>
      </c>
      <c r="C132" s="27">
        <f>'AEO14 rsstk'!A149</f>
        <v>112580</v>
      </c>
      <c r="D132" s="27">
        <f>'AEO14 rsstk'!B149</f>
        <v>0</v>
      </c>
      <c r="E132" s="27">
        <f>'AEO14 rsstk'!C149</f>
        <v>0</v>
      </c>
      <c r="G132" s="27">
        <f>'AEO14 UEC'!A149</f>
        <v>2.258</v>
      </c>
      <c r="H132" s="27">
        <f>'AEO14 UEC'!B149</f>
        <v>0</v>
      </c>
      <c r="I132" s="27">
        <f>'AEO14 UEC'!C149</f>
        <v>0</v>
      </c>
      <c r="K132" s="27">
        <f t="shared" si="2"/>
        <v>254205.64</v>
      </c>
      <c r="N132" s="52">
        <f t="shared" si="3"/>
        <v>0.26820118571584001</v>
      </c>
    </row>
    <row r="133" spans="1:14">
      <c r="A133" s="27">
        <v>4</v>
      </c>
      <c r="B133" s="27" t="str">
        <f>'AEO14 rsstk'!D150</f>
        <v>Ground Source Heat Pumps (cool)</v>
      </c>
      <c r="C133" s="27">
        <f>'AEO14 rsstk'!A150</f>
        <v>127509</v>
      </c>
      <c r="D133" s="27">
        <f>'AEO14 rsstk'!B150</f>
        <v>0</v>
      </c>
      <c r="E133" s="27">
        <f>'AEO14 rsstk'!C150</f>
        <v>0</v>
      </c>
      <c r="G133" s="27">
        <f>'AEO14 UEC'!A150</f>
        <v>3.4569999999999999</v>
      </c>
      <c r="H133" s="27">
        <f>'AEO14 UEC'!B150</f>
        <v>0</v>
      </c>
      <c r="I133" s="27">
        <f>'AEO14 UEC'!C150</f>
        <v>0</v>
      </c>
      <c r="K133" s="27">
        <f t="shared" ref="K133:K196" si="4">SUMPRODUCT(C133:E133,G133:I133)</f>
        <v>440798.61299999995</v>
      </c>
      <c r="N133" s="52">
        <f t="shared" ref="N133:N196" si="5">K133/1000000000*$O$1</f>
        <v>0.46506722143732793</v>
      </c>
    </row>
    <row r="134" spans="1:14">
      <c r="A134" s="27">
        <v>5</v>
      </c>
      <c r="B134" s="27" t="str">
        <f>'AEO14 rsstk'!D151</f>
        <v>Ground Source Heat Pumps (cool)</v>
      </c>
      <c r="C134" s="27">
        <f>'AEO14 rsstk'!A151</f>
        <v>92917</v>
      </c>
      <c r="D134" s="27">
        <f>'AEO14 rsstk'!B151</f>
        <v>0</v>
      </c>
      <c r="E134" s="27">
        <f>'AEO14 rsstk'!C151</f>
        <v>0</v>
      </c>
      <c r="G134" s="27">
        <f>'AEO14 UEC'!A151</f>
        <v>9.3620000000000001</v>
      </c>
      <c r="H134" s="27">
        <f>'AEO14 UEC'!B151</f>
        <v>0</v>
      </c>
      <c r="I134" s="27">
        <f>'AEO14 UEC'!C151</f>
        <v>0</v>
      </c>
      <c r="K134" s="27">
        <f t="shared" si="4"/>
        <v>869888.95400000003</v>
      </c>
      <c r="N134" s="52">
        <f t="shared" si="5"/>
        <v>0.9177815602514241</v>
      </c>
    </row>
    <row r="135" spans="1:14">
      <c r="A135" s="27">
        <v>6</v>
      </c>
      <c r="B135" s="27" t="str">
        <f>'AEO14 rsstk'!D152</f>
        <v>Ground Source Heat Pumps (cool)</v>
      </c>
      <c r="C135" s="27">
        <f>'AEO14 rsstk'!A152</f>
        <v>108807</v>
      </c>
      <c r="D135" s="27">
        <f>'AEO14 rsstk'!B152</f>
        <v>0</v>
      </c>
      <c r="E135" s="27">
        <f>'AEO14 rsstk'!C152</f>
        <v>0</v>
      </c>
      <c r="G135" s="27">
        <f>'AEO14 UEC'!A152</f>
        <v>8.5280000000000005</v>
      </c>
      <c r="H135" s="27">
        <f>'AEO14 UEC'!B152</f>
        <v>0</v>
      </c>
      <c r="I135" s="27">
        <f>'AEO14 UEC'!C152</f>
        <v>0</v>
      </c>
      <c r="K135" s="27">
        <f t="shared" si="4"/>
        <v>927906.09600000002</v>
      </c>
      <c r="N135" s="52">
        <f t="shared" si="5"/>
        <v>0.97899289402137601</v>
      </c>
    </row>
    <row r="136" spans="1:14">
      <c r="A136" s="27">
        <v>7</v>
      </c>
      <c r="B136" s="27" t="str">
        <f>'AEO14 rsstk'!D153</f>
        <v>Ground Source Heat Pumps (cool)</v>
      </c>
      <c r="C136" s="27">
        <f>'AEO14 rsstk'!A153</f>
        <v>75853</v>
      </c>
      <c r="D136" s="27">
        <f>'AEO14 rsstk'!B153</f>
        <v>0</v>
      </c>
      <c r="E136" s="27">
        <f>'AEO14 rsstk'!C153</f>
        <v>0</v>
      </c>
      <c r="G136" s="27">
        <f>'AEO14 UEC'!A153</f>
        <v>11.638</v>
      </c>
      <c r="H136" s="27">
        <f>'AEO14 UEC'!B153</f>
        <v>0</v>
      </c>
      <c r="I136" s="27">
        <f>'AEO14 UEC'!C153</f>
        <v>0</v>
      </c>
      <c r="K136" s="27">
        <f t="shared" si="4"/>
        <v>882777.21400000004</v>
      </c>
      <c r="N136" s="52">
        <f t="shared" si="5"/>
        <v>0.93137939629398414</v>
      </c>
    </row>
    <row r="137" spans="1:14">
      <c r="A137" s="27">
        <v>8</v>
      </c>
      <c r="B137" s="27" t="str">
        <f>'AEO14 rsstk'!D154</f>
        <v>Ground Source Heat Pumps (cool)</v>
      </c>
      <c r="C137" s="27">
        <f>'AEO14 rsstk'!A154</f>
        <v>48037</v>
      </c>
      <c r="D137" s="27">
        <f>'AEO14 rsstk'!B154</f>
        <v>0</v>
      </c>
      <c r="E137" s="27">
        <f>'AEO14 rsstk'!C154</f>
        <v>0</v>
      </c>
      <c r="G137" s="27">
        <f>'AEO14 UEC'!A154</f>
        <v>8.81</v>
      </c>
      <c r="H137" s="27">
        <f>'AEO14 UEC'!B154</f>
        <v>0</v>
      </c>
      <c r="I137" s="27">
        <f>'AEO14 UEC'!C154</f>
        <v>0</v>
      </c>
      <c r="K137" s="27">
        <f t="shared" si="4"/>
        <v>423205.97000000003</v>
      </c>
      <c r="N137" s="52">
        <f t="shared" si="5"/>
        <v>0.44650599788432005</v>
      </c>
    </row>
    <row r="138" spans="1:14">
      <c r="A138" s="27">
        <v>9</v>
      </c>
      <c r="B138" s="27" t="str">
        <f>'AEO14 rsstk'!D155</f>
        <v>Ground Source Heat Pumps (cool)</v>
      </c>
      <c r="C138" s="27">
        <f>'AEO14 rsstk'!A155</f>
        <v>27439</v>
      </c>
      <c r="D138" s="27">
        <f>'AEO14 rsstk'!B155</f>
        <v>0</v>
      </c>
      <c r="E138" s="27">
        <f>'AEO14 rsstk'!C155</f>
        <v>0</v>
      </c>
      <c r="G138" s="27">
        <f>'AEO14 UEC'!A155</f>
        <v>3.8</v>
      </c>
      <c r="H138" s="27">
        <f>'AEO14 UEC'!B155</f>
        <v>0</v>
      </c>
      <c r="I138" s="27">
        <f>'AEO14 UEC'!C155</f>
        <v>0</v>
      </c>
      <c r="K138" s="27">
        <f t="shared" si="4"/>
        <v>104268.2</v>
      </c>
      <c r="L138" s="53">
        <f>SUM(K103:K138)/1000000000</f>
        <v>0.63526649588700002</v>
      </c>
      <c r="M138" s="53">
        <f>USDemand!D121</f>
        <v>0.82708599999999999</v>
      </c>
      <c r="N138" s="52">
        <f t="shared" si="5"/>
        <v>0.1100087900192</v>
      </c>
    </row>
    <row r="139" spans="1:14">
      <c r="A139" s="27">
        <v>1</v>
      </c>
      <c r="B139" s="27" t="str">
        <f>'AEO14 rsstk'!D156</f>
        <v>Natural Gas Heat Pumps (cool)</v>
      </c>
      <c r="C139" s="27">
        <f>'AEO14 rsstk'!A156</f>
        <v>0</v>
      </c>
      <c r="D139" s="27">
        <f>'AEO14 rsstk'!B156</f>
        <v>0</v>
      </c>
      <c r="E139" s="27">
        <f>'AEO14 rsstk'!C156</f>
        <v>0</v>
      </c>
      <c r="G139" s="27">
        <f>'AEO14 UEC'!A156</f>
        <v>11.301</v>
      </c>
      <c r="H139" s="27">
        <f>'AEO14 UEC'!B156</f>
        <v>4.6840000000000002</v>
      </c>
      <c r="I139" s="27">
        <f>'AEO14 UEC'!C156</f>
        <v>7.6360000000000001</v>
      </c>
      <c r="K139" s="27">
        <f t="shared" si="4"/>
        <v>0</v>
      </c>
      <c r="N139" s="52">
        <f t="shared" si="5"/>
        <v>0</v>
      </c>
    </row>
    <row r="140" spans="1:14">
      <c r="A140" s="27">
        <v>2</v>
      </c>
      <c r="B140" s="27" t="str">
        <f>'AEO14 rsstk'!D157</f>
        <v>Natural Gas Heat Pumps (cool)</v>
      </c>
      <c r="C140" s="27">
        <f>'AEO14 rsstk'!A157</f>
        <v>0</v>
      </c>
      <c r="D140" s="27">
        <f>'AEO14 rsstk'!B157</f>
        <v>44245</v>
      </c>
      <c r="E140" s="27">
        <f>'AEO14 rsstk'!C157</f>
        <v>0</v>
      </c>
      <c r="G140" s="27">
        <f>'AEO14 UEC'!A157</f>
        <v>19.099</v>
      </c>
      <c r="H140" s="27">
        <f>'AEO14 UEC'!B157</f>
        <v>9.4770000000000003</v>
      </c>
      <c r="I140" s="27">
        <f>'AEO14 UEC'!C157</f>
        <v>12.904999999999999</v>
      </c>
      <c r="K140" s="27">
        <f t="shared" si="4"/>
        <v>419309.86499999999</v>
      </c>
      <c r="N140" s="52">
        <f t="shared" si="5"/>
        <v>0.44239538892744001</v>
      </c>
    </row>
    <row r="141" spans="1:14">
      <c r="A141" s="27">
        <v>3</v>
      </c>
      <c r="B141" s="27" t="str">
        <f>'AEO14 rsstk'!D158</f>
        <v>Natural Gas Heat Pumps (cool)</v>
      </c>
      <c r="C141" s="27">
        <f>'AEO14 rsstk'!A158</f>
        <v>10845</v>
      </c>
      <c r="D141" s="27">
        <f>'AEO14 rsstk'!B158</f>
        <v>0</v>
      </c>
      <c r="E141" s="27">
        <f>'AEO14 rsstk'!C158</f>
        <v>0</v>
      </c>
      <c r="G141" s="27">
        <f>'AEO14 UEC'!A158</f>
        <v>15.531000000000001</v>
      </c>
      <c r="H141" s="27">
        <f>'AEO14 UEC'!B158</f>
        <v>7.2240000000000002</v>
      </c>
      <c r="I141" s="27">
        <f>'AEO14 UEC'!C158</f>
        <v>10.494999999999999</v>
      </c>
      <c r="K141" s="27">
        <f t="shared" si="4"/>
        <v>168433.69500000001</v>
      </c>
      <c r="N141" s="52">
        <f t="shared" si="5"/>
        <v>0.17770698051192002</v>
      </c>
    </row>
    <row r="142" spans="1:14">
      <c r="A142" s="27">
        <v>4</v>
      </c>
      <c r="B142" s="27" t="str">
        <f>'AEO14 rsstk'!D159</f>
        <v>Natural Gas Heat Pumps (cool)</v>
      </c>
      <c r="C142" s="27">
        <f>'AEO14 rsstk'!A159</f>
        <v>30994</v>
      </c>
      <c r="D142" s="27">
        <f>'AEO14 rsstk'!B159</f>
        <v>8657</v>
      </c>
      <c r="E142" s="27">
        <f>'AEO14 rsstk'!C159</f>
        <v>0</v>
      </c>
      <c r="G142" s="27">
        <f>'AEO14 UEC'!A159</f>
        <v>23.773</v>
      </c>
      <c r="H142" s="27">
        <f>'AEO14 UEC'!B159</f>
        <v>11.801</v>
      </c>
      <c r="I142" s="27">
        <f>'AEO14 UEC'!C159</f>
        <v>19.062999999999999</v>
      </c>
      <c r="K142" s="27">
        <f t="shared" si="4"/>
        <v>838981.61899999995</v>
      </c>
      <c r="N142" s="52">
        <f t="shared" si="5"/>
        <v>0.88517259101566403</v>
      </c>
    </row>
    <row r="143" spans="1:14">
      <c r="A143" s="27">
        <v>5</v>
      </c>
      <c r="B143" s="27" t="str">
        <f>'AEO14 rsstk'!D160</f>
        <v>Natural Gas Heat Pumps (cool)</v>
      </c>
      <c r="C143" s="27">
        <f>'AEO14 rsstk'!A160</f>
        <v>112498</v>
      </c>
      <c r="D143" s="27">
        <f>'AEO14 rsstk'!B160</f>
        <v>41617</v>
      </c>
      <c r="E143" s="27">
        <f>'AEO14 rsstk'!C160</f>
        <v>0</v>
      </c>
      <c r="G143" s="27">
        <f>'AEO14 UEC'!A160</f>
        <v>64.391000000000005</v>
      </c>
      <c r="H143" s="27">
        <f>'AEO14 UEC'!B160</f>
        <v>27.684999999999999</v>
      </c>
      <c r="I143" s="27">
        <f>'AEO14 UEC'!C160</f>
        <v>44.48</v>
      </c>
      <c r="K143" s="27">
        <f t="shared" si="4"/>
        <v>8396025.3629999999</v>
      </c>
      <c r="N143" s="52">
        <f t="shared" si="5"/>
        <v>8.8582769353853283</v>
      </c>
    </row>
    <row r="144" spans="1:14">
      <c r="A144" s="27">
        <v>6</v>
      </c>
      <c r="B144" s="27" t="str">
        <f>'AEO14 rsstk'!D161</f>
        <v>Natural Gas Heat Pumps (cool)</v>
      </c>
      <c r="C144" s="27">
        <f>'AEO14 rsstk'!A161</f>
        <v>43852</v>
      </c>
      <c r="D144" s="27">
        <f>'AEO14 rsstk'!B161</f>
        <v>0</v>
      </c>
      <c r="E144" s="27">
        <f>'AEO14 rsstk'!C161</f>
        <v>0</v>
      </c>
      <c r="G144" s="27">
        <f>'AEO14 UEC'!A161</f>
        <v>58.655999999999999</v>
      </c>
      <c r="H144" s="27">
        <f>'AEO14 UEC'!B161</f>
        <v>23.315999999999999</v>
      </c>
      <c r="I144" s="27">
        <f>'AEO14 UEC'!C161</f>
        <v>26.100999999999999</v>
      </c>
      <c r="K144" s="27">
        <f t="shared" si="4"/>
        <v>2572182.912</v>
      </c>
      <c r="N144" s="52">
        <f t="shared" si="5"/>
        <v>2.7137970144030721</v>
      </c>
    </row>
    <row r="145" spans="1:14">
      <c r="A145" s="27">
        <v>7</v>
      </c>
      <c r="B145" s="27" t="str">
        <f>'AEO14 rsstk'!D162</f>
        <v>Natural Gas Heat Pumps (cool)</v>
      </c>
      <c r="C145" s="27">
        <f>'AEO14 rsstk'!A162</f>
        <v>21446</v>
      </c>
      <c r="D145" s="27">
        <f>'AEO14 rsstk'!B162</f>
        <v>0</v>
      </c>
      <c r="E145" s="27">
        <f>'AEO14 rsstk'!C162</f>
        <v>0</v>
      </c>
      <c r="G145" s="27">
        <f>'AEO14 UEC'!A162</f>
        <v>80.040999999999997</v>
      </c>
      <c r="H145" s="27">
        <f>'AEO14 UEC'!B162</f>
        <v>30.247</v>
      </c>
      <c r="I145" s="27">
        <f>'AEO14 UEC'!C162</f>
        <v>58.158000000000001</v>
      </c>
      <c r="K145" s="27">
        <f t="shared" si="4"/>
        <v>1716559.2859999998</v>
      </c>
      <c r="N145" s="52">
        <f t="shared" si="5"/>
        <v>1.8110661740500158</v>
      </c>
    </row>
    <row r="146" spans="1:14">
      <c r="A146" s="27">
        <v>8</v>
      </c>
      <c r="B146" s="27" t="str">
        <f>'AEO14 rsstk'!D163</f>
        <v>Natural Gas Heat Pumps (cool)</v>
      </c>
      <c r="C146" s="27">
        <f>'AEO14 rsstk'!A163</f>
        <v>52831</v>
      </c>
      <c r="D146" s="27">
        <f>'AEO14 rsstk'!B163</f>
        <v>7959</v>
      </c>
      <c r="E146" s="27">
        <f>'AEO14 rsstk'!C163</f>
        <v>0</v>
      </c>
      <c r="G146" s="27">
        <f>'AEO14 UEC'!A163</f>
        <v>60.594999999999999</v>
      </c>
      <c r="H146" s="27">
        <f>'AEO14 UEC'!B163</f>
        <v>32.231999999999999</v>
      </c>
      <c r="I146" s="27">
        <f>'AEO14 UEC'!C163</f>
        <v>52.759</v>
      </c>
      <c r="K146" s="27">
        <f t="shared" si="4"/>
        <v>3457828.9329999997</v>
      </c>
      <c r="N146" s="52">
        <f t="shared" si="5"/>
        <v>3.648203162735248</v>
      </c>
    </row>
    <row r="147" spans="1:14">
      <c r="A147" s="27">
        <v>9</v>
      </c>
      <c r="B147" s="27" t="str">
        <f>'AEO14 rsstk'!D164</f>
        <v>Natural Gas Heat Pumps (cool)</v>
      </c>
      <c r="C147" s="27">
        <f>'AEO14 rsstk'!A164</f>
        <v>26174</v>
      </c>
      <c r="D147" s="27">
        <f>'AEO14 rsstk'!B164</f>
        <v>8277</v>
      </c>
      <c r="E147" s="27">
        <f>'AEO14 rsstk'!C164</f>
        <v>0</v>
      </c>
      <c r="G147" s="27">
        <f>'AEO14 UEC'!A164</f>
        <v>26.132000000000001</v>
      </c>
      <c r="H147" s="27">
        <f>'AEO14 UEC'!B164</f>
        <v>11.156000000000001</v>
      </c>
      <c r="I147" s="27">
        <f>'AEO14 UEC'!C164</f>
        <v>11.332000000000001</v>
      </c>
      <c r="K147" s="27">
        <f t="shared" si="4"/>
        <v>776317.17999999993</v>
      </c>
      <c r="L147" s="51">
        <f>SUM(K139:K147)/1000000000</f>
        <v>1.8345638853000001E-2</v>
      </c>
      <c r="M147" s="53">
        <f>USDemand!D138</f>
        <v>2.2401999999999998E-2</v>
      </c>
      <c r="N147" s="52">
        <f t="shared" si="5"/>
        <v>0.81905809866208001</v>
      </c>
    </row>
    <row r="148" spans="1:14">
      <c r="A148" s="27">
        <v>1</v>
      </c>
      <c r="B148" s="27" t="str">
        <f>'AEO14 rsstk'!D165</f>
        <v>Clothes Washers</v>
      </c>
      <c r="C148" s="27">
        <f>'AEO14 rsstk'!A165</f>
        <v>3258680</v>
      </c>
      <c r="D148" s="27">
        <f>'AEO14 rsstk'!B165</f>
        <v>758573</v>
      </c>
      <c r="E148" s="27">
        <f>'AEO14 rsstk'!C165</f>
        <v>68655</v>
      </c>
      <c r="G148" s="27">
        <f>'AEO14 UEC'!A165</f>
        <v>0.34599999999999997</v>
      </c>
      <c r="H148" s="27">
        <f>'AEO14 UEC'!B165</f>
        <v>0.34399999999999997</v>
      </c>
      <c r="I148" s="27">
        <f>'AEO14 UEC'!C165</f>
        <v>0.34699999999999998</v>
      </c>
      <c r="K148" s="27">
        <f t="shared" si="4"/>
        <v>1412275.6769999999</v>
      </c>
      <c r="N148" s="52">
        <f t="shared" si="5"/>
        <v>1.4900299266729118</v>
      </c>
    </row>
    <row r="149" spans="1:14">
      <c r="A149" s="27">
        <v>2</v>
      </c>
      <c r="B149" s="27" t="str">
        <f>'AEO14 rsstk'!D166</f>
        <v>Clothes Washers</v>
      </c>
      <c r="C149" s="27">
        <f>'AEO14 rsstk'!A166</f>
        <v>8643594</v>
      </c>
      <c r="D149" s="27">
        <f>'AEO14 rsstk'!B166</f>
        <v>1783492</v>
      </c>
      <c r="E149" s="27">
        <f>'AEO14 rsstk'!C166</f>
        <v>411400</v>
      </c>
      <c r="G149" s="27">
        <f>'AEO14 UEC'!A166</f>
        <v>0.35</v>
      </c>
      <c r="H149" s="27">
        <f>'AEO14 UEC'!B166</f>
        <v>0.34899999999999998</v>
      </c>
      <c r="I149" s="27">
        <f>'AEO14 UEC'!C166</f>
        <v>0.35099999999999998</v>
      </c>
      <c r="K149" s="27">
        <f t="shared" si="4"/>
        <v>3792098.0079999999</v>
      </c>
      <c r="N149" s="52">
        <f t="shared" si="5"/>
        <v>4.0008757559284476</v>
      </c>
    </row>
    <row r="150" spans="1:14">
      <c r="A150" s="27">
        <v>3</v>
      </c>
      <c r="B150" s="27" t="str">
        <f>'AEO14 rsstk'!D167</f>
        <v>Clothes Washers</v>
      </c>
      <c r="C150" s="27">
        <f>'AEO14 rsstk'!A167</f>
        <v>12600778</v>
      </c>
      <c r="D150" s="27">
        <f>'AEO14 rsstk'!B167</f>
        <v>1525818</v>
      </c>
      <c r="E150" s="27">
        <f>'AEO14 rsstk'!C167</f>
        <v>558801</v>
      </c>
      <c r="G150" s="27">
        <f>'AEO14 UEC'!A167</f>
        <v>0.35499999999999998</v>
      </c>
      <c r="H150" s="27">
        <f>'AEO14 UEC'!B167</f>
        <v>0.35499999999999998</v>
      </c>
      <c r="I150" s="27">
        <f>'AEO14 UEC'!C167</f>
        <v>0.35599999999999998</v>
      </c>
      <c r="K150" s="27">
        <f t="shared" si="4"/>
        <v>5213874.7359999996</v>
      </c>
      <c r="N150" s="52">
        <f t="shared" si="5"/>
        <v>5.5009298234652162</v>
      </c>
    </row>
    <row r="151" spans="1:14">
      <c r="A151" s="27">
        <v>4</v>
      </c>
      <c r="B151" s="27" t="str">
        <f>'AEO14 rsstk'!D168</f>
        <v>Clothes Washers</v>
      </c>
      <c r="C151" s="27">
        <f>'AEO14 rsstk'!A168</f>
        <v>5979177</v>
      </c>
      <c r="D151" s="27">
        <f>'AEO14 rsstk'!B168</f>
        <v>507356</v>
      </c>
      <c r="E151" s="27">
        <f>'AEO14 rsstk'!C168</f>
        <v>456320</v>
      </c>
      <c r="G151" s="27">
        <f>'AEO14 UEC'!A168</f>
        <v>0.35599999999999998</v>
      </c>
      <c r="H151" s="27">
        <f>'AEO14 UEC'!B168</f>
        <v>0.35499999999999998</v>
      </c>
      <c r="I151" s="27">
        <f>'AEO14 UEC'!C168</f>
        <v>0.35599999999999998</v>
      </c>
      <c r="K151" s="27">
        <f t="shared" si="4"/>
        <v>2471148.3119999999</v>
      </c>
      <c r="N151" s="52">
        <f t="shared" si="5"/>
        <v>2.6071998534654721</v>
      </c>
    </row>
    <row r="152" spans="1:14">
      <c r="A152" s="27">
        <v>5</v>
      </c>
      <c r="B152" s="27" t="str">
        <f>'AEO14 rsstk'!D169</f>
        <v>Clothes Washers</v>
      </c>
      <c r="C152" s="27">
        <f>'AEO14 rsstk'!A169</f>
        <v>14517792</v>
      </c>
      <c r="D152" s="27">
        <f>'AEO14 rsstk'!B169</f>
        <v>2703336</v>
      </c>
      <c r="E152" s="27">
        <f>'AEO14 rsstk'!C169</f>
        <v>2176889</v>
      </c>
      <c r="G152" s="27">
        <f>'AEO14 UEC'!A169</f>
        <v>0.35499999999999998</v>
      </c>
      <c r="H152" s="27">
        <f>'AEO14 UEC'!B169</f>
        <v>0.35299999999999998</v>
      </c>
      <c r="I152" s="27">
        <f>'AEO14 UEC'!C169</f>
        <v>0.35499999999999998</v>
      </c>
      <c r="K152" s="27">
        <f t="shared" si="4"/>
        <v>6880889.3629999999</v>
      </c>
      <c r="N152" s="52">
        <f t="shared" si="5"/>
        <v>7.2597236077693283</v>
      </c>
    </row>
    <row r="153" spans="1:14">
      <c r="A153" s="27">
        <v>6</v>
      </c>
      <c r="B153" s="27" t="str">
        <f>'AEO14 rsstk'!D170</f>
        <v>Clothes Washers</v>
      </c>
      <c r="C153" s="27">
        <f>'AEO14 rsstk'!A170</f>
        <v>5276951</v>
      </c>
      <c r="D153" s="27">
        <f>'AEO14 rsstk'!B170</f>
        <v>500029</v>
      </c>
      <c r="E153" s="27">
        <f>'AEO14 rsstk'!C170</f>
        <v>562723</v>
      </c>
      <c r="G153" s="27">
        <f>'AEO14 UEC'!A170</f>
        <v>0.35399999999999998</v>
      </c>
      <c r="H153" s="27">
        <f>'AEO14 UEC'!B170</f>
        <v>0.34899999999999998</v>
      </c>
      <c r="I153" s="27">
        <f>'AEO14 UEC'!C170</f>
        <v>0.35499999999999998</v>
      </c>
      <c r="K153" s="27">
        <f t="shared" si="4"/>
        <v>2242317.44</v>
      </c>
      <c r="N153" s="52">
        <f t="shared" si="5"/>
        <v>2.3657704689766401</v>
      </c>
    </row>
    <row r="154" spans="1:14">
      <c r="A154" s="27">
        <v>7</v>
      </c>
      <c r="B154" s="27" t="str">
        <f>'AEO14 rsstk'!D171</f>
        <v>Clothes Washers</v>
      </c>
      <c r="C154" s="27">
        <f>'AEO14 rsstk'!A171</f>
        <v>8757011</v>
      </c>
      <c r="D154" s="27">
        <f>'AEO14 rsstk'!B171</f>
        <v>1237115</v>
      </c>
      <c r="E154" s="27">
        <f>'AEO14 rsstk'!C171</f>
        <v>756238</v>
      </c>
      <c r="G154" s="27">
        <f>'AEO14 UEC'!A171</f>
        <v>0.35</v>
      </c>
      <c r="H154" s="27">
        <f>'AEO14 UEC'!B171</f>
        <v>0.34699999999999998</v>
      </c>
      <c r="I154" s="27">
        <f>'AEO14 UEC'!C171</f>
        <v>0.35099999999999998</v>
      </c>
      <c r="K154" s="27">
        <f t="shared" si="4"/>
        <v>3759672.2929999996</v>
      </c>
      <c r="N154" s="52">
        <f t="shared" si="5"/>
        <v>3.9666648107634077</v>
      </c>
    </row>
    <row r="155" spans="1:14">
      <c r="A155" s="27">
        <v>8</v>
      </c>
      <c r="B155" s="27" t="str">
        <f>'AEO14 rsstk'!D172</f>
        <v>Clothes Washers</v>
      </c>
      <c r="C155" s="27">
        <f>'AEO14 rsstk'!A172</f>
        <v>5784364</v>
      </c>
      <c r="D155" s="27">
        <f>'AEO14 rsstk'!B172</f>
        <v>788019</v>
      </c>
      <c r="E155" s="27">
        <f>'AEO14 rsstk'!C172</f>
        <v>541722</v>
      </c>
      <c r="G155" s="27">
        <f>'AEO14 UEC'!A172</f>
        <v>0.35599999999999998</v>
      </c>
      <c r="H155" s="27">
        <f>'AEO14 UEC'!B172</f>
        <v>0.35</v>
      </c>
      <c r="I155" s="27">
        <f>'AEO14 UEC'!C172</f>
        <v>0.35399999999999998</v>
      </c>
      <c r="K155" s="27">
        <f t="shared" si="4"/>
        <v>2526809.8219999997</v>
      </c>
      <c r="N155" s="52">
        <f t="shared" si="5"/>
        <v>2.665925863560032</v>
      </c>
    </row>
    <row r="156" spans="1:14">
      <c r="A156" s="27">
        <v>9</v>
      </c>
      <c r="B156" s="27" t="str">
        <f>'AEO14 rsstk'!D173</f>
        <v>Clothes Washers</v>
      </c>
      <c r="C156" s="27">
        <f>'AEO14 rsstk'!A173</f>
        <v>10560902</v>
      </c>
      <c r="D156" s="27">
        <f>'AEO14 rsstk'!B173</f>
        <v>1815177</v>
      </c>
      <c r="E156" s="27">
        <f>'AEO14 rsstk'!C173</f>
        <v>677586</v>
      </c>
      <c r="G156" s="27">
        <f>'AEO14 UEC'!A173</f>
        <v>0.35299999999999998</v>
      </c>
      <c r="H156" s="27">
        <f>'AEO14 UEC'!B173</f>
        <v>0.35199999999999998</v>
      </c>
      <c r="I156" s="27">
        <f>'AEO14 UEC'!C173</f>
        <v>0.35299999999999998</v>
      </c>
      <c r="K156" s="27">
        <f t="shared" si="4"/>
        <v>4606128.568</v>
      </c>
      <c r="N156" s="52">
        <f t="shared" si="5"/>
        <v>4.8597235824398082</v>
      </c>
    </row>
    <row r="157" spans="1:14">
      <c r="A157" s="27">
        <v>1</v>
      </c>
      <c r="B157" s="27" t="str">
        <f>'AEO14 rsstk'!D174</f>
        <v>Dishwashers</v>
      </c>
      <c r="C157" s="27">
        <f>'AEO14 rsstk'!A174</f>
        <v>2436154</v>
      </c>
      <c r="D157" s="27">
        <f>'AEO14 rsstk'!B174</f>
        <v>680410</v>
      </c>
      <c r="E157" s="27">
        <f>'AEO14 rsstk'!C174</f>
        <v>16661</v>
      </c>
      <c r="G157" s="27">
        <f>'AEO14 UEC'!A174</f>
        <v>1.4790000000000001</v>
      </c>
      <c r="H157" s="27">
        <f>'AEO14 UEC'!B174</f>
        <v>1.48</v>
      </c>
      <c r="I157" s="27">
        <f>'AEO14 UEC'!C174</f>
        <v>1.4770000000000001</v>
      </c>
      <c r="K157" s="27">
        <f t="shared" si="4"/>
        <v>4634686.8630000008</v>
      </c>
      <c r="N157" s="52">
        <f t="shared" si="5"/>
        <v>4.8898541829293292</v>
      </c>
    </row>
    <row r="158" spans="1:14">
      <c r="A158" s="27">
        <v>2</v>
      </c>
      <c r="B158" s="27" t="str">
        <f>'AEO14 rsstk'!D175</f>
        <v>Dishwashers</v>
      </c>
      <c r="C158" s="27">
        <f>'AEO14 rsstk'!A175</f>
        <v>6395520</v>
      </c>
      <c r="D158" s="27">
        <f>'AEO14 rsstk'!B175</f>
        <v>1678607</v>
      </c>
      <c r="E158" s="27">
        <f>'AEO14 rsstk'!C175</f>
        <v>218045</v>
      </c>
      <c r="G158" s="27">
        <f>'AEO14 UEC'!A175</f>
        <v>1.48</v>
      </c>
      <c r="H158" s="27">
        <f>'AEO14 UEC'!B175</f>
        <v>1.484</v>
      </c>
      <c r="I158" s="27">
        <f>'AEO14 UEC'!C175</f>
        <v>1.486</v>
      </c>
      <c r="K158" s="27">
        <f t="shared" si="4"/>
        <v>12280437.257999999</v>
      </c>
      <c r="N158" s="52">
        <f t="shared" si="5"/>
        <v>12.956549011676449</v>
      </c>
    </row>
    <row r="159" spans="1:14">
      <c r="A159" s="27">
        <v>3</v>
      </c>
      <c r="B159" s="27" t="str">
        <f>'AEO14 rsstk'!D176</f>
        <v>Dishwashers</v>
      </c>
      <c r="C159" s="27">
        <f>'AEO14 rsstk'!A176</f>
        <v>7937800</v>
      </c>
      <c r="D159" s="27">
        <f>'AEO14 rsstk'!B176</f>
        <v>1476260</v>
      </c>
      <c r="E159" s="27">
        <f>'AEO14 rsstk'!C176</f>
        <v>116678</v>
      </c>
      <c r="G159" s="27">
        <f>'AEO14 UEC'!A176</f>
        <v>1.4790000000000001</v>
      </c>
      <c r="H159" s="27">
        <f>'AEO14 UEC'!B176</f>
        <v>1.48</v>
      </c>
      <c r="I159" s="27">
        <f>'AEO14 UEC'!C176</f>
        <v>1.4930000000000001</v>
      </c>
      <c r="K159" s="27">
        <f t="shared" si="4"/>
        <v>14099071.254000001</v>
      </c>
      <c r="N159" s="52">
        <f t="shared" si="5"/>
        <v>14.875309720960226</v>
      </c>
    </row>
    <row r="160" spans="1:14">
      <c r="A160" s="27">
        <v>4</v>
      </c>
      <c r="B160" s="27" t="str">
        <f>'AEO14 rsstk'!D177</f>
        <v>Dishwashers</v>
      </c>
      <c r="C160" s="27">
        <f>'AEO14 rsstk'!A177</f>
        <v>4250125</v>
      </c>
      <c r="D160" s="27">
        <f>'AEO14 rsstk'!B177</f>
        <v>678632</v>
      </c>
      <c r="E160" s="27">
        <f>'AEO14 rsstk'!C177</f>
        <v>208450</v>
      </c>
      <c r="G160" s="27">
        <f>'AEO14 UEC'!A177</f>
        <v>1.482</v>
      </c>
      <c r="H160" s="27">
        <f>'AEO14 UEC'!B177</f>
        <v>1.494</v>
      </c>
      <c r="I160" s="27">
        <f>'AEO14 UEC'!C177</f>
        <v>1.4870000000000001</v>
      </c>
      <c r="K160" s="27">
        <f t="shared" si="4"/>
        <v>7622526.608</v>
      </c>
      <c r="N160" s="52">
        <f t="shared" si="5"/>
        <v>8.0421924329300492</v>
      </c>
    </row>
    <row r="161" spans="1:14">
      <c r="A161" s="27">
        <v>5</v>
      </c>
      <c r="B161" s="27" t="str">
        <f>'AEO14 rsstk'!D178</f>
        <v>Dishwashers</v>
      </c>
      <c r="C161" s="27">
        <f>'AEO14 rsstk'!A178</f>
        <v>10880792</v>
      </c>
      <c r="D161" s="27">
        <f>'AEO14 rsstk'!B178</f>
        <v>2687747</v>
      </c>
      <c r="E161" s="27">
        <f>'AEO14 rsstk'!C178</f>
        <v>714968</v>
      </c>
      <c r="G161" s="27">
        <f>'AEO14 UEC'!A178</f>
        <v>1.4850000000000001</v>
      </c>
      <c r="H161" s="27">
        <f>'AEO14 UEC'!B178</f>
        <v>1.488</v>
      </c>
      <c r="I161" s="27">
        <f>'AEO14 UEC'!C178</f>
        <v>1.49</v>
      </c>
      <c r="K161" s="27">
        <f t="shared" si="4"/>
        <v>21222645.976</v>
      </c>
      <c r="N161" s="52">
        <f t="shared" si="5"/>
        <v>22.391079972854659</v>
      </c>
    </row>
    <row r="162" spans="1:14">
      <c r="A162" s="27">
        <v>6</v>
      </c>
      <c r="B162" s="27" t="str">
        <f>'AEO14 rsstk'!D179</f>
        <v>Dishwashers</v>
      </c>
      <c r="C162" s="27">
        <f>'AEO14 rsstk'!A179</f>
        <v>3548494</v>
      </c>
      <c r="D162" s="27">
        <f>'AEO14 rsstk'!B179</f>
        <v>564736</v>
      </c>
      <c r="E162" s="27">
        <f>'AEO14 rsstk'!C179</f>
        <v>203349</v>
      </c>
      <c r="G162" s="27">
        <f>'AEO14 UEC'!A179</f>
        <v>1.486</v>
      </c>
      <c r="H162" s="27">
        <f>'AEO14 UEC'!B179</f>
        <v>1.4830000000000001</v>
      </c>
      <c r="I162" s="27">
        <f>'AEO14 UEC'!C179</f>
        <v>1.4890000000000001</v>
      </c>
      <c r="K162" s="27">
        <f t="shared" si="4"/>
        <v>6413352.233</v>
      </c>
      <c r="N162" s="52">
        <f t="shared" si="5"/>
        <v>6.7664457535400482</v>
      </c>
    </row>
    <row r="163" spans="1:14">
      <c r="A163" s="27">
        <v>7</v>
      </c>
      <c r="B163" s="27" t="str">
        <f>'AEO14 rsstk'!D180</f>
        <v>Dishwashers</v>
      </c>
      <c r="C163" s="27">
        <f>'AEO14 rsstk'!A180</f>
        <v>5561009</v>
      </c>
      <c r="D163" s="27">
        <f>'AEO14 rsstk'!B180</f>
        <v>1539099</v>
      </c>
      <c r="E163" s="27">
        <f>'AEO14 rsstk'!C180</f>
        <v>311222</v>
      </c>
      <c r="G163" s="27">
        <f>'AEO14 UEC'!A180</f>
        <v>1.4950000000000001</v>
      </c>
      <c r="H163" s="27">
        <f>'AEO14 UEC'!B180</f>
        <v>1.4950000000000001</v>
      </c>
      <c r="I163" s="27">
        <f>'AEO14 UEC'!C180</f>
        <v>1.4910000000000001</v>
      </c>
      <c r="K163" s="27">
        <f t="shared" si="4"/>
        <v>11078693.462000001</v>
      </c>
      <c r="N163" s="52">
        <f t="shared" si="5"/>
        <v>11.688642009243873</v>
      </c>
    </row>
    <row r="164" spans="1:14">
      <c r="A164" s="27">
        <v>8</v>
      </c>
      <c r="B164" s="27" t="str">
        <f>'AEO14 rsstk'!D181</f>
        <v>Dishwashers</v>
      </c>
      <c r="C164" s="27">
        <f>'AEO14 rsstk'!A181</f>
        <v>4489917</v>
      </c>
      <c r="D164" s="27">
        <f>'AEO14 rsstk'!B181</f>
        <v>955917</v>
      </c>
      <c r="E164" s="27">
        <f>'AEO14 rsstk'!C181</f>
        <v>204897</v>
      </c>
      <c r="G164" s="27">
        <f>'AEO14 UEC'!A181</f>
        <v>1.49</v>
      </c>
      <c r="H164" s="27">
        <f>'AEO14 UEC'!B181</f>
        <v>1.4950000000000001</v>
      </c>
      <c r="I164" s="27">
        <f>'AEO14 UEC'!C181</f>
        <v>1.498</v>
      </c>
      <c r="K164" s="27">
        <f t="shared" si="4"/>
        <v>8426007.9509999994</v>
      </c>
      <c r="N164" s="52">
        <f t="shared" si="5"/>
        <v>8.889910244750256</v>
      </c>
    </row>
    <row r="165" spans="1:14">
      <c r="A165" s="27">
        <v>9</v>
      </c>
      <c r="B165" s="27" t="str">
        <f>'AEO14 rsstk'!D182</f>
        <v>Dishwashers</v>
      </c>
      <c r="C165" s="27">
        <f>'AEO14 rsstk'!A182</f>
        <v>7226053</v>
      </c>
      <c r="D165" s="27">
        <f>'AEO14 rsstk'!B182</f>
        <v>2141547</v>
      </c>
      <c r="E165" s="27">
        <f>'AEO14 rsstk'!C182</f>
        <v>300428</v>
      </c>
      <c r="G165" s="27">
        <f>'AEO14 UEC'!A182</f>
        <v>1.4830000000000001</v>
      </c>
      <c r="H165" s="27">
        <f>'AEO14 UEC'!B182</f>
        <v>1.4810000000000001</v>
      </c>
      <c r="I165" s="27">
        <f>'AEO14 UEC'!C182</f>
        <v>1.4850000000000001</v>
      </c>
      <c r="K165" s="27">
        <f t="shared" si="4"/>
        <v>14334003.286000002</v>
      </c>
      <c r="N165" s="52">
        <f t="shared" si="5"/>
        <v>15.12317617091402</v>
      </c>
    </row>
    <row r="166" spans="1:14">
      <c r="A166" s="27">
        <v>1</v>
      </c>
      <c r="B166" s="27" t="str">
        <f>'AEO14 rsstk'!D183</f>
        <v>Natural Gas Water Heaters</v>
      </c>
      <c r="C166" s="27">
        <f>'AEO14 rsstk'!A183</f>
        <v>1024484</v>
      </c>
      <c r="D166" s="27">
        <f>'AEO14 rsstk'!B183</f>
        <v>1280168</v>
      </c>
      <c r="E166" s="27">
        <f>'AEO14 rsstk'!C183</f>
        <v>14153</v>
      </c>
      <c r="G166" s="27">
        <f>'AEO14 UEC'!A183</f>
        <v>27.262</v>
      </c>
      <c r="H166" s="27">
        <f>'AEO14 UEC'!B183</f>
        <v>15.647</v>
      </c>
      <c r="I166" s="27">
        <f>'AEO14 UEC'!C183</f>
        <v>16.009</v>
      </c>
      <c r="K166" s="27">
        <f t="shared" si="4"/>
        <v>48186846.880999997</v>
      </c>
      <c r="N166" s="52">
        <f t="shared" si="5"/>
        <v>50.83982192288034</v>
      </c>
    </row>
    <row r="167" spans="1:14">
      <c r="A167" s="27">
        <v>2</v>
      </c>
      <c r="B167" s="27" t="str">
        <f>'AEO14 rsstk'!D184</f>
        <v>Natural Gas Water Heaters</v>
      </c>
      <c r="C167" s="27">
        <f>'AEO14 rsstk'!A184</f>
        <v>5437710</v>
      </c>
      <c r="D167" s="27">
        <f>'AEO14 rsstk'!B184</f>
        <v>3587206</v>
      </c>
      <c r="E167" s="27">
        <f>'AEO14 rsstk'!C184</f>
        <v>65568</v>
      </c>
      <c r="G167" s="27">
        <f>'AEO14 UEC'!A184</f>
        <v>25.742999999999999</v>
      </c>
      <c r="H167" s="27">
        <f>'AEO14 UEC'!B184</f>
        <v>15.231999999999999</v>
      </c>
      <c r="I167" s="27">
        <f>'AEO14 UEC'!C184</f>
        <v>19.882000000000001</v>
      </c>
      <c r="K167" s="27">
        <f t="shared" si="4"/>
        <v>195926913.29800001</v>
      </c>
      <c r="N167" s="52">
        <f t="shared" si="5"/>
        <v>206.71386543653472</v>
      </c>
    </row>
    <row r="168" spans="1:14">
      <c r="A168" s="27">
        <v>3</v>
      </c>
      <c r="B168" s="27" t="str">
        <f>'AEO14 rsstk'!D185</f>
        <v>Natural Gas Water Heaters</v>
      </c>
      <c r="C168" s="27">
        <f>'AEO14 rsstk'!A185</f>
        <v>9173904</v>
      </c>
      <c r="D168" s="27">
        <f>'AEO14 rsstk'!B185</f>
        <v>2703876</v>
      </c>
      <c r="E168" s="27">
        <f>'AEO14 rsstk'!C185</f>
        <v>222822</v>
      </c>
      <c r="G168" s="27">
        <f>'AEO14 UEC'!A185</f>
        <v>24.599</v>
      </c>
      <c r="H168" s="27">
        <f>'AEO14 UEC'!B185</f>
        <v>16.225999999999999</v>
      </c>
      <c r="I168" s="27">
        <f>'AEO14 UEC'!C185</f>
        <v>17.978000000000002</v>
      </c>
      <c r="K168" s="27">
        <f t="shared" si="4"/>
        <v>273547850.38800001</v>
      </c>
      <c r="N168" s="52">
        <f t="shared" si="5"/>
        <v>288.60830083896172</v>
      </c>
    </row>
    <row r="169" spans="1:14">
      <c r="A169" s="27">
        <v>4</v>
      </c>
      <c r="B169" s="27" t="str">
        <f>'AEO14 rsstk'!D186</f>
        <v>Natural Gas Water Heaters</v>
      </c>
      <c r="C169" s="27">
        <f>'AEO14 rsstk'!A186</f>
        <v>3746899</v>
      </c>
      <c r="D169" s="27">
        <f>'AEO14 rsstk'!B186</f>
        <v>777920</v>
      </c>
      <c r="E169" s="27">
        <f>'AEO14 rsstk'!C186</f>
        <v>178956</v>
      </c>
      <c r="G169" s="27">
        <f>'AEO14 UEC'!A186</f>
        <v>24.408000000000001</v>
      </c>
      <c r="H169" s="27">
        <f>'AEO14 UEC'!B186</f>
        <v>13.491</v>
      </c>
      <c r="I169" s="27">
        <f>'AEO14 UEC'!C186</f>
        <v>24.047000000000001</v>
      </c>
      <c r="K169" s="27">
        <f t="shared" si="4"/>
        <v>106252584.44400001</v>
      </c>
      <c r="N169" s="52">
        <f t="shared" si="5"/>
        <v>112.10242673314887</v>
      </c>
    </row>
    <row r="170" spans="1:14">
      <c r="A170" s="27">
        <v>5</v>
      </c>
      <c r="B170" s="27" t="str">
        <f>'AEO14 rsstk'!D187</f>
        <v>Natural Gas Water Heaters</v>
      </c>
      <c r="C170" s="27">
        <f>'AEO14 rsstk'!A187</f>
        <v>4426263</v>
      </c>
      <c r="D170" s="27">
        <f>'AEO14 rsstk'!B187</f>
        <v>1048247</v>
      </c>
      <c r="E170" s="27">
        <f>'AEO14 rsstk'!C187</f>
        <v>37074</v>
      </c>
      <c r="G170" s="27">
        <f>'AEO14 UEC'!A187</f>
        <v>25.344000000000001</v>
      </c>
      <c r="H170" s="27">
        <f>'AEO14 UEC'!B187</f>
        <v>12.808999999999999</v>
      </c>
      <c r="I170" s="27">
        <f>'AEO14 UEC'!C187</f>
        <v>13.734</v>
      </c>
      <c r="K170" s="27">
        <f t="shared" si="4"/>
        <v>126115379.611</v>
      </c>
      <c r="N170" s="52">
        <f t="shared" si="5"/>
        <v>133.05878795086323</v>
      </c>
    </row>
    <row r="171" spans="1:14">
      <c r="A171" s="27">
        <v>6</v>
      </c>
      <c r="B171" s="27" t="str">
        <f>'AEO14 rsstk'!D188</f>
        <v>Natural Gas Water Heaters</v>
      </c>
      <c r="C171" s="27">
        <f>'AEO14 rsstk'!A188</f>
        <v>1774705</v>
      </c>
      <c r="D171" s="27">
        <f>'AEO14 rsstk'!B188</f>
        <v>196013</v>
      </c>
      <c r="E171" s="27">
        <f>'AEO14 rsstk'!C188</f>
        <v>34045</v>
      </c>
      <c r="G171" s="27">
        <f>'AEO14 UEC'!A188</f>
        <v>23.635000000000002</v>
      </c>
      <c r="H171" s="27">
        <f>'AEO14 UEC'!B188</f>
        <v>21.922999999999998</v>
      </c>
      <c r="I171" s="27">
        <f>'AEO14 UEC'!C188</f>
        <v>13.180999999999999</v>
      </c>
      <c r="K171" s="27">
        <f t="shared" si="4"/>
        <v>46691092.819000006</v>
      </c>
      <c r="N171" s="52">
        <f t="shared" si="5"/>
        <v>49.261717625242866</v>
      </c>
    </row>
    <row r="172" spans="1:14">
      <c r="A172" s="27">
        <v>7</v>
      </c>
      <c r="B172" s="27" t="str">
        <f>'AEO14 rsstk'!D189</f>
        <v>Natural Gas Water Heaters</v>
      </c>
      <c r="C172" s="27">
        <f>'AEO14 rsstk'!A189</f>
        <v>5186040</v>
      </c>
      <c r="D172" s="27">
        <f>'AEO14 rsstk'!B189</f>
        <v>758853</v>
      </c>
      <c r="E172" s="27">
        <f>'AEO14 rsstk'!C189</f>
        <v>107058</v>
      </c>
      <c r="G172" s="27">
        <f>'AEO14 UEC'!A189</f>
        <v>21.655999999999999</v>
      </c>
      <c r="H172" s="27">
        <f>'AEO14 UEC'!B189</f>
        <v>11.621</v>
      </c>
      <c r="I172" s="27">
        <f>'AEO14 UEC'!C189</f>
        <v>18.617000000000001</v>
      </c>
      <c r="K172" s="27">
        <f t="shared" si="4"/>
        <v>123120611.73899999</v>
      </c>
      <c r="N172" s="52">
        <f t="shared" si="5"/>
        <v>129.89914013890237</v>
      </c>
    </row>
    <row r="173" spans="1:14">
      <c r="A173" s="27">
        <v>8</v>
      </c>
      <c r="B173" s="27" t="str">
        <f>'AEO14 rsstk'!D190</f>
        <v>Natural Gas Water Heaters</v>
      </c>
      <c r="C173" s="27">
        <f>'AEO14 rsstk'!A190</f>
        <v>3902415</v>
      </c>
      <c r="D173" s="27">
        <f>'AEO14 rsstk'!B190</f>
        <v>674330</v>
      </c>
      <c r="E173" s="27">
        <f>'AEO14 rsstk'!C190</f>
        <v>252519</v>
      </c>
      <c r="G173" s="27">
        <f>'AEO14 UEC'!A190</f>
        <v>22.073</v>
      </c>
      <c r="H173" s="27">
        <f>'AEO14 UEC'!B190</f>
        <v>12.702999999999999</v>
      </c>
      <c r="I173" s="27">
        <f>'AEO14 UEC'!C190</f>
        <v>18.434999999999999</v>
      </c>
      <c r="K173" s="27">
        <f t="shared" si="4"/>
        <v>99359208.049999997</v>
      </c>
      <c r="N173" s="52">
        <f t="shared" si="5"/>
        <v>104.82952860840079</v>
      </c>
    </row>
    <row r="174" spans="1:14">
      <c r="A174" s="27">
        <v>9</v>
      </c>
      <c r="B174" s="27" t="str">
        <f>'AEO14 rsstk'!D191</f>
        <v>Natural Gas Water Heaters</v>
      </c>
      <c r="C174" s="27">
        <f>'AEO14 rsstk'!A191</f>
        <v>8141091</v>
      </c>
      <c r="D174" s="27">
        <f>'AEO14 rsstk'!B191</f>
        <v>3347512</v>
      </c>
      <c r="E174" s="27">
        <f>'AEO14 rsstk'!C191</f>
        <v>215603</v>
      </c>
      <c r="G174" s="27">
        <f>'AEO14 UEC'!A191</f>
        <v>20.523</v>
      </c>
      <c r="H174" s="27">
        <f>'AEO14 UEC'!B191</f>
        <v>10.811</v>
      </c>
      <c r="I174" s="27">
        <f>'AEO14 UEC'!C191</f>
        <v>18.224</v>
      </c>
      <c r="K174" s="27">
        <f t="shared" si="4"/>
        <v>207198711.89699998</v>
      </c>
      <c r="L174" s="53">
        <f>SUM(K166:K174)/1000000000</f>
        <v>1.2263991991269998</v>
      </c>
      <c r="M174" s="53">
        <f>USDemand!D139</f>
        <v>1.1998230000000001</v>
      </c>
      <c r="N174" s="52">
        <f t="shared" si="5"/>
        <v>218.60624417920121</v>
      </c>
    </row>
    <row r="175" spans="1:14">
      <c r="A175" s="27">
        <v>1</v>
      </c>
      <c r="B175" s="27" t="str">
        <f>'AEO14 rsstk'!D192</f>
        <v>Electric Water Heaters</v>
      </c>
      <c r="C175" s="27">
        <f>'AEO14 rsstk'!A192</f>
        <v>858403</v>
      </c>
      <c r="D175" s="27">
        <f>'AEO14 rsstk'!B192</f>
        <v>485270</v>
      </c>
      <c r="E175" s="27">
        <f>'AEO14 rsstk'!C192</f>
        <v>62809</v>
      </c>
      <c r="G175" s="27">
        <f>'AEO14 UEC'!A192</f>
        <v>8.64</v>
      </c>
      <c r="H175" s="27">
        <f>'AEO14 UEC'!B192</f>
        <v>6.6980000000000004</v>
      </c>
      <c r="I175" s="27">
        <f>'AEO14 UEC'!C192</f>
        <v>7.4610000000000003</v>
      </c>
      <c r="K175" s="27">
        <f t="shared" si="4"/>
        <v>11135558.329</v>
      </c>
      <c r="N175" s="52">
        <f t="shared" si="5"/>
        <v>11.748637628361424</v>
      </c>
    </row>
    <row r="176" spans="1:14">
      <c r="A176" s="27">
        <v>2</v>
      </c>
      <c r="B176" s="27" t="str">
        <f>'AEO14 rsstk'!D193</f>
        <v>Electric Water Heaters</v>
      </c>
      <c r="C176" s="27">
        <f>'AEO14 rsstk'!A193</f>
        <v>2156116</v>
      </c>
      <c r="D176" s="27">
        <f>'AEO14 rsstk'!B193</f>
        <v>1197216</v>
      </c>
      <c r="E176" s="27">
        <f>'AEO14 rsstk'!C193</f>
        <v>295020</v>
      </c>
      <c r="G176" s="27">
        <f>'AEO14 UEC'!A193</f>
        <v>9.7430000000000003</v>
      </c>
      <c r="H176" s="27">
        <f>'AEO14 UEC'!B193</f>
        <v>7.3010000000000002</v>
      </c>
      <c r="I176" s="27">
        <f>'AEO14 UEC'!C193</f>
        <v>8.9450000000000003</v>
      </c>
      <c r="K176" s="27">
        <f t="shared" si="4"/>
        <v>32386866.104000002</v>
      </c>
      <c r="N176" s="52">
        <f t="shared" si="5"/>
        <v>34.169957404221826</v>
      </c>
    </row>
    <row r="177" spans="1:14">
      <c r="A177" s="27">
        <v>3</v>
      </c>
      <c r="B177" s="27" t="str">
        <f>'AEO14 rsstk'!D194</f>
        <v>Electric Water Heaters</v>
      </c>
      <c r="C177" s="27">
        <f>'AEO14 rsstk'!A194</f>
        <v>3265406</v>
      </c>
      <c r="D177" s="27">
        <f>'AEO14 rsstk'!B194</f>
        <v>1272458</v>
      </c>
      <c r="E177" s="27">
        <f>'AEO14 rsstk'!C194</f>
        <v>279246</v>
      </c>
      <c r="G177" s="27">
        <f>'AEO14 UEC'!A194</f>
        <v>10.488</v>
      </c>
      <c r="H177" s="27">
        <f>'AEO14 UEC'!B194</f>
        <v>7.09</v>
      </c>
      <c r="I177" s="27">
        <f>'AEO14 UEC'!C194</f>
        <v>11.042</v>
      </c>
      <c r="K177" s="27">
        <f t="shared" si="4"/>
        <v>46352739.68</v>
      </c>
      <c r="N177" s="52">
        <f t="shared" si="5"/>
        <v>48.904736115822082</v>
      </c>
    </row>
    <row r="178" spans="1:14">
      <c r="A178" s="27">
        <v>4</v>
      </c>
      <c r="B178" s="27" t="str">
        <f>'AEO14 rsstk'!D195</f>
        <v>Electric Water Heaters</v>
      </c>
      <c r="C178" s="27">
        <f>'AEO14 rsstk'!A195</f>
        <v>1897521</v>
      </c>
      <c r="D178" s="27">
        <f>'AEO14 rsstk'!B195</f>
        <v>605618</v>
      </c>
      <c r="E178" s="27">
        <f>'AEO14 rsstk'!C195</f>
        <v>274357</v>
      </c>
      <c r="G178" s="27">
        <f>'AEO14 UEC'!A195</f>
        <v>10.888</v>
      </c>
      <c r="H178" s="27">
        <f>'AEO14 UEC'!B195</f>
        <v>6.6740000000000004</v>
      </c>
      <c r="I178" s="27">
        <f>'AEO14 UEC'!C195</f>
        <v>11.382999999999999</v>
      </c>
      <c r="K178" s="27">
        <f t="shared" si="4"/>
        <v>27825108.910999998</v>
      </c>
      <c r="N178" s="52">
        <f t="shared" si="5"/>
        <v>29.357048107204015</v>
      </c>
    </row>
    <row r="179" spans="1:14">
      <c r="A179" s="27">
        <v>5</v>
      </c>
      <c r="B179" s="27" t="str">
        <f>'AEO14 rsstk'!D196</f>
        <v>Electric Water Heaters</v>
      </c>
      <c r="C179" s="27">
        <f>'AEO14 rsstk'!A196</f>
        <v>10195786</v>
      </c>
      <c r="D179" s="27">
        <f>'AEO14 rsstk'!B196</f>
        <v>3577258</v>
      </c>
      <c r="E179" s="27">
        <f>'AEO14 rsstk'!C196</f>
        <v>2334755</v>
      </c>
      <c r="G179" s="27">
        <f>'AEO14 UEC'!A196</f>
        <v>9.2349999999999994</v>
      </c>
      <c r="H179" s="27">
        <f>'AEO14 UEC'!B196</f>
        <v>6.61</v>
      </c>
      <c r="I179" s="27">
        <f>'AEO14 UEC'!C196</f>
        <v>10.06</v>
      </c>
      <c r="K179" s="27">
        <f t="shared" si="4"/>
        <v>141291394.39000002</v>
      </c>
      <c r="N179" s="52">
        <f t="shared" si="5"/>
        <v>149.07033339953585</v>
      </c>
    </row>
    <row r="180" spans="1:14">
      <c r="A180" s="27">
        <v>6</v>
      </c>
      <c r="B180" s="27" t="str">
        <f>'AEO14 rsstk'!D197</f>
        <v>Electric Water Heaters</v>
      </c>
      <c r="C180" s="27">
        <f>'AEO14 rsstk'!A197</f>
        <v>3527777</v>
      </c>
      <c r="D180" s="27">
        <f>'AEO14 rsstk'!B197</f>
        <v>749832</v>
      </c>
      <c r="E180" s="27">
        <f>'AEO14 rsstk'!C197</f>
        <v>624426</v>
      </c>
      <c r="G180" s="27">
        <f>'AEO14 UEC'!A197</f>
        <v>9.8759999999999994</v>
      </c>
      <c r="H180" s="27">
        <f>'AEO14 UEC'!B197</f>
        <v>7.1070000000000002</v>
      </c>
      <c r="I180" s="27">
        <f>'AEO14 UEC'!C197</f>
        <v>10.795</v>
      </c>
      <c r="K180" s="27">
        <f t="shared" si="4"/>
        <v>46910060.346000001</v>
      </c>
      <c r="N180" s="52">
        <f t="shared" si="5"/>
        <v>49.492740628409379</v>
      </c>
    </row>
    <row r="181" spans="1:14">
      <c r="A181" s="27">
        <v>7</v>
      </c>
      <c r="B181" s="27" t="str">
        <f>'AEO14 rsstk'!D198</f>
        <v>Electric Water Heaters</v>
      </c>
      <c r="C181" s="27">
        <f>'AEO14 rsstk'!A198</f>
        <v>3473770</v>
      </c>
      <c r="D181" s="27">
        <f>'AEO14 rsstk'!B198</f>
        <v>2043530</v>
      </c>
      <c r="E181" s="27">
        <f>'AEO14 rsstk'!C198</f>
        <v>692490</v>
      </c>
      <c r="G181" s="27">
        <f>'AEO14 UEC'!A198</f>
        <v>10.013</v>
      </c>
      <c r="H181" s="27">
        <f>'AEO14 UEC'!B198</f>
        <v>7.157</v>
      </c>
      <c r="I181" s="27">
        <f>'AEO14 UEC'!C198</f>
        <v>11.28</v>
      </c>
      <c r="K181" s="27">
        <f t="shared" si="4"/>
        <v>57219690.420000002</v>
      </c>
      <c r="N181" s="52">
        <f t="shared" si="5"/>
        <v>60.369977695763524</v>
      </c>
    </row>
    <row r="182" spans="1:14">
      <c r="A182" s="27">
        <v>8</v>
      </c>
      <c r="B182" s="27" t="str">
        <f>'AEO14 rsstk'!D199</f>
        <v>Electric Water Heaters</v>
      </c>
      <c r="C182" s="27">
        <f>'AEO14 rsstk'!A199</f>
        <v>1702092</v>
      </c>
      <c r="D182" s="27">
        <f>'AEO14 rsstk'!B199</f>
        <v>523871</v>
      </c>
      <c r="E182" s="27">
        <f>'AEO14 rsstk'!C199</f>
        <v>273758</v>
      </c>
      <c r="G182" s="27">
        <f>'AEO14 UEC'!A199</f>
        <v>9.6080000000000005</v>
      </c>
      <c r="H182" s="27">
        <f>'AEO14 UEC'!B199</f>
        <v>6.141</v>
      </c>
      <c r="I182" s="27">
        <f>'AEO14 UEC'!C199</f>
        <v>10.233000000000001</v>
      </c>
      <c r="K182" s="27">
        <f t="shared" si="4"/>
        <v>22372157.361000001</v>
      </c>
      <c r="N182" s="52">
        <f t="shared" si="5"/>
        <v>23.603878856667219</v>
      </c>
    </row>
    <row r="183" spans="1:14">
      <c r="A183" s="27">
        <v>9</v>
      </c>
      <c r="B183" s="27" t="str">
        <f>'AEO14 rsstk'!D200</f>
        <v>Electric Water Heaters</v>
      </c>
      <c r="C183" s="27">
        <f>'AEO14 rsstk'!A200</f>
        <v>2410976</v>
      </c>
      <c r="D183" s="27">
        <f>'AEO14 rsstk'!B200</f>
        <v>1575711</v>
      </c>
      <c r="E183" s="27">
        <f>'AEO14 rsstk'!C200</f>
        <v>408221</v>
      </c>
      <c r="G183" s="27">
        <f>'AEO14 UEC'!A200</f>
        <v>11.335000000000001</v>
      </c>
      <c r="H183" s="27">
        <f>'AEO14 UEC'!B200</f>
        <v>6.758</v>
      </c>
      <c r="I183" s="27">
        <f>'AEO14 UEC'!C200</f>
        <v>11.750999999999999</v>
      </c>
      <c r="K183" s="27">
        <f t="shared" si="4"/>
        <v>42774072.869000003</v>
      </c>
      <c r="L183" s="53">
        <f>SUM(K175:K183)/1000000000</f>
        <v>0.42826764841000009</v>
      </c>
      <c r="M183" s="53">
        <f>USDemand!D122</f>
        <v>0.43712200000000001</v>
      </c>
      <c r="N183" s="52">
        <f t="shared" si="5"/>
        <v>45.129042224875668</v>
      </c>
    </row>
    <row r="184" spans="1:14">
      <c r="A184" s="27">
        <v>1</v>
      </c>
      <c r="B184" s="27" t="str">
        <f>'AEO14 rsstk'!D201</f>
        <v>Distillate Water Heaters</v>
      </c>
      <c r="C184" s="27">
        <f>'AEO14 rsstk'!A201</f>
        <v>1312131</v>
      </c>
      <c r="D184" s="27">
        <f>'AEO14 rsstk'!B201</f>
        <v>233459</v>
      </c>
      <c r="E184" s="27">
        <f>'AEO14 rsstk'!C201</f>
        <v>0</v>
      </c>
      <c r="G184" s="27">
        <f>'AEO14 UEC'!A201</f>
        <v>21.44</v>
      </c>
      <c r="H184" s="27">
        <f>'AEO14 UEC'!B201</f>
        <v>13.754</v>
      </c>
      <c r="I184" s="27">
        <f>'AEO14 UEC'!C201</f>
        <v>0</v>
      </c>
      <c r="K184" s="27">
        <f t="shared" si="4"/>
        <v>31343083.726</v>
      </c>
      <c r="N184" s="52">
        <f t="shared" si="5"/>
        <v>33.068708543618655</v>
      </c>
    </row>
    <row r="185" spans="1:14">
      <c r="A185" s="27">
        <v>2</v>
      </c>
      <c r="B185" s="27" t="str">
        <f>'AEO14 rsstk'!D202</f>
        <v>Distillate Water Heaters</v>
      </c>
      <c r="C185" s="27">
        <f>'AEO14 rsstk'!A202</f>
        <v>1262916</v>
      </c>
      <c r="D185" s="27">
        <f>'AEO14 rsstk'!B202</f>
        <v>679214</v>
      </c>
      <c r="E185" s="27">
        <f>'AEO14 rsstk'!C202</f>
        <v>7659</v>
      </c>
      <c r="G185" s="27">
        <f>'AEO14 UEC'!A202</f>
        <v>20.105</v>
      </c>
      <c r="H185" s="27">
        <f>'AEO14 UEC'!B202</f>
        <v>13.896000000000001</v>
      </c>
      <c r="I185" s="27">
        <f>'AEO14 UEC'!C202</f>
        <v>9.7289999999999992</v>
      </c>
      <c r="K185" s="27">
        <f t="shared" si="4"/>
        <v>34903798.335000001</v>
      </c>
      <c r="N185" s="52">
        <f t="shared" si="5"/>
        <v>36.82546185613176</v>
      </c>
    </row>
    <row r="186" spans="1:14">
      <c r="A186" s="27">
        <v>3</v>
      </c>
      <c r="B186" s="27" t="str">
        <f>'AEO14 rsstk'!D203</f>
        <v>Distillate Water Heaters</v>
      </c>
      <c r="C186" s="27">
        <f>'AEO14 rsstk'!A203</f>
        <v>12582</v>
      </c>
      <c r="D186" s="27">
        <f>'AEO14 rsstk'!B203</f>
        <v>0</v>
      </c>
      <c r="E186" s="27">
        <f>'AEO14 rsstk'!C203</f>
        <v>0</v>
      </c>
      <c r="G186" s="27">
        <f>'AEO14 UEC'!A203</f>
        <v>2.109</v>
      </c>
      <c r="H186" s="27">
        <f>'AEO14 UEC'!B203</f>
        <v>0</v>
      </c>
      <c r="I186" s="27">
        <f>'AEO14 UEC'!C203</f>
        <v>0</v>
      </c>
      <c r="K186" s="27">
        <f t="shared" si="4"/>
        <v>26535.437999999998</v>
      </c>
      <c r="N186" s="52">
        <f t="shared" si="5"/>
        <v>2.7996373074528E-2</v>
      </c>
    </row>
    <row r="187" spans="1:14">
      <c r="A187" s="27">
        <v>4</v>
      </c>
      <c r="B187" s="27" t="str">
        <f>'AEO14 rsstk'!D204</f>
        <v>Distillate Water Heaters</v>
      </c>
      <c r="C187" s="27">
        <f>'AEO14 rsstk'!A204</f>
        <v>0</v>
      </c>
      <c r="D187" s="27">
        <f>'AEO14 rsstk'!B204</f>
        <v>0</v>
      </c>
      <c r="E187" s="27">
        <f>'AEO14 rsstk'!C204</f>
        <v>0</v>
      </c>
      <c r="G187" s="27">
        <f>'AEO14 UEC'!A204</f>
        <v>0</v>
      </c>
      <c r="H187" s="27">
        <f>'AEO14 UEC'!B204</f>
        <v>0</v>
      </c>
      <c r="I187" s="27">
        <f>'AEO14 UEC'!C204</f>
        <v>0</v>
      </c>
      <c r="K187" s="27">
        <f t="shared" si="4"/>
        <v>0</v>
      </c>
      <c r="N187" s="52">
        <f t="shared" si="5"/>
        <v>0</v>
      </c>
    </row>
    <row r="188" spans="1:14">
      <c r="A188" s="27">
        <v>5</v>
      </c>
      <c r="B188" s="27" t="str">
        <f>'AEO14 rsstk'!D205</f>
        <v>Distillate Water Heaters</v>
      </c>
      <c r="C188" s="27">
        <f>'AEO14 rsstk'!A205</f>
        <v>65447</v>
      </c>
      <c r="D188" s="27">
        <f>'AEO14 rsstk'!B205</f>
        <v>0</v>
      </c>
      <c r="E188" s="27">
        <f>'AEO14 rsstk'!C205</f>
        <v>0</v>
      </c>
      <c r="G188" s="27">
        <f>'AEO14 UEC'!A205</f>
        <v>13.717000000000001</v>
      </c>
      <c r="H188" s="27">
        <f>'AEO14 UEC'!B205</f>
        <v>0</v>
      </c>
      <c r="I188" s="27">
        <f>'AEO14 UEC'!C205</f>
        <v>0</v>
      </c>
      <c r="K188" s="27">
        <f t="shared" si="4"/>
        <v>897736.49900000007</v>
      </c>
      <c r="N188" s="52">
        <f t="shared" si="5"/>
        <v>0.94716227968894406</v>
      </c>
    </row>
    <row r="189" spans="1:14">
      <c r="A189" s="27">
        <v>6</v>
      </c>
      <c r="B189" s="27" t="str">
        <f>'AEO14 rsstk'!D206</f>
        <v>Distillate Water Heaters</v>
      </c>
      <c r="C189" s="27">
        <f>'AEO14 rsstk'!A206</f>
        <v>0</v>
      </c>
      <c r="D189" s="27">
        <f>'AEO14 rsstk'!B206</f>
        <v>0</v>
      </c>
      <c r="E189" s="27">
        <f>'AEO14 rsstk'!C206</f>
        <v>0</v>
      </c>
      <c r="G189" s="27">
        <f>'AEO14 UEC'!A206</f>
        <v>0</v>
      </c>
      <c r="H189" s="27">
        <f>'AEO14 UEC'!B206</f>
        <v>0</v>
      </c>
      <c r="I189" s="27">
        <f>'AEO14 UEC'!C206</f>
        <v>0</v>
      </c>
      <c r="K189" s="27">
        <f t="shared" si="4"/>
        <v>0</v>
      </c>
      <c r="N189" s="52">
        <f t="shared" si="5"/>
        <v>0</v>
      </c>
    </row>
    <row r="190" spans="1:14">
      <c r="A190" s="27">
        <v>7</v>
      </c>
      <c r="B190" s="27" t="str">
        <f>'AEO14 rsstk'!D207</f>
        <v>Distillate Water Heaters</v>
      </c>
      <c r="C190" s="27">
        <f>'AEO14 rsstk'!A207</f>
        <v>0</v>
      </c>
      <c r="D190" s="27">
        <f>'AEO14 rsstk'!B207</f>
        <v>0</v>
      </c>
      <c r="E190" s="27">
        <f>'AEO14 rsstk'!C207</f>
        <v>0</v>
      </c>
      <c r="G190" s="27">
        <f>'AEO14 UEC'!A207</f>
        <v>0</v>
      </c>
      <c r="H190" s="27">
        <f>'AEO14 UEC'!B207</f>
        <v>0</v>
      </c>
      <c r="I190" s="27">
        <f>'AEO14 UEC'!C207</f>
        <v>0</v>
      </c>
      <c r="K190" s="27">
        <f t="shared" si="4"/>
        <v>0</v>
      </c>
      <c r="N190" s="52">
        <f t="shared" si="5"/>
        <v>0</v>
      </c>
    </row>
    <row r="191" spans="1:14">
      <c r="A191" s="27">
        <v>8</v>
      </c>
      <c r="B191" s="27" t="str">
        <f>'AEO14 rsstk'!D208</f>
        <v>Distillate Water Heaters</v>
      </c>
      <c r="C191" s="27">
        <f>'AEO14 rsstk'!A208</f>
        <v>0</v>
      </c>
      <c r="D191" s="27">
        <f>'AEO14 rsstk'!B208</f>
        <v>0</v>
      </c>
      <c r="E191" s="27">
        <f>'AEO14 rsstk'!C208</f>
        <v>0</v>
      </c>
      <c r="G191" s="27">
        <f>'AEO14 UEC'!A208</f>
        <v>0</v>
      </c>
      <c r="H191" s="27">
        <f>'AEO14 UEC'!B208</f>
        <v>0</v>
      </c>
      <c r="I191" s="27">
        <f>'AEO14 UEC'!C208</f>
        <v>0</v>
      </c>
      <c r="K191" s="27">
        <f t="shared" si="4"/>
        <v>0</v>
      </c>
      <c r="N191" s="52">
        <f t="shared" si="5"/>
        <v>0</v>
      </c>
    </row>
    <row r="192" spans="1:14">
      <c r="A192" s="27">
        <v>9</v>
      </c>
      <c r="B192" s="27" t="str">
        <f>'AEO14 rsstk'!D209</f>
        <v>Distillate Water Heaters</v>
      </c>
      <c r="C192" s="27">
        <f>'AEO14 rsstk'!A209</f>
        <v>8017</v>
      </c>
      <c r="D192" s="27">
        <f>'AEO14 rsstk'!B209</f>
        <v>0</v>
      </c>
      <c r="E192" s="27">
        <f>'AEO14 rsstk'!C209</f>
        <v>0</v>
      </c>
      <c r="G192" s="27">
        <f>'AEO14 UEC'!A209</f>
        <v>24.326000000000001</v>
      </c>
      <c r="H192" s="27">
        <f>'AEO14 UEC'!B209</f>
        <v>0</v>
      </c>
      <c r="I192" s="27">
        <f>'AEO14 UEC'!C209</f>
        <v>0</v>
      </c>
      <c r="K192" s="27">
        <f t="shared" si="4"/>
        <v>195021.54200000002</v>
      </c>
      <c r="L192" s="53">
        <f>SUM(K184:K192)/1000000000</f>
        <v>6.7366175540000003E-2</v>
      </c>
      <c r="M192" s="53">
        <f>USDemand!D147</f>
        <v>5.9193999999999997E-2</v>
      </c>
      <c r="N192" s="52">
        <f t="shared" si="5"/>
        <v>0.20575864801635202</v>
      </c>
    </row>
    <row r="193" spans="1:14">
      <c r="A193" s="27">
        <v>1</v>
      </c>
      <c r="B193" s="27" t="str">
        <f>'AEO14 rsstk'!D210</f>
        <v>LPG Water Heaters</v>
      </c>
      <c r="C193" s="27">
        <f>'AEO14 rsstk'!A210</f>
        <v>139395</v>
      </c>
      <c r="D193" s="27">
        <f>'AEO14 rsstk'!B210</f>
        <v>53166</v>
      </c>
      <c r="E193" s="27">
        <f>'AEO14 rsstk'!C210</f>
        <v>7475</v>
      </c>
      <c r="G193" s="27">
        <f>'AEO14 UEC'!A210</f>
        <v>14.803000000000001</v>
      </c>
      <c r="H193" s="27">
        <f>'AEO14 UEC'!B210</f>
        <v>8.7929999999999993</v>
      </c>
      <c r="I193" s="27">
        <f>'AEO14 UEC'!C210</f>
        <v>13.868</v>
      </c>
      <c r="K193" s="27">
        <f t="shared" si="4"/>
        <v>2634616.1229999997</v>
      </c>
      <c r="N193" s="52">
        <f t="shared" si="5"/>
        <v>2.7796675482678879</v>
      </c>
    </row>
    <row r="194" spans="1:14">
      <c r="A194" s="27">
        <v>2</v>
      </c>
      <c r="B194" s="27" t="str">
        <f>'AEO14 rsstk'!D211</f>
        <v>LPG Water Heaters</v>
      </c>
      <c r="C194" s="27">
        <f>'AEO14 rsstk'!A211</f>
        <v>380341</v>
      </c>
      <c r="D194" s="27">
        <f>'AEO14 rsstk'!B211</f>
        <v>50703</v>
      </c>
      <c r="E194" s="27">
        <f>'AEO14 rsstk'!C211</f>
        <v>57803</v>
      </c>
      <c r="G194" s="27">
        <f>'AEO14 UEC'!A211</f>
        <v>19.585000000000001</v>
      </c>
      <c r="H194" s="27">
        <f>'AEO14 UEC'!B211</f>
        <v>10.176</v>
      </c>
      <c r="I194" s="27">
        <f>'AEO14 UEC'!C211</f>
        <v>8.2059999999999995</v>
      </c>
      <c r="K194" s="27">
        <f t="shared" si="4"/>
        <v>8439263.631000001</v>
      </c>
      <c r="N194" s="52">
        <f t="shared" si="5"/>
        <v>8.9038957294683367</v>
      </c>
    </row>
    <row r="195" spans="1:14">
      <c r="A195" s="27">
        <v>3</v>
      </c>
      <c r="B195" s="27" t="str">
        <f>'AEO14 rsstk'!D212</f>
        <v>LPG Water Heaters</v>
      </c>
      <c r="C195" s="27">
        <f>'AEO14 rsstk'!A212</f>
        <v>556587</v>
      </c>
      <c r="D195" s="27">
        <f>'AEO14 rsstk'!B212</f>
        <v>98176</v>
      </c>
      <c r="E195" s="27">
        <f>'AEO14 rsstk'!C212</f>
        <v>44858</v>
      </c>
      <c r="G195" s="27">
        <f>'AEO14 UEC'!A212</f>
        <v>24.07</v>
      </c>
      <c r="H195" s="27">
        <f>'AEO14 UEC'!B212</f>
        <v>13.731</v>
      </c>
      <c r="I195" s="27">
        <f>'AEO14 UEC'!C212</f>
        <v>14.577</v>
      </c>
      <c r="K195" s="27">
        <f t="shared" si="4"/>
        <v>15398998.811999999</v>
      </c>
      <c r="N195" s="52">
        <f t="shared" si="5"/>
        <v>16.24680609059347</v>
      </c>
    </row>
    <row r="196" spans="1:14">
      <c r="A196" s="27">
        <v>4</v>
      </c>
      <c r="B196" s="27" t="str">
        <f>'AEO14 rsstk'!D213</f>
        <v>LPG Water Heaters</v>
      </c>
      <c r="C196" s="27">
        <f>'AEO14 rsstk'!A213</f>
        <v>488005</v>
      </c>
      <c r="D196" s="27">
        <f>'AEO14 rsstk'!B213</f>
        <v>13829</v>
      </c>
      <c r="E196" s="27">
        <f>'AEO14 rsstk'!C213</f>
        <v>50504</v>
      </c>
      <c r="G196" s="27">
        <f>'AEO14 UEC'!A213</f>
        <v>20.445</v>
      </c>
      <c r="H196" s="27">
        <f>'AEO14 UEC'!B213</f>
        <v>17.12</v>
      </c>
      <c r="I196" s="27">
        <f>'AEO14 UEC'!C213</f>
        <v>6.0839999999999996</v>
      </c>
      <c r="K196" s="27">
        <f t="shared" si="4"/>
        <v>10521281.040999999</v>
      </c>
      <c r="N196" s="52">
        <f t="shared" si="5"/>
        <v>11.100540689993295</v>
      </c>
    </row>
    <row r="197" spans="1:14">
      <c r="A197" s="27">
        <v>5</v>
      </c>
      <c r="B197" s="27" t="str">
        <f>'AEO14 rsstk'!D214</f>
        <v>LPG Water Heaters</v>
      </c>
      <c r="C197" s="27">
        <f>'AEO14 rsstk'!A214</f>
        <v>400789</v>
      </c>
      <c r="D197" s="27">
        <f>'AEO14 rsstk'!B214</f>
        <v>14467</v>
      </c>
      <c r="E197" s="27">
        <f>'AEO14 rsstk'!C214</f>
        <v>20056</v>
      </c>
      <c r="G197" s="27">
        <f>'AEO14 UEC'!A214</f>
        <v>19.5</v>
      </c>
      <c r="H197" s="27">
        <f>'AEO14 UEC'!B214</f>
        <v>22.013000000000002</v>
      </c>
      <c r="I197" s="27">
        <f>'AEO14 UEC'!C214</f>
        <v>6.7859999999999996</v>
      </c>
      <c r="K197" s="27">
        <f t="shared" ref="K197:K260" si="6">SUMPRODUCT(C197:E197,G197:I197)</f>
        <v>8269947.5870000003</v>
      </c>
      <c r="N197" s="52">
        <f t="shared" ref="N197:N260" si="7">K197/1000000000*$O$1</f>
        <v>8.7252578213498726</v>
      </c>
    </row>
    <row r="198" spans="1:14">
      <c r="A198" s="27">
        <v>6</v>
      </c>
      <c r="B198" s="27" t="str">
        <f>'AEO14 rsstk'!D215</f>
        <v>LPG Water Heaters</v>
      </c>
      <c r="C198" s="27">
        <f>'AEO14 rsstk'!A215</f>
        <v>177542</v>
      </c>
      <c r="D198" s="27">
        <f>'AEO14 rsstk'!B215</f>
        <v>0</v>
      </c>
      <c r="E198" s="27">
        <f>'AEO14 rsstk'!C215</f>
        <v>0</v>
      </c>
      <c r="G198" s="27">
        <f>'AEO14 UEC'!A215</f>
        <v>25.829000000000001</v>
      </c>
      <c r="H198" s="27">
        <f>'AEO14 UEC'!B215</f>
        <v>0</v>
      </c>
      <c r="I198" s="27">
        <f>'AEO14 UEC'!C215</f>
        <v>0</v>
      </c>
      <c r="K198" s="27">
        <f t="shared" si="6"/>
        <v>4585732.318</v>
      </c>
      <c r="N198" s="52">
        <f t="shared" si="7"/>
        <v>4.8382043964998083</v>
      </c>
    </row>
    <row r="199" spans="1:14">
      <c r="A199" s="27">
        <v>7</v>
      </c>
      <c r="B199" s="27" t="str">
        <f>'AEO14 rsstk'!D216</f>
        <v>LPG Water Heaters</v>
      </c>
      <c r="C199" s="27">
        <f>'AEO14 rsstk'!A216</f>
        <v>382770</v>
      </c>
      <c r="D199" s="27">
        <f>'AEO14 rsstk'!B216</f>
        <v>0</v>
      </c>
      <c r="E199" s="27">
        <f>'AEO14 rsstk'!C216</f>
        <v>32829</v>
      </c>
      <c r="G199" s="27">
        <f>'AEO14 UEC'!A216</f>
        <v>26.452000000000002</v>
      </c>
      <c r="H199" s="27">
        <f>'AEO14 UEC'!B216</f>
        <v>0</v>
      </c>
      <c r="I199" s="27">
        <f>'AEO14 UEC'!C216</f>
        <v>6.1609999999999996</v>
      </c>
      <c r="K199" s="27">
        <f t="shared" si="6"/>
        <v>10327291.509000001</v>
      </c>
      <c r="N199" s="52">
        <f t="shared" si="7"/>
        <v>10.895870870319506</v>
      </c>
    </row>
    <row r="200" spans="1:14">
      <c r="A200" s="27">
        <v>8</v>
      </c>
      <c r="B200" s="27" t="str">
        <f>'AEO14 rsstk'!D217</f>
        <v>LPG Water Heaters</v>
      </c>
      <c r="C200" s="27">
        <f>'AEO14 rsstk'!A217</f>
        <v>369899</v>
      </c>
      <c r="D200" s="27">
        <f>'AEO14 rsstk'!B217</f>
        <v>60317</v>
      </c>
      <c r="E200" s="27">
        <f>'AEO14 rsstk'!C217</f>
        <v>104512</v>
      </c>
      <c r="G200" s="27">
        <f>'AEO14 UEC'!A217</f>
        <v>21.69</v>
      </c>
      <c r="H200" s="27">
        <f>'AEO14 UEC'!B217</f>
        <v>8.5</v>
      </c>
      <c r="I200" s="27">
        <f>'AEO14 UEC'!C217</f>
        <v>7.8369999999999997</v>
      </c>
      <c r="K200" s="27">
        <f t="shared" si="6"/>
        <v>9354864.3540000003</v>
      </c>
      <c r="N200" s="52">
        <f t="shared" si="7"/>
        <v>9.8699057658738241</v>
      </c>
    </row>
    <row r="201" spans="1:14">
      <c r="A201" s="27">
        <v>9</v>
      </c>
      <c r="B201" s="27" t="str">
        <f>'AEO14 rsstk'!D218</f>
        <v>LPG Water Heaters</v>
      </c>
      <c r="C201" s="27">
        <f>'AEO14 rsstk'!A218</f>
        <v>337683</v>
      </c>
      <c r="D201" s="27">
        <f>'AEO14 rsstk'!B218</f>
        <v>191859</v>
      </c>
      <c r="E201" s="27">
        <f>'AEO14 rsstk'!C218</f>
        <v>144889</v>
      </c>
      <c r="G201" s="27">
        <f>'AEO14 UEC'!A218</f>
        <v>19.523</v>
      </c>
      <c r="H201" s="27">
        <f>'AEO14 UEC'!B218</f>
        <v>15.042</v>
      </c>
      <c r="I201" s="27">
        <f>'AEO14 UEC'!C218</f>
        <v>9.3070000000000004</v>
      </c>
      <c r="K201" s="27">
        <f t="shared" si="6"/>
        <v>10827010.210000001</v>
      </c>
      <c r="L201" s="53">
        <f>SUM(K193:K201)/1000000000</f>
        <v>8.0359005585000004E-2</v>
      </c>
      <c r="M201" s="53">
        <f>USDemand!D153</f>
        <v>7.1582000000000007E-2</v>
      </c>
      <c r="N201" s="52">
        <f t="shared" si="7"/>
        <v>11.423102084121762</v>
      </c>
    </row>
    <row r="202" spans="1:14">
      <c r="A202" s="27">
        <v>1</v>
      </c>
      <c r="B202" s="27" t="str">
        <f>'AEO14 rsstk'!D219</f>
        <v>Solar Water Heaters</v>
      </c>
      <c r="C202" s="27">
        <f>'AEO14 rsstk'!A219</f>
        <v>5863</v>
      </c>
      <c r="D202" s="27">
        <f>'AEO14 rsstk'!B219</f>
        <v>0</v>
      </c>
      <c r="E202" s="27">
        <f>'AEO14 rsstk'!C219</f>
        <v>0</v>
      </c>
      <c r="G202" s="27">
        <f>'AEO14 UEC'!A219</f>
        <v>4.32</v>
      </c>
      <c r="H202" s="27">
        <f>'AEO14 UEC'!B219</f>
        <v>3.3490000000000002</v>
      </c>
      <c r="I202" s="27">
        <f>'AEO14 UEC'!C219</f>
        <v>3.73</v>
      </c>
      <c r="K202" s="27">
        <f t="shared" si="6"/>
        <v>25328.16</v>
      </c>
      <c r="N202" s="52">
        <f t="shared" si="7"/>
        <v>2.6722627176960001E-2</v>
      </c>
    </row>
    <row r="203" spans="1:14">
      <c r="A203" s="27">
        <v>2</v>
      </c>
      <c r="B203" s="27" t="str">
        <f>'AEO14 rsstk'!D220</f>
        <v>Solar Water Heaters</v>
      </c>
      <c r="C203" s="27">
        <f>'AEO14 rsstk'!A220</f>
        <v>0</v>
      </c>
      <c r="D203" s="27">
        <f>'AEO14 rsstk'!B220</f>
        <v>0</v>
      </c>
      <c r="E203" s="27">
        <f>'AEO14 rsstk'!C220</f>
        <v>0</v>
      </c>
      <c r="G203" s="27">
        <f>'AEO14 UEC'!A220</f>
        <v>4.8719999999999999</v>
      </c>
      <c r="H203" s="27">
        <f>'AEO14 UEC'!B220</f>
        <v>3.65</v>
      </c>
      <c r="I203" s="27">
        <f>'AEO14 UEC'!C220</f>
        <v>4.4729999999999999</v>
      </c>
      <c r="K203" s="27">
        <f t="shared" si="6"/>
        <v>0</v>
      </c>
      <c r="N203" s="52">
        <f t="shared" si="7"/>
        <v>0</v>
      </c>
    </row>
    <row r="204" spans="1:14">
      <c r="A204" s="27">
        <v>3</v>
      </c>
      <c r="B204" s="27" t="str">
        <f>'AEO14 rsstk'!D221</f>
        <v>Solar Water Heaters</v>
      </c>
      <c r="C204" s="27">
        <f>'AEO14 rsstk'!A221</f>
        <v>0</v>
      </c>
      <c r="D204" s="27">
        <f>'AEO14 rsstk'!B221</f>
        <v>42609</v>
      </c>
      <c r="E204" s="27">
        <f>'AEO14 rsstk'!C221</f>
        <v>0</v>
      </c>
      <c r="G204" s="27">
        <f>'AEO14 UEC'!A221</f>
        <v>5.2439999999999998</v>
      </c>
      <c r="H204" s="27">
        <f>'AEO14 UEC'!B221</f>
        <v>3.5449999999999999</v>
      </c>
      <c r="I204" s="27">
        <f>'AEO14 UEC'!C221</f>
        <v>5.5209999999999999</v>
      </c>
      <c r="K204" s="27">
        <f t="shared" si="6"/>
        <v>151048.905</v>
      </c>
      <c r="N204" s="52">
        <f t="shared" si="7"/>
        <v>0.15936505351367999</v>
      </c>
    </row>
    <row r="205" spans="1:14">
      <c r="A205" s="27">
        <v>4</v>
      </c>
      <c r="B205" s="27" t="str">
        <f>'AEO14 rsstk'!D222</f>
        <v>Solar Water Heaters</v>
      </c>
      <c r="C205" s="27">
        <f>'AEO14 rsstk'!A222</f>
        <v>0</v>
      </c>
      <c r="D205" s="27">
        <f>'AEO14 rsstk'!B222</f>
        <v>0</v>
      </c>
      <c r="E205" s="27">
        <f>'AEO14 rsstk'!C222</f>
        <v>0</v>
      </c>
      <c r="G205" s="27">
        <f>'AEO14 UEC'!A222</f>
        <v>5.444</v>
      </c>
      <c r="H205" s="27">
        <f>'AEO14 UEC'!B222</f>
        <v>3.3370000000000002</v>
      </c>
      <c r="I205" s="27">
        <f>'AEO14 UEC'!C222</f>
        <v>5.6920000000000002</v>
      </c>
      <c r="K205" s="27">
        <f t="shared" si="6"/>
        <v>0</v>
      </c>
      <c r="N205" s="52">
        <f t="shared" si="7"/>
        <v>0</v>
      </c>
    </row>
    <row r="206" spans="1:14">
      <c r="A206" s="27">
        <v>5</v>
      </c>
      <c r="B206" s="27" t="str">
        <f>'AEO14 rsstk'!D223</f>
        <v>Solar Water Heaters</v>
      </c>
      <c r="C206" s="27">
        <f>'AEO14 rsstk'!A223</f>
        <v>27998</v>
      </c>
      <c r="D206" s="27">
        <f>'AEO14 rsstk'!B223</f>
        <v>0</v>
      </c>
      <c r="E206" s="27">
        <f>'AEO14 rsstk'!C223</f>
        <v>0</v>
      </c>
      <c r="G206" s="27">
        <f>'AEO14 UEC'!A223</f>
        <v>4.617</v>
      </c>
      <c r="H206" s="27">
        <f>'AEO14 UEC'!B223</f>
        <v>3.3050000000000002</v>
      </c>
      <c r="I206" s="27">
        <f>'AEO14 UEC'!C223</f>
        <v>5.03</v>
      </c>
      <c r="K206" s="27">
        <f t="shared" si="6"/>
        <v>129266.766</v>
      </c>
      <c r="N206" s="52">
        <f t="shared" si="7"/>
        <v>0.13638367706889601</v>
      </c>
    </row>
    <row r="207" spans="1:14">
      <c r="A207" s="27">
        <v>6</v>
      </c>
      <c r="B207" s="27" t="str">
        <f>'AEO14 rsstk'!D224</f>
        <v>Solar Water Heaters</v>
      </c>
      <c r="C207" s="27">
        <f>'AEO14 rsstk'!A224</f>
        <v>0</v>
      </c>
      <c r="D207" s="27">
        <f>'AEO14 rsstk'!B224</f>
        <v>0</v>
      </c>
      <c r="E207" s="27">
        <f>'AEO14 rsstk'!C224</f>
        <v>0</v>
      </c>
      <c r="G207" s="27">
        <f>'AEO14 UEC'!A224</f>
        <v>4.9379999999999997</v>
      </c>
      <c r="H207" s="27">
        <f>'AEO14 UEC'!B224</f>
        <v>3.5529999999999999</v>
      </c>
      <c r="I207" s="27">
        <f>'AEO14 UEC'!C224</f>
        <v>5.3979999999999997</v>
      </c>
      <c r="K207" s="27">
        <f t="shared" si="6"/>
        <v>0</v>
      </c>
      <c r="N207" s="52">
        <f t="shared" si="7"/>
        <v>0</v>
      </c>
    </row>
    <row r="208" spans="1:14">
      <c r="A208" s="27">
        <v>7</v>
      </c>
      <c r="B208" s="27" t="str">
        <f>'AEO14 rsstk'!D225</f>
        <v>Solar Water Heaters</v>
      </c>
      <c r="C208" s="27">
        <f>'AEO14 rsstk'!A225</f>
        <v>0</v>
      </c>
      <c r="D208" s="27">
        <f>'AEO14 rsstk'!B225</f>
        <v>0</v>
      </c>
      <c r="E208" s="27">
        <f>'AEO14 rsstk'!C225</f>
        <v>0</v>
      </c>
      <c r="G208" s="27">
        <f>'AEO14 UEC'!A225</f>
        <v>5.0069999999999997</v>
      </c>
      <c r="H208" s="27">
        <f>'AEO14 UEC'!B225</f>
        <v>3.5779999999999998</v>
      </c>
      <c r="I208" s="27">
        <f>'AEO14 UEC'!C225</f>
        <v>5.64</v>
      </c>
      <c r="K208" s="27">
        <f t="shared" si="6"/>
        <v>0</v>
      </c>
      <c r="N208" s="52">
        <f t="shared" si="7"/>
        <v>0</v>
      </c>
    </row>
    <row r="209" spans="1:14">
      <c r="A209" s="27">
        <v>8</v>
      </c>
      <c r="B209" s="27" t="str">
        <f>'AEO14 rsstk'!D226</f>
        <v>Solar Water Heaters</v>
      </c>
      <c r="C209" s="27">
        <f>'AEO14 rsstk'!A226</f>
        <v>32975</v>
      </c>
      <c r="D209" s="27">
        <f>'AEO14 rsstk'!B226</f>
        <v>0</v>
      </c>
      <c r="E209" s="27">
        <f>'AEO14 rsstk'!C226</f>
        <v>0</v>
      </c>
      <c r="G209" s="27">
        <f>'AEO14 UEC'!A226</f>
        <v>4.8040000000000003</v>
      </c>
      <c r="H209" s="27">
        <f>'AEO14 UEC'!B226</f>
        <v>3.07</v>
      </c>
      <c r="I209" s="27">
        <f>'AEO14 UEC'!C226</f>
        <v>5.117</v>
      </c>
      <c r="K209" s="27">
        <f t="shared" si="6"/>
        <v>158411.90000000002</v>
      </c>
      <c r="N209" s="52">
        <f t="shared" si="7"/>
        <v>0.16713342556640004</v>
      </c>
    </row>
    <row r="210" spans="1:14">
      <c r="A210" s="27">
        <v>9</v>
      </c>
      <c r="B210" s="27" t="str">
        <f>'AEO14 rsstk'!D227</f>
        <v>Solar Water Heaters</v>
      </c>
      <c r="C210" s="27">
        <f>'AEO14 rsstk'!A227</f>
        <v>54377</v>
      </c>
      <c r="D210" s="27">
        <f>'AEO14 rsstk'!B227</f>
        <v>11636</v>
      </c>
      <c r="E210" s="27">
        <f>'AEO14 rsstk'!C227</f>
        <v>0</v>
      </c>
      <c r="G210" s="27">
        <f>'AEO14 UEC'!A227</f>
        <v>5.6680000000000001</v>
      </c>
      <c r="H210" s="27">
        <f>'AEO14 UEC'!B227</f>
        <v>3.379</v>
      </c>
      <c r="I210" s="27">
        <f>'AEO14 UEC'!C227</f>
        <v>5.8760000000000003</v>
      </c>
      <c r="K210" s="27">
        <f t="shared" si="6"/>
        <v>347526.88</v>
      </c>
      <c r="L210" s="51">
        <f>SUM(K202:K210)/1000000000</f>
        <v>8.1158261099999998E-4</v>
      </c>
      <c r="N210" s="52">
        <f t="shared" si="7"/>
        <v>0.36666031990528003</v>
      </c>
    </row>
    <row r="211" spans="1:14">
      <c r="A211" s="27">
        <v>1</v>
      </c>
      <c r="B211" s="27" t="str">
        <f>'AEO14 rsstk'!D228</f>
        <v>Natural Gas Stoves</v>
      </c>
      <c r="C211" s="27">
        <f>'AEO14 rsstk'!A228</f>
        <v>802788</v>
      </c>
      <c r="D211" s="27">
        <f>'AEO14 rsstk'!B228</f>
        <v>785190</v>
      </c>
      <c r="E211" s="27">
        <f>'AEO14 rsstk'!C228</f>
        <v>19413</v>
      </c>
      <c r="G211" s="27">
        <f>'AEO14 UEC'!A228</f>
        <v>5.5380000000000003</v>
      </c>
      <c r="H211" s="27">
        <f>'AEO14 UEC'!B228</f>
        <v>5.5439999999999996</v>
      </c>
      <c r="I211" s="27">
        <f>'AEO14 UEC'!C228</f>
        <v>5.5469999999999997</v>
      </c>
      <c r="K211" s="27">
        <f t="shared" si="6"/>
        <v>8906617.2149999999</v>
      </c>
      <c r="N211" s="52">
        <f t="shared" si="7"/>
        <v>9.3969799323890388</v>
      </c>
    </row>
    <row r="212" spans="1:14">
      <c r="A212" s="27">
        <v>2</v>
      </c>
      <c r="B212" s="27" t="str">
        <f>'AEO14 rsstk'!D229</f>
        <v>Natural Gas Stoves</v>
      </c>
      <c r="C212" s="27">
        <f>'AEO14 rsstk'!A229</f>
        <v>4331119</v>
      </c>
      <c r="D212" s="27">
        <f>'AEO14 rsstk'!B229</f>
        <v>3614911</v>
      </c>
      <c r="E212" s="27">
        <f>'AEO14 rsstk'!C229</f>
        <v>67556</v>
      </c>
      <c r="G212" s="27">
        <f>'AEO14 UEC'!A229</f>
        <v>5.5410000000000004</v>
      </c>
      <c r="H212" s="27">
        <f>'AEO14 UEC'!B229</f>
        <v>5.5449999999999999</v>
      </c>
      <c r="I212" s="27">
        <f>'AEO14 UEC'!C229</f>
        <v>3.73</v>
      </c>
      <c r="K212" s="27">
        <f t="shared" si="6"/>
        <v>44295395.754000001</v>
      </c>
      <c r="N212" s="52">
        <f t="shared" si="7"/>
        <v>46.734123062632229</v>
      </c>
    </row>
    <row r="213" spans="1:14">
      <c r="A213" s="27">
        <v>3</v>
      </c>
      <c r="B213" s="27" t="str">
        <f>'AEO14 rsstk'!D230</f>
        <v>Natural Gas Stoves</v>
      </c>
      <c r="C213" s="27">
        <f>'AEO14 rsstk'!A230</f>
        <v>5553171</v>
      </c>
      <c r="D213" s="27">
        <f>'AEO14 rsstk'!B230</f>
        <v>1595529</v>
      </c>
      <c r="E213" s="27">
        <f>'AEO14 rsstk'!C230</f>
        <v>264569</v>
      </c>
      <c r="G213" s="27">
        <f>'AEO14 UEC'!A230</f>
        <v>5.5419999999999998</v>
      </c>
      <c r="H213" s="27">
        <f>'AEO14 UEC'!B230</f>
        <v>5.5460000000000003</v>
      </c>
      <c r="I213" s="27">
        <f>'AEO14 UEC'!C230</f>
        <v>5.5419999999999998</v>
      </c>
      <c r="K213" s="27">
        <f t="shared" si="6"/>
        <v>41090718.914000005</v>
      </c>
      <c r="N213" s="52">
        <f t="shared" si="7"/>
        <v>43.353009534529193</v>
      </c>
    </row>
    <row r="214" spans="1:14">
      <c r="A214" s="27">
        <v>4</v>
      </c>
      <c r="B214" s="27" t="str">
        <f>'AEO14 rsstk'!D231</f>
        <v>Natural Gas Stoves</v>
      </c>
      <c r="C214" s="27">
        <f>'AEO14 rsstk'!A231</f>
        <v>1537025</v>
      </c>
      <c r="D214" s="27">
        <f>'AEO14 rsstk'!B231</f>
        <v>238168</v>
      </c>
      <c r="E214" s="27">
        <f>'AEO14 rsstk'!C231</f>
        <v>193688</v>
      </c>
      <c r="G214" s="27">
        <f>'AEO14 UEC'!A231</f>
        <v>5.5359999999999996</v>
      </c>
      <c r="H214" s="27">
        <f>'AEO14 UEC'!B231</f>
        <v>5.5430000000000001</v>
      </c>
      <c r="I214" s="27">
        <f>'AEO14 UEC'!C231</f>
        <v>5.5469999999999997</v>
      </c>
      <c r="K214" s="27">
        <f t="shared" si="6"/>
        <v>10903522.959999997</v>
      </c>
      <c r="N214" s="52">
        <f t="shared" si="7"/>
        <v>11.503827320085756</v>
      </c>
    </row>
    <row r="215" spans="1:14">
      <c r="A215" s="27">
        <v>5</v>
      </c>
      <c r="B215" s="27" t="str">
        <f>'AEO14 rsstk'!D232</f>
        <v>Natural Gas Stoves</v>
      </c>
      <c r="C215" s="27">
        <f>'AEO14 rsstk'!A232</f>
        <v>2585200</v>
      </c>
      <c r="D215" s="27">
        <f>'AEO14 rsstk'!B232</f>
        <v>846274</v>
      </c>
      <c r="E215" s="27">
        <f>'AEO14 rsstk'!C232</f>
        <v>140230</v>
      </c>
      <c r="G215" s="27">
        <f>'AEO14 UEC'!A232</f>
        <v>5.5359999999999996</v>
      </c>
      <c r="H215" s="27">
        <f>'AEO14 UEC'!B232</f>
        <v>4.6340000000000003</v>
      </c>
      <c r="I215" s="27">
        <f>'AEO14 UEC'!C232</f>
        <v>5.5330000000000004</v>
      </c>
      <c r="K215" s="27">
        <f t="shared" si="6"/>
        <v>19009193.506000001</v>
      </c>
      <c r="N215" s="52">
        <f t="shared" si="7"/>
        <v>20.055763663666337</v>
      </c>
    </row>
    <row r="216" spans="1:14">
      <c r="A216" s="27">
        <v>6</v>
      </c>
      <c r="B216" s="27" t="str">
        <f>'AEO14 rsstk'!D233</f>
        <v>Natural Gas Stoves</v>
      </c>
      <c r="C216" s="27">
        <f>'AEO14 rsstk'!A233</f>
        <v>712586</v>
      </c>
      <c r="D216" s="27">
        <f>'AEO14 rsstk'!B233</f>
        <v>113138</v>
      </c>
      <c r="E216" s="27">
        <f>'AEO14 rsstk'!C233</f>
        <v>38789</v>
      </c>
      <c r="G216" s="27">
        <f>'AEO14 UEC'!A233</f>
        <v>5.5279999999999996</v>
      </c>
      <c r="H216" s="27">
        <f>'AEO14 UEC'!B233</f>
        <v>5.5460000000000003</v>
      </c>
      <c r="I216" s="27">
        <f>'AEO14 UEC'!C233</f>
        <v>2.7570000000000001</v>
      </c>
      <c r="K216" s="27">
        <f t="shared" si="6"/>
        <v>4673580.0290000001</v>
      </c>
      <c r="N216" s="52">
        <f t="shared" si="7"/>
        <v>4.930888651076625</v>
      </c>
    </row>
    <row r="217" spans="1:14">
      <c r="A217" s="27">
        <v>7</v>
      </c>
      <c r="B217" s="27" t="str">
        <f>'AEO14 rsstk'!D234</f>
        <v>Natural Gas Stoves</v>
      </c>
      <c r="C217" s="27">
        <f>'AEO14 rsstk'!A234</f>
        <v>3716008</v>
      </c>
      <c r="D217" s="27">
        <f>'AEO14 rsstk'!B234</f>
        <v>464774</v>
      </c>
      <c r="E217" s="27">
        <f>'AEO14 rsstk'!C234</f>
        <v>102029</v>
      </c>
      <c r="G217" s="27">
        <f>'AEO14 UEC'!A234</f>
        <v>5.5350000000000001</v>
      </c>
      <c r="H217" s="27">
        <f>'AEO14 UEC'!B234</f>
        <v>5.5449999999999999</v>
      </c>
      <c r="I217" s="27">
        <f>'AEO14 UEC'!C234</f>
        <v>5.5330000000000004</v>
      </c>
      <c r="K217" s="27">
        <f t="shared" si="6"/>
        <v>23709802.566999998</v>
      </c>
      <c r="N217" s="52">
        <f t="shared" si="7"/>
        <v>25.015169457128749</v>
      </c>
    </row>
    <row r="218" spans="1:14">
      <c r="A218" s="27">
        <v>8</v>
      </c>
      <c r="B218" s="27" t="str">
        <f>'AEO14 rsstk'!D235</f>
        <v>Natural Gas Stoves</v>
      </c>
      <c r="C218" s="27">
        <f>'AEO14 rsstk'!A235</f>
        <v>1807468</v>
      </c>
      <c r="D218" s="27">
        <f>'AEO14 rsstk'!B235</f>
        <v>251274</v>
      </c>
      <c r="E218" s="27">
        <f>'AEO14 rsstk'!C235</f>
        <v>263002</v>
      </c>
      <c r="G218" s="27">
        <f>'AEO14 UEC'!A235</f>
        <v>5.5229999999999997</v>
      </c>
      <c r="H218" s="27">
        <f>'AEO14 UEC'!B235</f>
        <v>5.5380000000000003</v>
      </c>
      <c r="I218" s="27">
        <f>'AEO14 UEC'!C235</f>
        <v>5.5359999999999996</v>
      </c>
      <c r="K218" s="27">
        <f t="shared" si="6"/>
        <v>12830180.248</v>
      </c>
      <c r="N218" s="52">
        <f t="shared" si="7"/>
        <v>13.536558651733888</v>
      </c>
    </row>
    <row r="219" spans="1:14">
      <c r="A219" s="27">
        <v>9</v>
      </c>
      <c r="B219" s="27" t="str">
        <f>'AEO14 rsstk'!D236</f>
        <v>Natural Gas Stoves</v>
      </c>
      <c r="C219" s="27">
        <f>'AEO14 rsstk'!A236</f>
        <v>5818344</v>
      </c>
      <c r="D219" s="27">
        <f>'AEO14 rsstk'!B236</f>
        <v>2215696</v>
      </c>
      <c r="E219" s="27">
        <f>'AEO14 rsstk'!C236</f>
        <v>235554</v>
      </c>
      <c r="G219" s="27">
        <f>'AEO14 UEC'!A236</f>
        <v>5.5389999999999997</v>
      </c>
      <c r="H219" s="27">
        <f>'AEO14 UEC'!B236</f>
        <v>5.5449999999999999</v>
      </c>
      <c r="I219" s="27">
        <f>'AEO14 UEC'!C236</f>
        <v>5.5220000000000002</v>
      </c>
      <c r="K219" s="27">
        <f t="shared" si="6"/>
        <v>45814570.924000002</v>
      </c>
      <c r="L219" s="51">
        <f>SUM(K211:K219)/1000000000</f>
        <v>0.211233582117</v>
      </c>
      <c r="N219" s="52">
        <f t="shared" si="7"/>
        <v>48.336937940791749</v>
      </c>
    </row>
    <row r="220" spans="1:14">
      <c r="A220" s="27">
        <v>1</v>
      </c>
      <c r="B220" s="27" t="str">
        <f>'AEO14 rsstk'!D237</f>
        <v>LPG Stoves</v>
      </c>
      <c r="C220" s="27">
        <f>'AEO14 rsstk'!A237</f>
        <v>322510</v>
      </c>
      <c r="D220" s="27">
        <f>'AEO14 rsstk'!B237</f>
        <v>17217</v>
      </c>
      <c r="E220" s="27">
        <f>'AEO14 rsstk'!C237</f>
        <v>13111</v>
      </c>
      <c r="G220" s="27">
        <f>'AEO14 UEC'!A237</f>
        <v>5.5380000000000003</v>
      </c>
      <c r="H220" s="27">
        <f>'AEO14 UEC'!B237</f>
        <v>5.5380000000000003</v>
      </c>
      <c r="I220" s="27">
        <f>'AEO14 UEC'!C237</f>
        <v>5.5380000000000003</v>
      </c>
      <c r="K220" s="27">
        <f t="shared" si="6"/>
        <v>1954016.8440000003</v>
      </c>
      <c r="N220" s="52">
        <f t="shared" si="7"/>
        <v>2.0615971953632646</v>
      </c>
    </row>
    <row r="221" spans="1:14">
      <c r="A221" s="27">
        <v>2</v>
      </c>
      <c r="B221" s="27" t="str">
        <f>'AEO14 rsstk'!D238</f>
        <v>LPG Stoves</v>
      </c>
      <c r="C221" s="27">
        <f>'AEO14 rsstk'!A238</f>
        <v>608863</v>
      </c>
      <c r="D221" s="27">
        <f>'AEO14 rsstk'!B238</f>
        <v>32743</v>
      </c>
      <c r="E221" s="27">
        <f>'AEO14 rsstk'!C238</f>
        <v>134718</v>
      </c>
      <c r="G221" s="27">
        <f>'AEO14 UEC'!A238</f>
        <v>5.548</v>
      </c>
      <c r="H221" s="27">
        <f>'AEO14 UEC'!B238</f>
        <v>5.548</v>
      </c>
      <c r="I221" s="27">
        <f>'AEO14 UEC'!C238</f>
        <v>5.548</v>
      </c>
      <c r="K221" s="27">
        <f t="shared" si="6"/>
        <v>4307045.5520000001</v>
      </c>
      <c r="N221" s="52">
        <f t="shared" si="7"/>
        <v>4.5441742519109125</v>
      </c>
    </row>
    <row r="222" spans="1:14">
      <c r="A222" s="27">
        <v>3</v>
      </c>
      <c r="B222" s="27" t="str">
        <f>'AEO14 rsstk'!D239</f>
        <v>LPG Stoves</v>
      </c>
      <c r="C222" s="27">
        <f>'AEO14 rsstk'!A239</f>
        <v>519679</v>
      </c>
      <c r="D222" s="27">
        <f>'AEO14 rsstk'!B239</f>
        <v>12468</v>
      </c>
      <c r="E222" s="27">
        <f>'AEO14 rsstk'!C239</f>
        <v>150421</v>
      </c>
      <c r="G222" s="27">
        <f>'AEO14 UEC'!A239</f>
        <v>5.5369999999999999</v>
      </c>
      <c r="H222" s="27">
        <f>'AEO14 UEC'!B239</f>
        <v>5.5369999999999999</v>
      </c>
      <c r="I222" s="27">
        <f>'AEO14 UEC'!C239</f>
        <v>5.5369999999999999</v>
      </c>
      <c r="K222" s="27">
        <f t="shared" si="6"/>
        <v>3779379.0160000003</v>
      </c>
      <c r="N222" s="52">
        <f t="shared" si="7"/>
        <v>3.9874565071048962</v>
      </c>
    </row>
    <row r="223" spans="1:14">
      <c r="A223" s="27">
        <v>4</v>
      </c>
      <c r="B223" s="27" t="str">
        <f>'AEO14 rsstk'!D240</f>
        <v>LPG Stoves</v>
      </c>
      <c r="C223" s="27">
        <f>'AEO14 rsstk'!A240</f>
        <v>363691</v>
      </c>
      <c r="D223" s="27">
        <f>'AEO14 rsstk'!B240</f>
        <v>0</v>
      </c>
      <c r="E223" s="27">
        <f>'AEO14 rsstk'!C240</f>
        <v>136867</v>
      </c>
      <c r="G223" s="27">
        <f>'AEO14 UEC'!A240</f>
        <v>5.5439999999999996</v>
      </c>
      <c r="H223" s="27">
        <f>'AEO14 UEC'!B240</f>
        <v>5.5439999999999996</v>
      </c>
      <c r="I223" s="27">
        <f>'AEO14 UEC'!C240</f>
        <v>5.5439999999999996</v>
      </c>
      <c r="K223" s="27">
        <f t="shared" si="6"/>
        <v>2775093.5519999997</v>
      </c>
      <c r="N223" s="52">
        <f t="shared" si="7"/>
        <v>2.9278791025989119</v>
      </c>
    </row>
    <row r="224" spans="1:14">
      <c r="A224" s="27">
        <v>5</v>
      </c>
      <c r="B224" s="27" t="str">
        <f>'AEO14 rsstk'!D241</f>
        <v>LPG Stoves</v>
      </c>
      <c r="C224" s="27">
        <f>'AEO14 rsstk'!A241</f>
        <v>639193</v>
      </c>
      <c r="D224" s="27">
        <f>'AEO14 rsstk'!B241</f>
        <v>21050</v>
      </c>
      <c r="E224" s="27">
        <f>'AEO14 rsstk'!C241</f>
        <v>289480</v>
      </c>
      <c r="G224" s="27">
        <f>'AEO14 UEC'!A241</f>
        <v>5.5389999999999997</v>
      </c>
      <c r="H224" s="27">
        <f>'AEO14 UEC'!B241</f>
        <v>5.5389999999999997</v>
      </c>
      <c r="I224" s="27">
        <f>'AEO14 UEC'!C241</f>
        <v>5.5389999999999997</v>
      </c>
      <c r="K224" s="27">
        <f t="shared" si="6"/>
        <v>5260515.6969999997</v>
      </c>
      <c r="N224" s="52">
        <f t="shared" si="7"/>
        <v>5.5501386492140323</v>
      </c>
    </row>
    <row r="225" spans="1:14">
      <c r="A225" s="27">
        <v>6</v>
      </c>
      <c r="B225" s="27" t="str">
        <f>'AEO14 rsstk'!D242</f>
        <v>LPG Stoves</v>
      </c>
      <c r="C225" s="27">
        <f>'AEO14 rsstk'!A242</f>
        <v>391976</v>
      </c>
      <c r="D225" s="27">
        <f>'AEO14 rsstk'!B242</f>
        <v>0</v>
      </c>
      <c r="E225" s="27">
        <f>'AEO14 rsstk'!C242</f>
        <v>91894</v>
      </c>
      <c r="G225" s="27">
        <f>'AEO14 UEC'!A242</f>
        <v>5.5510000000000002</v>
      </c>
      <c r="H225" s="27">
        <f>'AEO14 UEC'!B242</f>
        <v>5.5510000000000002</v>
      </c>
      <c r="I225" s="27">
        <f>'AEO14 UEC'!C242</f>
        <v>5.5510000000000002</v>
      </c>
      <c r="K225" s="27">
        <f t="shared" si="6"/>
        <v>2685962.37</v>
      </c>
      <c r="N225" s="52">
        <f t="shared" si="7"/>
        <v>2.8338407142427204</v>
      </c>
    </row>
    <row r="226" spans="1:14">
      <c r="A226" s="27">
        <v>7</v>
      </c>
      <c r="B226" s="27" t="str">
        <f>'AEO14 rsstk'!D243</f>
        <v>LPG Stoves</v>
      </c>
      <c r="C226" s="27">
        <f>'AEO14 rsstk'!A243</f>
        <v>556842</v>
      </c>
      <c r="D226" s="27">
        <f>'AEO14 rsstk'!B243</f>
        <v>0</v>
      </c>
      <c r="E226" s="27">
        <f>'AEO14 rsstk'!C243</f>
        <v>160879</v>
      </c>
      <c r="G226" s="27">
        <f>'AEO14 UEC'!A243</f>
        <v>5.548</v>
      </c>
      <c r="H226" s="27">
        <f>'AEO14 UEC'!B243</f>
        <v>5.548</v>
      </c>
      <c r="I226" s="27">
        <f>'AEO14 UEC'!C243</f>
        <v>5.548</v>
      </c>
      <c r="K226" s="27">
        <f t="shared" si="6"/>
        <v>3981916.108</v>
      </c>
      <c r="N226" s="52">
        <f t="shared" si="7"/>
        <v>4.2011444812420482</v>
      </c>
    </row>
    <row r="227" spans="1:14">
      <c r="A227" s="27">
        <v>8</v>
      </c>
      <c r="B227" s="27" t="str">
        <f>'AEO14 rsstk'!D244</f>
        <v>LPG Stoves</v>
      </c>
      <c r="C227" s="27">
        <f>'AEO14 rsstk'!A244</f>
        <v>306038</v>
      </c>
      <c r="D227" s="27">
        <f>'AEO14 rsstk'!B244</f>
        <v>53483</v>
      </c>
      <c r="E227" s="27">
        <f>'AEO14 rsstk'!C244</f>
        <v>195037</v>
      </c>
      <c r="G227" s="27">
        <f>'AEO14 UEC'!A244</f>
        <v>5.5460000000000003</v>
      </c>
      <c r="H227" s="27">
        <f>'AEO14 UEC'!B244</f>
        <v>5.5460000000000003</v>
      </c>
      <c r="I227" s="27">
        <f>'AEO14 UEC'!C244</f>
        <v>5.5460000000000003</v>
      </c>
      <c r="K227" s="27">
        <f t="shared" si="6"/>
        <v>3075578.6680000001</v>
      </c>
      <c r="N227" s="52">
        <f t="shared" si="7"/>
        <v>3.2449077271454083</v>
      </c>
    </row>
    <row r="228" spans="1:14">
      <c r="A228" s="27">
        <v>9</v>
      </c>
      <c r="B228" s="27" t="str">
        <f>'AEO14 rsstk'!D245</f>
        <v>LPG Stoves</v>
      </c>
      <c r="C228" s="27">
        <f>'AEO14 rsstk'!A245</f>
        <v>217781</v>
      </c>
      <c r="D228" s="27">
        <f>'AEO14 rsstk'!B245</f>
        <v>21753</v>
      </c>
      <c r="E228" s="27">
        <f>'AEO14 rsstk'!C245</f>
        <v>183928</v>
      </c>
      <c r="G228" s="27">
        <f>'AEO14 UEC'!A245</f>
        <v>5.5270000000000001</v>
      </c>
      <c r="H228" s="27">
        <f>'AEO14 UEC'!B245</f>
        <v>5.5270000000000001</v>
      </c>
      <c r="I228" s="27">
        <f>'AEO14 UEC'!C245</f>
        <v>5.5270000000000001</v>
      </c>
      <c r="K228" s="27">
        <f t="shared" si="6"/>
        <v>2340474.4739999999</v>
      </c>
      <c r="L228" s="51">
        <f>SUM(K220:K228)/1000000000</f>
        <v>3.0159982280999999E-2</v>
      </c>
      <c r="N228" s="52">
        <f t="shared" si="7"/>
        <v>2.4693316366405438</v>
      </c>
    </row>
    <row r="229" spans="1:14">
      <c r="A229" s="27">
        <v>1</v>
      </c>
      <c r="B229" s="27" t="str">
        <f>'AEO14 rsstk'!D246</f>
        <v>Electric Stoves</v>
      </c>
      <c r="C229" s="27">
        <f>'AEO14 rsstk'!A246</f>
        <v>2205621</v>
      </c>
      <c r="D229" s="27">
        <f>'AEO14 rsstk'!B246</f>
        <v>1216718</v>
      </c>
      <c r="E229" s="27">
        <f>'AEO14 rsstk'!C246</f>
        <v>43139</v>
      </c>
      <c r="G229" s="27">
        <f>'AEO14 UEC'!A246</f>
        <v>1.452</v>
      </c>
      <c r="H229" s="27">
        <f>'AEO14 UEC'!B246</f>
        <v>1.1930000000000001</v>
      </c>
      <c r="I229" s="27">
        <f>'AEO14 UEC'!C246</f>
        <v>0.84699999999999998</v>
      </c>
      <c r="K229" s="27">
        <f t="shared" si="6"/>
        <v>4690644.9989999998</v>
      </c>
      <c r="N229" s="52">
        <f t="shared" si="7"/>
        <v>4.9488931500649436</v>
      </c>
    </row>
    <row r="230" spans="1:14">
      <c r="A230" s="27">
        <v>2</v>
      </c>
      <c r="B230" s="27" t="str">
        <f>'AEO14 rsstk'!D247</f>
        <v>Electric Stoves</v>
      </c>
      <c r="C230" s="27">
        <f>'AEO14 rsstk'!A247</f>
        <v>4227745</v>
      </c>
      <c r="D230" s="27">
        <f>'AEO14 rsstk'!B247</f>
        <v>1776602</v>
      </c>
      <c r="E230" s="27">
        <f>'AEO14 rsstk'!C247</f>
        <v>163782</v>
      </c>
      <c r="G230" s="27">
        <f>'AEO14 UEC'!A247</f>
        <v>1.446</v>
      </c>
      <c r="H230" s="27">
        <f>'AEO14 UEC'!B247</f>
        <v>0.97399999999999998</v>
      </c>
      <c r="I230" s="27">
        <f>'AEO14 UEC'!C247</f>
        <v>0.93</v>
      </c>
      <c r="K230" s="27">
        <f t="shared" si="6"/>
        <v>7996046.8779999996</v>
      </c>
      <c r="N230" s="52">
        <f t="shared" si="7"/>
        <v>8.4362772349151669</v>
      </c>
    </row>
    <row r="231" spans="1:14">
      <c r="A231" s="27">
        <v>3</v>
      </c>
      <c r="B231" s="27" t="str">
        <f>'AEO14 rsstk'!D248</f>
        <v>Electric Stoves</v>
      </c>
      <c r="C231" s="27">
        <f>'AEO14 rsstk'!A248</f>
        <v>6902311</v>
      </c>
      <c r="D231" s="27">
        <f>'AEO14 rsstk'!B248</f>
        <v>2375467</v>
      </c>
      <c r="E231" s="27">
        <f>'AEO14 rsstk'!C248</f>
        <v>143811</v>
      </c>
      <c r="G231" s="27">
        <f>'AEO14 UEC'!A248</f>
        <v>1.61</v>
      </c>
      <c r="H231" s="27">
        <f>'AEO14 UEC'!B248</f>
        <v>0.98</v>
      </c>
      <c r="I231" s="27">
        <f>'AEO14 UEC'!C248</f>
        <v>1.829</v>
      </c>
      <c r="K231" s="27">
        <f t="shared" si="6"/>
        <v>13703708.689000001</v>
      </c>
      <c r="N231" s="52">
        <f t="shared" si="7"/>
        <v>14.458180074581586</v>
      </c>
    </row>
    <row r="232" spans="1:14">
      <c r="A232" s="27">
        <v>4</v>
      </c>
      <c r="B232" s="27" t="str">
        <f>'AEO14 rsstk'!D249</f>
        <v>Electric Stoves</v>
      </c>
      <c r="C232" s="27">
        <f>'AEO14 rsstk'!A249</f>
        <v>4224257</v>
      </c>
      <c r="D232" s="27">
        <f>'AEO14 rsstk'!B249</f>
        <v>1134069</v>
      </c>
      <c r="E232" s="27">
        <f>'AEO14 rsstk'!C249</f>
        <v>165807</v>
      </c>
      <c r="G232" s="27">
        <f>'AEO14 UEC'!A249</f>
        <v>1.5640000000000001</v>
      </c>
      <c r="H232" s="27">
        <f>'AEO14 UEC'!B249</f>
        <v>1.544</v>
      </c>
      <c r="I232" s="27">
        <f>'AEO14 UEC'!C249</f>
        <v>1.6739999999999999</v>
      </c>
      <c r="K232" s="27">
        <f t="shared" si="6"/>
        <v>8635301.4020000007</v>
      </c>
      <c r="N232" s="52">
        <f t="shared" si="7"/>
        <v>9.1107265559885136</v>
      </c>
    </row>
    <row r="233" spans="1:14">
      <c r="A233" s="27">
        <v>5</v>
      </c>
      <c r="B233" s="27" t="str">
        <f>'AEO14 rsstk'!D250</f>
        <v>Electric Stoves</v>
      </c>
      <c r="C233" s="27">
        <f>'AEO14 rsstk'!A250</f>
        <v>11836865</v>
      </c>
      <c r="D233" s="27">
        <f>'AEO14 rsstk'!B250</f>
        <v>3714562</v>
      </c>
      <c r="E233" s="27">
        <f>'AEO14 rsstk'!C250</f>
        <v>1953393</v>
      </c>
      <c r="G233" s="27">
        <f>'AEO14 UEC'!A250</f>
        <v>1.6180000000000001</v>
      </c>
      <c r="H233" s="27">
        <f>'AEO14 UEC'!B250</f>
        <v>1.5109999999999999</v>
      </c>
      <c r="I233" s="27">
        <f>'AEO14 UEC'!C250</f>
        <v>1.7470000000000001</v>
      </c>
      <c r="K233" s="27">
        <f t="shared" si="6"/>
        <v>28177328.322999999</v>
      </c>
      <c r="N233" s="52">
        <f t="shared" si="7"/>
        <v>29.728659311151088</v>
      </c>
    </row>
    <row r="234" spans="1:14">
      <c r="A234" s="27">
        <v>6</v>
      </c>
      <c r="B234" s="27" t="str">
        <f>'AEO14 rsstk'!D251</f>
        <v>Electric Stoves</v>
      </c>
      <c r="C234" s="27">
        <f>'AEO14 rsstk'!A251</f>
        <v>4320787</v>
      </c>
      <c r="D234" s="27">
        <f>'AEO14 rsstk'!B251</f>
        <v>778615</v>
      </c>
      <c r="E234" s="27">
        <f>'AEO14 rsstk'!C251</f>
        <v>491749</v>
      </c>
      <c r="G234" s="27">
        <f>'AEO14 UEC'!A251</f>
        <v>1.919</v>
      </c>
      <c r="H234" s="27">
        <f>'AEO14 UEC'!B251</f>
        <v>1.149</v>
      </c>
      <c r="I234" s="27">
        <f>'AEO14 UEC'!C251</f>
        <v>2.0640000000000001</v>
      </c>
      <c r="K234" s="27">
        <f t="shared" si="6"/>
        <v>10201188.824000001</v>
      </c>
      <c r="N234" s="52">
        <f t="shared" si="7"/>
        <v>10.762825475894145</v>
      </c>
    </row>
    <row r="235" spans="1:14">
      <c r="A235" s="27">
        <v>7</v>
      </c>
      <c r="B235" s="27" t="str">
        <f>'AEO14 rsstk'!D252</f>
        <v>Electric Stoves</v>
      </c>
      <c r="C235" s="27">
        <f>'AEO14 rsstk'!A252</f>
        <v>4728653</v>
      </c>
      <c r="D235" s="27">
        <f>'AEO14 rsstk'!B252</f>
        <v>2314494</v>
      </c>
      <c r="E235" s="27">
        <f>'AEO14 rsstk'!C252</f>
        <v>580526</v>
      </c>
      <c r="G235" s="27">
        <f>'AEO14 UEC'!A252</f>
        <v>1.9119999999999999</v>
      </c>
      <c r="H235" s="27">
        <f>'AEO14 UEC'!B252</f>
        <v>1.377</v>
      </c>
      <c r="I235" s="27">
        <f>'AEO14 UEC'!C252</f>
        <v>1.8049999999999999</v>
      </c>
      <c r="K235" s="27">
        <f t="shared" si="6"/>
        <v>13276092.204</v>
      </c>
      <c r="N235" s="52">
        <f t="shared" si="7"/>
        <v>14.007020736383426</v>
      </c>
    </row>
    <row r="236" spans="1:14">
      <c r="A236" s="27">
        <v>8</v>
      </c>
      <c r="B236" s="27" t="str">
        <f>'AEO14 rsstk'!D253</f>
        <v>Electric Stoves</v>
      </c>
      <c r="C236" s="27">
        <f>'AEO14 rsstk'!A253</f>
        <v>3818386</v>
      </c>
      <c r="D236" s="27">
        <f>'AEO14 rsstk'!B253</f>
        <v>942978</v>
      </c>
      <c r="E236" s="27">
        <f>'AEO14 rsstk'!C253</f>
        <v>172750</v>
      </c>
      <c r="G236" s="27">
        <f>'AEO14 UEC'!A253</f>
        <v>1.4950000000000001</v>
      </c>
      <c r="H236" s="27">
        <f>'AEO14 UEC'!B253</f>
        <v>1.08</v>
      </c>
      <c r="I236" s="27">
        <f>'AEO14 UEC'!C253</f>
        <v>1.0640000000000001</v>
      </c>
      <c r="K236" s="27">
        <f t="shared" si="6"/>
        <v>6910709.3100000005</v>
      </c>
      <c r="N236" s="52">
        <f t="shared" si="7"/>
        <v>7.2911853217713611</v>
      </c>
    </row>
    <row r="237" spans="1:14">
      <c r="A237" s="27">
        <v>9</v>
      </c>
      <c r="B237" s="27" t="str">
        <f>'AEO14 rsstk'!D254</f>
        <v>Electric Stoves</v>
      </c>
      <c r="C237" s="27">
        <f>'AEO14 rsstk'!A254</f>
        <v>4781835</v>
      </c>
      <c r="D237" s="27">
        <f>'AEO14 rsstk'!B254</f>
        <v>2798909</v>
      </c>
      <c r="E237" s="27">
        <f>'AEO14 rsstk'!C254</f>
        <v>323798</v>
      </c>
      <c r="G237" s="27">
        <f>'AEO14 UEC'!A254</f>
        <v>1.5109999999999999</v>
      </c>
      <c r="H237" s="27">
        <f>'AEO14 UEC'!B254</f>
        <v>1.2170000000000001</v>
      </c>
      <c r="I237" s="27">
        <f>'AEO14 UEC'!C254</f>
        <v>1.8320000000000001</v>
      </c>
      <c r="K237" s="27">
        <f t="shared" si="6"/>
        <v>11224822.874</v>
      </c>
      <c r="L237" s="51">
        <f>SUM(K229:K237)/1000000000</f>
        <v>0.10481584350300001</v>
      </c>
      <c r="N237" s="52">
        <f t="shared" si="7"/>
        <v>11.842816722150944</v>
      </c>
    </row>
    <row r="238" spans="1:14">
      <c r="A238" s="27">
        <v>1</v>
      </c>
      <c r="B238" s="27" t="str">
        <f>'AEO14 rsstk'!D255</f>
        <v>Natural Gas Dryers</v>
      </c>
      <c r="C238" s="27">
        <f>'AEO14 rsstk'!A255</f>
        <v>339761</v>
      </c>
      <c r="D238" s="27">
        <f>'AEO14 rsstk'!B255</f>
        <v>79594</v>
      </c>
      <c r="E238" s="27">
        <f>'AEO14 rsstk'!C255</f>
        <v>0</v>
      </c>
      <c r="G238" s="27">
        <f>'AEO14 UEC'!A255</f>
        <v>2.1880000000000002</v>
      </c>
      <c r="H238" s="27">
        <f>'AEO14 UEC'!B255</f>
        <v>2.0499999999999998</v>
      </c>
      <c r="I238" s="27">
        <f>'AEO14 UEC'!C255</f>
        <v>1.861</v>
      </c>
      <c r="K238" s="27">
        <f t="shared" si="6"/>
        <v>906564.76800000004</v>
      </c>
      <c r="N238" s="52">
        <f t="shared" si="7"/>
        <v>0.95647659786700812</v>
      </c>
    </row>
    <row r="239" spans="1:14">
      <c r="A239" s="27">
        <v>2</v>
      </c>
      <c r="B239" s="27" t="str">
        <f>'AEO14 rsstk'!D256</f>
        <v>Natural Gas Dryers</v>
      </c>
      <c r="C239" s="27">
        <f>'AEO14 rsstk'!A256</f>
        <v>2922106</v>
      </c>
      <c r="D239" s="27">
        <f>'AEO14 rsstk'!B256</f>
        <v>347753</v>
      </c>
      <c r="E239" s="27">
        <f>'AEO14 rsstk'!C256</f>
        <v>7659</v>
      </c>
      <c r="G239" s="27">
        <f>'AEO14 UEC'!A256</f>
        <v>2.4849999999999999</v>
      </c>
      <c r="H239" s="27">
        <f>'AEO14 UEC'!B256</f>
        <v>1.7849999999999999</v>
      </c>
      <c r="I239" s="27">
        <f>'AEO14 UEC'!C256</f>
        <v>1.7849999999999999</v>
      </c>
      <c r="K239" s="27">
        <f t="shared" si="6"/>
        <v>7895843.8299999991</v>
      </c>
      <c r="N239" s="52">
        <f t="shared" si="7"/>
        <v>8.3305574079044789</v>
      </c>
    </row>
    <row r="240" spans="1:14">
      <c r="A240" s="27">
        <v>3</v>
      </c>
      <c r="B240" s="27" t="str">
        <f>'AEO14 rsstk'!D257</f>
        <v>Natural Gas Dryers</v>
      </c>
      <c r="C240" s="27">
        <f>'AEO14 rsstk'!A257</f>
        <v>4143968</v>
      </c>
      <c r="D240" s="27">
        <f>'AEO14 rsstk'!B257</f>
        <v>483207</v>
      </c>
      <c r="E240" s="27">
        <f>'AEO14 rsstk'!C257</f>
        <v>100449</v>
      </c>
      <c r="G240" s="27">
        <f>'AEO14 UEC'!A257</f>
        <v>2.6309999999999998</v>
      </c>
      <c r="H240" s="27">
        <f>'AEO14 UEC'!B257</f>
        <v>2.052</v>
      </c>
      <c r="I240" s="27">
        <f>'AEO14 UEC'!C257</f>
        <v>2.726</v>
      </c>
      <c r="K240" s="27">
        <f t="shared" si="6"/>
        <v>12168144.545999998</v>
      </c>
      <c r="N240" s="52">
        <f t="shared" si="7"/>
        <v>12.838073912124575</v>
      </c>
    </row>
    <row r="241" spans="1:14">
      <c r="A241" s="27">
        <v>4</v>
      </c>
      <c r="B241" s="27" t="str">
        <f>'AEO14 rsstk'!D258</f>
        <v>Natural Gas Dryers</v>
      </c>
      <c r="C241" s="27">
        <f>'AEO14 rsstk'!A258</f>
        <v>901146</v>
      </c>
      <c r="D241" s="27">
        <f>'AEO14 rsstk'!B258</f>
        <v>27135</v>
      </c>
      <c r="E241" s="27">
        <f>'AEO14 rsstk'!C258</f>
        <v>0</v>
      </c>
      <c r="G241" s="27">
        <f>'AEO14 UEC'!A258</f>
        <v>2.7810000000000001</v>
      </c>
      <c r="H241" s="27">
        <f>'AEO14 UEC'!B258</f>
        <v>2.5739999999999998</v>
      </c>
      <c r="I241" s="27">
        <f>'AEO14 UEC'!C258</f>
        <v>2.2450000000000001</v>
      </c>
      <c r="K241" s="27">
        <f t="shared" si="6"/>
        <v>2575932.5159999998</v>
      </c>
      <c r="N241" s="52">
        <f t="shared" si="7"/>
        <v>2.7177530566008956</v>
      </c>
    </row>
    <row r="242" spans="1:14">
      <c r="A242" s="27">
        <v>5</v>
      </c>
      <c r="B242" s="27" t="str">
        <f>'AEO14 rsstk'!D259</f>
        <v>Natural Gas Dryers</v>
      </c>
      <c r="C242" s="27">
        <f>'AEO14 rsstk'!A259</f>
        <v>766767</v>
      </c>
      <c r="D242" s="27">
        <f>'AEO14 rsstk'!B259</f>
        <v>49929</v>
      </c>
      <c r="E242" s="27">
        <f>'AEO14 rsstk'!C259</f>
        <v>13872</v>
      </c>
      <c r="G242" s="27">
        <f>'AEO14 UEC'!A259</f>
        <v>3.3130000000000002</v>
      </c>
      <c r="H242" s="27">
        <f>'AEO14 UEC'!B259</f>
        <v>2.669</v>
      </c>
      <c r="I242" s="27">
        <f>'AEO14 UEC'!C259</f>
        <v>2.669</v>
      </c>
      <c r="K242" s="27">
        <f t="shared" si="6"/>
        <v>2710583.94</v>
      </c>
      <c r="N242" s="52">
        <f t="shared" si="7"/>
        <v>2.8598178494006401</v>
      </c>
    </row>
    <row r="243" spans="1:14">
      <c r="A243" s="27">
        <v>6</v>
      </c>
      <c r="B243" s="27" t="str">
        <f>'AEO14 rsstk'!D260</f>
        <v>Natural Gas Dryers</v>
      </c>
      <c r="C243" s="27">
        <f>'AEO14 rsstk'!A260</f>
        <v>191335</v>
      </c>
      <c r="D243" s="27">
        <f>'AEO14 rsstk'!B260</f>
        <v>9206</v>
      </c>
      <c r="E243" s="27">
        <f>'AEO14 rsstk'!C260</f>
        <v>18409</v>
      </c>
      <c r="G243" s="27">
        <f>'AEO14 UEC'!A260</f>
        <v>3.6360000000000001</v>
      </c>
      <c r="H243" s="27">
        <f>'AEO14 UEC'!B260</f>
        <v>3.6360000000000001</v>
      </c>
      <c r="I243" s="27">
        <f>'AEO14 UEC'!C260</f>
        <v>3.6360000000000001</v>
      </c>
      <c r="K243" s="27">
        <f t="shared" si="6"/>
        <v>796102.20000000007</v>
      </c>
      <c r="N243" s="52">
        <f t="shared" si="7"/>
        <v>0.83993240272320013</v>
      </c>
    </row>
    <row r="244" spans="1:14">
      <c r="A244" s="27">
        <v>7</v>
      </c>
      <c r="B244" s="27" t="str">
        <f>'AEO14 rsstk'!D261</f>
        <v>Natural Gas Dryers</v>
      </c>
      <c r="C244" s="27">
        <f>'AEO14 rsstk'!A261</f>
        <v>1186933</v>
      </c>
      <c r="D244" s="27">
        <f>'AEO14 rsstk'!B261</f>
        <v>7266</v>
      </c>
      <c r="E244" s="27">
        <f>'AEO14 rsstk'!C261</f>
        <v>0</v>
      </c>
      <c r="G244" s="27">
        <f>'AEO14 UEC'!A261</f>
        <v>4.2089999999999996</v>
      </c>
      <c r="H244" s="27">
        <f>'AEO14 UEC'!B261</f>
        <v>3.3690000000000002</v>
      </c>
      <c r="I244" s="27">
        <f>'AEO14 UEC'!C261</f>
        <v>3.3690000000000002</v>
      </c>
      <c r="K244" s="27">
        <f t="shared" si="6"/>
        <v>5020280.1509999996</v>
      </c>
      <c r="N244" s="52">
        <f t="shared" si="7"/>
        <v>5.2966766949934554</v>
      </c>
    </row>
    <row r="245" spans="1:14">
      <c r="A245" s="27">
        <v>8</v>
      </c>
      <c r="B245" s="27" t="str">
        <f>'AEO14 rsstk'!D262</f>
        <v>Natural Gas Dryers</v>
      </c>
      <c r="C245" s="27">
        <f>'AEO14 rsstk'!A262</f>
        <v>900174</v>
      </c>
      <c r="D245" s="27">
        <f>'AEO14 rsstk'!B262</f>
        <v>105478</v>
      </c>
      <c r="E245" s="27">
        <f>'AEO14 rsstk'!C262</f>
        <v>63306</v>
      </c>
      <c r="G245" s="27">
        <f>'AEO14 UEC'!A262</f>
        <v>3.0379999999999998</v>
      </c>
      <c r="H245" s="27">
        <f>'AEO14 UEC'!B262</f>
        <v>2.7389999999999999</v>
      </c>
      <c r="I245" s="27">
        <f>'AEO14 UEC'!C262</f>
        <v>2.7469999999999999</v>
      </c>
      <c r="K245" s="27">
        <f t="shared" si="6"/>
        <v>3197534.4359999998</v>
      </c>
      <c r="N245" s="52">
        <f t="shared" si="7"/>
        <v>3.3735778919084156</v>
      </c>
    </row>
    <row r="246" spans="1:14">
      <c r="A246" s="27">
        <v>9</v>
      </c>
      <c r="B246" s="27" t="str">
        <f>'AEO14 rsstk'!D263</f>
        <v>Natural Gas Dryers</v>
      </c>
      <c r="C246" s="27">
        <f>'AEO14 rsstk'!A263</f>
        <v>4321051</v>
      </c>
      <c r="D246" s="27">
        <f>'AEO14 rsstk'!B263</f>
        <v>353654</v>
      </c>
      <c r="E246" s="27">
        <f>'AEO14 rsstk'!C263</f>
        <v>105118</v>
      </c>
      <c r="G246" s="27">
        <f>'AEO14 UEC'!A263</f>
        <v>2.82</v>
      </c>
      <c r="H246" s="27">
        <f>'AEO14 UEC'!B263</f>
        <v>2.0529999999999999</v>
      </c>
      <c r="I246" s="27">
        <f>'AEO14 UEC'!C263</f>
        <v>2.48</v>
      </c>
      <c r="K246" s="27">
        <f t="shared" si="6"/>
        <v>13172108.122</v>
      </c>
      <c r="N246" s="52">
        <f t="shared" si="7"/>
        <v>13.897311706764832</v>
      </c>
    </row>
    <row r="247" spans="1:14">
      <c r="A247" s="27">
        <v>1</v>
      </c>
      <c r="B247" s="27" t="str">
        <f>'AEO14 rsstk'!D264</f>
        <v>Electric Dryers</v>
      </c>
      <c r="C247" s="27">
        <f>'AEO14 rsstk'!A264</f>
        <v>2798811</v>
      </c>
      <c r="D247" s="27">
        <f>'AEO14 rsstk'!B264</f>
        <v>613894</v>
      </c>
      <c r="E247" s="27">
        <f>'AEO14 rsstk'!C264</f>
        <v>55013</v>
      </c>
      <c r="G247" s="27">
        <f>'AEO14 UEC'!A264</f>
        <v>2.6</v>
      </c>
      <c r="H247" s="27">
        <f>'AEO14 UEC'!B264</f>
        <v>2.137</v>
      </c>
      <c r="I247" s="27">
        <f>'AEO14 UEC'!C264</f>
        <v>2.2029999999999998</v>
      </c>
      <c r="K247" s="27">
        <f t="shared" si="6"/>
        <v>8709993.717000002</v>
      </c>
      <c r="N247" s="52">
        <f t="shared" si="7"/>
        <v>9.1895311310831538</v>
      </c>
    </row>
    <row r="248" spans="1:14">
      <c r="A248" s="27">
        <v>2</v>
      </c>
      <c r="B248" s="27" t="str">
        <f>'AEO14 rsstk'!D265</f>
        <v>Electric Dryers</v>
      </c>
      <c r="C248" s="27">
        <f>'AEO14 rsstk'!A265</f>
        <v>5239937</v>
      </c>
      <c r="D248" s="27">
        <f>'AEO14 rsstk'!B265</f>
        <v>1025066</v>
      </c>
      <c r="E248" s="27">
        <f>'AEO14 rsstk'!C265</f>
        <v>368791</v>
      </c>
      <c r="G248" s="27">
        <f>'AEO14 UEC'!A265</f>
        <v>2.7149999999999999</v>
      </c>
      <c r="H248" s="27">
        <f>'AEO14 UEC'!B265</f>
        <v>2.2149999999999999</v>
      </c>
      <c r="I248" s="27">
        <f>'AEO14 UEC'!C265</f>
        <v>2.0129999999999999</v>
      </c>
      <c r="K248" s="27">
        <f t="shared" si="6"/>
        <v>17239326.427999999</v>
      </c>
      <c r="N248" s="52">
        <f t="shared" si="7"/>
        <v>18.188454783819967</v>
      </c>
    </row>
    <row r="249" spans="1:14">
      <c r="A249" s="27">
        <v>3</v>
      </c>
      <c r="B249" s="27" t="str">
        <f>'AEO14 rsstk'!D266</f>
        <v>Electric Dryers</v>
      </c>
      <c r="C249" s="27">
        <f>'AEO14 rsstk'!A266</f>
        <v>8157503</v>
      </c>
      <c r="D249" s="27">
        <f>'AEO14 rsstk'!B266</f>
        <v>948083</v>
      </c>
      <c r="E249" s="27">
        <f>'AEO14 rsstk'!C266</f>
        <v>423065</v>
      </c>
      <c r="G249" s="27">
        <f>'AEO14 UEC'!A266</f>
        <v>2.71</v>
      </c>
      <c r="H249" s="27">
        <f>'AEO14 UEC'!B266</f>
        <v>2.41</v>
      </c>
      <c r="I249" s="27">
        <f>'AEO14 UEC'!C266</f>
        <v>2.274</v>
      </c>
      <c r="K249" s="27">
        <f t="shared" si="6"/>
        <v>25353762.969999999</v>
      </c>
      <c r="N249" s="52">
        <f t="shared" si="7"/>
        <v>26.749639744076319</v>
      </c>
    </row>
    <row r="250" spans="1:14">
      <c r="A250" s="27">
        <v>4</v>
      </c>
      <c r="B250" s="27" t="str">
        <f>'AEO14 rsstk'!D267</f>
        <v>Electric Dryers</v>
      </c>
      <c r="C250" s="27">
        <f>'AEO14 rsstk'!A267</f>
        <v>4858109</v>
      </c>
      <c r="D250" s="27">
        <f>'AEO14 rsstk'!B267</f>
        <v>479669</v>
      </c>
      <c r="E250" s="27">
        <f>'AEO14 rsstk'!C267</f>
        <v>442114</v>
      </c>
      <c r="G250" s="27">
        <f>'AEO14 UEC'!A267</f>
        <v>2.9</v>
      </c>
      <c r="H250" s="27">
        <f>'AEO14 UEC'!B267</f>
        <v>1.732</v>
      </c>
      <c r="I250" s="27">
        <f>'AEO14 UEC'!C267</f>
        <v>3.4180000000000001</v>
      </c>
      <c r="K250" s="27">
        <f t="shared" si="6"/>
        <v>16430448.460000001</v>
      </c>
      <c r="N250" s="52">
        <f t="shared" si="7"/>
        <v>17.33504323041376</v>
      </c>
    </row>
    <row r="251" spans="1:14">
      <c r="A251" s="27">
        <v>5</v>
      </c>
      <c r="B251" s="27" t="str">
        <f>'AEO14 rsstk'!D268</f>
        <v>Electric Dryers</v>
      </c>
      <c r="C251" s="27">
        <f>'AEO14 rsstk'!A268</f>
        <v>13409526</v>
      </c>
      <c r="D251" s="27">
        <f>'AEO14 rsstk'!B268</f>
        <v>2556125</v>
      </c>
      <c r="E251" s="27">
        <f>'AEO14 rsstk'!C268</f>
        <v>1981930</v>
      </c>
      <c r="G251" s="27">
        <f>'AEO14 UEC'!A268</f>
        <v>2.8370000000000002</v>
      </c>
      <c r="H251" s="27">
        <f>'AEO14 UEC'!B268</f>
        <v>2.464</v>
      </c>
      <c r="I251" s="27">
        <f>'AEO14 UEC'!C268</f>
        <v>3.0939999999999999</v>
      </c>
      <c r="K251" s="27">
        <f t="shared" si="6"/>
        <v>50473208.682000004</v>
      </c>
      <c r="N251" s="52">
        <f t="shared" si="7"/>
        <v>53.252061659196201</v>
      </c>
    </row>
    <row r="252" spans="1:14">
      <c r="A252" s="27">
        <v>6</v>
      </c>
      <c r="B252" s="27" t="str">
        <f>'AEO14 rsstk'!D269</f>
        <v>Electric Dryers</v>
      </c>
      <c r="C252" s="27">
        <f>'AEO14 rsstk'!A269</f>
        <v>4926064</v>
      </c>
      <c r="D252" s="27">
        <f>'AEO14 rsstk'!B269</f>
        <v>481546</v>
      </c>
      <c r="E252" s="27">
        <f>'AEO14 rsstk'!C269</f>
        <v>465597</v>
      </c>
      <c r="G252" s="27">
        <f>'AEO14 UEC'!A269</f>
        <v>2.976</v>
      </c>
      <c r="H252" s="27">
        <f>'AEO14 UEC'!B269</f>
        <v>4.5979999999999999</v>
      </c>
      <c r="I252" s="27">
        <f>'AEO14 UEC'!C269</f>
        <v>3.0819999999999999</v>
      </c>
      <c r="K252" s="27">
        <f t="shared" si="6"/>
        <v>18309084.925999999</v>
      </c>
      <c r="N252" s="52">
        <f t="shared" si="7"/>
        <v>19.317109905685854</v>
      </c>
    </row>
    <row r="253" spans="1:14">
      <c r="A253" s="27">
        <v>7</v>
      </c>
      <c r="B253" s="27" t="str">
        <f>'AEO14 rsstk'!D270</f>
        <v>Electric Dryers</v>
      </c>
      <c r="C253" s="27">
        <f>'AEO14 rsstk'!A270</f>
        <v>7309528</v>
      </c>
      <c r="D253" s="27">
        <f>'AEO14 rsstk'!B270</f>
        <v>1108113</v>
      </c>
      <c r="E253" s="27">
        <f>'AEO14 rsstk'!C270</f>
        <v>692206</v>
      </c>
      <c r="G253" s="27">
        <f>'AEO14 UEC'!A270</f>
        <v>2.9809999999999999</v>
      </c>
      <c r="H253" s="27">
        <f>'AEO14 UEC'!B270</f>
        <v>2.2530000000000001</v>
      </c>
      <c r="I253" s="27">
        <f>'AEO14 UEC'!C270</f>
        <v>3.3130000000000002</v>
      </c>
      <c r="K253" s="27">
        <f t="shared" si="6"/>
        <v>26579560.035</v>
      </c>
      <c r="N253" s="52">
        <f t="shared" si="7"/>
        <v>28.042924292286962</v>
      </c>
    </row>
    <row r="254" spans="1:14">
      <c r="A254" s="27">
        <v>8</v>
      </c>
      <c r="B254" s="27" t="str">
        <f>'AEO14 rsstk'!D271</f>
        <v>Electric Dryers</v>
      </c>
      <c r="C254" s="27">
        <f>'AEO14 rsstk'!A271</f>
        <v>4632186</v>
      </c>
      <c r="D254" s="27">
        <f>'AEO14 rsstk'!B271</f>
        <v>675686</v>
      </c>
      <c r="E254" s="27">
        <f>'AEO14 rsstk'!C271</f>
        <v>343690</v>
      </c>
      <c r="G254" s="27">
        <f>'AEO14 UEC'!A271</f>
        <v>2.5409999999999999</v>
      </c>
      <c r="H254" s="27">
        <f>'AEO14 UEC'!B271</f>
        <v>2.7210000000000001</v>
      </c>
      <c r="I254" s="27">
        <f>'AEO14 UEC'!C271</f>
        <v>2.8730000000000002</v>
      </c>
      <c r="K254" s="27">
        <f t="shared" si="6"/>
        <v>14596347.602000002</v>
      </c>
      <c r="N254" s="52">
        <f t="shared" si="7"/>
        <v>15.399964115575713</v>
      </c>
    </row>
    <row r="255" spans="1:14">
      <c r="A255" s="27">
        <v>9</v>
      </c>
      <c r="B255" s="27" t="str">
        <f>'AEO14 rsstk'!D272</f>
        <v>Electric Dryers</v>
      </c>
      <c r="C255" s="27">
        <f>'AEO14 rsstk'!A272</f>
        <v>5898798</v>
      </c>
      <c r="D255" s="27">
        <f>'AEO14 rsstk'!B272</f>
        <v>1370648</v>
      </c>
      <c r="E255" s="27">
        <f>'AEO14 rsstk'!C272</f>
        <v>511904</v>
      </c>
      <c r="G255" s="27">
        <f>'AEO14 UEC'!A272</f>
        <v>2.5950000000000002</v>
      </c>
      <c r="H255" s="27">
        <f>'AEO14 UEC'!B272</f>
        <v>2.0529999999999999</v>
      </c>
      <c r="I255" s="27">
        <f>'AEO14 UEC'!C272</f>
        <v>3.2360000000000002</v>
      </c>
      <c r="K255" s="27">
        <f t="shared" si="6"/>
        <v>19777842.498</v>
      </c>
      <c r="N255" s="52">
        <f t="shared" si="7"/>
        <v>20.866731394569889</v>
      </c>
    </row>
    <row r="256" spans="1:14">
      <c r="A256" s="27">
        <v>1</v>
      </c>
      <c r="B256" s="27" t="str">
        <f>'AEO14 rsstk'!D273</f>
        <v>Refrigerators</v>
      </c>
      <c r="C256" s="27">
        <f>'AEO14 rsstk'!A273</f>
        <v>4456483</v>
      </c>
      <c r="D256" s="27">
        <f>'AEO14 rsstk'!B273</f>
        <v>2187557</v>
      </c>
      <c r="E256" s="27">
        <f>'AEO14 rsstk'!C273</f>
        <v>89697</v>
      </c>
      <c r="G256" s="27">
        <f>'AEO14 UEC'!A273</f>
        <v>2.6560000000000001</v>
      </c>
      <c r="H256" s="27">
        <f>'AEO14 UEC'!B273</f>
        <v>2.653</v>
      </c>
      <c r="I256" s="27">
        <f>'AEO14 UEC'!C273</f>
        <v>2.6520000000000001</v>
      </c>
      <c r="K256" s="27">
        <f t="shared" si="6"/>
        <v>17877884.013</v>
      </c>
      <c r="N256" s="52">
        <f t="shared" si="7"/>
        <v>18.862168795219731</v>
      </c>
    </row>
    <row r="257" spans="1:14">
      <c r="A257" s="27">
        <v>2</v>
      </c>
      <c r="B257" s="27" t="str">
        <f>'AEO14 rsstk'!D274</f>
        <v>Refrigerators</v>
      </c>
      <c r="C257" s="27">
        <f>'AEO14 rsstk'!A274</f>
        <v>12765512</v>
      </c>
      <c r="D257" s="27">
        <f>'AEO14 rsstk'!B274</f>
        <v>5776336</v>
      </c>
      <c r="E257" s="27">
        <f>'AEO14 rsstk'!C274</f>
        <v>435344</v>
      </c>
      <c r="G257" s="27">
        <f>'AEO14 UEC'!A274</f>
        <v>2.661</v>
      </c>
      <c r="H257" s="27">
        <f>'AEO14 UEC'!B274</f>
        <v>2.657</v>
      </c>
      <c r="I257" s="27">
        <f>'AEO14 UEC'!C274</f>
        <v>2.6560000000000001</v>
      </c>
      <c r="K257" s="27">
        <f t="shared" si="6"/>
        <v>50473025.847999997</v>
      </c>
      <c r="N257" s="52">
        <f t="shared" si="7"/>
        <v>53.251868759087486</v>
      </c>
    </row>
    <row r="258" spans="1:14">
      <c r="A258" s="27">
        <v>3</v>
      </c>
      <c r="B258" s="27" t="str">
        <f>'AEO14 rsstk'!D275</f>
        <v>Refrigerators</v>
      </c>
      <c r="C258" s="27">
        <f>'AEO14 rsstk'!A275</f>
        <v>18197060</v>
      </c>
      <c r="D258" s="27">
        <f>'AEO14 rsstk'!B275</f>
        <v>4393145</v>
      </c>
      <c r="E258" s="27">
        <f>'AEO14 rsstk'!C275</f>
        <v>659115</v>
      </c>
      <c r="G258" s="27">
        <f>'AEO14 UEC'!A275</f>
        <v>2.6669999999999998</v>
      </c>
      <c r="H258" s="27">
        <f>'AEO14 UEC'!B275</f>
        <v>2.6640000000000001</v>
      </c>
      <c r="I258" s="27">
        <f>'AEO14 UEC'!C275</f>
        <v>2.6640000000000001</v>
      </c>
      <c r="K258" s="27">
        <f t="shared" si="6"/>
        <v>61990779.659999996</v>
      </c>
      <c r="N258" s="52">
        <f t="shared" si="7"/>
        <v>65.403744024960957</v>
      </c>
    </row>
    <row r="259" spans="1:14">
      <c r="A259" s="27">
        <v>4</v>
      </c>
      <c r="B259" s="27" t="str">
        <f>'AEO14 rsstk'!D276</f>
        <v>Refrigerators</v>
      </c>
      <c r="C259" s="27">
        <f>'AEO14 rsstk'!A276</f>
        <v>8721857</v>
      </c>
      <c r="D259" s="27">
        <f>'AEO14 rsstk'!B276</f>
        <v>1485641</v>
      </c>
      <c r="E259" s="27">
        <f>'AEO14 rsstk'!C276</f>
        <v>570133</v>
      </c>
      <c r="G259" s="27">
        <f>'AEO14 UEC'!A276</f>
        <v>2.6680000000000001</v>
      </c>
      <c r="H259" s="27">
        <f>'AEO14 UEC'!B276</f>
        <v>2.6640000000000001</v>
      </c>
      <c r="I259" s="27">
        <f>'AEO14 UEC'!C276</f>
        <v>2.6640000000000001</v>
      </c>
      <c r="K259" s="27">
        <f t="shared" si="6"/>
        <v>28746496.412</v>
      </c>
      <c r="N259" s="52">
        <f t="shared" si="7"/>
        <v>30.329163518459072</v>
      </c>
    </row>
    <row r="260" spans="1:14">
      <c r="A260" s="27">
        <v>5</v>
      </c>
      <c r="B260" s="27" t="str">
        <f>'AEO14 rsstk'!D277</f>
        <v>Refrigerators</v>
      </c>
      <c r="C260" s="27">
        <f>'AEO14 rsstk'!A277</f>
        <v>19767133</v>
      </c>
      <c r="D260" s="27">
        <f>'AEO14 rsstk'!B277</f>
        <v>4727945</v>
      </c>
      <c r="E260" s="27">
        <f>'AEO14 rsstk'!C277</f>
        <v>2666652</v>
      </c>
      <c r="G260" s="27">
        <f>'AEO14 UEC'!A277</f>
        <v>2.6629999999999998</v>
      </c>
      <c r="H260" s="27">
        <f>'AEO14 UEC'!B277</f>
        <v>2.6579999999999999</v>
      </c>
      <c r="I260" s="27">
        <f>'AEO14 UEC'!C277</f>
        <v>2.66</v>
      </c>
      <c r="K260" s="27">
        <f t="shared" si="6"/>
        <v>72300047.309</v>
      </c>
      <c r="N260" s="52">
        <f t="shared" si="7"/>
        <v>76.280598713644309</v>
      </c>
    </row>
    <row r="261" spans="1:14">
      <c r="A261" s="27">
        <v>6</v>
      </c>
      <c r="B261" s="27" t="str">
        <f>'AEO14 rsstk'!D278</f>
        <v>Refrigerators</v>
      </c>
      <c r="C261" s="27">
        <f>'AEO14 rsstk'!A278</f>
        <v>6961762</v>
      </c>
      <c r="D261" s="27">
        <f>'AEO14 rsstk'!B278</f>
        <v>973706</v>
      </c>
      <c r="E261" s="27">
        <f>'AEO14 rsstk'!C278</f>
        <v>699098</v>
      </c>
      <c r="G261" s="27">
        <f>'AEO14 UEC'!A278</f>
        <v>2.6659999999999999</v>
      </c>
      <c r="H261" s="27">
        <f>'AEO14 UEC'!B278</f>
        <v>2.6629999999999998</v>
      </c>
      <c r="I261" s="27">
        <f>'AEO14 UEC'!C278</f>
        <v>2.661</v>
      </c>
      <c r="K261" s="27">
        <f t="shared" ref="K261:K273" si="8">SUMPRODUCT(C261:E261,G261:I261)</f>
        <v>23013336.348000001</v>
      </c>
      <c r="N261" s="52">
        <f t="shared" ref="N261:N273" si="9">K261/1000000000*$O$1</f>
        <v>24.280358593975492</v>
      </c>
    </row>
    <row r="262" spans="1:14">
      <c r="A262" s="27">
        <v>7</v>
      </c>
      <c r="B262" s="27" t="str">
        <f>'AEO14 rsstk'!D279</f>
        <v>Refrigerators</v>
      </c>
      <c r="C262" s="27">
        <f>'AEO14 rsstk'!A279</f>
        <v>11558796</v>
      </c>
      <c r="D262" s="27">
        <f>'AEO14 rsstk'!B279</f>
        <v>2911332</v>
      </c>
      <c r="E262" s="27">
        <f>'AEO14 rsstk'!C279</f>
        <v>937296</v>
      </c>
      <c r="G262" s="27">
        <f>'AEO14 UEC'!A279</f>
        <v>2.66</v>
      </c>
      <c r="H262" s="27">
        <f>'AEO14 UEC'!B279</f>
        <v>2.6520000000000001</v>
      </c>
      <c r="I262" s="27">
        <f>'AEO14 UEC'!C279</f>
        <v>2.653</v>
      </c>
      <c r="K262" s="27">
        <f t="shared" si="8"/>
        <v>40953896.112000003</v>
      </c>
      <c r="N262" s="52">
        <f t="shared" si="9"/>
        <v>43.208653816342277</v>
      </c>
    </row>
    <row r="263" spans="1:14">
      <c r="A263" s="27">
        <v>8</v>
      </c>
      <c r="B263" s="27" t="str">
        <f>'AEO14 rsstk'!D280</f>
        <v>Refrigerators</v>
      </c>
      <c r="C263" s="27">
        <f>'AEO14 rsstk'!A280</f>
        <v>8403554</v>
      </c>
      <c r="D263" s="27">
        <f>'AEO14 rsstk'!B280</f>
        <v>1286747</v>
      </c>
      <c r="E263" s="27">
        <f>'AEO14 rsstk'!C280</f>
        <v>723386</v>
      </c>
      <c r="G263" s="27">
        <f>'AEO14 UEC'!A280</f>
        <v>2.6640000000000001</v>
      </c>
      <c r="H263" s="27">
        <f>'AEO14 UEC'!B280</f>
        <v>2.657</v>
      </c>
      <c r="I263" s="27">
        <f>'AEO14 UEC'!C280</f>
        <v>2.6579999999999999</v>
      </c>
      <c r="K263" s="27">
        <f t="shared" si="8"/>
        <v>27728714.623000003</v>
      </c>
      <c r="N263" s="52">
        <f t="shared" si="9"/>
        <v>29.255346735283894</v>
      </c>
    </row>
    <row r="264" spans="1:14">
      <c r="A264" s="27">
        <v>9</v>
      </c>
      <c r="B264" s="27" t="str">
        <f>'AEO14 rsstk'!D281</f>
        <v>Refrigerators</v>
      </c>
      <c r="C264" s="27">
        <f>'AEO14 rsstk'!A281</f>
        <v>14781782</v>
      </c>
      <c r="D264" s="27">
        <f>'AEO14 rsstk'!B281</f>
        <v>5533570</v>
      </c>
      <c r="E264" s="27">
        <f>'AEO14 rsstk'!C281</f>
        <v>801194</v>
      </c>
      <c r="G264" s="27">
        <f>'AEO14 UEC'!A281</f>
        <v>2.6629999999999998</v>
      </c>
      <c r="H264" s="27">
        <f>'AEO14 UEC'!B281</f>
        <v>2.6589999999999998</v>
      </c>
      <c r="I264" s="27">
        <f>'AEO14 UEC'!C281</f>
        <v>2.6579999999999999</v>
      </c>
      <c r="K264" s="27">
        <f t="shared" si="8"/>
        <v>56207221.748000003</v>
      </c>
      <c r="L264" s="51">
        <f>SUM(K256:K264)/1000000000</f>
        <v>0.37929140207299999</v>
      </c>
      <c r="N264" s="52">
        <f t="shared" si="9"/>
        <v>59.301766548557893</v>
      </c>
    </row>
    <row r="265" spans="1:14">
      <c r="A265" s="27">
        <v>1</v>
      </c>
      <c r="B265" s="27" t="str">
        <f>'AEO14 rsstk'!D282</f>
        <v>Freezers</v>
      </c>
      <c r="C265" s="27">
        <f>'AEO14 rsstk'!A282</f>
        <v>1051656</v>
      </c>
      <c r="D265" s="27">
        <f>'AEO14 rsstk'!B282</f>
        <v>116735</v>
      </c>
      <c r="E265" s="27">
        <f>'AEO14 rsstk'!C282</f>
        <v>8671</v>
      </c>
      <c r="G265" s="27">
        <f>'AEO14 UEC'!A282</f>
        <v>2.0649999999999999</v>
      </c>
      <c r="H265" s="27">
        <f>'AEO14 UEC'!B282</f>
        <v>2.0659999999999998</v>
      </c>
      <c r="I265" s="27">
        <f>'AEO14 UEC'!C282</f>
        <v>2.0680000000000001</v>
      </c>
      <c r="K265" s="27">
        <f t="shared" si="8"/>
        <v>2430775.7779999999</v>
      </c>
      <c r="N265" s="52">
        <f t="shared" si="9"/>
        <v>2.5646045692335679</v>
      </c>
    </row>
    <row r="266" spans="1:14">
      <c r="A266" s="27">
        <v>2</v>
      </c>
      <c r="B266" s="27" t="str">
        <f>'AEO14 rsstk'!D283</f>
        <v>Freezers</v>
      </c>
      <c r="C266" s="27">
        <f>'AEO14 rsstk'!A283</f>
        <v>3381161</v>
      </c>
      <c r="D266" s="27">
        <f>'AEO14 rsstk'!B283</f>
        <v>342758</v>
      </c>
      <c r="E266" s="27">
        <f>'AEO14 rsstk'!C283</f>
        <v>135372</v>
      </c>
      <c r="G266" s="27">
        <f>'AEO14 UEC'!A283</f>
        <v>2.0739999999999998</v>
      </c>
      <c r="H266" s="27">
        <f>'AEO14 UEC'!B283</f>
        <v>2.0739999999999998</v>
      </c>
      <c r="I266" s="27">
        <f>'AEO14 UEC'!C283</f>
        <v>2.0779999999999998</v>
      </c>
      <c r="K266" s="27">
        <f t="shared" si="8"/>
        <v>8004711.0219999999</v>
      </c>
      <c r="N266" s="52">
        <f t="shared" si="9"/>
        <v>8.4454183920272321</v>
      </c>
    </row>
    <row r="267" spans="1:14">
      <c r="A267" s="27">
        <v>3</v>
      </c>
      <c r="B267" s="27" t="str">
        <f>'AEO14 rsstk'!D284</f>
        <v>Freezers</v>
      </c>
      <c r="C267" s="27">
        <f>'AEO14 rsstk'!A284</f>
        <v>6454917</v>
      </c>
      <c r="D267" s="27">
        <f>'AEO14 rsstk'!B284</f>
        <v>492607</v>
      </c>
      <c r="E267" s="27">
        <f>'AEO14 rsstk'!C284</f>
        <v>255203</v>
      </c>
      <c r="G267" s="27">
        <f>'AEO14 UEC'!A284</f>
        <v>2.0750000000000002</v>
      </c>
      <c r="H267" s="27">
        <f>'AEO14 UEC'!B284</f>
        <v>2.0760000000000001</v>
      </c>
      <c r="I267" s="27">
        <f>'AEO14 UEC'!C284</f>
        <v>2.0779999999999998</v>
      </c>
      <c r="K267" s="27">
        <f t="shared" si="8"/>
        <v>14946916.741</v>
      </c>
      <c r="N267" s="52">
        <f t="shared" si="9"/>
        <v>15.769834189092498</v>
      </c>
    </row>
    <row r="268" spans="1:14">
      <c r="A268" s="27">
        <v>4</v>
      </c>
      <c r="B268" s="27" t="str">
        <f>'AEO14 rsstk'!D285</f>
        <v>Freezers</v>
      </c>
      <c r="C268" s="27">
        <f>'AEO14 rsstk'!A285</f>
        <v>3900344</v>
      </c>
      <c r="D268" s="27">
        <f>'AEO14 rsstk'!B285</f>
        <v>103309</v>
      </c>
      <c r="E268" s="27">
        <f>'AEO14 rsstk'!C285</f>
        <v>255192</v>
      </c>
      <c r="G268" s="27">
        <f>'AEO14 UEC'!A285</f>
        <v>2.08</v>
      </c>
      <c r="H268" s="27">
        <f>'AEO14 UEC'!B285</f>
        <v>2.08</v>
      </c>
      <c r="I268" s="27">
        <f>'AEO14 UEC'!C285</f>
        <v>2.089</v>
      </c>
      <c r="K268" s="27">
        <f t="shared" si="8"/>
        <v>8860694.3279999997</v>
      </c>
      <c r="N268" s="52">
        <f t="shared" si="9"/>
        <v>9.3485287149223684</v>
      </c>
    </row>
    <row r="269" spans="1:14">
      <c r="A269" s="27">
        <v>5</v>
      </c>
      <c r="B269" s="27" t="str">
        <f>'AEO14 rsstk'!D286</f>
        <v>Freezers</v>
      </c>
      <c r="C269" s="27">
        <f>'AEO14 rsstk'!A286</f>
        <v>5856616</v>
      </c>
      <c r="D269" s="27">
        <f>'AEO14 rsstk'!B286</f>
        <v>294434</v>
      </c>
      <c r="E269" s="27">
        <f>'AEO14 rsstk'!C286</f>
        <v>833365</v>
      </c>
      <c r="G269" s="27">
        <f>'AEO14 UEC'!A286</f>
        <v>2.081</v>
      </c>
      <c r="H269" s="27">
        <f>'AEO14 UEC'!B286</f>
        <v>2.077</v>
      </c>
      <c r="I269" s="27">
        <f>'AEO14 UEC'!C286</f>
        <v>2.0830000000000002</v>
      </c>
      <c r="K269" s="27">
        <f t="shared" si="8"/>
        <v>14535056.608999999</v>
      </c>
      <c r="N269" s="52">
        <f t="shared" si="9"/>
        <v>15.335298685665103</v>
      </c>
    </row>
    <row r="270" spans="1:14">
      <c r="A270" s="27">
        <v>6</v>
      </c>
      <c r="B270" s="27" t="str">
        <f>'AEO14 rsstk'!D287</f>
        <v>Freezers</v>
      </c>
      <c r="C270" s="27">
        <f>'AEO14 rsstk'!A287</f>
        <v>3095034</v>
      </c>
      <c r="D270" s="27">
        <f>'AEO14 rsstk'!B287</f>
        <v>61194</v>
      </c>
      <c r="E270" s="27">
        <f>'AEO14 rsstk'!C287</f>
        <v>289746</v>
      </c>
      <c r="G270" s="27">
        <f>'AEO14 UEC'!A287</f>
        <v>2.085</v>
      </c>
      <c r="H270" s="27">
        <f>'AEO14 UEC'!B287</f>
        <v>2.0950000000000002</v>
      </c>
      <c r="I270" s="27">
        <f>'AEO14 UEC'!C287</f>
        <v>2.085</v>
      </c>
      <c r="K270" s="27">
        <f t="shared" si="8"/>
        <v>7185467.7299999995</v>
      </c>
      <c r="N270" s="52">
        <f t="shared" si="9"/>
        <v>7.5810708413428802</v>
      </c>
    </row>
    <row r="271" spans="1:14">
      <c r="A271" s="27">
        <v>7</v>
      </c>
      <c r="B271" s="27" t="str">
        <f>'AEO14 rsstk'!D288</f>
        <v>Freezers</v>
      </c>
      <c r="C271" s="27">
        <f>'AEO14 rsstk'!A288</f>
        <v>4033079</v>
      </c>
      <c r="D271" s="27">
        <f>'AEO14 rsstk'!B288</f>
        <v>139637</v>
      </c>
      <c r="E271" s="27">
        <f>'AEO14 rsstk'!C288</f>
        <v>215639</v>
      </c>
      <c r="G271" s="27">
        <f>'AEO14 UEC'!A288</f>
        <v>2.0880000000000001</v>
      </c>
      <c r="H271" s="27">
        <f>'AEO14 UEC'!B288</f>
        <v>2.085</v>
      </c>
      <c r="I271" s="27">
        <f>'AEO14 UEC'!C288</f>
        <v>2.081</v>
      </c>
      <c r="K271" s="27">
        <f t="shared" si="8"/>
        <v>9160956.8559999987</v>
      </c>
      <c r="N271" s="52">
        <f t="shared" si="9"/>
        <v>9.6653224966639346</v>
      </c>
    </row>
    <row r="272" spans="1:14">
      <c r="A272" s="27">
        <v>8</v>
      </c>
      <c r="B272" s="27" t="str">
        <f>'AEO14 rsstk'!D289</f>
        <v>Freezers</v>
      </c>
      <c r="C272" s="27">
        <f>'AEO14 rsstk'!A289</f>
        <v>2737095</v>
      </c>
      <c r="D272" s="27">
        <f>'AEO14 rsstk'!B289</f>
        <v>47233</v>
      </c>
      <c r="E272" s="27">
        <f>'AEO14 rsstk'!C289</f>
        <v>267505</v>
      </c>
      <c r="G272" s="27">
        <f>'AEO14 UEC'!A289</f>
        <v>2.0870000000000002</v>
      </c>
      <c r="H272" s="27">
        <f>'AEO14 UEC'!B289</f>
        <v>2.0859999999999999</v>
      </c>
      <c r="I272" s="27">
        <f>'AEO14 UEC'!C289</f>
        <v>2.089</v>
      </c>
      <c r="K272" s="27">
        <f t="shared" si="8"/>
        <v>6369663.2480000006</v>
      </c>
      <c r="N272" s="52">
        <f t="shared" si="9"/>
        <v>6.720351427781889</v>
      </c>
    </row>
    <row r="273" spans="1:17">
      <c r="A273" s="27">
        <v>9</v>
      </c>
      <c r="B273" s="27" t="str">
        <f>'AEO14 rsstk'!D290</f>
        <v>Freezers</v>
      </c>
      <c r="C273" s="27">
        <f>'AEO14 rsstk'!A290</f>
        <v>3189090</v>
      </c>
      <c r="D273" s="27">
        <f>'AEO14 rsstk'!B290</f>
        <v>158662</v>
      </c>
      <c r="E273" s="27">
        <f>'AEO14 rsstk'!C290</f>
        <v>239466</v>
      </c>
      <c r="G273" s="27">
        <f>'AEO14 UEC'!A290</f>
        <v>2.077</v>
      </c>
      <c r="H273" s="27">
        <f>'AEO14 UEC'!B290</f>
        <v>2.0859999999999999</v>
      </c>
      <c r="I273" s="27">
        <f>'AEO14 UEC'!C290</f>
        <v>2.0779999999999998</v>
      </c>
      <c r="K273" s="27">
        <f t="shared" si="8"/>
        <v>7452319.21</v>
      </c>
      <c r="L273" s="51">
        <f>SUM(K265:K273)/1000000000</f>
        <v>7.8946561521999983E-2</v>
      </c>
      <c r="N273" s="52">
        <f t="shared" si="9"/>
        <v>7.8626140964257605</v>
      </c>
    </row>
    <row r="274" spans="1:17">
      <c r="A274" s="27">
        <v>1</v>
      </c>
      <c r="B274" s="27" t="str">
        <f>'AEO14 rsstk'!D291</f>
        <v>Furnace Fans</v>
      </c>
      <c r="C274" s="27">
        <f>'AEO14 rsstk'!A291</f>
        <v>1372182</v>
      </c>
      <c r="D274" s="27">
        <f>'AEO14 rsstk'!B291</f>
        <v>505297</v>
      </c>
      <c r="E274" s="27">
        <f>'AEO14 rsstk'!C291</f>
        <v>74639</v>
      </c>
      <c r="G274" s="27">
        <f>'AEO14 UEC'!A291</f>
        <v>3.1480000000000001</v>
      </c>
      <c r="H274" s="27">
        <f>'AEO14 UEC'!B291</f>
        <v>1.5629999999999999</v>
      </c>
      <c r="I274" s="27">
        <f>'AEO14 UEC'!C291</f>
        <v>2.512</v>
      </c>
      <c r="N274" s="52"/>
      <c r="Q274" s="86"/>
    </row>
    <row r="275" spans="1:17">
      <c r="A275" s="27">
        <v>2</v>
      </c>
      <c r="B275" s="27" t="str">
        <f>'AEO14 rsstk'!D292</f>
        <v>Furnace Fans</v>
      </c>
      <c r="C275" s="27">
        <f>'AEO14 rsstk'!A292</f>
        <v>5248186</v>
      </c>
      <c r="D275" s="27">
        <f>'AEO14 rsstk'!B292</f>
        <v>1488730</v>
      </c>
      <c r="E275" s="27">
        <f>'AEO14 rsstk'!C292</f>
        <v>253543</v>
      </c>
      <c r="G275" s="27">
        <f>'AEO14 UEC'!A292</f>
        <v>2.2109999999999999</v>
      </c>
      <c r="H275" s="27">
        <f>'AEO14 UEC'!B292</f>
        <v>1.379</v>
      </c>
      <c r="I275" s="27">
        <f>'AEO14 UEC'!C292</f>
        <v>2.7050000000000001</v>
      </c>
      <c r="N275" s="52"/>
      <c r="Q275" s="86"/>
    </row>
    <row r="276" spans="1:17">
      <c r="A276" s="27">
        <v>3</v>
      </c>
      <c r="B276" s="27" t="str">
        <f>'AEO14 rsstk'!D293</f>
        <v>Furnace Fans</v>
      </c>
      <c r="C276" s="27">
        <f>'AEO14 rsstk'!A293</f>
        <v>11106011</v>
      </c>
      <c r="D276" s="27">
        <f>'AEO14 rsstk'!B293</f>
        <v>2497675</v>
      </c>
      <c r="E276" s="27">
        <f>'AEO14 rsstk'!C293</f>
        <v>480503</v>
      </c>
      <c r="G276" s="27">
        <f>'AEO14 UEC'!A293</f>
        <v>2.7269999999999999</v>
      </c>
      <c r="H276" s="27">
        <f>'AEO14 UEC'!B293</f>
        <v>1.4219999999999999</v>
      </c>
      <c r="I276" s="27">
        <f>'AEO14 UEC'!C293</f>
        <v>2.5670000000000002</v>
      </c>
      <c r="N276" s="52"/>
      <c r="Q276" s="86"/>
    </row>
    <row r="277" spans="1:17">
      <c r="A277" s="27">
        <v>4</v>
      </c>
      <c r="B277" s="27" t="str">
        <f>'AEO14 rsstk'!D294</f>
        <v>Furnace Fans</v>
      </c>
      <c r="C277" s="27">
        <f>'AEO14 rsstk'!A294</f>
        <v>5108686</v>
      </c>
      <c r="D277" s="27">
        <f>'AEO14 rsstk'!B294</f>
        <v>775436</v>
      </c>
      <c r="E277" s="27">
        <f>'AEO14 rsstk'!C294</f>
        <v>440669</v>
      </c>
      <c r="G277" s="27">
        <f>'AEO14 UEC'!A294</f>
        <v>2.3839999999999999</v>
      </c>
      <c r="H277" s="27">
        <f>'AEO14 UEC'!B294</f>
        <v>1.157</v>
      </c>
      <c r="I277" s="27">
        <f>'AEO14 UEC'!C294</f>
        <v>2.3380000000000001</v>
      </c>
      <c r="N277" s="52"/>
      <c r="Q277" s="86"/>
    </row>
    <row r="278" spans="1:17">
      <c r="A278" s="27">
        <v>5</v>
      </c>
      <c r="B278" s="27" t="str">
        <f>'AEO14 rsstk'!D295</f>
        <v>Furnace Fans</v>
      </c>
      <c r="C278" s="27">
        <f>'AEO14 rsstk'!A295</f>
        <v>8671260</v>
      </c>
      <c r="D278" s="27">
        <f>'AEO14 rsstk'!B295</f>
        <v>2806058</v>
      </c>
      <c r="E278" s="27">
        <f>'AEO14 rsstk'!C295</f>
        <v>1073342</v>
      </c>
      <c r="G278" s="27">
        <f>'AEO14 UEC'!A295</f>
        <v>1.738</v>
      </c>
      <c r="H278" s="27">
        <f>'AEO14 UEC'!B295</f>
        <v>0.81699999999999995</v>
      </c>
      <c r="I278" s="27">
        <f>'AEO14 UEC'!C295</f>
        <v>1.911</v>
      </c>
      <c r="N278" s="52"/>
      <c r="Q278" s="86"/>
    </row>
    <row r="279" spans="1:17">
      <c r="A279" s="27">
        <v>6</v>
      </c>
      <c r="B279" s="27" t="str">
        <f>'AEO14 rsstk'!D296</f>
        <v>Furnace Fans</v>
      </c>
      <c r="C279" s="27">
        <f>'AEO14 rsstk'!A296</f>
        <v>3261396</v>
      </c>
      <c r="D279" s="27">
        <f>'AEO14 rsstk'!B296</f>
        <v>673968</v>
      </c>
      <c r="E279" s="27">
        <f>'AEO14 rsstk'!C296</f>
        <v>453681</v>
      </c>
      <c r="G279" s="27">
        <f>'AEO14 UEC'!A296</f>
        <v>1.85</v>
      </c>
      <c r="H279" s="27">
        <f>'AEO14 UEC'!B296</f>
        <v>0.70499999999999996</v>
      </c>
      <c r="I279" s="27">
        <f>'AEO14 UEC'!C296</f>
        <v>1.3009999999999999</v>
      </c>
      <c r="N279" s="52"/>
      <c r="Q279" s="86"/>
    </row>
    <row r="280" spans="1:17">
      <c r="A280" s="27">
        <v>7</v>
      </c>
      <c r="B280" s="27" t="str">
        <f>'AEO14 rsstk'!D297</f>
        <v>Furnace Fans</v>
      </c>
      <c r="C280" s="27">
        <f>'AEO14 rsstk'!A297</f>
        <v>7082335</v>
      </c>
      <c r="D280" s="27">
        <f>'AEO14 rsstk'!B297</f>
        <v>2425733</v>
      </c>
      <c r="E280" s="27">
        <f>'AEO14 rsstk'!C297</f>
        <v>574691</v>
      </c>
      <c r="G280" s="27">
        <f>'AEO14 UEC'!A297</f>
        <v>0.89800000000000002</v>
      </c>
      <c r="H280" s="27">
        <f>'AEO14 UEC'!B297</f>
        <v>0.624</v>
      </c>
      <c r="I280" s="27">
        <f>'AEO14 UEC'!C297</f>
        <v>1.44</v>
      </c>
      <c r="N280" s="52"/>
      <c r="Q280" s="86"/>
    </row>
    <row r="281" spans="1:17">
      <c r="A281" s="27">
        <v>8</v>
      </c>
      <c r="B281" s="27" t="str">
        <f>'AEO14 rsstk'!D298</f>
        <v>Furnace Fans</v>
      </c>
      <c r="C281" s="27">
        <f>'AEO14 rsstk'!A298</f>
        <v>4239671</v>
      </c>
      <c r="D281" s="27">
        <f>'AEO14 rsstk'!B298</f>
        <v>1053446</v>
      </c>
      <c r="E281" s="27">
        <f>'AEO14 rsstk'!C298</f>
        <v>437302</v>
      </c>
      <c r="G281" s="27">
        <f>'AEO14 UEC'!A298</f>
        <v>2.1509999999999998</v>
      </c>
      <c r="H281" s="27">
        <f>'AEO14 UEC'!B298</f>
        <v>0.76200000000000001</v>
      </c>
      <c r="I281" s="27">
        <f>'AEO14 UEC'!C298</f>
        <v>1.206</v>
      </c>
      <c r="N281" s="52"/>
      <c r="Q281" s="86"/>
    </row>
    <row r="282" spans="1:17">
      <c r="A282" s="27">
        <v>9</v>
      </c>
      <c r="B282" s="27" t="str">
        <f>'AEO14 rsstk'!D299</f>
        <v>Furnace Fans</v>
      </c>
      <c r="C282" s="27">
        <f>'AEO14 rsstk'!A299</f>
        <v>7355193</v>
      </c>
      <c r="D282" s="27">
        <f>'AEO14 rsstk'!B299</f>
        <v>1696211</v>
      </c>
      <c r="E282" s="27">
        <f>'AEO14 rsstk'!C299</f>
        <v>413637</v>
      </c>
      <c r="G282" s="27">
        <f>'AEO14 UEC'!A299</f>
        <v>0.99299999999999999</v>
      </c>
      <c r="H282" s="27">
        <f>'AEO14 UEC'!B299</f>
        <v>0.34</v>
      </c>
      <c r="I282" s="27">
        <f>'AEO14 UEC'!C299</f>
        <v>0.74</v>
      </c>
      <c r="N282" s="52"/>
      <c r="Q282" s="86"/>
    </row>
    <row r="283" spans="1:17">
      <c r="A283" s="27">
        <v>1</v>
      </c>
      <c r="B283" s="27" t="str">
        <f>'AEO14 rsstk'!D300</f>
        <v>Televisions</v>
      </c>
      <c r="C283" s="27">
        <f>'AEO14 rsstk'!A300</f>
        <v>9607446</v>
      </c>
      <c r="D283" s="27">
        <f>'AEO14 rsstk'!B300</f>
        <v>3790336</v>
      </c>
      <c r="E283" s="27">
        <f>'AEO14 rsstk'!C300</f>
        <v>152710</v>
      </c>
      <c r="G283" s="27">
        <f>'AEO14 UEC'!A300</f>
        <v>0.753</v>
      </c>
      <c r="H283" s="27">
        <f>'AEO14 UEC'!B300</f>
        <v>0.753</v>
      </c>
      <c r="I283" s="27">
        <f>'AEO14 UEC'!C300</f>
        <v>0.753</v>
      </c>
      <c r="N283" s="52"/>
      <c r="Q283" s="86"/>
    </row>
    <row r="284" spans="1:17">
      <c r="A284" s="27">
        <v>2</v>
      </c>
      <c r="B284" s="27" t="str">
        <f>'AEO14 rsstk'!D301</f>
        <v>Televisions</v>
      </c>
      <c r="C284" s="27">
        <f>'AEO14 rsstk'!A301</f>
        <v>27541535</v>
      </c>
      <c r="D284" s="27">
        <f>'AEO14 rsstk'!B301</f>
        <v>10461956</v>
      </c>
      <c r="E284" s="27">
        <f>'AEO14 rsstk'!C301</f>
        <v>819091</v>
      </c>
      <c r="G284" s="27">
        <f>'AEO14 UEC'!A301</f>
        <v>0.753</v>
      </c>
      <c r="H284" s="27">
        <f>'AEO14 UEC'!B301</f>
        <v>0.753</v>
      </c>
      <c r="I284" s="27">
        <f>'AEO14 UEC'!C301</f>
        <v>0.753</v>
      </c>
      <c r="N284" s="52"/>
      <c r="Q284" s="86"/>
    </row>
    <row r="285" spans="1:17">
      <c r="A285" s="27">
        <v>3</v>
      </c>
      <c r="B285" s="27" t="str">
        <f>'AEO14 rsstk'!D302</f>
        <v>Televisions</v>
      </c>
      <c r="C285" s="27">
        <f>'AEO14 rsstk'!A302</f>
        <v>38656512</v>
      </c>
      <c r="D285" s="27">
        <f>'AEO14 rsstk'!B302</f>
        <v>7816385</v>
      </c>
      <c r="E285" s="27">
        <f>'AEO14 rsstk'!C302</f>
        <v>1268189</v>
      </c>
      <c r="G285" s="27">
        <f>'AEO14 UEC'!A302</f>
        <v>0.753</v>
      </c>
      <c r="H285" s="27">
        <f>'AEO14 UEC'!B302</f>
        <v>0.753</v>
      </c>
      <c r="I285" s="27">
        <f>'AEO14 UEC'!C302</f>
        <v>0.753</v>
      </c>
      <c r="N285" s="52"/>
      <c r="Q285" s="86"/>
    </row>
    <row r="286" spans="1:17">
      <c r="A286" s="27">
        <v>4</v>
      </c>
      <c r="B286" s="27" t="str">
        <f>'AEO14 rsstk'!D303</f>
        <v>Televisions</v>
      </c>
      <c r="C286" s="27">
        <f>'AEO14 rsstk'!A303</f>
        <v>17340561</v>
      </c>
      <c r="D286" s="27">
        <f>'AEO14 rsstk'!B303</f>
        <v>2398501</v>
      </c>
      <c r="E286" s="27">
        <f>'AEO14 rsstk'!C303</f>
        <v>1198113</v>
      </c>
      <c r="G286" s="27">
        <f>'AEO14 UEC'!A303</f>
        <v>0.753</v>
      </c>
      <c r="H286" s="27">
        <f>'AEO14 UEC'!B303</f>
        <v>0.753</v>
      </c>
      <c r="I286" s="27">
        <f>'AEO14 UEC'!C303</f>
        <v>0.753</v>
      </c>
      <c r="N286" s="52"/>
      <c r="Q286" s="86"/>
    </row>
    <row r="287" spans="1:17">
      <c r="A287" s="27">
        <v>5</v>
      </c>
      <c r="B287" s="27" t="str">
        <f>'AEO14 rsstk'!D304</f>
        <v>Televisions</v>
      </c>
      <c r="C287" s="27">
        <f>'AEO14 rsstk'!A304</f>
        <v>44097972</v>
      </c>
      <c r="D287" s="27">
        <f>'AEO14 rsstk'!B304</f>
        <v>9220327</v>
      </c>
      <c r="E287" s="27">
        <f>'AEO14 rsstk'!C304</f>
        <v>5798234</v>
      </c>
      <c r="G287" s="27">
        <f>'AEO14 UEC'!A304</f>
        <v>0.753</v>
      </c>
      <c r="H287" s="27">
        <f>'AEO14 UEC'!B304</f>
        <v>0.753</v>
      </c>
      <c r="I287" s="27">
        <f>'AEO14 UEC'!C304</f>
        <v>0.753</v>
      </c>
      <c r="N287" s="52"/>
      <c r="Q287" s="86"/>
    </row>
    <row r="288" spans="1:17">
      <c r="A288" s="27">
        <v>6</v>
      </c>
      <c r="B288" s="27" t="str">
        <f>'AEO14 rsstk'!D305</f>
        <v>Televisions</v>
      </c>
      <c r="C288" s="27">
        <f>'AEO14 rsstk'!A305</f>
        <v>14898831</v>
      </c>
      <c r="D288" s="27">
        <f>'AEO14 rsstk'!B305</f>
        <v>1832625</v>
      </c>
      <c r="E288" s="27">
        <f>'AEO14 rsstk'!C305</f>
        <v>1300312</v>
      </c>
      <c r="G288" s="27">
        <f>'AEO14 UEC'!A305</f>
        <v>0.753</v>
      </c>
      <c r="H288" s="27">
        <f>'AEO14 UEC'!B305</f>
        <v>0.753</v>
      </c>
      <c r="I288" s="27">
        <f>'AEO14 UEC'!C305</f>
        <v>0.753</v>
      </c>
      <c r="N288" s="52"/>
      <c r="Q288" s="86"/>
    </row>
    <row r="289" spans="1:17">
      <c r="A289" s="27">
        <v>7</v>
      </c>
      <c r="B289" s="27" t="str">
        <f>'AEO14 rsstk'!D306</f>
        <v>Televisions</v>
      </c>
      <c r="C289" s="27">
        <f>'AEO14 rsstk'!A306</f>
        <v>25158652</v>
      </c>
      <c r="D289" s="27">
        <f>'AEO14 rsstk'!B306</f>
        <v>5000001</v>
      </c>
      <c r="E289" s="27">
        <f>'AEO14 rsstk'!C306</f>
        <v>1883055</v>
      </c>
      <c r="G289" s="27">
        <f>'AEO14 UEC'!A306</f>
        <v>0.753</v>
      </c>
      <c r="H289" s="27">
        <f>'AEO14 UEC'!B306</f>
        <v>0.753</v>
      </c>
      <c r="I289" s="27">
        <f>'AEO14 UEC'!C306</f>
        <v>0.753</v>
      </c>
      <c r="N289" s="52"/>
      <c r="Q289" s="86"/>
    </row>
    <row r="290" spans="1:17">
      <c r="A290" s="27">
        <v>8</v>
      </c>
      <c r="B290" s="27" t="str">
        <f>'AEO14 rsstk'!D307</f>
        <v>Televisions</v>
      </c>
      <c r="C290" s="27">
        <f>'AEO14 rsstk'!A307</f>
        <v>15750275</v>
      </c>
      <c r="D290" s="27">
        <f>'AEO14 rsstk'!B307</f>
        <v>2245395</v>
      </c>
      <c r="E290" s="27">
        <f>'AEO14 rsstk'!C307</f>
        <v>1486592</v>
      </c>
      <c r="G290" s="27">
        <f>'AEO14 UEC'!A307</f>
        <v>0.753</v>
      </c>
      <c r="H290" s="27">
        <f>'AEO14 UEC'!B307</f>
        <v>0.753</v>
      </c>
      <c r="I290" s="27">
        <f>'AEO14 UEC'!C307</f>
        <v>0.753</v>
      </c>
      <c r="N290" s="52"/>
      <c r="Q290" s="86"/>
    </row>
    <row r="291" spans="1:17">
      <c r="A291" s="27">
        <v>9</v>
      </c>
      <c r="B291" s="27" t="str">
        <f>'AEO14 rsstk'!D308</f>
        <v>Televisions</v>
      </c>
      <c r="C291" s="27">
        <f>'AEO14 rsstk'!A308</f>
        <v>28786267</v>
      </c>
      <c r="D291" s="27">
        <f>'AEO14 rsstk'!B308</f>
        <v>9190573</v>
      </c>
      <c r="E291" s="27">
        <f>'AEO14 rsstk'!C308</f>
        <v>1683048</v>
      </c>
      <c r="G291" s="27">
        <f>'AEO14 UEC'!A308</f>
        <v>0.753</v>
      </c>
      <c r="H291" s="27">
        <f>'AEO14 UEC'!B308</f>
        <v>0.753</v>
      </c>
      <c r="I291" s="27">
        <f>'AEO14 UEC'!C308</f>
        <v>0.753</v>
      </c>
      <c r="N291" s="52"/>
      <c r="Q291" s="86"/>
    </row>
    <row r="292" spans="1:17">
      <c r="A292" s="27">
        <v>1</v>
      </c>
      <c r="B292" s="27" t="str">
        <f>'AEO14 rsstk'!D309</f>
        <v>Set-top Boxes</v>
      </c>
      <c r="C292" s="27">
        <f>'AEO14 rsstk'!A309</f>
        <v>6287491</v>
      </c>
      <c r="D292" s="27">
        <f>'AEO14 rsstk'!B309</f>
        <v>2547771</v>
      </c>
      <c r="E292" s="27">
        <f>'AEO14 rsstk'!C309</f>
        <v>104942</v>
      </c>
      <c r="G292" s="27">
        <f>'AEO14 UEC'!A309</f>
        <v>0.46899999999999997</v>
      </c>
      <c r="H292" s="27">
        <f>'AEO14 UEC'!B309</f>
        <v>0.46899999999999997</v>
      </c>
      <c r="I292" s="27">
        <f>'AEO14 UEC'!C309</f>
        <v>0.46899999999999997</v>
      </c>
      <c r="N292" s="52"/>
      <c r="Q292" s="86"/>
    </row>
    <row r="293" spans="1:17">
      <c r="A293" s="27">
        <v>2</v>
      </c>
      <c r="B293" s="27" t="str">
        <f>'AEO14 rsstk'!D310</f>
        <v>Set-top Boxes</v>
      </c>
      <c r="C293" s="27">
        <f>'AEO14 rsstk'!A310</f>
        <v>19139628</v>
      </c>
      <c r="D293" s="27">
        <f>'AEO14 rsstk'!B310</f>
        <v>7963871</v>
      </c>
      <c r="E293" s="27">
        <f>'AEO14 rsstk'!C310</f>
        <v>549326</v>
      </c>
      <c r="G293" s="27">
        <f>'AEO14 UEC'!A310</f>
        <v>0.46899999999999997</v>
      </c>
      <c r="H293" s="27">
        <f>'AEO14 UEC'!B310</f>
        <v>0.46899999999999997</v>
      </c>
      <c r="I293" s="27">
        <f>'AEO14 UEC'!C310</f>
        <v>0.46899999999999997</v>
      </c>
      <c r="N293" s="52"/>
      <c r="Q293" s="86"/>
    </row>
    <row r="294" spans="1:17">
      <c r="A294" s="27">
        <v>3</v>
      </c>
      <c r="B294" s="27" t="str">
        <f>'AEO14 rsstk'!D311</f>
        <v>Set-top Boxes</v>
      </c>
      <c r="C294" s="27">
        <f>'AEO14 rsstk'!A311</f>
        <v>24097196</v>
      </c>
      <c r="D294" s="27">
        <f>'AEO14 rsstk'!B311</f>
        <v>4688945</v>
      </c>
      <c r="E294" s="27">
        <f>'AEO14 rsstk'!C311</f>
        <v>794029</v>
      </c>
      <c r="G294" s="27">
        <f>'AEO14 UEC'!A311</f>
        <v>0.46899999999999997</v>
      </c>
      <c r="H294" s="27">
        <f>'AEO14 UEC'!B311</f>
        <v>0.46899999999999997</v>
      </c>
      <c r="I294" s="27">
        <f>'AEO14 UEC'!C311</f>
        <v>0.46899999999999997</v>
      </c>
      <c r="N294" s="52"/>
      <c r="Q294" s="86"/>
    </row>
    <row r="295" spans="1:17">
      <c r="A295" s="27">
        <v>4</v>
      </c>
      <c r="B295" s="27" t="str">
        <f>'AEO14 rsstk'!D312</f>
        <v>Set-top Boxes</v>
      </c>
      <c r="C295" s="27">
        <f>'AEO14 rsstk'!A312</f>
        <v>10440192</v>
      </c>
      <c r="D295" s="27">
        <f>'AEO14 rsstk'!B312</f>
        <v>1426650</v>
      </c>
      <c r="E295" s="27">
        <f>'AEO14 rsstk'!C312</f>
        <v>687557</v>
      </c>
      <c r="G295" s="27">
        <f>'AEO14 UEC'!A312</f>
        <v>0.46899999999999997</v>
      </c>
      <c r="H295" s="27">
        <f>'AEO14 UEC'!B312</f>
        <v>0.46899999999999997</v>
      </c>
      <c r="I295" s="27">
        <f>'AEO14 UEC'!C312</f>
        <v>0.46899999999999997</v>
      </c>
      <c r="N295" s="52"/>
      <c r="Q295" s="86"/>
    </row>
    <row r="296" spans="1:17">
      <c r="A296" s="27">
        <v>5</v>
      </c>
      <c r="B296" s="27" t="str">
        <f>'AEO14 rsstk'!D313</f>
        <v>Set-top Boxes</v>
      </c>
      <c r="C296" s="27">
        <f>'AEO14 rsstk'!A313</f>
        <v>28425383</v>
      </c>
      <c r="D296" s="27">
        <f>'AEO14 rsstk'!B313</f>
        <v>6162591</v>
      </c>
      <c r="E296" s="27">
        <f>'AEO14 rsstk'!C313</f>
        <v>3566593</v>
      </c>
      <c r="G296" s="27">
        <f>'AEO14 UEC'!A313</f>
        <v>0.46899999999999997</v>
      </c>
      <c r="H296" s="27">
        <f>'AEO14 UEC'!B313</f>
        <v>0.46899999999999997</v>
      </c>
      <c r="I296" s="27">
        <f>'AEO14 UEC'!C313</f>
        <v>0.46899999999999997</v>
      </c>
      <c r="N296" s="52"/>
      <c r="Q296" s="86"/>
    </row>
    <row r="297" spans="1:17">
      <c r="A297" s="27">
        <v>6</v>
      </c>
      <c r="B297" s="27" t="str">
        <f>'AEO14 rsstk'!D314</f>
        <v>Set-top Boxes</v>
      </c>
      <c r="C297" s="27">
        <f>'AEO14 rsstk'!A314</f>
        <v>10055278</v>
      </c>
      <c r="D297" s="27">
        <f>'AEO14 rsstk'!B314</f>
        <v>1210078</v>
      </c>
      <c r="E297" s="27">
        <f>'AEO14 rsstk'!C314</f>
        <v>815062</v>
      </c>
      <c r="G297" s="27">
        <f>'AEO14 UEC'!A314</f>
        <v>0.46899999999999997</v>
      </c>
      <c r="H297" s="27">
        <f>'AEO14 UEC'!B314</f>
        <v>0.46899999999999997</v>
      </c>
      <c r="I297" s="27">
        <f>'AEO14 UEC'!C314</f>
        <v>0.46899999999999997</v>
      </c>
      <c r="N297" s="52"/>
      <c r="Q297" s="86"/>
    </row>
    <row r="298" spans="1:17">
      <c r="A298" s="27">
        <v>7</v>
      </c>
      <c r="B298" s="27" t="str">
        <f>'AEO14 rsstk'!D315</f>
        <v>Set-top Boxes</v>
      </c>
      <c r="C298" s="27">
        <f>'AEO14 rsstk'!A315</f>
        <v>16072594</v>
      </c>
      <c r="D298" s="27">
        <f>'AEO14 rsstk'!B315</f>
        <v>2361769</v>
      </c>
      <c r="E298" s="27">
        <f>'AEO14 rsstk'!C315</f>
        <v>941582</v>
      </c>
      <c r="G298" s="27">
        <f>'AEO14 UEC'!A315</f>
        <v>0.46899999999999997</v>
      </c>
      <c r="H298" s="27">
        <f>'AEO14 UEC'!B315</f>
        <v>0.46899999999999997</v>
      </c>
      <c r="I298" s="27">
        <f>'AEO14 UEC'!C315</f>
        <v>0.46899999999999997</v>
      </c>
      <c r="N298" s="52"/>
      <c r="Q298" s="86"/>
    </row>
    <row r="299" spans="1:17">
      <c r="A299" s="27">
        <v>8</v>
      </c>
      <c r="B299" s="27" t="str">
        <f>'AEO14 rsstk'!D316</f>
        <v>Set-top Boxes</v>
      </c>
      <c r="C299" s="27">
        <f>'AEO14 rsstk'!A316</f>
        <v>9701872</v>
      </c>
      <c r="D299" s="27">
        <f>'AEO14 rsstk'!B316</f>
        <v>1146088</v>
      </c>
      <c r="E299" s="27">
        <f>'AEO14 rsstk'!C316</f>
        <v>842680</v>
      </c>
      <c r="G299" s="27">
        <f>'AEO14 UEC'!A316</f>
        <v>0.46899999999999997</v>
      </c>
      <c r="H299" s="27">
        <f>'AEO14 UEC'!B316</f>
        <v>0.46899999999999997</v>
      </c>
      <c r="I299" s="27">
        <f>'AEO14 UEC'!C316</f>
        <v>0.46899999999999997</v>
      </c>
      <c r="N299" s="52"/>
      <c r="Q299" s="86"/>
    </row>
    <row r="300" spans="1:17">
      <c r="A300" s="27">
        <v>9</v>
      </c>
      <c r="B300" s="27" t="str">
        <f>'AEO14 rsstk'!D317</f>
        <v>Set-top Boxes</v>
      </c>
      <c r="C300" s="27">
        <f>'AEO14 rsstk'!A317</f>
        <v>19360729</v>
      </c>
      <c r="D300" s="27">
        <f>'AEO14 rsstk'!B317</f>
        <v>5976296</v>
      </c>
      <c r="E300" s="27">
        <f>'AEO14 rsstk'!C317</f>
        <v>1062235</v>
      </c>
      <c r="G300" s="27">
        <f>'AEO14 UEC'!A317</f>
        <v>0.46899999999999997</v>
      </c>
      <c r="H300" s="27">
        <f>'AEO14 UEC'!B317</f>
        <v>0.46899999999999997</v>
      </c>
      <c r="I300" s="27">
        <f>'AEO14 UEC'!C317</f>
        <v>0.46899999999999997</v>
      </c>
      <c r="N300" s="52"/>
      <c r="Q300" s="86"/>
    </row>
    <row r="301" spans="1:17">
      <c r="A301" s="27">
        <v>1</v>
      </c>
      <c r="B301" s="27" t="str">
        <f>'AEO14 rsstk'!D318</f>
        <v>Home Theater Systems</v>
      </c>
      <c r="C301" s="27">
        <f>'AEO14 rsstk'!A318</f>
        <v>890996</v>
      </c>
      <c r="D301" s="27">
        <f>'AEO14 rsstk'!B318</f>
        <v>203078</v>
      </c>
      <c r="E301" s="27">
        <f>'AEO14 rsstk'!C318</f>
        <v>15605</v>
      </c>
      <c r="G301" s="27">
        <f>'AEO14 UEC'!A318</f>
        <v>0.27400000000000002</v>
      </c>
      <c r="H301" s="27">
        <f>'AEO14 UEC'!B318</f>
        <v>0.27400000000000002</v>
      </c>
      <c r="I301" s="27">
        <f>'AEO14 UEC'!C318</f>
        <v>0.27400000000000002</v>
      </c>
      <c r="N301" s="52"/>
      <c r="Q301" s="86"/>
    </row>
    <row r="302" spans="1:17">
      <c r="A302" s="27">
        <v>2</v>
      </c>
      <c r="B302" s="27" t="str">
        <f>'AEO14 rsstk'!D319</f>
        <v>Home Theater Systems</v>
      </c>
      <c r="C302" s="27">
        <f>'AEO14 rsstk'!A319</f>
        <v>2170110</v>
      </c>
      <c r="D302" s="27">
        <f>'AEO14 rsstk'!B319</f>
        <v>719596</v>
      </c>
      <c r="E302" s="27">
        <f>'AEO14 rsstk'!C319</f>
        <v>81521</v>
      </c>
      <c r="G302" s="27">
        <f>'AEO14 UEC'!A319</f>
        <v>0.27400000000000002</v>
      </c>
      <c r="H302" s="27">
        <f>'AEO14 UEC'!B319</f>
        <v>0.27400000000000002</v>
      </c>
      <c r="I302" s="27">
        <f>'AEO14 UEC'!C319</f>
        <v>0.27400000000000002</v>
      </c>
      <c r="N302" s="52"/>
      <c r="Q302" s="86"/>
    </row>
    <row r="303" spans="1:17">
      <c r="A303" s="27">
        <v>3</v>
      </c>
      <c r="B303" s="27" t="str">
        <f>'AEO14 rsstk'!D320</f>
        <v>Home Theater Systems</v>
      </c>
      <c r="C303" s="27">
        <f>'AEO14 rsstk'!A320</f>
        <v>3578707</v>
      </c>
      <c r="D303" s="27">
        <f>'AEO14 rsstk'!B320</f>
        <v>479773</v>
      </c>
      <c r="E303" s="27">
        <f>'AEO14 rsstk'!C320</f>
        <v>95698</v>
      </c>
      <c r="G303" s="27">
        <f>'AEO14 UEC'!A320</f>
        <v>0.27400000000000002</v>
      </c>
      <c r="H303" s="27">
        <f>'AEO14 UEC'!B320</f>
        <v>0.27400000000000002</v>
      </c>
      <c r="I303" s="27">
        <f>'AEO14 UEC'!C320</f>
        <v>0.27400000000000002</v>
      </c>
      <c r="N303" s="52"/>
      <c r="Q303" s="86"/>
    </row>
    <row r="304" spans="1:17">
      <c r="A304" s="27">
        <v>4</v>
      </c>
      <c r="B304" s="27" t="str">
        <f>'AEO14 rsstk'!D321</f>
        <v>Home Theater Systems</v>
      </c>
      <c r="C304" s="27">
        <f>'AEO14 rsstk'!A321</f>
        <v>1745673</v>
      </c>
      <c r="D304" s="27">
        <f>'AEO14 rsstk'!B321</f>
        <v>256821</v>
      </c>
      <c r="E304" s="27">
        <f>'AEO14 rsstk'!C321</f>
        <v>93318</v>
      </c>
      <c r="G304" s="27">
        <f>'AEO14 UEC'!A321</f>
        <v>0.27400000000000002</v>
      </c>
      <c r="H304" s="27">
        <f>'AEO14 UEC'!B321</f>
        <v>0.27400000000000002</v>
      </c>
      <c r="I304" s="27">
        <f>'AEO14 UEC'!C321</f>
        <v>0.27400000000000002</v>
      </c>
      <c r="N304" s="52"/>
      <c r="Q304" s="86"/>
    </row>
    <row r="305" spans="1:17">
      <c r="A305" s="27">
        <v>5</v>
      </c>
      <c r="B305" s="27" t="str">
        <f>'AEO14 rsstk'!D322</f>
        <v>Home Theater Systems</v>
      </c>
      <c r="C305" s="27">
        <f>'AEO14 rsstk'!A322</f>
        <v>4016969</v>
      </c>
      <c r="D305" s="27">
        <f>'AEO14 rsstk'!B322</f>
        <v>706287</v>
      </c>
      <c r="E305" s="27">
        <f>'AEO14 rsstk'!C322</f>
        <v>387784</v>
      </c>
      <c r="G305" s="27">
        <f>'AEO14 UEC'!A322</f>
        <v>0.27400000000000002</v>
      </c>
      <c r="H305" s="27">
        <f>'AEO14 UEC'!B322</f>
        <v>0.27400000000000002</v>
      </c>
      <c r="I305" s="27">
        <f>'AEO14 UEC'!C322</f>
        <v>0.27400000000000002</v>
      </c>
      <c r="N305" s="52"/>
      <c r="Q305" s="86"/>
    </row>
    <row r="306" spans="1:17">
      <c r="A306" s="27">
        <v>6</v>
      </c>
      <c r="B306" s="27" t="str">
        <f>'AEO14 rsstk'!D323</f>
        <v>Home Theater Systems</v>
      </c>
      <c r="C306" s="27">
        <f>'AEO14 rsstk'!A323</f>
        <v>1072508</v>
      </c>
      <c r="D306" s="27">
        <f>'AEO14 rsstk'!B323</f>
        <v>122602</v>
      </c>
      <c r="E306" s="27">
        <f>'AEO14 rsstk'!C323</f>
        <v>11145</v>
      </c>
      <c r="G306" s="27">
        <f>'AEO14 UEC'!A323</f>
        <v>0.27400000000000002</v>
      </c>
      <c r="H306" s="27">
        <f>'AEO14 UEC'!B323</f>
        <v>0.27400000000000002</v>
      </c>
      <c r="I306" s="27">
        <f>'AEO14 UEC'!C323</f>
        <v>0.27400000000000002</v>
      </c>
      <c r="N306" s="52"/>
      <c r="Q306" s="86"/>
    </row>
    <row r="307" spans="1:17">
      <c r="A307" s="27">
        <v>7</v>
      </c>
      <c r="B307" s="27" t="str">
        <f>'AEO14 rsstk'!D324</f>
        <v>Home Theater Systems</v>
      </c>
      <c r="C307" s="27">
        <f>'AEO14 rsstk'!A324</f>
        <v>2904019</v>
      </c>
      <c r="D307" s="27">
        <f>'AEO14 rsstk'!B324</f>
        <v>444677</v>
      </c>
      <c r="E307" s="27">
        <f>'AEO14 rsstk'!C324</f>
        <v>103719</v>
      </c>
      <c r="G307" s="27">
        <f>'AEO14 UEC'!A324</f>
        <v>0.27400000000000002</v>
      </c>
      <c r="H307" s="27">
        <f>'AEO14 UEC'!B324</f>
        <v>0.27400000000000002</v>
      </c>
      <c r="I307" s="27">
        <f>'AEO14 UEC'!C324</f>
        <v>0.27400000000000002</v>
      </c>
      <c r="N307" s="52"/>
      <c r="Q307" s="86"/>
    </row>
    <row r="308" spans="1:17">
      <c r="A308" s="27">
        <v>8</v>
      </c>
      <c r="B308" s="27" t="str">
        <f>'AEO14 rsstk'!D325</f>
        <v>Home Theater Systems</v>
      </c>
      <c r="C308" s="27">
        <f>'AEO14 rsstk'!A325</f>
        <v>1853850</v>
      </c>
      <c r="D308" s="27">
        <f>'AEO14 rsstk'!B325</f>
        <v>182518</v>
      </c>
      <c r="E308" s="27">
        <f>'AEO14 rsstk'!C325</f>
        <v>134610</v>
      </c>
      <c r="G308" s="27">
        <f>'AEO14 UEC'!A325</f>
        <v>0.27400000000000002</v>
      </c>
      <c r="H308" s="27">
        <f>'AEO14 UEC'!B325</f>
        <v>0.27400000000000002</v>
      </c>
      <c r="I308" s="27">
        <f>'AEO14 UEC'!C325</f>
        <v>0.27400000000000002</v>
      </c>
      <c r="N308" s="52"/>
      <c r="Q308" s="86"/>
    </row>
    <row r="309" spans="1:17">
      <c r="A309" s="27">
        <v>9</v>
      </c>
      <c r="B309" s="27" t="str">
        <f>'AEO14 rsstk'!D326</f>
        <v>Home Theater Systems</v>
      </c>
      <c r="C309" s="27">
        <f>'AEO14 rsstk'!A326</f>
        <v>3213387</v>
      </c>
      <c r="D309" s="27">
        <f>'AEO14 rsstk'!B326</f>
        <v>893326</v>
      </c>
      <c r="E309" s="27">
        <f>'AEO14 rsstk'!C326</f>
        <v>164464</v>
      </c>
      <c r="G309" s="27">
        <f>'AEO14 UEC'!A326</f>
        <v>0.27400000000000002</v>
      </c>
      <c r="H309" s="27">
        <f>'AEO14 UEC'!B326</f>
        <v>0.27400000000000002</v>
      </c>
      <c r="I309" s="27">
        <f>'AEO14 UEC'!C326</f>
        <v>0.27400000000000002</v>
      </c>
      <c r="N309" s="52"/>
      <c r="Q309" s="86"/>
    </row>
    <row r="310" spans="1:17">
      <c r="A310" s="27">
        <v>1</v>
      </c>
      <c r="B310" s="27" t="str">
        <f>'AEO14 rsstk'!D327</f>
        <v>DVD Players</v>
      </c>
      <c r="C310" s="27">
        <f>'AEO14 rsstk'!A327</f>
        <v>5689886</v>
      </c>
      <c r="D310" s="27">
        <f>'AEO14 rsstk'!B327</f>
        <v>2356424</v>
      </c>
      <c r="E310" s="27">
        <f>'AEO14 rsstk'!C327</f>
        <v>107133</v>
      </c>
      <c r="G310" s="27">
        <f>'AEO14 UEC'!A327</f>
        <v>9.9000000000000005E-2</v>
      </c>
      <c r="H310" s="27">
        <f>'AEO14 UEC'!B327</f>
        <v>9.9000000000000005E-2</v>
      </c>
      <c r="I310" s="27">
        <f>'AEO14 UEC'!C327</f>
        <v>9.9000000000000005E-2</v>
      </c>
      <c r="N310" s="52"/>
      <c r="Q310" s="86"/>
    </row>
    <row r="311" spans="1:17">
      <c r="A311" s="27">
        <v>2</v>
      </c>
      <c r="B311" s="27" t="str">
        <f>'AEO14 rsstk'!D328</f>
        <v>DVD Players</v>
      </c>
      <c r="C311" s="27">
        <f>'AEO14 rsstk'!A328</f>
        <v>14936164</v>
      </c>
      <c r="D311" s="27">
        <f>'AEO14 rsstk'!B328</f>
        <v>6466083</v>
      </c>
      <c r="E311" s="27">
        <f>'AEO14 rsstk'!C328</f>
        <v>634565</v>
      </c>
      <c r="G311" s="27">
        <f>'AEO14 UEC'!A328</f>
        <v>9.9000000000000005E-2</v>
      </c>
      <c r="H311" s="27">
        <f>'AEO14 UEC'!B328</f>
        <v>9.9000000000000005E-2</v>
      </c>
      <c r="I311" s="27">
        <f>'AEO14 UEC'!C328</f>
        <v>9.9000000000000005E-2</v>
      </c>
      <c r="N311" s="52"/>
      <c r="Q311" s="86"/>
    </row>
    <row r="312" spans="1:17">
      <c r="A312" s="27">
        <v>3</v>
      </c>
      <c r="B312" s="27" t="str">
        <f>'AEO14 rsstk'!D329</f>
        <v>DVD Players</v>
      </c>
      <c r="C312" s="27">
        <f>'AEO14 rsstk'!A329</f>
        <v>21831777</v>
      </c>
      <c r="D312" s="27">
        <f>'AEO14 rsstk'!B329</f>
        <v>5364489</v>
      </c>
      <c r="E312" s="27">
        <f>'AEO14 rsstk'!C329</f>
        <v>897634</v>
      </c>
      <c r="G312" s="27">
        <f>'AEO14 UEC'!A329</f>
        <v>9.9000000000000005E-2</v>
      </c>
      <c r="H312" s="27">
        <f>'AEO14 UEC'!B329</f>
        <v>9.9000000000000005E-2</v>
      </c>
      <c r="I312" s="27">
        <f>'AEO14 UEC'!C329</f>
        <v>9.9000000000000005E-2</v>
      </c>
      <c r="N312" s="52"/>
      <c r="Q312" s="86"/>
    </row>
    <row r="313" spans="1:17">
      <c r="A313" s="27">
        <v>4</v>
      </c>
      <c r="B313" s="27" t="str">
        <f>'AEO14 rsstk'!D330</f>
        <v>DVD Players</v>
      </c>
      <c r="C313" s="27">
        <f>'AEO14 rsstk'!A330</f>
        <v>10863578</v>
      </c>
      <c r="D313" s="27">
        <f>'AEO14 rsstk'!B330</f>
        <v>1616814</v>
      </c>
      <c r="E313" s="27">
        <f>'AEO14 rsstk'!C330</f>
        <v>931587</v>
      </c>
      <c r="G313" s="27">
        <f>'AEO14 UEC'!A330</f>
        <v>9.9000000000000005E-2</v>
      </c>
      <c r="H313" s="27">
        <f>'AEO14 UEC'!B330</f>
        <v>9.9000000000000005E-2</v>
      </c>
      <c r="I313" s="27">
        <f>'AEO14 UEC'!C330</f>
        <v>9.9000000000000005E-2</v>
      </c>
      <c r="N313" s="52"/>
      <c r="Q313" s="86"/>
    </row>
    <row r="314" spans="1:17">
      <c r="A314" s="27">
        <v>5</v>
      </c>
      <c r="B314" s="27" t="str">
        <f>'AEO14 rsstk'!D331</f>
        <v>DVD Players</v>
      </c>
      <c r="C314" s="27">
        <f>'AEO14 rsstk'!A331</f>
        <v>25288128</v>
      </c>
      <c r="D314" s="27">
        <f>'AEO14 rsstk'!B331</f>
        <v>5797570</v>
      </c>
      <c r="E314" s="27">
        <f>'AEO14 rsstk'!C331</f>
        <v>3710071</v>
      </c>
      <c r="G314" s="27">
        <f>'AEO14 UEC'!A331</f>
        <v>9.9000000000000005E-2</v>
      </c>
      <c r="H314" s="27">
        <f>'AEO14 UEC'!B331</f>
        <v>9.9000000000000005E-2</v>
      </c>
      <c r="I314" s="27">
        <f>'AEO14 UEC'!C331</f>
        <v>9.9000000000000005E-2</v>
      </c>
      <c r="N314" s="52"/>
      <c r="Q314" s="86"/>
    </row>
    <row r="315" spans="1:17">
      <c r="A315" s="27">
        <v>6</v>
      </c>
      <c r="B315" s="27" t="str">
        <f>'AEO14 rsstk'!D332</f>
        <v>DVD Players</v>
      </c>
      <c r="C315" s="27">
        <f>'AEO14 rsstk'!A332</f>
        <v>9348998</v>
      </c>
      <c r="D315" s="27">
        <f>'AEO14 rsstk'!B332</f>
        <v>1070503</v>
      </c>
      <c r="E315" s="27">
        <f>'AEO14 rsstk'!C332</f>
        <v>705949</v>
      </c>
      <c r="G315" s="27">
        <f>'AEO14 UEC'!A332</f>
        <v>9.9000000000000005E-2</v>
      </c>
      <c r="H315" s="27">
        <f>'AEO14 UEC'!B332</f>
        <v>9.9000000000000005E-2</v>
      </c>
      <c r="I315" s="27">
        <f>'AEO14 UEC'!C332</f>
        <v>9.9000000000000005E-2</v>
      </c>
      <c r="N315" s="52"/>
      <c r="Q315" s="86"/>
    </row>
    <row r="316" spans="1:17">
      <c r="A316" s="27">
        <v>7</v>
      </c>
      <c r="B316" s="27" t="str">
        <f>'AEO14 rsstk'!D333</f>
        <v>DVD Players</v>
      </c>
      <c r="C316" s="27">
        <f>'AEO14 rsstk'!A333</f>
        <v>15404810</v>
      </c>
      <c r="D316" s="27">
        <f>'AEO14 rsstk'!B333</f>
        <v>3361924</v>
      </c>
      <c r="E316" s="27">
        <f>'AEO14 rsstk'!C333</f>
        <v>1334615</v>
      </c>
      <c r="G316" s="27">
        <f>'AEO14 UEC'!A333</f>
        <v>9.9000000000000005E-2</v>
      </c>
      <c r="H316" s="27">
        <f>'AEO14 UEC'!B333</f>
        <v>9.9000000000000005E-2</v>
      </c>
      <c r="I316" s="27">
        <f>'AEO14 UEC'!C333</f>
        <v>9.9000000000000005E-2</v>
      </c>
      <c r="N316" s="52"/>
      <c r="Q316" s="86"/>
    </row>
    <row r="317" spans="1:17">
      <c r="A317" s="27">
        <v>8</v>
      </c>
      <c r="B317" s="27" t="str">
        <f>'AEO14 rsstk'!D334</f>
        <v>DVD Players</v>
      </c>
      <c r="C317" s="27">
        <f>'AEO14 rsstk'!A334</f>
        <v>10613439</v>
      </c>
      <c r="D317" s="27">
        <f>'AEO14 rsstk'!B334</f>
        <v>1717382</v>
      </c>
      <c r="E317" s="27">
        <f>'AEO14 rsstk'!C334</f>
        <v>937020</v>
      </c>
      <c r="G317" s="27">
        <f>'AEO14 UEC'!A334</f>
        <v>9.9000000000000005E-2</v>
      </c>
      <c r="H317" s="27">
        <f>'AEO14 UEC'!B334</f>
        <v>9.9000000000000005E-2</v>
      </c>
      <c r="I317" s="27">
        <f>'AEO14 UEC'!C334</f>
        <v>9.9000000000000005E-2</v>
      </c>
      <c r="N317" s="52"/>
      <c r="Q317" s="86"/>
    </row>
    <row r="318" spans="1:17">
      <c r="A318" s="27">
        <v>9</v>
      </c>
      <c r="B318" s="27" t="str">
        <f>'AEO14 rsstk'!D335</f>
        <v>DVD Players</v>
      </c>
      <c r="C318" s="27">
        <f>'AEO14 rsstk'!A335</f>
        <v>18822774</v>
      </c>
      <c r="D318" s="27">
        <f>'AEO14 rsstk'!B335</f>
        <v>6224002</v>
      </c>
      <c r="E318" s="27">
        <f>'AEO14 rsstk'!C335</f>
        <v>1185200</v>
      </c>
      <c r="G318" s="27">
        <f>'AEO14 UEC'!A335</f>
        <v>9.9000000000000005E-2</v>
      </c>
      <c r="H318" s="27">
        <f>'AEO14 UEC'!B335</f>
        <v>9.9000000000000005E-2</v>
      </c>
      <c r="I318" s="27">
        <f>'AEO14 UEC'!C335</f>
        <v>9.9000000000000005E-2</v>
      </c>
      <c r="N318" s="52"/>
      <c r="Q318" s="86"/>
    </row>
    <row r="319" spans="1:17">
      <c r="A319" s="27">
        <v>1</v>
      </c>
      <c r="B319" s="27" t="str">
        <f>'AEO14 rsstk'!D336</f>
        <v>Video Game Consoles</v>
      </c>
      <c r="C319" s="27">
        <f>'AEO14 rsstk'!A336</f>
        <v>1608679</v>
      </c>
      <c r="D319" s="27">
        <f>'AEO14 rsstk'!B336</f>
        <v>645685</v>
      </c>
      <c r="E319" s="27">
        <f>'AEO14 rsstk'!C336</f>
        <v>17941</v>
      </c>
      <c r="G319" s="27">
        <f>'AEO14 UEC'!A336</f>
        <v>0.14899999999999999</v>
      </c>
      <c r="H319" s="27">
        <f>'AEO14 UEC'!B336</f>
        <v>0.14899999999999999</v>
      </c>
      <c r="I319" s="27">
        <f>'AEO14 UEC'!C336</f>
        <v>0.14899999999999999</v>
      </c>
      <c r="N319" s="52"/>
      <c r="Q319" s="86"/>
    </row>
    <row r="320" spans="1:17">
      <c r="A320" s="27">
        <v>2</v>
      </c>
      <c r="B320" s="27" t="str">
        <f>'AEO14 rsstk'!D337</f>
        <v>Video Game Consoles</v>
      </c>
      <c r="C320" s="27">
        <f>'AEO14 rsstk'!A337</f>
        <v>4297333</v>
      </c>
      <c r="D320" s="27">
        <f>'AEO14 rsstk'!B337</f>
        <v>1980913</v>
      </c>
      <c r="E320" s="27">
        <f>'AEO14 rsstk'!C337</f>
        <v>152628</v>
      </c>
      <c r="G320" s="27">
        <f>'AEO14 UEC'!A337</f>
        <v>0.14899999999999999</v>
      </c>
      <c r="H320" s="27">
        <f>'AEO14 UEC'!B337</f>
        <v>0.14899999999999999</v>
      </c>
      <c r="I320" s="27">
        <f>'AEO14 UEC'!C337</f>
        <v>0.14899999999999999</v>
      </c>
      <c r="N320" s="52"/>
      <c r="Q320" s="86"/>
    </row>
    <row r="321" spans="1:17">
      <c r="A321" s="27">
        <v>3</v>
      </c>
      <c r="B321" s="27" t="str">
        <f>'AEO14 rsstk'!D338</f>
        <v>Video Game Consoles</v>
      </c>
      <c r="C321" s="27">
        <f>'AEO14 rsstk'!A338</f>
        <v>6203737</v>
      </c>
      <c r="D321" s="27">
        <f>'AEO14 rsstk'!B338</f>
        <v>1843396</v>
      </c>
      <c r="E321" s="27">
        <f>'AEO14 rsstk'!C338</f>
        <v>289677</v>
      </c>
      <c r="G321" s="27">
        <f>'AEO14 UEC'!A338</f>
        <v>0.14899999999999999</v>
      </c>
      <c r="H321" s="27">
        <f>'AEO14 UEC'!B338</f>
        <v>0.14899999999999999</v>
      </c>
      <c r="I321" s="27">
        <f>'AEO14 UEC'!C338</f>
        <v>0.14899999999999999</v>
      </c>
      <c r="N321" s="52"/>
      <c r="Q321" s="86"/>
    </row>
    <row r="322" spans="1:17">
      <c r="A322" s="27">
        <v>4</v>
      </c>
      <c r="B322" s="27" t="str">
        <f>'AEO14 rsstk'!D339</f>
        <v>Video Game Consoles</v>
      </c>
      <c r="C322" s="27">
        <f>'AEO14 rsstk'!A339</f>
        <v>3099305</v>
      </c>
      <c r="D322" s="27">
        <f>'AEO14 rsstk'!B339</f>
        <v>536471</v>
      </c>
      <c r="E322" s="27">
        <f>'AEO14 rsstk'!C339</f>
        <v>278702</v>
      </c>
      <c r="G322" s="27">
        <f>'AEO14 UEC'!A339</f>
        <v>0.14899999999999999</v>
      </c>
      <c r="H322" s="27">
        <f>'AEO14 UEC'!B339</f>
        <v>0.14899999999999999</v>
      </c>
      <c r="I322" s="27">
        <f>'AEO14 UEC'!C339</f>
        <v>0.14899999999999999</v>
      </c>
      <c r="N322" s="52"/>
      <c r="Q322" s="86"/>
    </row>
    <row r="323" spans="1:17">
      <c r="A323" s="27">
        <v>5</v>
      </c>
      <c r="B323" s="27" t="str">
        <f>'AEO14 rsstk'!D340</f>
        <v>Video Game Consoles</v>
      </c>
      <c r="C323" s="27">
        <f>'AEO14 rsstk'!A340</f>
        <v>7521547</v>
      </c>
      <c r="D323" s="27">
        <f>'AEO14 rsstk'!B340</f>
        <v>1752704</v>
      </c>
      <c r="E323" s="27">
        <f>'AEO14 rsstk'!C340</f>
        <v>1015253</v>
      </c>
      <c r="G323" s="27">
        <f>'AEO14 UEC'!A340</f>
        <v>0.14899999999999999</v>
      </c>
      <c r="H323" s="27">
        <f>'AEO14 UEC'!B340</f>
        <v>0.14899999999999999</v>
      </c>
      <c r="I323" s="27">
        <f>'AEO14 UEC'!C340</f>
        <v>0.14899999999999999</v>
      </c>
      <c r="N323" s="52"/>
      <c r="Q323" s="86"/>
    </row>
    <row r="324" spans="1:17">
      <c r="A324" s="27">
        <v>6</v>
      </c>
      <c r="B324" s="27" t="str">
        <f>'AEO14 rsstk'!D341</f>
        <v>Video Game Consoles</v>
      </c>
      <c r="C324" s="27">
        <f>'AEO14 rsstk'!A341</f>
        <v>2230782</v>
      </c>
      <c r="D324" s="27">
        <f>'AEO14 rsstk'!B341</f>
        <v>382363</v>
      </c>
      <c r="E324" s="27">
        <f>'AEO14 rsstk'!C341</f>
        <v>243605</v>
      </c>
      <c r="G324" s="27">
        <f>'AEO14 UEC'!A341</f>
        <v>0.14899999999999999</v>
      </c>
      <c r="H324" s="27">
        <f>'AEO14 UEC'!B341</f>
        <v>0.14899999999999999</v>
      </c>
      <c r="I324" s="27">
        <f>'AEO14 UEC'!C341</f>
        <v>0.14899999999999999</v>
      </c>
      <c r="N324" s="52"/>
      <c r="Q324" s="86"/>
    </row>
    <row r="325" spans="1:17">
      <c r="A325" s="27">
        <v>7</v>
      </c>
      <c r="B325" s="27" t="str">
        <f>'AEO14 rsstk'!D342</f>
        <v>Video Game Consoles</v>
      </c>
      <c r="C325" s="27">
        <f>'AEO14 rsstk'!A342</f>
        <v>4006177</v>
      </c>
      <c r="D325" s="27">
        <f>'AEO14 rsstk'!B342</f>
        <v>1042043</v>
      </c>
      <c r="E325" s="27">
        <f>'AEO14 rsstk'!C342</f>
        <v>478837</v>
      </c>
      <c r="G325" s="27">
        <f>'AEO14 UEC'!A342</f>
        <v>0.14899999999999999</v>
      </c>
      <c r="H325" s="27">
        <f>'AEO14 UEC'!B342</f>
        <v>0.14899999999999999</v>
      </c>
      <c r="I325" s="27">
        <f>'AEO14 UEC'!C342</f>
        <v>0.14899999999999999</v>
      </c>
      <c r="N325" s="52"/>
      <c r="Q325" s="86"/>
    </row>
    <row r="326" spans="1:17">
      <c r="A326" s="27">
        <v>8</v>
      </c>
      <c r="B326" s="27" t="str">
        <f>'AEO14 rsstk'!D343</f>
        <v>Video Game Consoles</v>
      </c>
      <c r="C326" s="27">
        <f>'AEO14 rsstk'!A343</f>
        <v>3091925</v>
      </c>
      <c r="D326" s="27">
        <f>'AEO14 rsstk'!B343</f>
        <v>605868</v>
      </c>
      <c r="E326" s="27">
        <f>'AEO14 rsstk'!C343</f>
        <v>216296</v>
      </c>
      <c r="G326" s="27">
        <f>'AEO14 UEC'!A343</f>
        <v>0.14899999999999999</v>
      </c>
      <c r="H326" s="27">
        <f>'AEO14 UEC'!B343</f>
        <v>0.14899999999999999</v>
      </c>
      <c r="I326" s="27">
        <f>'AEO14 UEC'!C343</f>
        <v>0.14899999999999999</v>
      </c>
      <c r="N326" s="52"/>
      <c r="Q326" s="86"/>
    </row>
    <row r="327" spans="1:17">
      <c r="A327" s="27">
        <v>9</v>
      </c>
      <c r="B327" s="27" t="str">
        <f>'AEO14 rsstk'!D344</f>
        <v>Video Game Consoles</v>
      </c>
      <c r="C327" s="27">
        <f>'AEO14 rsstk'!A344</f>
        <v>5043669</v>
      </c>
      <c r="D327" s="27">
        <f>'AEO14 rsstk'!B344</f>
        <v>1970564</v>
      </c>
      <c r="E327" s="27">
        <f>'AEO14 rsstk'!C344</f>
        <v>233891</v>
      </c>
      <c r="G327" s="27">
        <f>'AEO14 UEC'!A344</f>
        <v>0.14899999999999999</v>
      </c>
      <c r="H327" s="27">
        <f>'AEO14 UEC'!B344</f>
        <v>0.14899999999999999</v>
      </c>
      <c r="I327" s="27">
        <f>'AEO14 UEC'!C344</f>
        <v>0.14899999999999999</v>
      </c>
      <c r="N327" s="52"/>
      <c r="Q327" s="86"/>
    </row>
    <row r="328" spans="1:17">
      <c r="A328" s="27">
        <v>1</v>
      </c>
      <c r="B328" s="27" t="str">
        <f>'AEO14 rsstk'!D345</f>
        <v>PC Desktops</v>
      </c>
      <c r="C328" s="27">
        <f>'AEO14 rsstk'!A345</f>
        <v>2577628</v>
      </c>
      <c r="D328" s="27">
        <f>'AEO14 rsstk'!B345</f>
        <v>778469</v>
      </c>
      <c r="E328" s="27">
        <f>'AEO14 rsstk'!C345</f>
        <v>40789</v>
      </c>
      <c r="G328" s="27">
        <f>'AEO14 UEC'!A345</f>
        <v>0.83699999999999997</v>
      </c>
      <c r="H328" s="27">
        <f>'AEO14 UEC'!B345</f>
        <v>0.83699999999999997</v>
      </c>
      <c r="I328" s="27">
        <f>'AEO14 UEC'!C345</f>
        <v>0.83699999999999997</v>
      </c>
      <c r="N328" s="52"/>
      <c r="Q328" s="86"/>
    </row>
    <row r="329" spans="1:17">
      <c r="A329" s="27">
        <v>2</v>
      </c>
      <c r="B329" s="27" t="str">
        <f>'AEO14 rsstk'!D346</f>
        <v>PC Desktops</v>
      </c>
      <c r="C329" s="27">
        <f>'AEO14 rsstk'!A346</f>
        <v>6489328</v>
      </c>
      <c r="D329" s="27">
        <f>'AEO14 rsstk'!B346</f>
        <v>2116489</v>
      </c>
      <c r="E329" s="27">
        <f>'AEO14 rsstk'!C346</f>
        <v>211006</v>
      </c>
      <c r="G329" s="27">
        <f>'AEO14 UEC'!A346</f>
        <v>0.83699999999999997</v>
      </c>
      <c r="H329" s="27">
        <f>'AEO14 UEC'!B346</f>
        <v>0.83699999999999997</v>
      </c>
      <c r="I329" s="27">
        <f>'AEO14 UEC'!C346</f>
        <v>0.83699999999999997</v>
      </c>
      <c r="N329" s="52"/>
      <c r="Q329" s="86"/>
    </row>
    <row r="330" spans="1:17">
      <c r="A330" s="27">
        <v>3</v>
      </c>
      <c r="B330" s="27" t="str">
        <f>'AEO14 rsstk'!D347</f>
        <v>PC Desktops</v>
      </c>
      <c r="C330" s="27">
        <f>'AEO14 rsstk'!A347</f>
        <v>8560519</v>
      </c>
      <c r="D330" s="27">
        <f>'AEO14 rsstk'!B347</f>
        <v>1606516</v>
      </c>
      <c r="E330" s="27">
        <f>'AEO14 rsstk'!C347</f>
        <v>185666</v>
      </c>
      <c r="G330" s="27">
        <f>'AEO14 UEC'!A347</f>
        <v>0.83699999999999997</v>
      </c>
      <c r="H330" s="27">
        <f>'AEO14 UEC'!B347</f>
        <v>0.83699999999999997</v>
      </c>
      <c r="I330" s="27">
        <f>'AEO14 UEC'!C347</f>
        <v>0.83699999999999997</v>
      </c>
      <c r="N330" s="52"/>
      <c r="Q330" s="86"/>
    </row>
    <row r="331" spans="1:17">
      <c r="A331" s="27">
        <v>4</v>
      </c>
      <c r="B331" s="27" t="str">
        <f>'AEO14 rsstk'!D348</f>
        <v>PC Desktops</v>
      </c>
      <c r="C331" s="27">
        <f>'AEO14 rsstk'!A348</f>
        <v>4160744</v>
      </c>
      <c r="D331" s="27">
        <f>'AEO14 rsstk'!B348</f>
        <v>404385</v>
      </c>
      <c r="E331" s="27">
        <f>'AEO14 rsstk'!C348</f>
        <v>203231</v>
      </c>
      <c r="G331" s="27">
        <f>'AEO14 UEC'!A348</f>
        <v>0.83699999999999997</v>
      </c>
      <c r="H331" s="27">
        <f>'AEO14 UEC'!B348</f>
        <v>0.83699999999999997</v>
      </c>
      <c r="I331" s="27">
        <f>'AEO14 UEC'!C348</f>
        <v>0.83699999999999997</v>
      </c>
      <c r="N331" s="52"/>
      <c r="Q331" s="86"/>
    </row>
    <row r="332" spans="1:17">
      <c r="A332" s="27">
        <v>5</v>
      </c>
      <c r="B332" s="27" t="str">
        <f>'AEO14 rsstk'!D349</f>
        <v>PC Desktops</v>
      </c>
      <c r="C332" s="27">
        <f>'AEO14 rsstk'!A349</f>
        <v>9644781</v>
      </c>
      <c r="D332" s="27">
        <f>'AEO14 rsstk'!B349</f>
        <v>1632602</v>
      </c>
      <c r="E332" s="27">
        <f>'AEO14 rsstk'!C349</f>
        <v>876505</v>
      </c>
      <c r="G332" s="27">
        <f>'AEO14 UEC'!A349</f>
        <v>0.83699999999999997</v>
      </c>
      <c r="H332" s="27">
        <f>'AEO14 UEC'!B349</f>
        <v>0.83699999999999997</v>
      </c>
      <c r="I332" s="27">
        <f>'AEO14 UEC'!C349</f>
        <v>0.83699999999999997</v>
      </c>
      <c r="N332" s="52"/>
      <c r="Q332" s="86"/>
    </row>
    <row r="333" spans="1:17">
      <c r="A333" s="27">
        <v>6</v>
      </c>
      <c r="B333" s="27" t="str">
        <f>'AEO14 rsstk'!D350</f>
        <v>PC Desktops</v>
      </c>
      <c r="C333" s="27">
        <f>'AEO14 rsstk'!A350</f>
        <v>3059283</v>
      </c>
      <c r="D333" s="27">
        <f>'AEO14 rsstk'!B350</f>
        <v>285472</v>
      </c>
      <c r="E333" s="27">
        <f>'AEO14 rsstk'!C350</f>
        <v>211004</v>
      </c>
      <c r="G333" s="27">
        <f>'AEO14 UEC'!A350</f>
        <v>0.83699999999999997</v>
      </c>
      <c r="H333" s="27">
        <f>'AEO14 UEC'!B350</f>
        <v>0.83699999999999997</v>
      </c>
      <c r="I333" s="27">
        <f>'AEO14 UEC'!C350</f>
        <v>0.83699999999999997</v>
      </c>
      <c r="N333" s="52"/>
      <c r="Q333" s="86"/>
    </row>
    <row r="334" spans="1:17">
      <c r="A334" s="27">
        <v>7</v>
      </c>
      <c r="B334" s="27" t="str">
        <f>'AEO14 rsstk'!D351</f>
        <v>PC Desktops</v>
      </c>
      <c r="C334" s="27">
        <f>'AEO14 rsstk'!A351</f>
        <v>5621767</v>
      </c>
      <c r="D334" s="27">
        <f>'AEO14 rsstk'!B351</f>
        <v>849953</v>
      </c>
      <c r="E334" s="27">
        <f>'AEO14 rsstk'!C351</f>
        <v>402866</v>
      </c>
      <c r="G334" s="27">
        <f>'AEO14 UEC'!A351</f>
        <v>0.83699999999999997</v>
      </c>
      <c r="H334" s="27">
        <f>'AEO14 UEC'!B351</f>
        <v>0.83699999999999997</v>
      </c>
      <c r="I334" s="27">
        <f>'AEO14 UEC'!C351</f>
        <v>0.83699999999999997</v>
      </c>
      <c r="N334" s="52"/>
      <c r="Q334" s="86"/>
    </row>
    <row r="335" spans="1:17">
      <c r="A335" s="27">
        <v>8</v>
      </c>
      <c r="B335" s="27" t="str">
        <f>'AEO14 rsstk'!D352</f>
        <v>PC Desktops</v>
      </c>
      <c r="C335" s="27">
        <f>'AEO14 rsstk'!A352</f>
        <v>4268280</v>
      </c>
      <c r="D335" s="27">
        <f>'AEO14 rsstk'!B352</f>
        <v>336826</v>
      </c>
      <c r="E335" s="27">
        <f>'AEO14 rsstk'!C352</f>
        <v>271714</v>
      </c>
      <c r="G335" s="27">
        <f>'AEO14 UEC'!A352</f>
        <v>0.83699999999999997</v>
      </c>
      <c r="H335" s="27">
        <f>'AEO14 UEC'!B352</f>
        <v>0.83699999999999997</v>
      </c>
      <c r="I335" s="27">
        <f>'AEO14 UEC'!C352</f>
        <v>0.83699999999999997</v>
      </c>
      <c r="N335" s="52"/>
      <c r="Q335" s="86"/>
    </row>
    <row r="336" spans="1:17">
      <c r="A336" s="27">
        <v>9</v>
      </c>
      <c r="B336" s="27" t="str">
        <f>'AEO14 rsstk'!D353</f>
        <v>PC Desktops</v>
      </c>
      <c r="C336" s="27">
        <f>'AEO14 rsstk'!A353</f>
        <v>8329569</v>
      </c>
      <c r="D336" s="27">
        <f>'AEO14 rsstk'!B353</f>
        <v>2271753</v>
      </c>
      <c r="E336" s="27">
        <f>'AEO14 rsstk'!C353</f>
        <v>379414</v>
      </c>
      <c r="G336" s="27">
        <f>'AEO14 UEC'!A353</f>
        <v>0.83699999999999997</v>
      </c>
      <c r="H336" s="27">
        <f>'AEO14 UEC'!B353</f>
        <v>0.83699999999999997</v>
      </c>
      <c r="I336" s="27">
        <f>'AEO14 UEC'!C353</f>
        <v>0.83699999999999997</v>
      </c>
      <c r="N336" s="52"/>
      <c r="Q336" s="86"/>
    </row>
    <row r="337" spans="1:17">
      <c r="A337" s="27">
        <v>1</v>
      </c>
      <c r="B337" s="27" t="str">
        <f>'AEO14 rsstk'!D354</f>
        <v>PC Laptops</v>
      </c>
      <c r="C337" s="27">
        <f>'AEO14 rsstk'!A354</f>
        <v>3554043</v>
      </c>
      <c r="D337" s="27">
        <f>'AEO14 rsstk'!B354</f>
        <v>1379389</v>
      </c>
      <c r="E337" s="27">
        <f>'AEO14 rsstk'!C354</f>
        <v>24108</v>
      </c>
      <c r="G337" s="27">
        <f>'AEO14 UEC'!A354</f>
        <v>0.22700000000000001</v>
      </c>
      <c r="H337" s="27">
        <f>'AEO14 UEC'!B354</f>
        <v>0.22700000000000001</v>
      </c>
      <c r="I337" s="27">
        <f>'AEO14 UEC'!C354</f>
        <v>0.22700000000000001</v>
      </c>
      <c r="N337" s="52"/>
      <c r="Q337" s="86"/>
    </row>
    <row r="338" spans="1:17">
      <c r="A338" s="27">
        <v>2</v>
      </c>
      <c r="B338" s="27" t="str">
        <f>'AEO14 rsstk'!D355</f>
        <v>PC Laptops</v>
      </c>
      <c r="C338" s="27">
        <f>'AEO14 rsstk'!A355</f>
        <v>7517526</v>
      </c>
      <c r="D338" s="27">
        <f>'AEO14 rsstk'!B355</f>
        <v>3452051</v>
      </c>
      <c r="E338" s="27">
        <f>'AEO14 rsstk'!C355</f>
        <v>53578</v>
      </c>
      <c r="G338" s="27">
        <f>'AEO14 UEC'!A355</f>
        <v>0.22700000000000001</v>
      </c>
      <c r="H338" s="27">
        <f>'AEO14 UEC'!B355</f>
        <v>0.22700000000000001</v>
      </c>
      <c r="I338" s="27">
        <f>'AEO14 UEC'!C355</f>
        <v>0.22700000000000001</v>
      </c>
      <c r="N338" s="52"/>
      <c r="Q338" s="86"/>
    </row>
    <row r="339" spans="1:17">
      <c r="A339" s="27">
        <v>3</v>
      </c>
      <c r="B339" s="27" t="str">
        <f>'AEO14 rsstk'!D356</f>
        <v>PC Laptops</v>
      </c>
      <c r="C339" s="27">
        <f>'AEO14 rsstk'!A356</f>
        <v>9287464</v>
      </c>
      <c r="D339" s="27">
        <f>'AEO14 rsstk'!B356</f>
        <v>2183997</v>
      </c>
      <c r="E339" s="27">
        <f>'AEO14 rsstk'!C356</f>
        <v>185220</v>
      </c>
      <c r="G339" s="27">
        <f>'AEO14 UEC'!A356</f>
        <v>0.22700000000000001</v>
      </c>
      <c r="H339" s="27">
        <f>'AEO14 UEC'!B356</f>
        <v>0.22700000000000001</v>
      </c>
      <c r="I339" s="27">
        <f>'AEO14 UEC'!C356</f>
        <v>0.22700000000000001</v>
      </c>
      <c r="N339" s="52"/>
      <c r="Q339" s="86"/>
    </row>
    <row r="340" spans="1:17">
      <c r="A340" s="27">
        <v>4</v>
      </c>
      <c r="B340" s="27" t="str">
        <f>'AEO14 rsstk'!D357</f>
        <v>PC Laptops</v>
      </c>
      <c r="C340" s="27">
        <f>'AEO14 rsstk'!A357</f>
        <v>4589644</v>
      </c>
      <c r="D340" s="27">
        <f>'AEO14 rsstk'!B357</f>
        <v>676902</v>
      </c>
      <c r="E340" s="27">
        <f>'AEO14 rsstk'!C357</f>
        <v>305597</v>
      </c>
      <c r="G340" s="27">
        <f>'AEO14 UEC'!A357</f>
        <v>0.22700000000000001</v>
      </c>
      <c r="H340" s="27">
        <f>'AEO14 UEC'!B357</f>
        <v>0.22700000000000001</v>
      </c>
      <c r="I340" s="27">
        <f>'AEO14 UEC'!C357</f>
        <v>0.22700000000000001</v>
      </c>
      <c r="N340" s="52"/>
      <c r="Q340" s="86"/>
    </row>
    <row r="341" spans="1:17">
      <c r="A341" s="27">
        <v>5</v>
      </c>
      <c r="B341" s="27" t="str">
        <f>'AEO14 rsstk'!D358</f>
        <v>PC Laptops</v>
      </c>
      <c r="C341" s="27">
        <f>'AEO14 rsstk'!A358</f>
        <v>13329947</v>
      </c>
      <c r="D341" s="27">
        <f>'AEO14 rsstk'!B358</f>
        <v>3387929</v>
      </c>
      <c r="E341" s="27">
        <f>'AEO14 rsstk'!C358</f>
        <v>917686</v>
      </c>
      <c r="G341" s="27">
        <f>'AEO14 UEC'!A358</f>
        <v>0.22700000000000001</v>
      </c>
      <c r="H341" s="27">
        <f>'AEO14 UEC'!B358</f>
        <v>0.22700000000000001</v>
      </c>
      <c r="I341" s="27">
        <f>'AEO14 UEC'!C358</f>
        <v>0.22700000000000001</v>
      </c>
      <c r="N341" s="52"/>
      <c r="Q341" s="86"/>
    </row>
    <row r="342" spans="1:17">
      <c r="A342" s="27">
        <v>6</v>
      </c>
      <c r="B342" s="27" t="str">
        <f>'AEO14 rsstk'!D359</f>
        <v>PC Laptops</v>
      </c>
      <c r="C342" s="27">
        <f>'AEO14 rsstk'!A359</f>
        <v>3245438</v>
      </c>
      <c r="D342" s="27">
        <f>'AEO14 rsstk'!B359</f>
        <v>566983</v>
      </c>
      <c r="E342" s="27">
        <f>'AEO14 rsstk'!C359</f>
        <v>99788</v>
      </c>
      <c r="G342" s="27">
        <f>'AEO14 UEC'!A359</f>
        <v>0.22700000000000001</v>
      </c>
      <c r="H342" s="27">
        <f>'AEO14 UEC'!B359</f>
        <v>0.22700000000000001</v>
      </c>
      <c r="I342" s="27">
        <f>'AEO14 UEC'!C359</f>
        <v>0.22700000000000001</v>
      </c>
      <c r="N342" s="52"/>
      <c r="Q342" s="86"/>
    </row>
    <row r="343" spans="1:17">
      <c r="A343" s="27">
        <v>7</v>
      </c>
      <c r="B343" s="27" t="str">
        <f>'AEO14 rsstk'!D360</f>
        <v>PC Laptops</v>
      </c>
      <c r="C343" s="27">
        <f>'AEO14 rsstk'!A360</f>
        <v>6720710</v>
      </c>
      <c r="D343" s="27">
        <f>'AEO14 rsstk'!B360</f>
        <v>1608966</v>
      </c>
      <c r="E343" s="27">
        <f>'AEO14 rsstk'!C360</f>
        <v>286795</v>
      </c>
      <c r="G343" s="27">
        <f>'AEO14 UEC'!A360</f>
        <v>0.22700000000000001</v>
      </c>
      <c r="H343" s="27">
        <f>'AEO14 UEC'!B360</f>
        <v>0.22700000000000001</v>
      </c>
      <c r="I343" s="27">
        <f>'AEO14 UEC'!C360</f>
        <v>0.22700000000000001</v>
      </c>
      <c r="N343" s="52"/>
      <c r="Q343" s="86"/>
    </row>
    <row r="344" spans="1:17">
      <c r="A344" s="27">
        <v>8</v>
      </c>
      <c r="B344" s="27" t="str">
        <f>'AEO14 rsstk'!D361</f>
        <v>PC Laptops</v>
      </c>
      <c r="C344" s="27">
        <f>'AEO14 rsstk'!A361</f>
        <v>4919325</v>
      </c>
      <c r="D344" s="27">
        <f>'AEO14 rsstk'!B361</f>
        <v>959842</v>
      </c>
      <c r="E344" s="27">
        <f>'AEO14 rsstk'!C361</f>
        <v>209815</v>
      </c>
      <c r="G344" s="27">
        <f>'AEO14 UEC'!A361</f>
        <v>0.22700000000000001</v>
      </c>
      <c r="H344" s="27">
        <f>'AEO14 UEC'!B361</f>
        <v>0.22700000000000001</v>
      </c>
      <c r="I344" s="27">
        <f>'AEO14 UEC'!C361</f>
        <v>0.22700000000000001</v>
      </c>
      <c r="N344" s="52"/>
      <c r="Q344" s="86"/>
    </row>
    <row r="345" spans="1:17">
      <c r="A345" s="27">
        <v>9</v>
      </c>
      <c r="B345" s="27" t="str">
        <f>'AEO14 rsstk'!D362</f>
        <v>PC Laptops</v>
      </c>
      <c r="C345" s="27">
        <f>'AEO14 rsstk'!A362</f>
        <v>10126825</v>
      </c>
      <c r="D345" s="27">
        <f>'AEO14 rsstk'!B362</f>
        <v>3953544</v>
      </c>
      <c r="E345" s="27">
        <f>'AEO14 rsstk'!C362</f>
        <v>321999</v>
      </c>
      <c r="G345" s="27">
        <f>'AEO14 UEC'!A362</f>
        <v>0.22700000000000001</v>
      </c>
      <c r="H345" s="27">
        <f>'AEO14 UEC'!B362</f>
        <v>0.22700000000000001</v>
      </c>
      <c r="I345" s="27">
        <f>'AEO14 UEC'!C362</f>
        <v>0.22700000000000001</v>
      </c>
      <c r="N345" s="52"/>
      <c r="Q345" s="86"/>
    </row>
    <row r="346" spans="1:17">
      <c r="A346" s="27">
        <v>1</v>
      </c>
      <c r="B346" s="27" t="str">
        <f>'AEO14 rsstk'!D363</f>
        <v>PC Monitors</v>
      </c>
      <c r="C346" s="27">
        <f>'AEO14 rsstk'!A363</f>
        <v>3415357</v>
      </c>
      <c r="D346" s="27">
        <f>'AEO14 rsstk'!B363</f>
        <v>1031471</v>
      </c>
      <c r="E346" s="27">
        <f>'AEO14 rsstk'!C363</f>
        <v>54045</v>
      </c>
      <c r="G346" s="27">
        <f>'AEO14 UEC'!A363</f>
        <v>0.376</v>
      </c>
      <c r="H346" s="27">
        <f>'AEO14 UEC'!B363</f>
        <v>0.376</v>
      </c>
      <c r="I346" s="27">
        <f>'AEO14 UEC'!C363</f>
        <v>0.376</v>
      </c>
      <c r="N346" s="52"/>
      <c r="Q346" s="86"/>
    </row>
    <row r="347" spans="1:17">
      <c r="A347" s="27">
        <v>2</v>
      </c>
      <c r="B347" s="27" t="str">
        <f>'AEO14 rsstk'!D364</f>
        <v>PC Monitors</v>
      </c>
      <c r="C347" s="27">
        <f>'AEO14 rsstk'!A364</f>
        <v>8598359</v>
      </c>
      <c r="D347" s="27">
        <f>'AEO14 rsstk'!B364</f>
        <v>2804348</v>
      </c>
      <c r="E347" s="27">
        <f>'AEO14 rsstk'!C364</f>
        <v>279583</v>
      </c>
      <c r="G347" s="27">
        <f>'AEO14 UEC'!A364</f>
        <v>0.376</v>
      </c>
      <c r="H347" s="27">
        <f>'AEO14 UEC'!B364</f>
        <v>0.376</v>
      </c>
      <c r="I347" s="27">
        <f>'AEO14 UEC'!C364</f>
        <v>0.376</v>
      </c>
      <c r="N347" s="52"/>
      <c r="Q347" s="86"/>
    </row>
    <row r="348" spans="1:17">
      <c r="A348" s="27">
        <v>3</v>
      </c>
      <c r="B348" s="27" t="str">
        <f>'AEO14 rsstk'!D365</f>
        <v>PC Monitors</v>
      </c>
      <c r="C348" s="27">
        <f>'AEO14 rsstk'!A365</f>
        <v>11342688</v>
      </c>
      <c r="D348" s="27">
        <f>'AEO14 rsstk'!B365</f>
        <v>2128633</v>
      </c>
      <c r="E348" s="27">
        <f>'AEO14 rsstk'!C365</f>
        <v>246007</v>
      </c>
      <c r="G348" s="27">
        <f>'AEO14 UEC'!A365</f>
        <v>0.376</v>
      </c>
      <c r="H348" s="27">
        <f>'AEO14 UEC'!B365</f>
        <v>0.376</v>
      </c>
      <c r="I348" s="27">
        <f>'AEO14 UEC'!C365</f>
        <v>0.376</v>
      </c>
      <c r="N348" s="52"/>
      <c r="Q348" s="86"/>
    </row>
    <row r="349" spans="1:17">
      <c r="A349" s="27">
        <v>4</v>
      </c>
      <c r="B349" s="27" t="str">
        <f>'AEO14 rsstk'!D366</f>
        <v>PC Monitors</v>
      </c>
      <c r="C349" s="27">
        <f>'AEO14 rsstk'!A366</f>
        <v>5512986</v>
      </c>
      <c r="D349" s="27">
        <f>'AEO14 rsstk'!B366</f>
        <v>535809</v>
      </c>
      <c r="E349" s="27">
        <f>'AEO14 rsstk'!C366</f>
        <v>269281</v>
      </c>
      <c r="G349" s="27">
        <f>'AEO14 UEC'!A366</f>
        <v>0.376</v>
      </c>
      <c r="H349" s="27">
        <f>'AEO14 UEC'!B366</f>
        <v>0.376</v>
      </c>
      <c r="I349" s="27">
        <f>'AEO14 UEC'!C366</f>
        <v>0.376</v>
      </c>
      <c r="N349" s="52"/>
      <c r="Q349" s="86"/>
    </row>
    <row r="350" spans="1:17">
      <c r="A350" s="27">
        <v>5</v>
      </c>
      <c r="B350" s="27" t="str">
        <f>'AEO14 rsstk'!D367</f>
        <v>PC Monitors</v>
      </c>
      <c r="C350" s="27">
        <f>'AEO14 rsstk'!A367</f>
        <v>12779335</v>
      </c>
      <c r="D350" s="27">
        <f>'AEO14 rsstk'!B367</f>
        <v>2163198</v>
      </c>
      <c r="E350" s="27">
        <f>'AEO14 rsstk'!C367</f>
        <v>1161370</v>
      </c>
      <c r="G350" s="27">
        <f>'AEO14 UEC'!A367</f>
        <v>0.376</v>
      </c>
      <c r="H350" s="27">
        <f>'AEO14 UEC'!B367</f>
        <v>0.376</v>
      </c>
      <c r="I350" s="27">
        <f>'AEO14 UEC'!C367</f>
        <v>0.376</v>
      </c>
      <c r="N350" s="52"/>
      <c r="Q350" s="86"/>
    </row>
    <row r="351" spans="1:17">
      <c r="A351" s="27">
        <v>6</v>
      </c>
      <c r="B351" s="27" t="str">
        <f>'AEO14 rsstk'!D368</f>
        <v>PC Monitors</v>
      </c>
      <c r="C351" s="27">
        <f>'AEO14 rsstk'!A368</f>
        <v>4053550</v>
      </c>
      <c r="D351" s="27">
        <f>'AEO14 rsstk'!B368</f>
        <v>378250</v>
      </c>
      <c r="E351" s="27">
        <f>'AEO14 rsstk'!C368</f>
        <v>279580</v>
      </c>
      <c r="G351" s="27">
        <f>'AEO14 UEC'!A368</f>
        <v>0.376</v>
      </c>
      <c r="H351" s="27">
        <f>'AEO14 UEC'!B368</f>
        <v>0.376</v>
      </c>
      <c r="I351" s="27">
        <f>'AEO14 UEC'!C368</f>
        <v>0.376</v>
      </c>
      <c r="N351" s="52"/>
      <c r="Q351" s="86"/>
    </row>
    <row r="352" spans="1:17">
      <c r="A352" s="27">
        <v>7</v>
      </c>
      <c r="B352" s="27" t="str">
        <f>'AEO14 rsstk'!D369</f>
        <v>PC Monitors</v>
      </c>
      <c r="C352" s="27">
        <f>'AEO14 rsstk'!A369</f>
        <v>7448842</v>
      </c>
      <c r="D352" s="27">
        <f>'AEO14 rsstk'!B369</f>
        <v>1126188</v>
      </c>
      <c r="E352" s="27">
        <f>'AEO14 rsstk'!C369</f>
        <v>533797</v>
      </c>
      <c r="G352" s="27">
        <f>'AEO14 UEC'!A369</f>
        <v>0.376</v>
      </c>
      <c r="H352" s="27">
        <f>'AEO14 UEC'!B369</f>
        <v>0.376</v>
      </c>
      <c r="I352" s="27">
        <f>'AEO14 UEC'!C369</f>
        <v>0.376</v>
      </c>
      <c r="N352" s="52"/>
      <c r="Q352" s="86"/>
    </row>
    <row r="353" spans="1:17">
      <c r="A353" s="27">
        <v>8</v>
      </c>
      <c r="B353" s="27" t="str">
        <f>'AEO14 rsstk'!D370</f>
        <v>PC Monitors</v>
      </c>
      <c r="C353" s="27">
        <f>'AEO14 rsstk'!A370</f>
        <v>5655471</v>
      </c>
      <c r="D353" s="27">
        <f>'AEO14 rsstk'!B370</f>
        <v>446294</v>
      </c>
      <c r="E353" s="27">
        <f>'AEO14 rsstk'!C370</f>
        <v>360021</v>
      </c>
      <c r="G353" s="27">
        <f>'AEO14 UEC'!A370</f>
        <v>0.376</v>
      </c>
      <c r="H353" s="27">
        <f>'AEO14 UEC'!B370</f>
        <v>0.376</v>
      </c>
      <c r="I353" s="27">
        <f>'AEO14 UEC'!C370</f>
        <v>0.376</v>
      </c>
      <c r="N353" s="52"/>
      <c r="Q353" s="86"/>
    </row>
    <row r="354" spans="1:17">
      <c r="A354" s="27">
        <v>9</v>
      </c>
      <c r="B354" s="27" t="str">
        <f>'AEO14 rsstk'!D371</f>
        <v>PC Monitors</v>
      </c>
      <c r="C354" s="27">
        <f>'AEO14 rsstk'!A371</f>
        <v>11036678</v>
      </c>
      <c r="D354" s="27">
        <f>'AEO14 rsstk'!B371</f>
        <v>3010073</v>
      </c>
      <c r="E354" s="27">
        <f>'AEO14 rsstk'!C371</f>
        <v>502724</v>
      </c>
      <c r="G354" s="27">
        <f>'AEO14 UEC'!A371</f>
        <v>0.376</v>
      </c>
      <c r="H354" s="27">
        <f>'AEO14 UEC'!B371</f>
        <v>0.376</v>
      </c>
      <c r="I354" s="27">
        <f>'AEO14 UEC'!C371</f>
        <v>0.376</v>
      </c>
      <c r="N354" s="52"/>
      <c r="Q354" s="86"/>
    </row>
    <row r="355" spans="1:17">
      <c r="A355" s="27">
        <v>1</v>
      </c>
      <c r="B355" s="27" t="str">
        <f>'AEO14 rsstk'!D372</f>
        <v>Network Equipment</v>
      </c>
      <c r="C355" s="27">
        <f>'AEO14 rsstk'!A372</f>
        <v>5314750</v>
      </c>
      <c r="D355" s="27">
        <f>'AEO14 rsstk'!B372</f>
        <v>2352703</v>
      </c>
      <c r="E355" s="27">
        <f>'AEO14 rsstk'!C372</f>
        <v>88222</v>
      </c>
      <c r="G355" s="27">
        <f>'AEO14 UEC'!A372</f>
        <v>0.186</v>
      </c>
      <c r="H355" s="27">
        <f>'AEO14 UEC'!B372</f>
        <v>0.186</v>
      </c>
      <c r="I355" s="27">
        <f>'AEO14 UEC'!C372</f>
        <v>0.186</v>
      </c>
      <c r="N355" s="52"/>
      <c r="Q355" s="86"/>
    </row>
    <row r="356" spans="1:17">
      <c r="A356" s="27">
        <v>2</v>
      </c>
      <c r="B356" s="27" t="str">
        <f>'AEO14 rsstk'!D373</f>
        <v>Network Equipment</v>
      </c>
      <c r="C356" s="27">
        <f>'AEO14 rsstk'!A373</f>
        <v>13200188</v>
      </c>
      <c r="D356" s="27">
        <f>'AEO14 rsstk'!B373</f>
        <v>6280160</v>
      </c>
      <c r="E356" s="27">
        <f>'AEO14 rsstk'!C373</f>
        <v>415442</v>
      </c>
      <c r="G356" s="27">
        <f>'AEO14 UEC'!A373</f>
        <v>0.186</v>
      </c>
      <c r="H356" s="27">
        <f>'AEO14 UEC'!B373</f>
        <v>0.186</v>
      </c>
      <c r="I356" s="27">
        <f>'AEO14 UEC'!C373</f>
        <v>0.186</v>
      </c>
      <c r="N356" s="52"/>
      <c r="Q356" s="86"/>
    </row>
    <row r="357" spans="1:17">
      <c r="A357" s="27">
        <v>3</v>
      </c>
      <c r="B357" s="27" t="str">
        <f>'AEO14 rsstk'!D374</f>
        <v>Network Equipment</v>
      </c>
      <c r="C357" s="27">
        <f>'AEO14 rsstk'!A374</f>
        <v>18026703</v>
      </c>
      <c r="D357" s="27">
        <f>'AEO14 rsstk'!B374</f>
        <v>4061557</v>
      </c>
      <c r="E357" s="27">
        <f>'AEO14 rsstk'!C374</f>
        <v>333303</v>
      </c>
      <c r="G357" s="27">
        <f>'AEO14 UEC'!A374</f>
        <v>0.186</v>
      </c>
      <c r="H357" s="27">
        <f>'AEO14 UEC'!B374</f>
        <v>0.186</v>
      </c>
      <c r="I357" s="27">
        <f>'AEO14 UEC'!C374</f>
        <v>0.186</v>
      </c>
      <c r="N357" s="52"/>
      <c r="Q357" s="86"/>
    </row>
    <row r="358" spans="1:17">
      <c r="A358" s="27">
        <v>4</v>
      </c>
      <c r="B358" s="27" t="str">
        <f>'AEO14 rsstk'!D375</f>
        <v>Network Equipment</v>
      </c>
      <c r="C358" s="27">
        <f>'AEO14 rsstk'!A375</f>
        <v>8622824</v>
      </c>
      <c r="D358" s="27">
        <f>'AEO14 rsstk'!B375</f>
        <v>1185800</v>
      </c>
      <c r="E358" s="27">
        <f>'AEO14 rsstk'!C375</f>
        <v>462571</v>
      </c>
      <c r="G358" s="27">
        <f>'AEO14 UEC'!A375</f>
        <v>0.186</v>
      </c>
      <c r="H358" s="27">
        <f>'AEO14 UEC'!B375</f>
        <v>0.186</v>
      </c>
      <c r="I358" s="27">
        <f>'AEO14 UEC'!C375</f>
        <v>0.186</v>
      </c>
      <c r="N358" s="52"/>
      <c r="Q358" s="86"/>
    </row>
    <row r="359" spans="1:17">
      <c r="A359" s="27">
        <v>5</v>
      </c>
      <c r="B359" s="27" t="str">
        <f>'AEO14 rsstk'!D376</f>
        <v>Network Equipment</v>
      </c>
      <c r="C359" s="27">
        <f>'AEO14 rsstk'!A376</f>
        <v>21342325</v>
      </c>
      <c r="D359" s="27">
        <f>'AEO14 rsstk'!B376</f>
        <v>5551675</v>
      </c>
      <c r="E359" s="27">
        <f>'AEO14 rsstk'!C376</f>
        <v>1926716</v>
      </c>
      <c r="G359" s="27">
        <f>'AEO14 UEC'!A376</f>
        <v>0.186</v>
      </c>
      <c r="H359" s="27">
        <f>'AEO14 UEC'!B376</f>
        <v>0.186</v>
      </c>
      <c r="I359" s="27">
        <f>'AEO14 UEC'!C376</f>
        <v>0.186</v>
      </c>
      <c r="N359" s="52"/>
      <c r="Q359" s="86"/>
    </row>
    <row r="360" spans="1:17">
      <c r="A360" s="27">
        <v>6</v>
      </c>
      <c r="B360" s="27" t="str">
        <f>'AEO14 rsstk'!D377</f>
        <v>Network Equipment</v>
      </c>
      <c r="C360" s="27">
        <f>'AEO14 rsstk'!A377</f>
        <v>6877171</v>
      </c>
      <c r="D360" s="27">
        <f>'AEO14 rsstk'!B377</f>
        <v>873912</v>
      </c>
      <c r="E360" s="27">
        <f>'AEO14 rsstk'!C377</f>
        <v>379570</v>
      </c>
      <c r="G360" s="27">
        <f>'AEO14 UEC'!A377</f>
        <v>0.186</v>
      </c>
      <c r="H360" s="27">
        <f>'AEO14 UEC'!B377</f>
        <v>0.186</v>
      </c>
      <c r="I360" s="27">
        <f>'AEO14 UEC'!C377</f>
        <v>0.186</v>
      </c>
      <c r="N360" s="52"/>
      <c r="Q360" s="86"/>
    </row>
    <row r="361" spans="1:17">
      <c r="A361" s="27">
        <v>7</v>
      </c>
      <c r="B361" s="27" t="str">
        <f>'AEO14 rsstk'!D378</f>
        <v>Network Equipment</v>
      </c>
      <c r="C361" s="27">
        <f>'AEO14 rsstk'!A378</f>
        <v>12057900</v>
      </c>
      <c r="D361" s="27">
        <f>'AEO14 rsstk'!B378</f>
        <v>2781756</v>
      </c>
      <c r="E361" s="27">
        <f>'AEO14 rsstk'!C378</f>
        <v>696108</v>
      </c>
      <c r="G361" s="27">
        <f>'AEO14 UEC'!A378</f>
        <v>0.186</v>
      </c>
      <c r="H361" s="27">
        <f>'AEO14 UEC'!B378</f>
        <v>0.186</v>
      </c>
      <c r="I361" s="27">
        <f>'AEO14 UEC'!C378</f>
        <v>0.186</v>
      </c>
      <c r="N361" s="52"/>
      <c r="Q361" s="86"/>
    </row>
    <row r="362" spans="1:17">
      <c r="A362" s="27">
        <v>8</v>
      </c>
      <c r="B362" s="27" t="str">
        <f>'AEO14 rsstk'!D379</f>
        <v>Network Equipment</v>
      </c>
      <c r="C362" s="27">
        <f>'AEO14 rsstk'!A379</f>
        <v>8582707</v>
      </c>
      <c r="D362" s="27">
        <f>'AEO14 rsstk'!B379</f>
        <v>1462994</v>
      </c>
      <c r="E362" s="27">
        <f>'AEO14 rsstk'!C379</f>
        <v>495388</v>
      </c>
      <c r="G362" s="27">
        <f>'AEO14 UEC'!A379</f>
        <v>0.186</v>
      </c>
      <c r="H362" s="27">
        <f>'AEO14 UEC'!B379</f>
        <v>0.186</v>
      </c>
      <c r="I362" s="27">
        <f>'AEO14 UEC'!C379</f>
        <v>0.186</v>
      </c>
      <c r="N362" s="52"/>
      <c r="Q362" s="86"/>
    </row>
    <row r="363" spans="1:17">
      <c r="A363" s="27">
        <v>9</v>
      </c>
      <c r="B363" s="27" t="str">
        <f>'AEO14 rsstk'!D380</f>
        <v>Network Equipment</v>
      </c>
      <c r="C363" s="27">
        <f>'AEO14 rsstk'!A380</f>
        <v>16376825</v>
      </c>
      <c r="D363" s="27">
        <f>'AEO14 rsstk'!B380</f>
        <v>6545149</v>
      </c>
      <c r="E363" s="27">
        <f>'AEO14 rsstk'!C380</f>
        <v>705581</v>
      </c>
      <c r="G363" s="27">
        <f>'AEO14 UEC'!A380</f>
        <v>0.186</v>
      </c>
      <c r="H363" s="27">
        <f>'AEO14 UEC'!B380</f>
        <v>0.186</v>
      </c>
      <c r="I363" s="27">
        <f>'AEO14 UEC'!C380</f>
        <v>0.186</v>
      </c>
      <c r="N363" s="52"/>
      <c r="Q363" s="86"/>
    </row>
    <row r="364" spans="1:17">
      <c r="A364" s="27">
        <v>1</v>
      </c>
      <c r="B364" s="27" t="str">
        <f>'AEO14 rsstk'!D381</f>
        <v>Rechargeable Devices</v>
      </c>
      <c r="C364" s="27">
        <f>'AEO14 rsstk'!A381</f>
        <v>40863299</v>
      </c>
      <c r="D364" s="27">
        <f>'AEO14 rsstk'!B381</f>
        <v>15255943</v>
      </c>
      <c r="E364" s="27">
        <f>'AEO14 rsstk'!C381</f>
        <v>749791</v>
      </c>
      <c r="G364" s="27">
        <f>'AEO14 UEC'!A381</f>
        <v>1.2999999999999999E-2</v>
      </c>
      <c r="H364" s="27">
        <f>'AEO14 UEC'!B381</f>
        <v>1.2999999999999999E-2</v>
      </c>
      <c r="I364" s="27">
        <f>'AEO14 UEC'!C381</f>
        <v>1.2999999999999999E-2</v>
      </c>
      <c r="N364" s="52"/>
      <c r="Q364" s="86"/>
    </row>
    <row r="365" spans="1:17">
      <c r="A365" s="27">
        <v>2</v>
      </c>
      <c r="B365" s="27" t="str">
        <f>'AEO14 rsstk'!D382</f>
        <v>Rechargeable Devices</v>
      </c>
      <c r="C365" s="27">
        <f>'AEO14 rsstk'!A382</f>
        <v>102353850</v>
      </c>
      <c r="D365" s="27">
        <f>'AEO14 rsstk'!B382</f>
        <v>36301951</v>
      </c>
      <c r="E365" s="27">
        <f>'AEO14 rsstk'!C382</f>
        <v>3335956</v>
      </c>
      <c r="G365" s="27">
        <f>'AEO14 UEC'!A382</f>
        <v>1.2999999999999999E-2</v>
      </c>
      <c r="H365" s="27">
        <f>'AEO14 UEC'!B382</f>
        <v>1.2999999999999999E-2</v>
      </c>
      <c r="I365" s="27">
        <f>'AEO14 UEC'!C382</f>
        <v>1.2999999999999999E-2</v>
      </c>
      <c r="N365" s="52"/>
      <c r="Q365" s="86"/>
    </row>
    <row r="366" spans="1:17">
      <c r="A366" s="27">
        <v>3</v>
      </c>
      <c r="B366" s="27" t="str">
        <f>'AEO14 rsstk'!D383</f>
        <v>Rechargeable Devices</v>
      </c>
      <c r="C366" s="27">
        <f>'AEO14 rsstk'!A383</f>
        <v>137957129</v>
      </c>
      <c r="D366" s="27">
        <f>'AEO14 rsstk'!B383</f>
        <v>28380355</v>
      </c>
      <c r="E366" s="27">
        <f>'AEO14 rsstk'!C383</f>
        <v>4473255</v>
      </c>
      <c r="G366" s="27">
        <f>'AEO14 UEC'!A383</f>
        <v>1.2999999999999999E-2</v>
      </c>
      <c r="H366" s="27">
        <f>'AEO14 UEC'!B383</f>
        <v>1.2999999999999999E-2</v>
      </c>
      <c r="I366" s="27">
        <f>'AEO14 UEC'!C383</f>
        <v>1.2999999999999999E-2</v>
      </c>
      <c r="N366" s="52"/>
      <c r="Q366" s="86"/>
    </row>
    <row r="367" spans="1:17">
      <c r="A367" s="27">
        <v>4</v>
      </c>
      <c r="B367" s="27" t="str">
        <f>'AEO14 rsstk'!D384</f>
        <v>Rechargeable Devices</v>
      </c>
      <c r="C367" s="27">
        <f>'AEO14 rsstk'!A384</f>
        <v>72338734</v>
      </c>
      <c r="D367" s="27">
        <f>'AEO14 rsstk'!B384</f>
        <v>8601235</v>
      </c>
      <c r="E367" s="27">
        <f>'AEO14 rsstk'!C384</f>
        <v>4615471</v>
      </c>
      <c r="G367" s="27">
        <f>'AEO14 UEC'!A384</f>
        <v>1.2999999999999999E-2</v>
      </c>
      <c r="H367" s="27">
        <f>'AEO14 UEC'!B384</f>
        <v>1.2999999999999999E-2</v>
      </c>
      <c r="I367" s="27">
        <f>'AEO14 UEC'!C384</f>
        <v>1.2999999999999999E-2</v>
      </c>
      <c r="N367" s="52"/>
      <c r="Q367" s="86"/>
    </row>
    <row r="368" spans="1:17">
      <c r="A368" s="27">
        <v>5</v>
      </c>
      <c r="B368" s="27" t="str">
        <f>'AEO14 rsstk'!D385</f>
        <v>Rechargeable Devices</v>
      </c>
      <c r="C368" s="27">
        <f>'AEO14 rsstk'!A385</f>
        <v>169806106</v>
      </c>
      <c r="D368" s="27">
        <f>'AEO14 rsstk'!B385</f>
        <v>29853070</v>
      </c>
      <c r="E368" s="27">
        <f>'AEO14 rsstk'!C385</f>
        <v>20496887</v>
      </c>
      <c r="G368" s="27">
        <f>'AEO14 UEC'!A385</f>
        <v>1.2999999999999999E-2</v>
      </c>
      <c r="H368" s="27">
        <f>'AEO14 UEC'!B385</f>
        <v>1.2999999999999999E-2</v>
      </c>
      <c r="I368" s="27">
        <f>'AEO14 UEC'!C385</f>
        <v>1.2999999999999999E-2</v>
      </c>
      <c r="N368" s="52"/>
      <c r="Q368" s="86"/>
    </row>
    <row r="369" spans="1:17">
      <c r="A369" s="27">
        <v>6</v>
      </c>
      <c r="B369" s="27" t="str">
        <f>'AEO14 rsstk'!D386</f>
        <v>Rechargeable Devices</v>
      </c>
      <c r="C369" s="27">
        <f>'AEO14 rsstk'!A386</f>
        <v>57988366</v>
      </c>
      <c r="D369" s="27">
        <f>'AEO14 rsstk'!B386</f>
        <v>6794208</v>
      </c>
      <c r="E369" s="27">
        <f>'AEO14 rsstk'!C386</f>
        <v>5727191</v>
      </c>
      <c r="G369" s="27">
        <f>'AEO14 UEC'!A386</f>
        <v>1.2999999999999999E-2</v>
      </c>
      <c r="H369" s="27">
        <f>'AEO14 UEC'!B386</f>
        <v>1.2999999999999999E-2</v>
      </c>
      <c r="I369" s="27">
        <f>'AEO14 UEC'!C386</f>
        <v>1.2999999999999999E-2</v>
      </c>
      <c r="N369" s="52"/>
      <c r="Q369" s="86"/>
    </row>
    <row r="370" spans="1:17">
      <c r="A370" s="27">
        <v>7</v>
      </c>
      <c r="B370" s="27" t="str">
        <f>'AEO14 rsstk'!D387</f>
        <v>Rechargeable Devices</v>
      </c>
      <c r="C370" s="27">
        <f>'AEO14 rsstk'!A387</f>
        <v>96195087</v>
      </c>
      <c r="D370" s="27">
        <f>'AEO14 rsstk'!B387</f>
        <v>16679977</v>
      </c>
      <c r="E370" s="27">
        <f>'AEO14 rsstk'!C387</f>
        <v>7053515</v>
      </c>
      <c r="G370" s="27">
        <f>'AEO14 UEC'!A387</f>
        <v>1.2999999999999999E-2</v>
      </c>
      <c r="H370" s="27">
        <f>'AEO14 UEC'!B387</f>
        <v>1.2999999999999999E-2</v>
      </c>
      <c r="I370" s="27">
        <f>'AEO14 UEC'!C387</f>
        <v>1.2999999999999999E-2</v>
      </c>
      <c r="N370" s="52"/>
      <c r="Q370" s="86"/>
    </row>
    <row r="371" spans="1:17">
      <c r="A371" s="27">
        <v>8</v>
      </c>
      <c r="B371" s="27" t="str">
        <f>'AEO14 rsstk'!D388</f>
        <v>Rechargeable Devices</v>
      </c>
      <c r="C371" s="27">
        <f>'AEO14 rsstk'!A388</f>
        <v>70904065</v>
      </c>
      <c r="D371" s="27">
        <f>'AEO14 rsstk'!B388</f>
        <v>8160897</v>
      </c>
      <c r="E371" s="27">
        <f>'AEO14 rsstk'!C388</f>
        <v>5412721</v>
      </c>
      <c r="G371" s="27">
        <f>'AEO14 UEC'!A388</f>
        <v>1.2999999999999999E-2</v>
      </c>
      <c r="H371" s="27">
        <f>'AEO14 UEC'!B388</f>
        <v>1.2999999999999999E-2</v>
      </c>
      <c r="I371" s="27">
        <f>'AEO14 UEC'!C388</f>
        <v>1.2999999999999999E-2</v>
      </c>
      <c r="N371" s="52"/>
      <c r="Q371" s="86"/>
    </row>
    <row r="372" spans="1:17">
      <c r="A372" s="27">
        <v>9</v>
      </c>
      <c r="B372" s="27" t="str">
        <f>'AEO14 rsstk'!D389</f>
        <v>Rechargeable Devices</v>
      </c>
      <c r="C372" s="27">
        <f>'AEO14 rsstk'!A389</f>
        <v>128814530</v>
      </c>
      <c r="D372" s="27">
        <f>'AEO14 rsstk'!B389</f>
        <v>40088883</v>
      </c>
      <c r="E372" s="27">
        <f>'AEO14 rsstk'!C389</f>
        <v>5797525</v>
      </c>
      <c r="G372" s="27">
        <f>'AEO14 UEC'!A389</f>
        <v>1.2999999999999999E-2</v>
      </c>
      <c r="H372" s="27">
        <f>'AEO14 UEC'!B389</f>
        <v>1.2999999999999999E-2</v>
      </c>
      <c r="I372" s="27">
        <f>'AEO14 UEC'!C389</f>
        <v>1.2999999999999999E-2</v>
      </c>
      <c r="N372" s="52"/>
      <c r="Q372" s="86"/>
    </row>
    <row r="373" spans="1:17">
      <c r="A373" s="27">
        <v>1</v>
      </c>
      <c r="B373" s="27" t="str">
        <f>'AEO14 rsstk'!D390</f>
        <v>Ceiling Fans</v>
      </c>
      <c r="C373" s="27">
        <f>'AEO14 rsstk'!A390</f>
        <v>6382353</v>
      </c>
      <c r="D373" s="27">
        <f>'AEO14 rsstk'!B390</f>
        <v>1534568</v>
      </c>
      <c r="E373" s="27">
        <f>'AEO14 rsstk'!C390</f>
        <v>68855</v>
      </c>
      <c r="G373" s="27">
        <f>'AEO14 UEC'!A390</f>
        <v>0.27200000000000002</v>
      </c>
      <c r="H373" s="27">
        <f>'AEO14 UEC'!B390</f>
        <v>0.27200000000000002</v>
      </c>
      <c r="I373" s="27">
        <f>'AEO14 UEC'!C390</f>
        <v>0.27200000000000002</v>
      </c>
      <c r="N373" s="52"/>
      <c r="Q373" s="86"/>
    </row>
    <row r="374" spans="1:17">
      <c r="A374" s="27">
        <v>2</v>
      </c>
      <c r="B374" s="27" t="str">
        <f>'AEO14 rsstk'!D391</f>
        <v>Ceiling Fans</v>
      </c>
      <c r="C374" s="27">
        <f>'AEO14 rsstk'!A391</f>
        <v>20372028</v>
      </c>
      <c r="D374" s="27">
        <f>'AEO14 rsstk'!B391</f>
        <v>3141473</v>
      </c>
      <c r="E374" s="27">
        <f>'AEO14 rsstk'!C391</f>
        <v>704234</v>
      </c>
      <c r="G374" s="27">
        <f>'AEO14 UEC'!A391</f>
        <v>0.27200000000000002</v>
      </c>
      <c r="H374" s="27">
        <f>'AEO14 UEC'!B391</f>
        <v>0.27200000000000002</v>
      </c>
      <c r="I374" s="27">
        <f>'AEO14 UEC'!C391</f>
        <v>0.27200000000000002</v>
      </c>
      <c r="N374" s="52"/>
      <c r="Q374" s="86"/>
    </row>
    <row r="375" spans="1:17">
      <c r="A375" s="27">
        <v>3</v>
      </c>
      <c r="B375" s="27" t="str">
        <f>'AEO14 rsstk'!D392</f>
        <v>Ceiling Fans</v>
      </c>
      <c r="C375" s="27">
        <f>'AEO14 rsstk'!A392</f>
        <v>30786531</v>
      </c>
      <c r="D375" s="27">
        <f>'AEO14 rsstk'!B392</f>
        <v>3397894</v>
      </c>
      <c r="E375" s="27">
        <f>'AEO14 rsstk'!C392</f>
        <v>949344</v>
      </c>
      <c r="G375" s="27">
        <f>'AEO14 UEC'!A392</f>
        <v>0.27200000000000002</v>
      </c>
      <c r="H375" s="27">
        <f>'AEO14 UEC'!B392</f>
        <v>0.27200000000000002</v>
      </c>
      <c r="I375" s="27">
        <f>'AEO14 UEC'!C392</f>
        <v>0.27200000000000002</v>
      </c>
      <c r="N375" s="52"/>
      <c r="Q375" s="86"/>
    </row>
    <row r="376" spans="1:17">
      <c r="A376" s="27">
        <v>4</v>
      </c>
      <c r="B376" s="27" t="str">
        <f>'AEO14 rsstk'!D393</f>
        <v>Ceiling Fans</v>
      </c>
      <c r="C376" s="27">
        <f>'AEO14 rsstk'!A393</f>
        <v>15330720</v>
      </c>
      <c r="D376" s="27">
        <f>'AEO14 rsstk'!B393</f>
        <v>1225862</v>
      </c>
      <c r="E376" s="27">
        <f>'AEO14 rsstk'!C393</f>
        <v>798769</v>
      </c>
      <c r="G376" s="27">
        <f>'AEO14 UEC'!A393</f>
        <v>0.27200000000000002</v>
      </c>
      <c r="H376" s="27">
        <f>'AEO14 UEC'!B393</f>
        <v>0.27200000000000002</v>
      </c>
      <c r="I376" s="27">
        <f>'AEO14 UEC'!C393</f>
        <v>0.27200000000000002</v>
      </c>
      <c r="N376" s="52"/>
      <c r="Q376" s="86"/>
    </row>
    <row r="377" spans="1:17">
      <c r="A377" s="27">
        <v>5</v>
      </c>
      <c r="B377" s="27" t="str">
        <f>'AEO14 rsstk'!D394</f>
        <v>Ceiling Fans</v>
      </c>
      <c r="C377" s="27">
        <f>'AEO14 rsstk'!A394</f>
        <v>48499908</v>
      </c>
      <c r="D377" s="27">
        <f>'AEO14 rsstk'!B394</f>
        <v>5509101</v>
      </c>
      <c r="E377" s="27">
        <f>'AEO14 rsstk'!C394</f>
        <v>4745456</v>
      </c>
      <c r="G377" s="27">
        <f>'AEO14 UEC'!A394</f>
        <v>0.27200000000000002</v>
      </c>
      <c r="H377" s="27">
        <f>'AEO14 UEC'!B394</f>
        <v>0.27200000000000002</v>
      </c>
      <c r="I377" s="27">
        <f>'AEO14 UEC'!C394</f>
        <v>0.27200000000000002</v>
      </c>
      <c r="N377" s="52"/>
      <c r="Q377" s="86"/>
    </row>
    <row r="378" spans="1:17">
      <c r="A378" s="27">
        <v>6</v>
      </c>
      <c r="B378" s="27" t="str">
        <f>'AEO14 rsstk'!D395</f>
        <v>Ceiling Fans</v>
      </c>
      <c r="C378" s="27">
        <f>'AEO14 rsstk'!A395</f>
        <v>18197252</v>
      </c>
      <c r="D378" s="27">
        <f>'AEO14 rsstk'!B395</f>
        <v>1100312</v>
      </c>
      <c r="E378" s="27">
        <f>'AEO14 rsstk'!C395</f>
        <v>986638</v>
      </c>
      <c r="G378" s="27">
        <f>'AEO14 UEC'!A395</f>
        <v>0.27200000000000002</v>
      </c>
      <c r="H378" s="27">
        <f>'AEO14 UEC'!B395</f>
        <v>0.27200000000000002</v>
      </c>
      <c r="I378" s="27">
        <f>'AEO14 UEC'!C395</f>
        <v>0.27200000000000002</v>
      </c>
      <c r="N378" s="52"/>
      <c r="Q378" s="86"/>
    </row>
    <row r="379" spans="1:17">
      <c r="A379" s="27">
        <v>7</v>
      </c>
      <c r="B379" s="27" t="str">
        <f>'AEO14 rsstk'!D396</f>
        <v>Ceiling Fans</v>
      </c>
      <c r="C379" s="27">
        <f>'AEO14 rsstk'!A396</f>
        <v>31020079</v>
      </c>
      <c r="D379" s="27">
        <f>'AEO14 rsstk'!B396</f>
        <v>3617154</v>
      </c>
      <c r="E379" s="27">
        <f>'AEO14 rsstk'!C396</f>
        <v>1570593</v>
      </c>
      <c r="G379" s="27">
        <f>'AEO14 UEC'!A396</f>
        <v>0.27200000000000002</v>
      </c>
      <c r="H379" s="27">
        <f>'AEO14 UEC'!B396</f>
        <v>0.27200000000000002</v>
      </c>
      <c r="I379" s="27">
        <f>'AEO14 UEC'!C396</f>
        <v>0.27200000000000002</v>
      </c>
      <c r="N379" s="52"/>
      <c r="Q379" s="86"/>
    </row>
    <row r="380" spans="1:17">
      <c r="A380" s="27">
        <v>8</v>
      </c>
      <c r="B380" s="27" t="str">
        <f>'AEO14 rsstk'!D397</f>
        <v>Ceiling Fans</v>
      </c>
      <c r="C380" s="27">
        <f>'AEO14 rsstk'!A397</f>
        <v>14968531</v>
      </c>
      <c r="D380" s="27">
        <f>'AEO14 rsstk'!B397</f>
        <v>1202993</v>
      </c>
      <c r="E380" s="27">
        <f>'AEO14 rsstk'!C397</f>
        <v>1023787</v>
      </c>
      <c r="G380" s="27">
        <f>'AEO14 UEC'!A397</f>
        <v>0.27200000000000002</v>
      </c>
      <c r="H380" s="27">
        <f>'AEO14 UEC'!B397</f>
        <v>0.27200000000000002</v>
      </c>
      <c r="I380" s="27">
        <f>'AEO14 UEC'!C397</f>
        <v>0.27200000000000002</v>
      </c>
      <c r="N380" s="52"/>
      <c r="Q380" s="86"/>
    </row>
    <row r="381" spans="1:17">
      <c r="A381" s="27">
        <v>9</v>
      </c>
      <c r="B381" s="27" t="str">
        <f>'AEO14 rsstk'!D398</f>
        <v>Ceiling Fans</v>
      </c>
      <c r="C381" s="27">
        <f>'AEO14 rsstk'!A398</f>
        <v>18597828</v>
      </c>
      <c r="D381" s="27">
        <f>'AEO14 rsstk'!B398</f>
        <v>3023413</v>
      </c>
      <c r="E381" s="27">
        <f>'AEO14 rsstk'!C398</f>
        <v>572384</v>
      </c>
      <c r="G381" s="27">
        <f>'AEO14 UEC'!A398</f>
        <v>0.27200000000000002</v>
      </c>
      <c r="H381" s="27">
        <f>'AEO14 UEC'!B398</f>
        <v>0.27200000000000002</v>
      </c>
      <c r="I381" s="27">
        <f>'AEO14 UEC'!C398</f>
        <v>0.27200000000000002</v>
      </c>
      <c r="N381" s="52"/>
      <c r="Q381" s="86"/>
    </row>
    <row r="382" spans="1:17">
      <c r="A382" s="27">
        <v>1</v>
      </c>
      <c r="B382" s="27" t="str">
        <f>'AEO14 rsstk'!D399</f>
        <v>Coffee Machines</v>
      </c>
      <c r="C382" s="27">
        <f>'AEO14 rsstk'!A399</f>
        <v>2512016</v>
      </c>
      <c r="D382" s="27">
        <f>'AEO14 rsstk'!B399</f>
        <v>1165957</v>
      </c>
      <c r="E382" s="27">
        <f>'AEO14 rsstk'!C399</f>
        <v>54272</v>
      </c>
      <c r="G382" s="27">
        <f>'AEO14 UEC'!A399</f>
        <v>0.20799999999999999</v>
      </c>
      <c r="H382" s="27">
        <f>'AEO14 UEC'!B399</f>
        <v>0.20799999999999999</v>
      </c>
      <c r="I382" s="27">
        <f>'AEO14 UEC'!C399</f>
        <v>0.20799999999999999</v>
      </c>
      <c r="N382" s="52"/>
      <c r="Q382" s="86"/>
    </row>
    <row r="383" spans="1:17">
      <c r="A383" s="27">
        <v>2</v>
      </c>
      <c r="B383" s="27" t="str">
        <f>'AEO14 rsstk'!D400</f>
        <v>Coffee Machines</v>
      </c>
      <c r="C383" s="27">
        <f>'AEO14 rsstk'!A400</f>
        <v>6506801</v>
      </c>
      <c r="D383" s="27">
        <f>'AEO14 rsstk'!B400</f>
        <v>2501668</v>
      </c>
      <c r="E383" s="27">
        <f>'AEO14 rsstk'!C400</f>
        <v>312261</v>
      </c>
      <c r="G383" s="27">
        <f>'AEO14 UEC'!A400</f>
        <v>0.20799999999999999</v>
      </c>
      <c r="H383" s="27">
        <f>'AEO14 UEC'!B400</f>
        <v>0.20799999999999999</v>
      </c>
      <c r="I383" s="27">
        <f>'AEO14 UEC'!C400</f>
        <v>0.20799999999999999</v>
      </c>
      <c r="N383" s="52"/>
      <c r="Q383" s="86"/>
    </row>
    <row r="384" spans="1:17">
      <c r="A384" s="27">
        <v>3</v>
      </c>
      <c r="B384" s="27" t="str">
        <f>'AEO14 rsstk'!D401</f>
        <v>Coffee Machines</v>
      </c>
      <c r="C384" s="27">
        <f>'AEO14 rsstk'!A401</f>
        <v>9039722</v>
      </c>
      <c r="D384" s="27">
        <f>'AEO14 rsstk'!B401</f>
        <v>2099517</v>
      </c>
      <c r="E384" s="27">
        <f>'AEO14 rsstk'!C401</f>
        <v>437304</v>
      </c>
      <c r="G384" s="27">
        <f>'AEO14 UEC'!A401</f>
        <v>0.20799999999999999</v>
      </c>
      <c r="H384" s="27">
        <f>'AEO14 UEC'!B401</f>
        <v>0.20799999999999999</v>
      </c>
      <c r="I384" s="27">
        <f>'AEO14 UEC'!C401</f>
        <v>0.20799999999999999</v>
      </c>
      <c r="N384" s="52"/>
      <c r="Q384" s="86"/>
    </row>
    <row r="385" spans="1:17">
      <c r="A385" s="27">
        <v>4</v>
      </c>
      <c r="B385" s="27" t="str">
        <f>'AEO14 rsstk'!D402</f>
        <v>Coffee Machines</v>
      </c>
      <c r="C385" s="27">
        <f>'AEO14 rsstk'!A402</f>
        <v>4300105</v>
      </c>
      <c r="D385" s="27">
        <f>'AEO14 rsstk'!B402</f>
        <v>740826</v>
      </c>
      <c r="E385" s="27">
        <f>'AEO14 rsstk'!C402</f>
        <v>386464</v>
      </c>
      <c r="G385" s="27">
        <f>'AEO14 UEC'!A402</f>
        <v>0.20799999999999999</v>
      </c>
      <c r="H385" s="27">
        <f>'AEO14 UEC'!B402</f>
        <v>0.20799999999999999</v>
      </c>
      <c r="I385" s="27">
        <f>'AEO14 UEC'!C402</f>
        <v>0.20799999999999999</v>
      </c>
      <c r="N385" s="52"/>
      <c r="Q385" s="86"/>
    </row>
    <row r="386" spans="1:17">
      <c r="A386" s="27">
        <v>5</v>
      </c>
      <c r="B386" s="27" t="str">
        <f>'AEO14 rsstk'!D403</f>
        <v>Coffee Machines</v>
      </c>
      <c r="C386" s="27">
        <f>'AEO14 rsstk'!A403</f>
        <v>10231979</v>
      </c>
      <c r="D386" s="27">
        <f>'AEO14 rsstk'!B403</f>
        <v>2268138</v>
      </c>
      <c r="E386" s="27">
        <f>'AEO14 rsstk'!C403</f>
        <v>1784086</v>
      </c>
      <c r="G386" s="27">
        <f>'AEO14 UEC'!A403</f>
        <v>0.20799999999999999</v>
      </c>
      <c r="H386" s="27">
        <f>'AEO14 UEC'!B403</f>
        <v>0.20799999999999999</v>
      </c>
      <c r="I386" s="27">
        <f>'AEO14 UEC'!C403</f>
        <v>0.20799999999999999</v>
      </c>
      <c r="N386" s="52"/>
      <c r="Q386" s="86"/>
    </row>
    <row r="387" spans="1:17">
      <c r="A387" s="27">
        <v>6</v>
      </c>
      <c r="B387" s="27" t="str">
        <f>'AEO14 rsstk'!D404</f>
        <v>Coffee Machines</v>
      </c>
      <c r="C387" s="27">
        <f>'AEO14 rsstk'!A404</f>
        <v>4157583</v>
      </c>
      <c r="D387" s="27">
        <f>'AEO14 rsstk'!B404</f>
        <v>505688</v>
      </c>
      <c r="E387" s="27">
        <f>'AEO14 rsstk'!C404</f>
        <v>420548</v>
      </c>
      <c r="G387" s="27">
        <f>'AEO14 UEC'!A404</f>
        <v>0.20799999999999999</v>
      </c>
      <c r="H387" s="27">
        <f>'AEO14 UEC'!B404</f>
        <v>0.20799999999999999</v>
      </c>
      <c r="I387" s="27">
        <f>'AEO14 UEC'!C404</f>
        <v>0.20799999999999999</v>
      </c>
      <c r="N387" s="52"/>
      <c r="Q387" s="86"/>
    </row>
    <row r="388" spans="1:17">
      <c r="A388" s="27">
        <v>7</v>
      </c>
      <c r="B388" s="27" t="str">
        <f>'AEO14 rsstk'!D405</f>
        <v>Coffee Machines</v>
      </c>
      <c r="C388" s="27">
        <f>'AEO14 rsstk'!A405</f>
        <v>6061977</v>
      </c>
      <c r="D388" s="27">
        <f>'AEO14 rsstk'!B405</f>
        <v>1226467</v>
      </c>
      <c r="E388" s="27">
        <f>'AEO14 rsstk'!C405</f>
        <v>580668</v>
      </c>
      <c r="G388" s="27">
        <f>'AEO14 UEC'!A405</f>
        <v>0.20799999999999999</v>
      </c>
      <c r="H388" s="27">
        <f>'AEO14 UEC'!B405</f>
        <v>0.20799999999999999</v>
      </c>
      <c r="I388" s="27">
        <f>'AEO14 UEC'!C405</f>
        <v>0.20799999999999999</v>
      </c>
      <c r="N388" s="52"/>
      <c r="Q388" s="86"/>
    </row>
    <row r="389" spans="1:17">
      <c r="A389" s="27">
        <v>8</v>
      </c>
      <c r="B389" s="27" t="str">
        <f>'AEO14 rsstk'!D406</f>
        <v>Coffee Machines</v>
      </c>
      <c r="C389" s="27">
        <f>'AEO14 rsstk'!A406</f>
        <v>4082301</v>
      </c>
      <c r="D389" s="27">
        <f>'AEO14 rsstk'!B406</f>
        <v>677273</v>
      </c>
      <c r="E389" s="27">
        <f>'AEO14 rsstk'!C406</f>
        <v>372102</v>
      </c>
      <c r="G389" s="27">
        <f>'AEO14 UEC'!A406</f>
        <v>0.20799999999999999</v>
      </c>
      <c r="H389" s="27">
        <f>'AEO14 UEC'!B406</f>
        <v>0.20799999999999999</v>
      </c>
      <c r="I389" s="27">
        <f>'AEO14 UEC'!C406</f>
        <v>0.20799999999999999</v>
      </c>
      <c r="N389" s="52"/>
      <c r="Q389" s="86"/>
    </row>
    <row r="390" spans="1:17">
      <c r="A390" s="27">
        <v>9</v>
      </c>
      <c r="B390" s="27" t="str">
        <f>'AEO14 rsstk'!D407</f>
        <v>Coffee Machines</v>
      </c>
      <c r="C390" s="27">
        <f>'AEO14 rsstk'!A407</f>
        <v>6866006</v>
      </c>
      <c r="D390" s="27">
        <f>'AEO14 rsstk'!B407</f>
        <v>2272389</v>
      </c>
      <c r="E390" s="27">
        <f>'AEO14 rsstk'!C407</f>
        <v>454833</v>
      </c>
      <c r="G390" s="27">
        <f>'AEO14 UEC'!A407</f>
        <v>0.20799999999999999</v>
      </c>
      <c r="H390" s="27">
        <f>'AEO14 UEC'!B407</f>
        <v>0.20799999999999999</v>
      </c>
      <c r="I390" s="27">
        <f>'AEO14 UEC'!C407</f>
        <v>0.20799999999999999</v>
      </c>
      <c r="N390" s="52"/>
      <c r="Q390" s="86"/>
    </row>
    <row r="391" spans="1:17">
      <c r="A391" s="27">
        <v>1</v>
      </c>
      <c r="B391" s="27" t="str">
        <f>'AEO14 rsstk'!D408</f>
        <v>Dehumidifiers</v>
      </c>
      <c r="C391" s="27">
        <f>'AEO14 rsstk'!A408</f>
        <v>1362585</v>
      </c>
      <c r="D391" s="27">
        <f>'AEO14 rsstk'!B408</f>
        <v>155162</v>
      </c>
      <c r="E391" s="27">
        <f>'AEO14 rsstk'!C408</f>
        <v>4251</v>
      </c>
      <c r="G391" s="27">
        <f>'AEO14 UEC'!A408</f>
        <v>2.5760000000000001</v>
      </c>
      <c r="H391" s="27">
        <f>'AEO14 UEC'!B408</f>
        <v>2.5760000000000001</v>
      </c>
      <c r="I391" s="27">
        <f>'AEO14 UEC'!C408</f>
        <v>2.5760000000000001</v>
      </c>
      <c r="N391" s="52"/>
      <c r="Q391" s="86"/>
    </row>
    <row r="392" spans="1:17">
      <c r="A392" s="27">
        <v>2</v>
      </c>
      <c r="B392" s="27" t="str">
        <f>'AEO14 rsstk'!D409</f>
        <v>Dehumidifiers</v>
      </c>
      <c r="C392" s="27">
        <f>'AEO14 rsstk'!A409</f>
        <v>3212455</v>
      </c>
      <c r="D392" s="27">
        <f>'AEO14 rsstk'!B409</f>
        <v>290570</v>
      </c>
      <c r="E392" s="27">
        <f>'AEO14 rsstk'!C409</f>
        <v>72945</v>
      </c>
      <c r="G392" s="27">
        <f>'AEO14 UEC'!A409</f>
        <v>2.5760000000000001</v>
      </c>
      <c r="H392" s="27">
        <f>'AEO14 UEC'!B409</f>
        <v>2.5760000000000001</v>
      </c>
      <c r="I392" s="27">
        <f>'AEO14 UEC'!C409</f>
        <v>2.5760000000000001</v>
      </c>
      <c r="N392" s="52"/>
      <c r="Q392" s="86"/>
    </row>
    <row r="393" spans="1:17">
      <c r="A393" s="27">
        <v>3</v>
      </c>
      <c r="B393" s="27" t="str">
        <f>'AEO14 rsstk'!D410</f>
        <v>Dehumidifiers</v>
      </c>
      <c r="C393" s="27">
        <f>'AEO14 rsstk'!A410</f>
        <v>4221823</v>
      </c>
      <c r="D393" s="27">
        <f>'AEO14 rsstk'!B410</f>
        <v>265242</v>
      </c>
      <c r="E393" s="27">
        <f>'AEO14 rsstk'!C410</f>
        <v>0</v>
      </c>
      <c r="G393" s="27">
        <f>'AEO14 UEC'!A410</f>
        <v>2.5760000000000001</v>
      </c>
      <c r="H393" s="27">
        <f>'AEO14 UEC'!B410</f>
        <v>2.5760000000000001</v>
      </c>
      <c r="I393" s="27">
        <f>'AEO14 UEC'!C410</f>
        <v>2.5760000000000001</v>
      </c>
      <c r="N393" s="52"/>
      <c r="Q393" s="86"/>
    </row>
    <row r="394" spans="1:17">
      <c r="A394" s="27">
        <v>4</v>
      </c>
      <c r="B394" s="27" t="str">
        <f>'AEO14 rsstk'!D411</f>
        <v>Dehumidifiers</v>
      </c>
      <c r="C394" s="27">
        <f>'AEO14 rsstk'!A411</f>
        <v>1894974</v>
      </c>
      <c r="D394" s="27">
        <f>'AEO14 rsstk'!B411</f>
        <v>48208</v>
      </c>
      <c r="E394" s="27">
        <f>'AEO14 rsstk'!C411</f>
        <v>33482</v>
      </c>
      <c r="G394" s="27">
        <f>'AEO14 UEC'!A411</f>
        <v>2.5760000000000001</v>
      </c>
      <c r="H394" s="27">
        <f>'AEO14 UEC'!B411</f>
        <v>2.5760000000000001</v>
      </c>
      <c r="I394" s="27">
        <f>'AEO14 UEC'!C411</f>
        <v>2.5760000000000001</v>
      </c>
      <c r="N394" s="52"/>
      <c r="Q394" s="86"/>
    </row>
    <row r="395" spans="1:17">
      <c r="A395" s="27">
        <v>5</v>
      </c>
      <c r="B395" s="27" t="str">
        <f>'AEO14 rsstk'!D412</f>
        <v>Dehumidifiers</v>
      </c>
      <c r="C395" s="27">
        <f>'AEO14 rsstk'!A412</f>
        <v>1768156</v>
      </c>
      <c r="D395" s="27">
        <f>'AEO14 rsstk'!B412</f>
        <v>195696</v>
      </c>
      <c r="E395" s="27">
        <f>'AEO14 rsstk'!C412</f>
        <v>58835</v>
      </c>
      <c r="G395" s="27">
        <f>'AEO14 UEC'!A412</f>
        <v>2.5760000000000001</v>
      </c>
      <c r="H395" s="27">
        <f>'AEO14 UEC'!B412</f>
        <v>2.5760000000000001</v>
      </c>
      <c r="I395" s="27">
        <f>'AEO14 UEC'!C412</f>
        <v>2.5760000000000001</v>
      </c>
      <c r="N395" s="52"/>
      <c r="Q395" s="86"/>
    </row>
    <row r="396" spans="1:17">
      <c r="A396" s="27">
        <v>6</v>
      </c>
      <c r="B396" s="27" t="str">
        <f>'AEO14 rsstk'!D413</f>
        <v>Dehumidifiers</v>
      </c>
      <c r="C396" s="27">
        <f>'AEO14 rsstk'!A413</f>
        <v>475179</v>
      </c>
      <c r="D396" s="27">
        <f>'AEO14 rsstk'!B413</f>
        <v>30977</v>
      </c>
      <c r="E396" s="27">
        <f>'AEO14 rsstk'!C413</f>
        <v>13117</v>
      </c>
      <c r="G396" s="27">
        <f>'AEO14 UEC'!A413</f>
        <v>2.5760000000000001</v>
      </c>
      <c r="H396" s="27">
        <f>'AEO14 UEC'!B413</f>
        <v>2.5760000000000001</v>
      </c>
      <c r="I396" s="27">
        <f>'AEO14 UEC'!C413</f>
        <v>2.5760000000000001</v>
      </c>
      <c r="N396" s="52"/>
      <c r="Q396" s="86"/>
    </row>
    <row r="397" spans="1:17">
      <c r="A397" s="27">
        <v>7</v>
      </c>
      <c r="B397" s="27" t="str">
        <f>'AEO14 rsstk'!D414</f>
        <v>Dehumidifiers</v>
      </c>
      <c r="C397" s="27">
        <f>'AEO14 rsstk'!A414</f>
        <v>302156</v>
      </c>
      <c r="D397" s="27">
        <f>'AEO14 rsstk'!B414</f>
        <v>14042</v>
      </c>
      <c r="E397" s="27">
        <f>'AEO14 rsstk'!C414</f>
        <v>12133</v>
      </c>
      <c r="G397" s="27">
        <f>'AEO14 UEC'!A414</f>
        <v>2.5760000000000001</v>
      </c>
      <c r="H397" s="27">
        <f>'AEO14 UEC'!B414</f>
        <v>2.5760000000000001</v>
      </c>
      <c r="I397" s="27">
        <f>'AEO14 UEC'!C414</f>
        <v>2.5760000000000001</v>
      </c>
      <c r="N397" s="52"/>
      <c r="Q397" s="86"/>
    </row>
    <row r="398" spans="1:17">
      <c r="A398" s="27">
        <v>8</v>
      </c>
      <c r="B398" s="27" t="str">
        <f>'AEO14 rsstk'!D415</f>
        <v>Dehumidifiers</v>
      </c>
      <c r="C398" s="27">
        <f>'AEO14 rsstk'!A415</f>
        <v>100776</v>
      </c>
      <c r="D398" s="27">
        <f>'AEO14 rsstk'!B415</f>
        <v>5866</v>
      </c>
      <c r="E398" s="27">
        <f>'AEO14 rsstk'!C415</f>
        <v>14019</v>
      </c>
      <c r="G398" s="27">
        <f>'AEO14 UEC'!A415</f>
        <v>2.5760000000000001</v>
      </c>
      <c r="H398" s="27">
        <f>'AEO14 UEC'!B415</f>
        <v>2.5760000000000001</v>
      </c>
      <c r="I398" s="27">
        <f>'AEO14 UEC'!C415</f>
        <v>2.5760000000000001</v>
      </c>
      <c r="N398" s="52"/>
      <c r="Q398" s="86"/>
    </row>
    <row r="399" spans="1:17">
      <c r="A399" s="27">
        <v>9</v>
      </c>
      <c r="B399" s="27" t="str">
        <f>'AEO14 rsstk'!D416</f>
        <v>Dehumidifiers</v>
      </c>
      <c r="C399" s="27">
        <f>'AEO14 rsstk'!A416</f>
        <v>327948</v>
      </c>
      <c r="D399" s="27">
        <f>'AEO14 rsstk'!B416</f>
        <v>114287</v>
      </c>
      <c r="E399" s="27">
        <f>'AEO14 rsstk'!C416</f>
        <v>9718</v>
      </c>
      <c r="G399" s="27">
        <f>'AEO14 UEC'!A416</f>
        <v>2.5760000000000001</v>
      </c>
      <c r="H399" s="27">
        <f>'AEO14 UEC'!B416</f>
        <v>2.5760000000000001</v>
      </c>
      <c r="I399" s="27">
        <f>'AEO14 UEC'!C416</f>
        <v>2.5760000000000001</v>
      </c>
      <c r="N399" s="52"/>
      <c r="Q399" s="86"/>
    </row>
    <row r="400" spans="1:17">
      <c r="A400" s="27">
        <v>1</v>
      </c>
      <c r="B400" s="27" t="str">
        <f>'AEO14 rsstk'!D417</f>
        <v>Microwaves</v>
      </c>
      <c r="C400" s="27">
        <f>'AEO14 rsstk'!A417</f>
        <v>3279482</v>
      </c>
      <c r="D400" s="27">
        <f>'AEO14 rsstk'!B417</f>
        <v>1901828</v>
      </c>
      <c r="E400" s="27">
        <f>'AEO14 rsstk'!C417</f>
        <v>80805</v>
      </c>
      <c r="G400" s="27">
        <f>'AEO14 UEC'!A417</f>
        <v>0.44700000000000001</v>
      </c>
      <c r="H400" s="27">
        <f>'AEO14 UEC'!B417</f>
        <v>0.44700000000000001</v>
      </c>
      <c r="I400" s="27">
        <f>'AEO14 UEC'!C417</f>
        <v>0.44700000000000001</v>
      </c>
      <c r="N400" s="52"/>
      <c r="Q400" s="86"/>
    </row>
    <row r="401" spans="1:17">
      <c r="A401" s="27">
        <v>2</v>
      </c>
      <c r="B401" s="27" t="str">
        <f>'AEO14 rsstk'!D418</f>
        <v>Microwaves</v>
      </c>
      <c r="C401" s="27">
        <f>'AEO14 rsstk'!A418</f>
        <v>8930644</v>
      </c>
      <c r="D401" s="27">
        <f>'AEO14 rsstk'!B418</f>
        <v>4783270</v>
      </c>
      <c r="E401" s="27">
        <f>'AEO14 rsstk'!C418</f>
        <v>382289</v>
      </c>
      <c r="G401" s="27">
        <f>'AEO14 UEC'!A418</f>
        <v>0.44700000000000001</v>
      </c>
      <c r="H401" s="27">
        <f>'AEO14 UEC'!B418</f>
        <v>0.44700000000000001</v>
      </c>
      <c r="I401" s="27">
        <f>'AEO14 UEC'!C418</f>
        <v>0.44700000000000001</v>
      </c>
      <c r="N401" s="52"/>
      <c r="Q401" s="86"/>
    </row>
    <row r="402" spans="1:17">
      <c r="A402" s="27">
        <v>3</v>
      </c>
      <c r="B402" s="27" t="str">
        <f>'AEO14 rsstk'!D419</f>
        <v>Microwaves</v>
      </c>
      <c r="C402" s="27">
        <f>'AEO14 rsstk'!A419</f>
        <v>12804497</v>
      </c>
      <c r="D402" s="27">
        <f>'AEO14 rsstk'!B419</f>
        <v>3921391</v>
      </c>
      <c r="E402" s="27">
        <f>'AEO14 rsstk'!C419</f>
        <v>539692</v>
      </c>
      <c r="G402" s="27">
        <f>'AEO14 UEC'!A419</f>
        <v>0.44700000000000001</v>
      </c>
      <c r="H402" s="27">
        <f>'AEO14 UEC'!B419</f>
        <v>0.44700000000000001</v>
      </c>
      <c r="I402" s="27">
        <f>'AEO14 UEC'!C419</f>
        <v>0.44700000000000001</v>
      </c>
      <c r="N402" s="52"/>
      <c r="Q402" s="86"/>
    </row>
    <row r="403" spans="1:17">
      <c r="A403" s="27">
        <v>4</v>
      </c>
      <c r="B403" s="27" t="str">
        <f>'AEO14 rsstk'!D420</f>
        <v>Microwaves</v>
      </c>
      <c r="C403" s="27">
        <f>'AEO14 rsstk'!A420</f>
        <v>6041642</v>
      </c>
      <c r="D403" s="27">
        <f>'AEO14 rsstk'!B420</f>
        <v>1324723</v>
      </c>
      <c r="E403" s="27">
        <f>'AEO14 rsstk'!C420</f>
        <v>503817</v>
      </c>
      <c r="G403" s="27">
        <f>'AEO14 UEC'!A420</f>
        <v>0.44700000000000001</v>
      </c>
      <c r="H403" s="27">
        <f>'AEO14 UEC'!B420</f>
        <v>0.44700000000000001</v>
      </c>
      <c r="I403" s="27">
        <f>'AEO14 UEC'!C420</f>
        <v>0.44700000000000001</v>
      </c>
      <c r="N403" s="52"/>
      <c r="Q403" s="86"/>
    </row>
    <row r="404" spans="1:17">
      <c r="A404" s="27">
        <v>5</v>
      </c>
      <c r="B404" s="27" t="str">
        <f>'AEO14 rsstk'!D421</f>
        <v>Microwaves</v>
      </c>
      <c r="C404" s="27">
        <f>'AEO14 rsstk'!A421</f>
        <v>14828469</v>
      </c>
      <c r="D404" s="27">
        <f>'AEO14 rsstk'!B421</f>
        <v>4304956</v>
      </c>
      <c r="E404" s="27">
        <f>'AEO14 rsstk'!C421</f>
        <v>2334281</v>
      </c>
      <c r="G404" s="27">
        <f>'AEO14 UEC'!A421</f>
        <v>0.44700000000000001</v>
      </c>
      <c r="H404" s="27">
        <f>'AEO14 UEC'!B421</f>
        <v>0.44700000000000001</v>
      </c>
      <c r="I404" s="27">
        <f>'AEO14 UEC'!C421</f>
        <v>0.44700000000000001</v>
      </c>
      <c r="N404" s="52"/>
      <c r="Q404" s="86"/>
    </row>
    <row r="405" spans="1:17">
      <c r="A405" s="27">
        <v>6</v>
      </c>
      <c r="B405" s="27" t="str">
        <f>'AEO14 rsstk'!D422</f>
        <v>Microwaves</v>
      </c>
      <c r="C405" s="27">
        <f>'AEO14 rsstk'!A422</f>
        <v>5357320</v>
      </c>
      <c r="D405" s="27">
        <f>'AEO14 rsstk'!B422</f>
        <v>901170</v>
      </c>
      <c r="E405" s="27">
        <f>'AEO14 rsstk'!C422</f>
        <v>592883</v>
      </c>
      <c r="G405" s="27">
        <f>'AEO14 UEC'!A422</f>
        <v>0.44700000000000001</v>
      </c>
      <c r="H405" s="27">
        <f>'AEO14 UEC'!B422</f>
        <v>0.44700000000000001</v>
      </c>
      <c r="I405" s="27">
        <f>'AEO14 UEC'!C422</f>
        <v>0.44700000000000001</v>
      </c>
      <c r="N405" s="52"/>
      <c r="Q405" s="86"/>
    </row>
    <row r="406" spans="1:17">
      <c r="A406" s="27">
        <v>7</v>
      </c>
      <c r="B406" s="27" t="str">
        <f>'AEO14 rsstk'!D423</f>
        <v>Microwaves</v>
      </c>
      <c r="C406" s="27">
        <f>'AEO14 rsstk'!A423</f>
        <v>8955260</v>
      </c>
      <c r="D406" s="27">
        <f>'AEO14 rsstk'!B423</f>
        <v>2636899</v>
      </c>
      <c r="E406" s="27">
        <f>'AEO14 rsstk'!C423</f>
        <v>843434</v>
      </c>
      <c r="G406" s="27">
        <f>'AEO14 UEC'!A423</f>
        <v>0.44700000000000001</v>
      </c>
      <c r="H406" s="27">
        <f>'AEO14 UEC'!B423</f>
        <v>0.44700000000000001</v>
      </c>
      <c r="I406" s="27">
        <f>'AEO14 UEC'!C423</f>
        <v>0.44700000000000001</v>
      </c>
      <c r="N406" s="52"/>
      <c r="Q406" s="86"/>
    </row>
    <row r="407" spans="1:17">
      <c r="A407" s="27">
        <v>8</v>
      </c>
      <c r="B407" s="27" t="str">
        <f>'AEO14 rsstk'!D424</f>
        <v>Microwaves</v>
      </c>
      <c r="C407" s="27">
        <f>'AEO14 rsstk'!A424</f>
        <v>5795781</v>
      </c>
      <c r="D407" s="27">
        <f>'AEO14 rsstk'!B424</f>
        <v>1183610</v>
      </c>
      <c r="E407" s="27">
        <f>'AEO14 rsstk'!C424</f>
        <v>621169</v>
      </c>
      <c r="G407" s="27">
        <f>'AEO14 UEC'!A424</f>
        <v>0.44700000000000001</v>
      </c>
      <c r="H407" s="27">
        <f>'AEO14 UEC'!B424</f>
        <v>0.44700000000000001</v>
      </c>
      <c r="I407" s="27">
        <f>'AEO14 UEC'!C424</f>
        <v>0.44700000000000001</v>
      </c>
      <c r="N407" s="52"/>
      <c r="Q407" s="86"/>
    </row>
    <row r="408" spans="1:17">
      <c r="A408" s="27">
        <v>9</v>
      </c>
      <c r="B408" s="27" t="str">
        <f>'AEO14 rsstk'!D425</f>
        <v>Microwaves</v>
      </c>
      <c r="C408" s="27">
        <f>'AEO14 rsstk'!A425</f>
        <v>10606564</v>
      </c>
      <c r="D408" s="27">
        <f>'AEO14 rsstk'!B425</f>
        <v>4780397</v>
      </c>
      <c r="E408" s="27">
        <f>'AEO14 rsstk'!C425</f>
        <v>759337</v>
      </c>
      <c r="G408" s="27">
        <f>'AEO14 UEC'!A425</f>
        <v>0.44700000000000001</v>
      </c>
      <c r="H408" s="27">
        <f>'AEO14 UEC'!B425</f>
        <v>0.44700000000000001</v>
      </c>
      <c r="I408" s="27">
        <f>'AEO14 UEC'!C425</f>
        <v>0.44700000000000001</v>
      </c>
      <c r="N408" s="52"/>
      <c r="Q408" s="86"/>
    </row>
    <row r="409" spans="1:17">
      <c r="A409" s="27">
        <v>1</v>
      </c>
      <c r="B409" s="27" t="str">
        <f>'AEO14 rsstk'!D426</f>
        <v>Pool Heaters and Pumps</v>
      </c>
      <c r="C409" s="27">
        <f>'AEO14 rsstk'!A426</f>
        <v>432349</v>
      </c>
      <c r="D409" s="27">
        <f>'AEO14 rsstk'!B426</f>
        <v>0</v>
      </c>
      <c r="E409" s="27">
        <f>'AEO14 rsstk'!C426</f>
        <v>0</v>
      </c>
      <c r="G409" s="27">
        <f>'AEO14 UEC'!A426</f>
        <v>9.0760000000000005</v>
      </c>
      <c r="H409" s="27">
        <f>'AEO14 UEC'!B426</f>
        <v>9.0760000000000005</v>
      </c>
      <c r="I409" s="27">
        <f>'AEO14 UEC'!C426</f>
        <v>9.0760000000000005</v>
      </c>
      <c r="N409" s="52"/>
      <c r="Q409" s="86"/>
    </row>
    <row r="410" spans="1:17">
      <c r="A410" s="27">
        <v>2</v>
      </c>
      <c r="B410" s="27" t="str">
        <f>'AEO14 rsstk'!D427</f>
        <v>Pool Heaters and Pumps</v>
      </c>
      <c r="C410" s="27">
        <f>'AEO14 rsstk'!A427</f>
        <v>1731640</v>
      </c>
      <c r="D410" s="27">
        <f>'AEO14 rsstk'!B427</f>
        <v>0</v>
      </c>
      <c r="E410" s="27">
        <f>'AEO14 rsstk'!C427</f>
        <v>0</v>
      </c>
      <c r="G410" s="27">
        <f>'AEO14 UEC'!A427</f>
        <v>9.0760000000000005</v>
      </c>
      <c r="H410" s="27">
        <f>'AEO14 UEC'!B427</f>
        <v>9.0760000000000005</v>
      </c>
      <c r="I410" s="27">
        <f>'AEO14 UEC'!C427</f>
        <v>9.0760000000000005</v>
      </c>
      <c r="N410" s="52"/>
      <c r="Q410" s="86"/>
    </row>
    <row r="411" spans="1:17">
      <c r="A411" s="27">
        <v>3</v>
      </c>
      <c r="B411" s="27" t="str">
        <f>'AEO14 rsstk'!D428</f>
        <v>Pool Heaters and Pumps</v>
      </c>
      <c r="C411" s="27">
        <f>'AEO14 rsstk'!A428</f>
        <v>1289653</v>
      </c>
      <c r="D411" s="27">
        <f>'AEO14 rsstk'!B428</f>
        <v>0</v>
      </c>
      <c r="E411" s="27">
        <f>'AEO14 rsstk'!C428</f>
        <v>0</v>
      </c>
      <c r="G411" s="27">
        <f>'AEO14 UEC'!A428</f>
        <v>9.0760000000000005</v>
      </c>
      <c r="H411" s="27">
        <f>'AEO14 UEC'!B428</f>
        <v>9.0760000000000005</v>
      </c>
      <c r="I411" s="27">
        <f>'AEO14 UEC'!C428</f>
        <v>9.0760000000000005</v>
      </c>
      <c r="N411" s="52"/>
      <c r="Q411" s="86"/>
    </row>
    <row r="412" spans="1:17">
      <c r="A412" s="27">
        <v>4</v>
      </c>
      <c r="B412" s="27" t="str">
        <f>'AEO14 rsstk'!D429</f>
        <v>Pool Heaters and Pumps</v>
      </c>
      <c r="C412" s="27">
        <f>'AEO14 rsstk'!A429</f>
        <v>387031</v>
      </c>
      <c r="D412" s="27">
        <f>'AEO14 rsstk'!B429</f>
        <v>0</v>
      </c>
      <c r="E412" s="27">
        <f>'AEO14 rsstk'!C429</f>
        <v>0</v>
      </c>
      <c r="G412" s="27">
        <f>'AEO14 UEC'!A429</f>
        <v>9.0760000000000005</v>
      </c>
      <c r="H412" s="27">
        <f>'AEO14 UEC'!B429</f>
        <v>9.0760000000000005</v>
      </c>
      <c r="I412" s="27">
        <f>'AEO14 UEC'!C429</f>
        <v>9.0760000000000005</v>
      </c>
      <c r="N412" s="52"/>
      <c r="Q412" s="86"/>
    </row>
    <row r="413" spans="1:17">
      <c r="A413" s="27">
        <v>5</v>
      </c>
      <c r="B413" s="27" t="str">
        <f>'AEO14 rsstk'!D430</f>
        <v>Pool Heaters and Pumps</v>
      </c>
      <c r="C413" s="27">
        <f>'AEO14 rsstk'!A430</f>
        <v>2284793</v>
      </c>
      <c r="D413" s="27">
        <f>'AEO14 rsstk'!B430</f>
        <v>0</v>
      </c>
      <c r="E413" s="27">
        <f>'AEO14 rsstk'!C430</f>
        <v>0</v>
      </c>
      <c r="G413" s="27">
        <f>'AEO14 UEC'!A430</f>
        <v>9.0760000000000005</v>
      </c>
      <c r="H413" s="27">
        <f>'AEO14 UEC'!B430</f>
        <v>9.0760000000000005</v>
      </c>
      <c r="I413" s="27">
        <f>'AEO14 UEC'!C430</f>
        <v>9.0760000000000005</v>
      </c>
      <c r="N413" s="52"/>
      <c r="Q413" s="86"/>
    </row>
    <row r="414" spans="1:17">
      <c r="A414" s="27">
        <v>6</v>
      </c>
      <c r="B414" s="27" t="str">
        <f>'AEO14 rsstk'!D431</f>
        <v>Pool Heaters and Pumps</v>
      </c>
      <c r="C414" s="27">
        <f>'AEO14 rsstk'!A431</f>
        <v>509250</v>
      </c>
      <c r="D414" s="27">
        <f>'AEO14 rsstk'!B431</f>
        <v>0</v>
      </c>
      <c r="E414" s="27">
        <f>'AEO14 rsstk'!C431</f>
        <v>0</v>
      </c>
      <c r="G414" s="27">
        <f>'AEO14 UEC'!A431</f>
        <v>9.0760000000000005</v>
      </c>
      <c r="H414" s="27">
        <f>'AEO14 UEC'!B431</f>
        <v>9.0760000000000005</v>
      </c>
      <c r="I414" s="27">
        <f>'AEO14 UEC'!C431</f>
        <v>9.0760000000000005</v>
      </c>
      <c r="N414" s="52"/>
      <c r="Q414" s="86"/>
    </row>
    <row r="415" spans="1:17">
      <c r="A415" s="27">
        <v>7</v>
      </c>
      <c r="B415" s="27" t="str">
        <f>'AEO14 rsstk'!D432</f>
        <v>Pool Heaters and Pumps</v>
      </c>
      <c r="C415" s="27">
        <f>'AEO14 rsstk'!A432</f>
        <v>927282</v>
      </c>
      <c r="D415" s="27">
        <f>'AEO14 rsstk'!B432</f>
        <v>0</v>
      </c>
      <c r="E415" s="27">
        <f>'AEO14 rsstk'!C432</f>
        <v>0</v>
      </c>
      <c r="G415" s="27">
        <f>'AEO14 UEC'!A432</f>
        <v>9.0760000000000005</v>
      </c>
      <c r="H415" s="27">
        <f>'AEO14 UEC'!B432</f>
        <v>9.0760000000000005</v>
      </c>
      <c r="I415" s="27">
        <f>'AEO14 UEC'!C432</f>
        <v>9.0760000000000005</v>
      </c>
      <c r="N415" s="52"/>
      <c r="Q415" s="86"/>
    </row>
    <row r="416" spans="1:17">
      <c r="A416" s="27">
        <v>8</v>
      </c>
      <c r="B416" s="27" t="str">
        <f>'AEO14 rsstk'!D433</f>
        <v>Pool Heaters and Pumps</v>
      </c>
      <c r="C416" s="27">
        <f>'AEO14 rsstk'!A433</f>
        <v>799429</v>
      </c>
      <c r="D416" s="27">
        <f>'AEO14 rsstk'!B433</f>
        <v>0</v>
      </c>
      <c r="E416" s="27">
        <f>'AEO14 rsstk'!C433</f>
        <v>0</v>
      </c>
      <c r="G416" s="27">
        <f>'AEO14 UEC'!A433</f>
        <v>9.0760000000000005</v>
      </c>
      <c r="H416" s="27">
        <f>'AEO14 UEC'!B433</f>
        <v>9.0760000000000005</v>
      </c>
      <c r="I416" s="27">
        <f>'AEO14 UEC'!C433</f>
        <v>9.0760000000000005</v>
      </c>
      <c r="N416" s="52"/>
      <c r="Q416" s="86"/>
    </row>
    <row r="417" spans="1:17">
      <c r="A417" s="27">
        <v>9</v>
      </c>
      <c r="B417" s="27" t="str">
        <f>'AEO14 rsstk'!D434</f>
        <v>Pool Heaters and Pumps</v>
      </c>
      <c r="C417" s="27">
        <f>'AEO14 rsstk'!A434</f>
        <v>1688574</v>
      </c>
      <c r="D417" s="27">
        <f>'AEO14 rsstk'!B434</f>
        <v>0</v>
      </c>
      <c r="E417" s="27">
        <f>'AEO14 rsstk'!C434</f>
        <v>0</v>
      </c>
      <c r="G417" s="27">
        <f>'AEO14 UEC'!A434</f>
        <v>9.0760000000000005</v>
      </c>
      <c r="H417" s="27">
        <f>'AEO14 UEC'!B434</f>
        <v>9.0760000000000005</v>
      </c>
      <c r="I417" s="27">
        <f>'AEO14 UEC'!C434</f>
        <v>9.0760000000000005</v>
      </c>
      <c r="N417" s="52"/>
      <c r="Q417" s="86"/>
    </row>
    <row r="418" spans="1:17">
      <c r="A418" s="27">
        <v>1</v>
      </c>
      <c r="B418" s="27" t="str">
        <f>'AEO14 rsstk'!D435</f>
        <v>Security Systems</v>
      </c>
      <c r="C418" s="27">
        <f>'AEO14 rsstk'!A435</f>
        <v>1367535</v>
      </c>
      <c r="D418" s="27">
        <f>'AEO14 rsstk'!B435</f>
        <v>185680</v>
      </c>
      <c r="E418" s="27">
        <f>'AEO14 rsstk'!C435</f>
        <v>3602</v>
      </c>
      <c r="G418" s="27">
        <f>'AEO14 UEC'!A435</f>
        <v>0.153</v>
      </c>
      <c r="H418" s="27">
        <f>'AEO14 UEC'!B435</f>
        <v>0.153</v>
      </c>
      <c r="I418" s="27">
        <f>'AEO14 UEC'!C435</f>
        <v>0.153</v>
      </c>
      <c r="N418" s="52"/>
      <c r="Q418" s="86"/>
    </row>
    <row r="419" spans="1:17">
      <c r="A419" s="27">
        <v>2</v>
      </c>
      <c r="B419" s="27" t="str">
        <f>'AEO14 rsstk'!D436</f>
        <v>Security Systems</v>
      </c>
      <c r="C419" s="27">
        <f>'AEO14 rsstk'!A436</f>
        <v>3478657</v>
      </c>
      <c r="D419" s="27">
        <f>'AEO14 rsstk'!B436</f>
        <v>636372</v>
      </c>
      <c r="E419" s="27">
        <f>'AEO14 rsstk'!C436</f>
        <v>0</v>
      </c>
      <c r="G419" s="27">
        <f>'AEO14 UEC'!A436</f>
        <v>0.153</v>
      </c>
      <c r="H419" s="27">
        <f>'AEO14 UEC'!B436</f>
        <v>0.153</v>
      </c>
      <c r="I419" s="27">
        <f>'AEO14 UEC'!C436</f>
        <v>0.153</v>
      </c>
      <c r="N419" s="52"/>
      <c r="Q419" s="86"/>
    </row>
    <row r="420" spans="1:17">
      <c r="A420" s="27">
        <v>3</v>
      </c>
      <c r="B420" s="27" t="str">
        <f>'AEO14 rsstk'!D437</f>
        <v>Security Systems</v>
      </c>
      <c r="C420" s="27">
        <f>'AEO14 rsstk'!A437</f>
        <v>3134058</v>
      </c>
      <c r="D420" s="27">
        <f>'AEO14 rsstk'!B437</f>
        <v>191207</v>
      </c>
      <c r="E420" s="27">
        <f>'AEO14 rsstk'!C437</f>
        <v>0</v>
      </c>
      <c r="G420" s="27">
        <f>'AEO14 UEC'!A437</f>
        <v>0.153</v>
      </c>
      <c r="H420" s="27">
        <f>'AEO14 UEC'!B437</f>
        <v>0.153</v>
      </c>
      <c r="I420" s="27">
        <f>'AEO14 UEC'!C437</f>
        <v>0.153</v>
      </c>
      <c r="N420" s="52"/>
      <c r="Q420" s="86"/>
    </row>
    <row r="421" spans="1:17">
      <c r="A421" s="27">
        <v>4</v>
      </c>
      <c r="B421" s="27" t="str">
        <f>'AEO14 rsstk'!D438</f>
        <v>Security Systems</v>
      </c>
      <c r="C421" s="27">
        <f>'AEO14 rsstk'!A438</f>
        <v>1527480</v>
      </c>
      <c r="D421" s="27">
        <f>'AEO14 rsstk'!B438</f>
        <v>46457</v>
      </c>
      <c r="E421" s="27">
        <f>'AEO14 rsstk'!C438</f>
        <v>31486</v>
      </c>
      <c r="G421" s="27">
        <f>'AEO14 UEC'!A438</f>
        <v>0.153</v>
      </c>
      <c r="H421" s="27">
        <f>'AEO14 UEC'!B438</f>
        <v>0.153</v>
      </c>
      <c r="I421" s="27">
        <f>'AEO14 UEC'!C438</f>
        <v>0.153</v>
      </c>
      <c r="N421" s="52"/>
      <c r="Q421" s="86"/>
    </row>
    <row r="422" spans="1:17">
      <c r="A422" s="27">
        <v>5</v>
      </c>
      <c r="B422" s="27" t="str">
        <f>'AEO14 rsstk'!D439</f>
        <v>Security Systems</v>
      </c>
      <c r="C422" s="27">
        <f>'AEO14 rsstk'!A439</f>
        <v>3964594</v>
      </c>
      <c r="D422" s="27">
        <f>'AEO14 rsstk'!B439</f>
        <v>297190</v>
      </c>
      <c r="E422" s="27">
        <f>'AEO14 rsstk'!C439</f>
        <v>92391</v>
      </c>
      <c r="G422" s="27">
        <f>'AEO14 UEC'!A439</f>
        <v>0.153</v>
      </c>
      <c r="H422" s="27">
        <f>'AEO14 UEC'!B439</f>
        <v>0.153</v>
      </c>
      <c r="I422" s="27">
        <f>'AEO14 UEC'!C439</f>
        <v>0.153</v>
      </c>
      <c r="N422" s="52"/>
      <c r="Q422" s="86"/>
    </row>
    <row r="423" spans="1:17">
      <c r="A423" s="27">
        <v>6</v>
      </c>
      <c r="B423" s="27" t="str">
        <f>'AEO14 rsstk'!D440</f>
        <v>Security Systems</v>
      </c>
      <c r="C423" s="27">
        <f>'AEO14 rsstk'!A440</f>
        <v>1051752</v>
      </c>
      <c r="D423" s="27">
        <f>'AEO14 rsstk'!B440</f>
        <v>51980</v>
      </c>
      <c r="E423" s="27">
        <f>'AEO14 rsstk'!C440</f>
        <v>0</v>
      </c>
      <c r="G423" s="27">
        <f>'AEO14 UEC'!A440</f>
        <v>0.153</v>
      </c>
      <c r="H423" s="27">
        <f>'AEO14 UEC'!B440</f>
        <v>0.153</v>
      </c>
      <c r="I423" s="27">
        <f>'AEO14 UEC'!C440</f>
        <v>0.153</v>
      </c>
      <c r="N423" s="52"/>
      <c r="Q423" s="86"/>
    </row>
    <row r="424" spans="1:17">
      <c r="A424" s="27">
        <v>7</v>
      </c>
      <c r="B424" s="27" t="str">
        <f>'AEO14 rsstk'!D441</f>
        <v>Security Systems</v>
      </c>
      <c r="C424" s="27">
        <f>'AEO14 rsstk'!A441</f>
        <v>2154873</v>
      </c>
      <c r="D424" s="27">
        <f>'AEO14 rsstk'!B441</f>
        <v>101290</v>
      </c>
      <c r="E424" s="27">
        <f>'AEO14 rsstk'!C441</f>
        <v>53087</v>
      </c>
      <c r="G424" s="27">
        <f>'AEO14 UEC'!A441</f>
        <v>0.153</v>
      </c>
      <c r="H424" s="27">
        <f>'AEO14 UEC'!B441</f>
        <v>0.153</v>
      </c>
      <c r="I424" s="27">
        <f>'AEO14 UEC'!C441</f>
        <v>0.153</v>
      </c>
      <c r="N424" s="52"/>
      <c r="Q424" s="86"/>
    </row>
    <row r="425" spans="1:17">
      <c r="A425" s="27">
        <v>8</v>
      </c>
      <c r="B425" s="27" t="str">
        <f>'AEO14 rsstk'!D442</f>
        <v>Security Systems</v>
      </c>
      <c r="C425" s="27">
        <f>'AEO14 rsstk'!A442</f>
        <v>1444860</v>
      </c>
      <c r="D425" s="27">
        <f>'AEO14 rsstk'!B442</f>
        <v>106493</v>
      </c>
      <c r="E425" s="27">
        <f>'AEO14 rsstk'!C442</f>
        <v>0</v>
      </c>
      <c r="G425" s="27">
        <f>'AEO14 UEC'!A442</f>
        <v>0.153</v>
      </c>
      <c r="H425" s="27">
        <f>'AEO14 UEC'!B442</f>
        <v>0.153</v>
      </c>
      <c r="I425" s="27">
        <f>'AEO14 UEC'!C442</f>
        <v>0.153</v>
      </c>
      <c r="N425" s="52"/>
      <c r="Q425" s="86"/>
    </row>
    <row r="426" spans="1:17">
      <c r="A426" s="27">
        <v>9</v>
      </c>
      <c r="B426" s="27" t="str">
        <f>'AEO14 rsstk'!D443</f>
        <v>Security Systems</v>
      </c>
      <c r="C426" s="27">
        <f>'AEO14 rsstk'!A443</f>
        <v>3807454</v>
      </c>
      <c r="D426" s="27">
        <f>'AEO14 rsstk'!B443</f>
        <v>724940</v>
      </c>
      <c r="E426" s="27">
        <f>'AEO14 rsstk'!C443</f>
        <v>46561</v>
      </c>
      <c r="G426" s="27">
        <f>'AEO14 UEC'!A443</f>
        <v>0.153</v>
      </c>
      <c r="H426" s="27">
        <f>'AEO14 UEC'!B443</f>
        <v>0.153</v>
      </c>
      <c r="I426" s="27">
        <f>'AEO14 UEC'!C443</f>
        <v>0.153</v>
      </c>
      <c r="N426" s="52"/>
      <c r="Q426" s="86"/>
    </row>
    <row r="427" spans="1:17">
      <c r="A427" s="27">
        <v>1</v>
      </c>
      <c r="B427" s="27" t="str">
        <f>'AEO14 rsstk'!D444</f>
        <v>Spas</v>
      </c>
      <c r="C427" s="27">
        <f>'AEO14 rsstk'!A444</f>
        <v>198434</v>
      </c>
      <c r="D427" s="27">
        <f>'AEO14 rsstk'!B444</f>
        <v>16674</v>
      </c>
      <c r="E427" s="27">
        <f>'AEO14 rsstk'!C444</f>
        <v>0</v>
      </c>
      <c r="G427" s="27">
        <f>'AEO14 UEC'!A444</f>
        <v>6.9429999999999996</v>
      </c>
      <c r="H427" s="27">
        <f>'AEO14 UEC'!B444</f>
        <v>6.9429999999999996</v>
      </c>
      <c r="I427" s="27">
        <f>'AEO14 UEC'!C444</f>
        <v>6.9429999999999996</v>
      </c>
      <c r="N427" s="52"/>
      <c r="Q427" s="86"/>
    </row>
    <row r="428" spans="1:17">
      <c r="A428" s="27">
        <v>2</v>
      </c>
      <c r="B428" s="27" t="str">
        <f>'AEO14 rsstk'!D445</f>
        <v>Spas</v>
      </c>
      <c r="C428" s="27">
        <f>'AEO14 rsstk'!A445</f>
        <v>600556</v>
      </c>
      <c r="D428" s="27">
        <f>'AEO14 rsstk'!B445</f>
        <v>26060</v>
      </c>
      <c r="E428" s="27">
        <f>'AEO14 rsstk'!C445</f>
        <v>0</v>
      </c>
      <c r="G428" s="27">
        <f>'AEO14 UEC'!A445</f>
        <v>6.9429999999999996</v>
      </c>
      <c r="H428" s="27">
        <f>'AEO14 UEC'!B445</f>
        <v>6.9429999999999996</v>
      </c>
      <c r="I428" s="27">
        <f>'AEO14 UEC'!C445</f>
        <v>6.9429999999999996</v>
      </c>
      <c r="N428" s="52"/>
      <c r="Q428" s="86"/>
    </row>
    <row r="429" spans="1:17">
      <c r="A429" s="27">
        <v>3</v>
      </c>
      <c r="B429" s="27" t="str">
        <f>'AEO14 rsstk'!D446</f>
        <v>Spas</v>
      </c>
      <c r="C429" s="27">
        <f>'AEO14 rsstk'!A446</f>
        <v>654172</v>
      </c>
      <c r="D429" s="27">
        <f>'AEO14 rsstk'!B446</f>
        <v>0</v>
      </c>
      <c r="E429" s="27">
        <f>'AEO14 rsstk'!C446</f>
        <v>22705</v>
      </c>
      <c r="G429" s="27">
        <f>'AEO14 UEC'!A446</f>
        <v>6.9429999999999996</v>
      </c>
      <c r="H429" s="27">
        <f>'AEO14 UEC'!B446</f>
        <v>6.9429999999999996</v>
      </c>
      <c r="I429" s="27">
        <f>'AEO14 UEC'!C446</f>
        <v>6.9429999999999996</v>
      </c>
      <c r="N429" s="52"/>
      <c r="Q429" s="86"/>
    </row>
    <row r="430" spans="1:17">
      <c r="A430" s="27">
        <v>4</v>
      </c>
      <c r="B430" s="27" t="str">
        <f>'AEO14 rsstk'!D447</f>
        <v>Spas</v>
      </c>
      <c r="C430" s="27">
        <f>'AEO14 rsstk'!A447</f>
        <v>299375</v>
      </c>
      <c r="D430" s="27">
        <f>'AEO14 rsstk'!B447</f>
        <v>0</v>
      </c>
      <c r="E430" s="27">
        <f>'AEO14 rsstk'!C447</f>
        <v>12557</v>
      </c>
      <c r="G430" s="27">
        <f>'AEO14 UEC'!A447</f>
        <v>6.9429999999999996</v>
      </c>
      <c r="H430" s="27">
        <f>'AEO14 UEC'!B447</f>
        <v>6.9429999999999996</v>
      </c>
      <c r="I430" s="27">
        <f>'AEO14 UEC'!C447</f>
        <v>6.9429999999999996</v>
      </c>
      <c r="N430" s="52"/>
      <c r="Q430" s="86"/>
    </row>
    <row r="431" spans="1:17">
      <c r="A431" s="27">
        <v>5</v>
      </c>
      <c r="B431" s="27" t="str">
        <f>'AEO14 rsstk'!D448</f>
        <v>Spas</v>
      </c>
      <c r="C431" s="27">
        <f>'AEO14 rsstk'!A448</f>
        <v>804777</v>
      </c>
      <c r="D431" s="27">
        <f>'AEO14 rsstk'!B448</f>
        <v>89762</v>
      </c>
      <c r="E431" s="27">
        <f>'AEO14 rsstk'!C448</f>
        <v>26541</v>
      </c>
      <c r="G431" s="27">
        <f>'AEO14 UEC'!A448</f>
        <v>6.9429999999999996</v>
      </c>
      <c r="H431" s="27">
        <f>'AEO14 UEC'!B448</f>
        <v>6.9429999999999996</v>
      </c>
      <c r="I431" s="27">
        <f>'AEO14 UEC'!C448</f>
        <v>6.9429999999999996</v>
      </c>
      <c r="N431" s="52"/>
      <c r="Q431" s="86"/>
    </row>
    <row r="432" spans="1:17">
      <c r="A432" s="27">
        <v>6</v>
      </c>
      <c r="B432" s="27" t="str">
        <f>'AEO14 rsstk'!D449</f>
        <v>Spas</v>
      </c>
      <c r="C432" s="27">
        <f>'AEO14 rsstk'!A449</f>
        <v>236826</v>
      </c>
      <c r="D432" s="27">
        <f>'AEO14 rsstk'!B449</f>
        <v>0</v>
      </c>
      <c r="E432" s="27">
        <f>'AEO14 rsstk'!C449</f>
        <v>0</v>
      </c>
      <c r="G432" s="27">
        <f>'AEO14 UEC'!A449</f>
        <v>6.9429999999999996</v>
      </c>
      <c r="H432" s="27">
        <f>'AEO14 UEC'!B449</f>
        <v>6.9429999999999996</v>
      </c>
      <c r="I432" s="27">
        <f>'AEO14 UEC'!C449</f>
        <v>6.9429999999999996</v>
      </c>
      <c r="N432" s="52"/>
      <c r="Q432" s="86"/>
    </row>
    <row r="433" spans="1:17">
      <c r="A433" s="27">
        <v>7</v>
      </c>
      <c r="B433" s="27" t="str">
        <f>'AEO14 rsstk'!D450</f>
        <v>Spas</v>
      </c>
      <c r="C433" s="27">
        <f>'AEO14 rsstk'!A450</f>
        <v>310437</v>
      </c>
      <c r="D433" s="27">
        <f>'AEO14 rsstk'!B450</f>
        <v>12438</v>
      </c>
      <c r="E433" s="27">
        <f>'AEO14 rsstk'!C450</f>
        <v>10383</v>
      </c>
      <c r="G433" s="27">
        <f>'AEO14 UEC'!A450</f>
        <v>6.9429999999999996</v>
      </c>
      <c r="H433" s="27">
        <f>'AEO14 UEC'!B450</f>
        <v>6.9429999999999996</v>
      </c>
      <c r="I433" s="27">
        <f>'AEO14 UEC'!C450</f>
        <v>6.9429999999999996</v>
      </c>
      <c r="N433" s="52"/>
      <c r="Q433" s="86"/>
    </row>
    <row r="434" spans="1:17">
      <c r="A434" s="27">
        <v>8</v>
      </c>
      <c r="B434" s="27" t="str">
        <f>'AEO14 rsstk'!D451</f>
        <v>Spas</v>
      </c>
      <c r="C434" s="27">
        <f>'AEO14 rsstk'!A451</f>
        <v>399931</v>
      </c>
      <c r="D434" s="27">
        <f>'AEO14 rsstk'!B451</f>
        <v>0</v>
      </c>
      <c r="E434" s="27">
        <f>'AEO14 rsstk'!C451</f>
        <v>0</v>
      </c>
      <c r="G434" s="27">
        <f>'AEO14 UEC'!A451</f>
        <v>6.9429999999999996</v>
      </c>
      <c r="H434" s="27">
        <f>'AEO14 UEC'!B451</f>
        <v>6.9429999999999996</v>
      </c>
      <c r="I434" s="27">
        <f>'AEO14 UEC'!C451</f>
        <v>6.9429999999999996</v>
      </c>
      <c r="N434" s="52"/>
      <c r="Q434" s="86"/>
    </row>
    <row r="435" spans="1:17">
      <c r="A435" s="27">
        <v>9</v>
      </c>
      <c r="B435" s="27" t="str">
        <f>'AEO14 rsstk'!D452</f>
        <v>Spas</v>
      </c>
      <c r="C435" s="27">
        <f>'AEO14 rsstk'!A452</f>
        <v>722974</v>
      </c>
      <c r="D435" s="27">
        <f>'AEO14 rsstk'!B452</f>
        <v>22377</v>
      </c>
      <c r="E435" s="27">
        <f>'AEO14 rsstk'!C452</f>
        <v>39614</v>
      </c>
      <c r="G435" s="27">
        <f>'AEO14 UEC'!A452</f>
        <v>6.9429999999999996</v>
      </c>
      <c r="H435" s="27">
        <f>'AEO14 UEC'!B452</f>
        <v>6.9429999999999996</v>
      </c>
      <c r="I435" s="27">
        <f>'AEO14 UEC'!C452</f>
        <v>6.9429999999999996</v>
      </c>
      <c r="N435" s="52"/>
      <c r="Q435" s="86"/>
    </row>
    <row r="436" spans="1:17">
      <c r="A436" s="27">
        <v>1</v>
      </c>
      <c r="B436" s="27" t="str">
        <f>'AEO14 rsstk'!D453</f>
        <v>Electric Other</v>
      </c>
      <c r="C436" s="27">
        <f>'AEO14 rsstk'!A453</f>
        <v>3374597</v>
      </c>
      <c r="D436" s="27">
        <f>'AEO14 rsstk'!B453</f>
        <v>2052063</v>
      </c>
      <c r="E436" s="27">
        <f>'AEO14 rsstk'!C453</f>
        <v>84437</v>
      </c>
      <c r="G436" s="27">
        <f>'AEO14 UEC'!A453</f>
        <v>1.0620000000000001</v>
      </c>
      <c r="H436" s="27">
        <f>'AEO14 UEC'!B453</f>
        <v>0.42299999999999999</v>
      </c>
      <c r="I436" s="27">
        <f>'AEO14 UEC'!C453</f>
        <v>0.69099999999999995</v>
      </c>
      <c r="N436" s="52"/>
      <c r="Q436" s="86"/>
    </row>
    <row r="437" spans="1:17">
      <c r="A437" s="27">
        <v>2</v>
      </c>
      <c r="B437" s="27" t="str">
        <f>'AEO14 rsstk'!D454</f>
        <v>Electric Other</v>
      </c>
      <c r="C437" s="27">
        <f>'AEO14 rsstk'!A454</f>
        <v>9287267</v>
      </c>
      <c r="D437" s="27">
        <f>'AEO14 rsstk'!B454</f>
        <v>5536739</v>
      </c>
      <c r="E437" s="27">
        <f>'AEO14 rsstk'!C454</f>
        <v>435344</v>
      </c>
      <c r="G437" s="27">
        <f>'AEO14 UEC'!A454</f>
        <v>1.8540000000000001</v>
      </c>
      <c r="H437" s="27">
        <f>'AEO14 UEC'!B454</f>
        <v>1.903</v>
      </c>
      <c r="I437" s="27">
        <f>'AEO14 UEC'!C454</f>
        <v>4.8070000000000004</v>
      </c>
      <c r="N437" s="52"/>
      <c r="Q437" s="86"/>
    </row>
    <row r="438" spans="1:17">
      <c r="A438" s="27">
        <v>3</v>
      </c>
      <c r="B438" s="27" t="str">
        <f>'AEO14 rsstk'!D455</f>
        <v>Electric Other</v>
      </c>
      <c r="C438" s="27">
        <f>'AEO14 rsstk'!A455</f>
        <v>13077414</v>
      </c>
      <c r="D438" s="27">
        <f>'AEO14 rsstk'!B455</f>
        <v>4217199</v>
      </c>
      <c r="E438" s="27">
        <f>'AEO14 rsstk'!C455</f>
        <v>558802</v>
      </c>
      <c r="G438" s="27">
        <f>'AEO14 UEC'!A455</f>
        <v>4.5289999999999999</v>
      </c>
      <c r="H438" s="27">
        <f>'AEO14 UEC'!B455</f>
        <v>3.4910000000000001</v>
      </c>
      <c r="I438" s="27">
        <f>'AEO14 UEC'!C455</f>
        <v>9.6120000000000001</v>
      </c>
      <c r="N438" s="52"/>
      <c r="Q438" s="86"/>
    </row>
    <row r="439" spans="1:17">
      <c r="A439" s="27">
        <v>4</v>
      </c>
      <c r="B439" s="27" t="str">
        <f>'AEO14 rsstk'!D456</f>
        <v>Electric Other</v>
      </c>
      <c r="C439" s="27">
        <f>'AEO14 rsstk'!A456</f>
        <v>6153386</v>
      </c>
      <c r="D439" s="27">
        <f>'AEO14 rsstk'!B456</f>
        <v>1406903</v>
      </c>
      <c r="E439" s="27">
        <f>'AEO14 rsstk'!C456</f>
        <v>503817</v>
      </c>
      <c r="G439" s="27">
        <f>'AEO14 UEC'!A456</f>
        <v>5.0620000000000003</v>
      </c>
      <c r="H439" s="27">
        <f>'AEO14 UEC'!B456</f>
        <v>1.105</v>
      </c>
      <c r="I439" s="27">
        <f>'AEO14 UEC'!C456</f>
        <v>9.0079999999999991</v>
      </c>
      <c r="N439" s="52"/>
      <c r="Q439" s="86"/>
    </row>
    <row r="440" spans="1:17">
      <c r="A440" s="27">
        <v>5</v>
      </c>
      <c r="B440" s="27" t="str">
        <f>'AEO14 rsstk'!D457</f>
        <v>Electric Other</v>
      </c>
      <c r="C440" s="27">
        <f>'AEO14 rsstk'!A457</f>
        <v>15162865</v>
      </c>
      <c r="D440" s="27">
        <f>'AEO14 rsstk'!B457</f>
        <v>4656262</v>
      </c>
      <c r="E440" s="27">
        <f>'AEO14 rsstk'!C457</f>
        <v>2405757</v>
      </c>
      <c r="G440" s="27">
        <f>'AEO14 UEC'!A457</f>
        <v>5.9470000000000001</v>
      </c>
      <c r="H440" s="27">
        <f>'AEO14 UEC'!B457</f>
        <v>1.363</v>
      </c>
      <c r="I440" s="27">
        <f>'AEO14 UEC'!C457</f>
        <v>9.3130000000000006</v>
      </c>
      <c r="N440" s="52"/>
      <c r="Q440" s="86"/>
    </row>
    <row r="441" spans="1:17">
      <c r="A441" s="27">
        <v>6</v>
      </c>
      <c r="B441" s="27" t="str">
        <f>'AEO14 rsstk'!D458</f>
        <v>Electric Other</v>
      </c>
      <c r="C441" s="27">
        <f>'AEO14 rsstk'!A458</f>
        <v>5480023</v>
      </c>
      <c r="D441" s="27">
        <f>'AEO14 rsstk'!B458</f>
        <v>945846</v>
      </c>
      <c r="E441" s="27">
        <f>'AEO14 rsstk'!C458</f>
        <v>658471</v>
      </c>
      <c r="G441" s="27">
        <f>'AEO14 UEC'!A458</f>
        <v>7.1509999999999998</v>
      </c>
      <c r="H441" s="27">
        <f>'AEO14 UEC'!B458</f>
        <v>2.153</v>
      </c>
      <c r="I441" s="27">
        <f>'AEO14 UEC'!C458</f>
        <v>9.3480000000000008</v>
      </c>
      <c r="N441" s="52"/>
      <c r="Q441" s="86"/>
    </row>
    <row r="442" spans="1:17">
      <c r="A442" s="27">
        <v>7</v>
      </c>
      <c r="B442" s="27" t="str">
        <f>'AEO14 rsstk'!D459</f>
        <v>Electric Other</v>
      </c>
      <c r="C442" s="27">
        <f>'AEO14 rsstk'!A459</f>
        <v>9095440</v>
      </c>
      <c r="D442" s="27">
        <f>'AEO14 rsstk'!B459</f>
        <v>2822348</v>
      </c>
      <c r="E442" s="27">
        <f>'AEO14 rsstk'!C459</f>
        <v>853143</v>
      </c>
      <c r="G442" s="27">
        <f>'AEO14 UEC'!A459</f>
        <v>6.859</v>
      </c>
      <c r="H442" s="27">
        <f>'AEO14 UEC'!B459</f>
        <v>3.3410000000000002</v>
      </c>
      <c r="I442" s="27">
        <f>'AEO14 UEC'!C459</f>
        <v>12.992000000000001</v>
      </c>
      <c r="N442" s="52"/>
      <c r="Q442" s="86"/>
    </row>
    <row r="443" spans="1:17">
      <c r="A443" s="27">
        <v>8</v>
      </c>
      <c r="B443" s="27" t="str">
        <f>'AEO14 rsstk'!D460</f>
        <v>Electric Other</v>
      </c>
      <c r="C443" s="27">
        <f>'AEO14 rsstk'!A460</f>
        <v>5983945</v>
      </c>
      <c r="D443" s="27">
        <f>'AEO14 rsstk'!B460</f>
        <v>1258517</v>
      </c>
      <c r="E443" s="27">
        <f>'AEO14 rsstk'!C460</f>
        <v>662813</v>
      </c>
      <c r="G443" s="27">
        <f>'AEO14 UEC'!A460</f>
        <v>2.5179999999999998</v>
      </c>
      <c r="H443" s="27">
        <f>'AEO14 UEC'!B460</f>
        <v>0.92600000000000005</v>
      </c>
      <c r="I443" s="27">
        <f>'AEO14 UEC'!C460</f>
        <v>7.08</v>
      </c>
      <c r="N443" s="52"/>
      <c r="Q443" s="86"/>
    </row>
    <row r="444" spans="1:17">
      <c r="A444" s="27">
        <v>9</v>
      </c>
      <c r="B444" s="27" t="str">
        <f>'AEO14 rsstk'!D461</f>
        <v>Electric Other</v>
      </c>
      <c r="C444" s="27">
        <f>'AEO14 rsstk'!A461</f>
        <v>10937616</v>
      </c>
      <c r="D444" s="27">
        <f>'AEO14 rsstk'!B461</f>
        <v>5226838</v>
      </c>
      <c r="E444" s="27">
        <f>'AEO14 rsstk'!C461</f>
        <v>778377</v>
      </c>
      <c r="G444" s="27">
        <f>'AEO14 UEC'!A461</f>
        <v>2.895</v>
      </c>
      <c r="H444" s="27">
        <f>'AEO14 UEC'!B461</f>
        <v>0.41399999999999998</v>
      </c>
      <c r="I444" s="27">
        <f>'AEO14 UEC'!C461</f>
        <v>6.9550000000000001</v>
      </c>
      <c r="N444" s="52"/>
      <c r="Q444" s="86"/>
    </row>
    <row r="445" spans="1:17">
      <c r="A445" s="27">
        <v>1</v>
      </c>
      <c r="B445" s="27" t="str">
        <f>'AEO14 rsstk'!D462</f>
        <v>Gas 2nd Heat</v>
      </c>
      <c r="C445" s="27">
        <f>'AEO14 rsstk'!A462</f>
        <v>120874</v>
      </c>
      <c r="D445" s="27">
        <f>'AEO14 rsstk'!B462</f>
        <v>16739</v>
      </c>
      <c r="E445" s="27">
        <f>'AEO14 rsstk'!C462</f>
        <v>0</v>
      </c>
      <c r="G445" s="27">
        <f>'AEO14 UEC'!A462</f>
        <v>31.507000000000001</v>
      </c>
      <c r="H445" s="27">
        <f>'AEO14 UEC'!B462</f>
        <v>11.884</v>
      </c>
      <c r="I445" s="27">
        <f>'AEO14 UEC'!C462</f>
        <v>0</v>
      </c>
      <c r="N445" s="52"/>
      <c r="Q445" s="86"/>
    </row>
    <row r="446" spans="1:17">
      <c r="A446" s="27">
        <v>2</v>
      </c>
      <c r="B446" s="27" t="str">
        <f>'AEO14 rsstk'!D463</f>
        <v>Gas 2nd Heat</v>
      </c>
      <c r="C446" s="27">
        <f>'AEO14 rsstk'!A463</f>
        <v>674787</v>
      </c>
      <c r="D446" s="27">
        <f>'AEO14 rsstk'!B463</f>
        <v>151276</v>
      </c>
      <c r="E446" s="27">
        <f>'AEO14 rsstk'!C463</f>
        <v>0</v>
      </c>
      <c r="G446" s="27">
        <f>'AEO14 UEC'!A463</f>
        <v>22.381</v>
      </c>
      <c r="H446" s="27">
        <f>'AEO14 UEC'!B463</f>
        <v>16.826000000000001</v>
      </c>
      <c r="I446" s="27">
        <f>'AEO14 UEC'!C463</f>
        <v>0</v>
      </c>
      <c r="N446" s="52"/>
      <c r="Q446" s="86"/>
    </row>
    <row r="447" spans="1:17">
      <c r="A447" s="27">
        <v>3</v>
      </c>
      <c r="B447" s="27" t="str">
        <f>'AEO14 rsstk'!D464</f>
        <v>Gas 2nd Heat</v>
      </c>
      <c r="C447" s="27">
        <f>'AEO14 rsstk'!A464</f>
        <v>1128234</v>
      </c>
      <c r="D447" s="27">
        <f>'AEO14 rsstk'!B464</f>
        <v>70868</v>
      </c>
      <c r="E447" s="27">
        <f>'AEO14 rsstk'!C464</f>
        <v>0</v>
      </c>
      <c r="G447" s="27">
        <f>'AEO14 UEC'!A464</f>
        <v>25.881</v>
      </c>
      <c r="H447" s="27">
        <f>'AEO14 UEC'!B464</f>
        <v>21.210999999999999</v>
      </c>
      <c r="I447" s="27">
        <f>'AEO14 UEC'!C464</f>
        <v>0</v>
      </c>
      <c r="N447" s="52"/>
      <c r="Q447" s="86"/>
    </row>
    <row r="448" spans="1:17">
      <c r="A448" s="27">
        <v>4</v>
      </c>
      <c r="B448" s="27" t="str">
        <f>'AEO14 rsstk'!D465</f>
        <v>Gas 2nd Heat</v>
      </c>
      <c r="C448" s="27">
        <f>'AEO14 rsstk'!A465</f>
        <v>754715</v>
      </c>
      <c r="D448" s="27">
        <f>'AEO14 rsstk'!B465</f>
        <v>0</v>
      </c>
      <c r="E448" s="27">
        <f>'AEO14 rsstk'!C465</f>
        <v>21104</v>
      </c>
      <c r="G448" s="27">
        <f>'AEO14 UEC'!A465</f>
        <v>23.26</v>
      </c>
      <c r="H448" s="27">
        <f>'AEO14 UEC'!B465</f>
        <v>0</v>
      </c>
      <c r="I448" s="27">
        <f>'AEO14 UEC'!C465</f>
        <v>31.117000000000001</v>
      </c>
      <c r="N448" s="52"/>
      <c r="Q448" s="86"/>
    </row>
    <row r="449" spans="1:17">
      <c r="A449" s="27">
        <v>5</v>
      </c>
      <c r="B449" s="27" t="str">
        <f>'AEO14 rsstk'!D466</f>
        <v>Gas 2nd Heat</v>
      </c>
      <c r="C449" s="27">
        <f>'AEO14 rsstk'!A466</f>
        <v>1161752</v>
      </c>
      <c r="D449" s="27">
        <f>'AEO14 rsstk'!B466</f>
        <v>62887</v>
      </c>
      <c r="E449" s="27">
        <f>'AEO14 rsstk'!C466</f>
        <v>44217</v>
      </c>
      <c r="G449" s="27">
        <f>'AEO14 UEC'!A466</f>
        <v>19.061</v>
      </c>
      <c r="H449" s="27">
        <f>'AEO14 UEC'!B466</f>
        <v>14.814</v>
      </c>
      <c r="I449" s="27">
        <f>'AEO14 UEC'!C466</f>
        <v>11.824999999999999</v>
      </c>
      <c r="N449" s="52"/>
      <c r="Q449" s="86"/>
    </row>
    <row r="450" spans="1:17">
      <c r="A450" s="27">
        <v>6</v>
      </c>
      <c r="B450" s="27" t="str">
        <f>'AEO14 rsstk'!D467</f>
        <v>Gas 2nd Heat</v>
      </c>
      <c r="C450" s="27">
        <f>'AEO14 rsstk'!A467</f>
        <v>338520</v>
      </c>
      <c r="D450" s="27">
        <f>'AEO14 rsstk'!B467</f>
        <v>9191</v>
      </c>
      <c r="E450" s="27">
        <f>'AEO14 rsstk'!C467</f>
        <v>0</v>
      </c>
      <c r="G450" s="27">
        <f>'AEO14 UEC'!A467</f>
        <v>17.524999999999999</v>
      </c>
      <c r="H450" s="27">
        <f>'AEO14 UEC'!B467</f>
        <v>15.99</v>
      </c>
      <c r="I450" s="27">
        <f>'AEO14 UEC'!C467</f>
        <v>0</v>
      </c>
      <c r="N450" s="52"/>
      <c r="Q450" s="86"/>
    </row>
    <row r="451" spans="1:17">
      <c r="A451" s="27">
        <v>7</v>
      </c>
      <c r="B451" s="27" t="str">
        <f>'AEO14 rsstk'!D468</f>
        <v>Gas 2nd Heat</v>
      </c>
      <c r="C451" s="27">
        <f>'AEO14 rsstk'!A468</f>
        <v>872451</v>
      </c>
      <c r="D451" s="27">
        <f>'AEO14 rsstk'!B468</f>
        <v>25351</v>
      </c>
      <c r="E451" s="27">
        <f>'AEO14 rsstk'!C468</f>
        <v>26894</v>
      </c>
      <c r="G451" s="27">
        <f>'AEO14 UEC'!A468</f>
        <v>12.832000000000001</v>
      </c>
      <c r="H451" s="27">
        <f>'AEO14 UEC'!B468</f>
        <v>3.6749999999999998</v>
      </c>
      <c r="I451" s="27">
        <f>'AEO14 UEC'!C468</f>
        <v>11.051</v>
      </c>
      <c r="N451" s="52"/>
      <c r="Q451" s="86"/>
    </row>
    <row r="452" spans="1:17">
      <c r="A452" s="27">
        <v>8</v>
      </c>
      <c r="B452" s="27" t="str">
        <f>'AEO14 rsstk'!D469</f>
        <v>Gas 2nd Heat</v>
      </c>
      <c r="C452" s="27">
        <f>'AEO14 rsstk'!A469</f>
        <v>513878</v>
      </c>
      <c r="D452" s="27">
        <f>'AEO14 rsstk'!B469</f>
        <v>24290</v>
      </c>
      <c r="E452" s="27">
        <f>'AEO14 rsstk'!C469</f>
        <v>0</v>
      </c>
      <c r="G452" s="27">
        <f>'AEO14 UEC'!A469</f>
        <v>21.626999999999999</v>
      </c>
      <c r="H452" s="27">
        <f>'AEO14 UEC'!B469</f>
        <v>11.010999999999999</v>
      </c>
      <c r="I452" s="27">
        <f>'AEO14 UEC'!C469</f>
        <v>0</v>
      </c>
      <c r="N452" s="52"/>
      <c r="Q452" s="86"/>
    </row>
    <row r="453" spans="1:17">
      <c r="A453" s="27">
        <v>9</v>
      </c>
      <c r="B453" s="27" t="str">
        <f>'AEO14 rsstk'!D470</f>
        <v>Gas 2nd Heat</v>
      </c>
      <c r="C453" s="27">
        <f>'AEO14 rsstk'!A470</f>
        <v>1135395</v>
      </c>
      <c r="D453" s="27">
        <f>'AEO14 rsstk'!B470</f>
        <v>199624</v>
      </c>
      <c r="E453" s="27">
        <f>'AEO14 rsstk'!C470</f>
        <v>18439</v>
      </c>
      <c r="G453" s="27">
        <f>'AEO14 UEC'!A470</f>
        <v>14.468</v>
      </c>
      <c r="H453" s="27">
        <f>'AEO14 UEC'!B470</f>
        <v>9.2230000000000008</v>
      </c>
      <c r="I453" s="27">
        <f>'AEO14 UEC'!C470</f>
        <v>10.42</v>
      </c>
      <c r="L453" s="51"/>
      <c r="N453" s="52"/>
      <c r="Q453" s="86"/>
    </row>
    <row r="454" spans="1:17">
      <c r="A454" s="27">
        <v>1</v>
      </c>
      <c r="B454" s="27" t="str">
        <f>'AEO14 rsstk'!D471</f>
        <v>Electric 2nd Heat</v>
      </c>
      <c r="C454" s="27">
        <f>'AEO14 rsstk'!A471</f>
        <v>945123</v>
      </c>
      <c r="D454" s="27">
        <f>'AEO14 rsstk'!B471</f>
        <v>411423</v>
      </c>
      <c r="E454" s="27">
        <f>'AEO14 rsstk'!C471</f>
        <v>22767</v>
      </c>
      <c r="G454" s="27">
        <f>'AEO14 UEC'!A471</f>
        <v>2.1779999999999999</v>
      </c>
      <c r="H454" s="27">
        <f>'AEO14 UEC'!B471</f>
        <v>2.3959999999999999</v>
      </c>
      <c r="I454" s="27">
        <f>'AEO14 UEC'!C471</f>
        <v>2.5409999999999999</v>
      </c>
      <c r="N454" s="52"/>
      <c r="Q454" s="86"/>
    </row>
    <row r="455" spans="1:17">
      <c r="A455" s="27">
        <v>2</v>
      </c>
      <c r="B455" s="27" t="str">
        <f>'AEO14 rsstk'!D472</f>
        <v>Electric 2nd Heat</v>
      </c>
      <c r="C455" s="27">
        <f>'AEO14 rsstk'!A472</f>
        <v>2456787</v>
      </c>
      <c r="D455" s="27">
        <f>'AEO14 rsstk'!B472</f>
        <v>569272</v>
      </c>
      <c r="E455" s="27">
        <f>'AEO14 rsstk'!C472</f>
        <v>124060</v>
      </c>
      <c r="G455" s="27">
        <f>'AEO14 UEC'!A472</f>
        <v>1.9450000000000001</v>
      </c>
      <c r="H455" s="27">
        <f>'AEO14 UEC'!B472</f>
        <v>2.16</v>
      </c>
      <c r="I455" s="27">
        <f>'AEO14 UEC'!C472</f>
        <v>2.59</v>
      </c>
      <c r="N455" s="52"/>
      <c r="Q455" s="86"/>
    </row>
    <row r="456" spans="1:17">
      <c r="A456" s="27">
        <v>3</v>
      </c>
      <c r="B456" s="27" t="str">
        <f>'AEO14 rsstk'!D473</f>
        <v>Electric 2nd Heat</v>
      </c>
      <c r="C456" s="27">
        <f>'AEO14 rsstk'!A473</f>
        <v>4263156</v>
      </c>
      <c r="D456" s="27">
        <f>'AEO14 rsstk'!B473</f>
        <v>652224</v>
      </c>
      <c r="E456" s="27">
        <f>'AEO14 rsstk'!C473</f>
        <v>85396</v>
      </c>
      <c r="G456" s="27">
        <f>'AEO14 UEC'!A473</f>
        <v>2.581</v>
      </c>
      <c r="H456" s="27">
        <f>'AEO14 UEC'!B473</f>
        <v>2.9529999999999998</v>
      </c>
      <c r="I456" s="27">
        <f>'AEO14 UEC'!C473</f>
        <v>4.2060000000000004</v>
      </c>
      <c r="N456" s="52"/>
      <c r="Q456" s="86"/>
    </row>
    <row r="457" spans="1:17">
      <c r="A457" s="27">
        <v>4</v>
      </c>
      <c r="B457" s="27" t="str">
        <f>'AEO14 rsstk'!D474</f>
        <v>Electric 2nd Heat</v>
      </c>
      <c r="C457" s="27">
        <f>'AEO14 rsstk'!A474</f>
        <v>2375323</v>
      </c>
      <c r="D457" s="27">
        <f>'AEO14 rsstk'!B474</f>
        <v>277010</v>
      </c>
      <c r="E457" s="27">
        <f>'AEO14 rsstk'!C474</f>
        <v>216513</v>
      </c>
      <c r="G457" s="27">
        <f>'AEO14 UEC'!A474</f>
        <v>2.6419999999999999</v>
      </c>
      <c r="H457" s="27">
        <f>'AEO14 UEC'!B474</f>
        <v>2.4510000000000001</v>
      </c>
      <c r="I457" s="27">
        <f>'AEO14 UEC'!C474</f>
        <v>2.6179999999999999</v>
      </c>
      <c r="N457" s="52"/>
      <c r="Q457" s="86"/>
    </row>
    <row r="458" spans="1:17">
      <c r="A458" s="27">
        <v>5</v>
      </c>
      <c r="B458" s="27" t="str">
        <f>'AEO14 rsstk'!D475</f>
        <v>Electric 2nd Heat</v>
      </c>
      <c r="C458" s="27">
        <f>'AEO14 rsstk'!A475</f>
        <v>4253844</v>
      </c>
      <c r="D458" s="27">
        <f>'AEO14 rsstk'!B475</f>
        <v>728267</v>
      </c>
      <c r="E458" s="27">
        <f>'AEO14 rsstk'!C475</f>
        <v>507606</v>
      </c>
      <c r="G458" s="27">
        <f>'AEO14 UEC'!A475</f>
        <v>1.8979999999999999</v>
      </c>
      <c r="H458" s="27">
        <f>'AEO14 UEC'!B475</f>
        <v>2.0089999999999999</v>
      </c>
      <c r="I458" s="27">
        <f>'AEO14 UEC'!C475</f>
        <v>1.716</v>
      </c>
      <c r="N458" s="52"/>
      <c r="Q458" s="86"/>
    </row>
    <row r="459" spans="1:17">
      <c r="A459" s="27">
        <v>6</v>
      </c>
      <c r="B459" s="27" t="str">
        <f>'AEO14 rsstk'!D476</f>
        <v>Electric 2nd Heat</v>
      </c>
      <c r="C459" s="27">
        <f>'AEO14 rsstk'!A476</f>
        <v>1545233</v>
      </c>
      <c r="D459" s="27">
        <f>'AEO14 rsstk'!B476</f>
        <v>105950</v>
      </c>
      <c r="E459" s="27">
        <f>'AEO14 rsstk'!C476</f>
        <v>247419</v>
      </c>
      <c r="G459" s="27">
        <f>'AEO14 UEC'!A476</f>
        <v>2.073</v>
      </c>
      <c r="H459" s="27">
        <f>'AEO14 UEC'!B476</f>
        <v>1.7370000000000001</v>
      </c>
      <c r="I459" s="27">
        <f>'AEO14 UEC'!C476</f>
        <v>1.9610000000000001</v>
      </c>
      <c r="N459" s="52"/>
      <c r="Q459" s="86"/>
    </row>
    <row r="460" spans="1:17">
      <c r="A460" s="27">
        <v>7</v>
      </c>
      <c r="B460" s="27" t="str">
        <f>'AEO14 rsstk'!D477</f>
        <v>Electric 2nd Heat</v>
      </c>
      <c r="C460" s="27">
        <f>'AEO14 rsstk'!A477</f>
        <v>2283397</v>
      </c>
      <c r="D460" s="27">
        <f>'AEO14 rsstk'!B477</f>
        <v>325826</v>
      </c>
      <c r="E460" s="27">
        <f>'AEO14 rsstk'!C477</f>
        <v>208839</v>
      </c>
      <c r="G460" s="27">
        <f>'AEO14 UEC'!A477</f>
        <v>1.8009999999999999</v>
      </c>
      <c r="H460" s="27">
        <f>'AEO14 UEC'!B477</f>
        <v>1.7649999999999999</v>
      </c>
      <c r="I460" s="27">
        <f>'AEO14 UEC'!C477</f>
        <v>2.782</v>
      </c>
      <c r="N460" s="52"/>
      <c r="Q460" s="86"/>
    </row>
    <row r="461" spans="1:17">
      <c r="A461" s="27">
        <v>8</v>
      </c>
      <c r="B461" s="27" t="str">
        <f>'AEO14 rsstk'!D478</f>
        <v>Electric 2nd Heat</v>
      </c>
      <c r="C461" s="27">
        <f>'AEO14 rsstk'!A478</f>
        <v>1615292</v>
      </c>
      <c r="D461" s="27">
        <f>'AEO14 rsstk'!B478</f>
        <v>106891</v>
      </c>
      <c r="E461" s="27">
        <f>'AEO14 rsstk'!C478</f>
        <v>109976</v>
      </c>
      <c r="G461" s="27">
        <f>'AEO14 UEC'!A478</f>
        <v>2.0779999999999998</v>
      </c>
      <c r="H461" s="27">
        <f>'AEO14 UEC'!B478</f>
        <v>1.224</v>
      </c>
      <c r="I461" s="27">
        <f>'AEO14 UEC'!C478</f>
        <v>2.4969999999999999</v>
      </c>
      <c r="N461" s="52"/>
      <c r="Q461" s="86"/>
    </row>
    <row r="462" spans="1:17">
      <c r="A462" s="27">
        <v>9</v>
      </c>
      <c r="B462" s="27" t="str">
        <f>'AEO14 rsstk'!D479</f>
        <v>Electric 2nd Heat</v>
      </c>
      <c r="C462" s="27">
        <f>'AEO14 rsstk'!A479</f>
        <v>2888760</v>
      </c>
      <c r="D462" s="27">
        <f>'AEO14 rsstk'!B479</f>
        <v>725434</v>
      </c>
      <c r="E462" s="27">
        <f>'AEO14 rsstk'!C479</f>
        <v>260250</v>
      </c>
      <c r="G462" s="27">
        <f>'AEO14 UEC'!A479</f>
        <v>1.7350000000000001</v>
      </c>
      <c r="H462" s="27">
        <f>'AEO14 UEC'!B479</f>
        <v>1.64</v>
      </c>
      <c r="I462" s="27">
        <f>'AEO14 UEC'!C479</f>
        <v>2.738</v>
      </c>
      <c r="L462" s="51"/>
      <c r="N462" s="52"/>
      <c r="Q462" s="86"/>
    </row>
    <row r="463" spans="1:17">
      <c r="A463" s="27">
        <v>1</v>
      </c>
      <c r="B463" s="27" t="str">
        <f>'AEO14 rsstk'!D480</f>
        <v>Distillate 2nd Heat</v>
      </c>
      <c r="C463" s="27">
        <f>'AEO14 rsstk'!A480</f>
        <v>191326</v>
      </c>
      <c r="D463" s="27">
        <f>'AEO14 rsstk'!B480</f>
        <v>6356</v>
      </c>
      <c r="E463" s="27">
        <f>'AEO14 rsstk'!C480</f>
        <v>0</v>
      </c>
      <c r="G463" s="27">
        <f>'AEO14 UEC'!A480</f>
        <v>49.786999999999999</v>
      </c>
      <c r="H463" s="27">
        <f>'AEO14 UEC'!B480</f>
        <v>67.126000000000005</v>
      </c>
      <c r="I463" s="27">
        <f>'AEO14 UEC'!C480</f>
        <v>0</v>
      </c>
      <c r="N463" s="52"/>
      <c r="Q463" s="86"/>
    </row>
    <row r="464" spans="1:17">
      <c r="A464" s="27">
        <v>2</v>
      </c>
      <c r="B464" s="27" t="str">
        <f>'AEO14 rsstk'!D481</f>
        <v>Distillate 2nd Heat</v>
      </c>
      <c r="C464" s="27">
        <f>'AEO14 rsstk'!A481</f>
        <v>87780</v>
      </c>
      <c r="D464" s="27">
        <f>'AEO14 rsstk'!B481</f>
        <v>9910</v>
      </c>
      <c r="E464" s="27">
        <f>'AEO14 rsstk'!C481</f>
        <v>15699</v>
      </c>
      <c r="G464" s="27">
        <f>'AEO14 UEC'!A481</f>
        <v>34.878</v>
      </c>
      <c r="H464" s="27">
        <f>'AEO14 UEC'!B481</f>
        <v>28.457000000000001</v>
      </c>
      <c r="I464" s="27">
        <f>'AEO14 UEC'!C481</f>
        <v>36.488999999999997</v>
      </c>
      <c r="N464" s="52"/>
      <c r="Q464" s="86"/>
    </row>
    <row r="465" spans="1:17">
      <c r="A465" s="27">
        <v>3</v>
      </c>
      <c r="B465" s="27" t="str">
        <f>'AEO14 rsstk'!D482</f>
        <v>Distillate 2nd Heat</v>
      </c>
      <c r="C465" s="27">
        <f>'AEO14 rsstk'!A482</f>
        <v>10651</v>
      </c>
      <c r="D465" s="27">
        <f>'AEO14 rsstk'!B482</f>
        <v>0</v>
      </c>
      <c r="E465" s="27">
        <f>'AEO14 rsstk'!C482</f>
        <v>0</v>
      </c>
      <c r="G465" s="27">
        <f>'AEO14 UEC'!A482</f>
        <v>78.494</v>
      </c>
      <c r="H465" s="27">
        <f>'AEO14 UEC'!B482</f>
        <v>0</v>
      </c>
      <c r="I465" s="27">
        <f>'AEO14 UEC'!C482</f>
        <v>0</v>
      </c>
      <c r="N465" s="52"/>
      <c r="Q465" s="86"/>
    </row>
    <row r="466" spans="1:17">
      <c r="A466" s="27">
        <v>4</v>
      </c>
      <c r="B466" s="27" t="str">
        <f>'AEO14 rsstk'!D483</f>
        <v>Distillate 2nd Heat</v>
      </c>
      <c r="C466" s="27">
        <f>'AEO14 rsstk'!A483</f>
        <v>26134</v>
      </c>
      <c r="D466" s="27">
        <f>'AEO14 rsstk'!B483</f>
        <v>0</v>
      </c>
      <c r="E466" s="27">
        <f>'AEO14 rsstk'!C483</f>
        <v>0</v>
      </c>
      <c r="G466" s="27">
        <f>'AEO14 UEC'!A483</f>
        <v>73.09</v>
      </c>
      <c r="H466" s="27">
        <f>'AEO14 UEC'!B483</f>
        <v>0</v>
      </c>
      <c r="I466" s="27">
        <f>'AEO14 UEC'!C483</f>
        <v>0</v>
      </c>
      <c r="N466" s="52"/>
      <c r="Q466" s="86"/>
    </row>
    <row r="467" spans="1:17">
      <c r="A467" s="27">
        <v>5</v>
      </c>
      <c r="B467" s="27" t="str">
        <f>'AEO14 rsstk'!D484</f>
        <v>Distillate 2nd Heat</v>
      </c>
      <c r="C467" s="27">
        <f>'AEO14 rsstk'!A484</f>
        <v>19348</v>
      </c>
      <c r="D467" s="27">
        <f>'AEO14 rsstk'!B484</f>
        <v>0</v>
      </c>
      <c r="E467" s="27">
        <f>'AEO14 rsstk'!C484</f>
        <v>9296</v>
      </c>
      <c r="G467" s="27">
        <f>'AEO14 UEC'!A484</f>
        <v>37.576000000000001</v>
      </c>
      <c r="H467" s="27">
        <f>'AEO14 UEC'!B484</f>
        <v>0</v>
      </c>
      <c r="I467" s="27">
        <f>'AEO14 UEC'!C484</f>
        <v>17.335000000000001</v>
      </c>
      <c r="N467" s="52"/>
      <c r="Q467" s="86"/>
    </row>
    <row r="468" spans="1:17">
      <c r="A468" s="27">
        <v>6</v>
      </c>
      <c r="B468" s="27" t="str">
        <f>'AEO14 rsstk'!D485</f>
        <v>Distillate 2nd Heat</v>
      </c>
      <c r="C468" s="27">
        <f>'AEO14 rsstk'!A485</f>
        <v>0</v>
      </c>
      <c r="D468" s="27">
        <f>'AEO14 rsstk'!B485</f>
        <v>0</v>
      </c>
      <c r="E468" s="27">
        <f>'AEO14 rsstk'!C485</f>
        <v>0</v>
      </c>
      <c r="G468" s="27">
        <f>'AEO14 UEC'!A485</f>
        <v>0</v>
      </c>
      <c r="H468" s="27">
        <f>'AEO14 UEC'!B485</f>
        <v>0</v>
      </c>
      <c r="I468" s="27">
        <f>'AEO14 UEC'!C485</f>
        <v>0</v>
      </c>
      <c r="N468" s="52"/>
      <c r="Q468" s="86"/>
    </row>
    <row r="469" spans="1:17">
      <c r="A469" s="27">
        <v>7</v>
      </c>
      <c r="B469" s="27" t="str">
        <f>'AEO14 rsstk'!D486</f>
        <v>Distillate 2nd Heat</v>
      </c>
      <c r="C469" s="27">
        <f>'AEO14 rsstk'!A486</f>
        <v>0</v>
      </c>
      <c r="D469" s="27">
        <f>'AEO14 rsstk'!B486</f>
        <v>0</v>
      </c>
      <c r="E469" s="27">
        <f>'AEO14 rsstk'!C486</f>
        <v>0</v>
      </c>
      <c r="G469" s="27">
        <f>'AEO14 UEC'!A486</f>
        <v>0</v>
      </c>
      <c r="H469" s="27">
        <f>'AEO14 UEC'!B486</f>
        <v>0</v>
      </c>
      <c r="I469" s="27">
        <f>'AEO14 UEC'!C486</f>
        <v>0</v>
      </c>
      <c r="N469" s="52"/>
      <c r="Q469" s="86"/>
    </row>
    <row r="470" spans="1:17">
      <c r="A470" s="27">
        <v>8</v>
      </c>
      <c r="B470" s="27" t="str">
        <f>'AEO14 rsstk'!D487</f>
        <v>Distillate 2nd Heat</v>
      </c>
      <c r="C470" s="27">
        <f>'AEO14 rsstk'!A487</f>
        <v>8788</v>
      </c>
      <c r="D470" s="27">
        <f>'AEO14 rsstk'!B487</f>
        <v>0</v>
      </c>
      <c r="E470" s="27">
        <f>'AEO14 rsstk'!C487</f>
        <v>0</v>
      </c>
      <c r="G470" s="27">
        <f>'AEO14 UEC'!A487</f>
        <v>33.731999999999999</v>
      </c>
      <c r="H470" s="27">
        <f>'AEO14 UEC'!B487</f>
        <v>0</v>
      </c>
      <c r="I470" s="27">
        <f>'AEO14 UEC'!C487</f>
        <v>0</v>
      </c>
      <c r="N470" s="52"/>
      <c r="Q470" s="86"/>
    </row>
    <row r="471" spans="1:17">
      <c r="A471" s="27">
        <v>9</v>
      </c>
      <c r="B471" s="27" t="str">
        <f>'AEO14 rsstk'!D488</f>
        <v>Distillate 2nd Heat</v>
      </c>
      <c r="C471" s="27">
        <f>'AEO14 rsstk'!A488</f>
        <v>20804</v>
      </c>
      <c r="D471" s="27">
        <f>'AEO14 rsstk'!B488</f>
        <v>0</v>
      </c>
      <c r="E471" s="27">
        <f>'AEO14 rsstk'!C488</f>
        <v>0</v>
      </c>
      <c r="G471" s="27">
        <f>'AEO14 UEC'!A488</f>
        <v>44.527999999999999</v>
      </c>
      <c r="H471" s="27">
        <f>'AEO14 UEC'!B488</f>
        <v>0</v>
      </c>
      <c r="I471" s="27">
        <f>'AEO14 UEC'!C488</f>
        <v>0</v>
      </c>
      <c r="L471" s="51"/>
      <c r="N471" s="52"/>
      <c r="Q471" s="86"/>
    </row>
    <row r="472" spans="1:17">
      <c r="A472" s="27">
        <v>1</v>
      </c>
      <c r="B472" s="27" t="str">
        <f>'AEO14 rsstk'!D489</f>
        <v>LPG 2nd Heat</v>
      </c>
      <c r="C472" s="27">
        <f>'AEO14 rsstk'!A489</f>
        <v>151374</v>
      </c>
      <c r="D472" s="27">
        <f>'AEO14 rsstk'!B489</f>
        <v>8161</v>
      </c>
      <c r="E472" s="27">
        <f>'AEO14 rsstk'!C489</f>
        <v>4251</v>
      </c>
      <c r="G472" s="27">
        <f>'AEO14 UEC'!A489</f>
        <v>18.552</v>
      </c>
      <c r="H472" s="27">
        <f>'AEO14 UEC'!B489</f>
        <v>22.285</v>
      </c>
      <c r="I472" s="27">
        <f>'AEO14 UEC'!C489</f>
        <v>21.324999999999999</v>
      </c>
      <c r="N472" s="52"/>
      <c r="Q472" s="86"/>
    </row>
    <row r="473" spans="1:17">
      <c r="A473" s="27">
        <v>2</v>
      </c>
      <c r="B473" s="27" t="str">
        <f>'AEO14 rsstk'!D490</f>
        <v>LPG 2nd Heat</v>
      </c>
      <c r="C473" s="27">
        <f>'AEO14 rsstk'!A490</f>
        <v>306392</v>
      </c>
      <c r="D473" s="27">
        <f>'AEO14 rsstk'!B490</f>
        <v>0</v>
      </c>
      <c r="E473" s="27">
        <f>'AEO14 rsstk'!C490</f>
        <v>0</v>
      </c>
      <c r="G473" s="27">
        <f>'AEO14 UEC'!A490</f>
        <v>20.462</v>
      </c>
      <c r="H473" s="27">
        <f>'AEO14 UEC'!B490</f>
        <v>0</v>
      </c>
      <c r="I473" s="27">
        <f>'AEO14 UEC'!C490</f>
        <v>0</v>
      </c>
      <c r="N473" s="52"/>
      <c r="Q473" s="86"/>
    </row>
    <row r="474" spans="1:17">
      <c r="A474" s="27">
        <v>3</v>
      </c>
      <c r="B474" s="27" t="str">
        <f>'AEO14 rsstk'!D491</f>
        <v>LPG 2nd Heat</v>
      </c>
      <c r="C474" s="27">
        <f>'AEO14 rsstk'!A491</f>
        <v>349284</v>
      </c>
      <c r="D474" s="27">
        <f>'AEO14 rsstk'!B491</f>
        <v>0</v>
      </c>
      <c r="E474" s="27">
        <f>'AEO14 rsstk'!C491</f>
        <v>19109</v>
      </c>
      <c r="G474" s="27">
        <f>'AEO14 UEC'!A491</f>
        <v>27.975999999999999</v>
      </c>
      <c r="H474" s="27">
        <f>'AEO14 UEC'!B491</f>
        <v>0</v>
      </c>
      <c r="I474" s="27">
        <f>'AEO14 UEC'!C491</f>
        <v>18.164999999999999</v>
      </c>
      <c r="N474" s="52"/>
      <c r="Q474" s="86"/>
    </row>
    <row r="475" spans="1:17">
      <c r="A475" s="27">
        <v>4</v>
      </c>
      <c r="B475" s="27" t="str">
        <f>'AEO14 rsstk'!D492</f>
        <v>LPG 2nd Heat</v>
      </c>
      <c r="C475" s="27">
        <f>'AEO14 rsstk'!A492</f>
        <v>196562</v>
      </c>
      <c r="D475" s="27">
        <f>'AEO14 rsstk'!B492</f>
        <v>0</v>
      </c>
      <c r="E475" s="27">
        <f>'AEO14 rsstk'!C492</f>
        <v>19708</v>
      </c>
      <c r="G475" s="27">
        <f>'AEO14 UEC'!A492</f>
        <v>19.376999999999999</v>
      </c>
      <c r="H475" s="27">
        <f>'AEO14 UEC'!B492</f>
        <v>0</v>
      </c>
      <c r="I475" s="27">
        <f>'AEO14 UEC'!C492</f>
        <v>19.36</v>
      </c>
      <c r="N475" s="52"/>
      <c r="Q475" s="86"/>
    </row>
    <row r="476" spans="1:17">
      <c r="A476" s="27">
        <v>5</v>
      </c>
      <c r="B476" s="27" t="str">
        <f>'AEO14 rsstk'!D493</f>
        <v>LPG 2nd Heat</v>
      </c>
      <c r="C476" s="27">
        <f>'AEO14 rsstk'!A493</f>
        <v>1001149</v>
      </c>
      <c r="D476" s="27">
        <f>'AEO14 rsstk'!B493</f>
        <v>0</v>
      </c>
      <c r="E476" s="27">
        <f>'AEO14 rsstk'!C493</f>
        <v>100179</v>
      </c>
      <c r="G476" s="27">
        <f>'AEO14 UEC'!A493</f>
        <v>19.114000000000001</v>
      </c>
      <c r="H476" s="27">
        <f>'AEO14 UEC'!B493</f>
        <v>0</v>
      </c>
      <c r="I476" s="27">
        <f>'AEO14 UEC'!C493</f>
        <v>14.263999999999999</v>
      </c>
      <c r="N476" s="52"/>
      <c r="Q476" s="86"/>
    </row>
    <row r="477" spans="1:17">
      <c r="A477" s="27">
        <v>6</v>
      </c>
      <c r="B477" s="27" t="str">
        <f>'AEO14 rsstk'!D494</f>
        <v>LPG 2nd Heat</v>
      </c>
      <c r="C477" s="27">
        <f>'AEO14 rsstk'!A494</f>
        <v>244956</v>
      </c>
      <c r="D477" s="27">
        <f>'AEO14 rsstk'!B494</f>
        <v>0</v>
      </c>
      <c r="E477" s="27">
        <f>'AEO14 rsstk'!C494</f>
        <v>69299</v>
      </c>
      <c r="G477" s="27">
        <f>'AEO14 UEC'!A494</f>
        <v>16.329000000000001</v>
      </c>
      <c r="H477" s="27">
        <f>'AEO14 UEC'!B494</f>
        <v>0</v>
      </c>
      <c r="I477" s="27">
        <f>'AEO14 UEC'!C494</f>
        <v>16.933</v>
      </c>
      <c r="N477" s="52"/>
      <c r="Q477" s="86"/>
    </row>
    <row r="478" spans="1:17">
      <c r="A478" s="27">
        <v>7</v>
      </c>
      <c r="B478" s="27" t="str">
        <f>'AEO14 rsstk'!D495</f>
        <v>LPG 2nd Heat</v>
      </c>
      <c r="C478" s="27">
        <f>'AEO14 rsstk'!A495</f>
        <v>116793</v>
      </c>
      <c r="D478" s="27">
        <f>'AEO14 rsstk'!B495</f>
        <v>0</v>
      </c>
      <c r="E478" s="27">
        <f>'AEO14 rsstk'!C495</f>
        <v>9709</v>
      </c>
      <c r="G478" s="27">
        <f>'AEO14 UEC'!A495</f>
        <v>12.869</v>
      </c>
      <c r="H478" s="27">
        <f>'AEO14 UEC'!B495</f>
        <v>0</v>
      </c>
      <c r="I478" s="27">
        <f>'AEO14 UEC'!C495</f>
        <v>8.7149999999999999</v>
      </c>
      <c r="N478" s="52"/>
      <c r="Q478" s="86"/>
    </row>
    <row r="479" spans="1:17">
      <c r="A479" s="27">
        <v>8</v>
      </c>
      <c r="B479" s="27" t="str">
        <f>'AEO14 rsstk'!D496</f>
        <v>LPG 2nd Heat</v>
      </c>
      <c r="C479" s="27">
        <f>'AEO14 rsstk'!A496</f>
        <v>97910</v>
      </c>
      <c r="D479" s="27">
        <f>'AEO14 rsstk'!B496</f>
        <v>0</v>
      </c>
      <c r="E479" s="27">
        <f>'AEO14 rsstk'!C496</f>
        <v>9620</v>
      </c>
      <c r="G479" s="27">
        <f>'AEO14 UEC'!A496</f>
        <v>21.117999999999999</v>
      </c>
      <c r="H479" s="27">
        <f>'AEO14 UEC'!B496</f>
        <v>0</v>
      </c>
      <c r="I479" s="27">
        <f>'AEO14 UEC'!C496</f>
        <v>13.02</v>
      </c>
      <c r="N479" s="52"/>
      <c r="Q479" s="86"/>
    </row>
    <row r="480" spans="1:17">
      <c r="A480" s="27">
        <v>9</v>
      </c>
      <c r="B480" s="27" t="str">
        <f>'AEO14 rsstk'!D497</f>
        <v>LPG 2nd Heat</v>
      </c>
      <c r="C480" s="27">
        <f>'AEO14 rsstk'!A497</f>
        <v>180545</v>
      </c>
      <c r="D480" s="27">
        <f>'AEO14 rsstk'!B497</f>
        <v>0</v>
      </c>
      <c r="E480" s="27">
        <f>'AEO14 rsstk'!C497</f>
        <v>17606</v>
      </c>
      <c r="G480" s="27">
        <f>'AEO14 UEC'!A497</f>
        <v>22.207000000000001</v>
      </c>
      <c r="H480" s="27">
        <f>'AEO14 UEC'!B497</f>
        <v>0</v>
      </c>
      <c r="I480" s="27">
        <f>'AEO14 UEC'!C497</f>
        <v>13.35</v>
      </c>
      <c r="L480" s="51"/>
      <c r="N480" s="52"/>
      <c r="Q480" s="86"/>
    </row>
    <row r="481" spans="1:17">
      <c r="A481" s="27">
        <v>1</v>
      </c>
      <c r="B481" s="27" t="str">
        <f>'AEO14 rsstk'!D498</f>
        <v>Kerosene 2nd Heat</v>
      </c>
      <c r="C481" s="27">
        <f>'AEO14 rsstk'!A498</f>
        <v>26370</v>
      </c>
      <c r="D481" s="27">
        <f>'AEO14 rsstk'!B498</f>
        <v>0</v>
      </c>
      <c r="E481" s="27">
        <f>'AEO14 rsstk'!C498</f>
        <v>0</v>
      </c>
      <c r="G481" s="27">
        <f>'AEO14 UEC'!A498</f>
        <v>4.968</v>
      </c>
      <c r="H481" s="27">
        <f>'AEO14 UEC'!B498</f>
        <v>0</v>
      </c>
      <c r="I481" s="27">
        <f>'AEO14 UEC'!C498</f>
        <v>0</v>
      </c>
      <c r="N481" s="52"/>
      <c r="Q481" s="86"/>
    </row>
    <row r="482" spans="1:17">
      <c r="A482" s="27">
        <v>2</v>
      </c>
      <c r="B482" s="27" t="str">
        <f>'AEO14 rsstk'!D499</f>
        <v>Kerosene 2nd Heat</v>
      </c>
      <c r="C482" s="27">
        <f>'AEO14 rsstk'!A499</f>
        <v>91900</v>
      </c>
      <c r="D482" s="27">
        <f>'AEO14 rsstk'!B499</f>
        <v>0</v>
      </c>
      <c r="E482" s="27">
        <f>'AEO14 rsstk'!C499</f>
        <v>19232</v>
      </c>
      <c r="G482" s="27">
        <f>'AEO14 UEC'!A499</f>
        <v>3.8260000000000001</v>
      </c>
      <c r="H482" s="27">
        <f>'AEO14 UEC'!B499</f>
        <v>0</v>
      </c>
      <c r="I482" s="27">
        <f>'AEO14 UEC'!C499</f>
        <v>7.17</v>
      </c>
      <c r="N482" s="52"/>
      <c r="Q482" s="86"/>
    </row>
    <row r="483" spans="1:17">
      <c r="A483" s="27">
        <v>3</v>
      </c>
      <c r="B483" s="27" t="str">
        <f>'AEO14 rsstk'!D500</f>
        <v>Kerosene 2nd Heat</v>
      </c>
      <c r="C483" s="27">
        <f>'AEO14 rsstk'!A500</f>
        <v>153652</v>
      </c>
      <c r="D483" s="27">
        <f>'AEO14 rsstk'!B500</f>
        <v>23066</v>
      </c>
      <c r="E483" s="27">
        <f>'AEO14 rsstk'!C500</f>
        <v>35288</v>
      </c>
      <c r="G483" s="27">
        <f>'AEO14 UEC'!A500</f>
        <v>4.5979999999999999</v>
      </c>
      <c r="H483" s="27">
        <f>'AEO14 UEC'!B500</f>
        <v>3.911</v>
      </c>
      <c r="I483" s="27">
        <f>'AEO14 UEC'!C500</f>
        <v>0.52900000000000003</v>
      </c>
      <c r="N483" s="52"/>
      <c r="Q483" s="86"/>
    </row>
    <row r="484" spans="1:17">
      <c r="A484" s="27">
        <v>4</v>
      </c>
      <c r="B484" s="27" t="str">
        <f>'AEO14 rsstk'!D501</f>
        <v>Kerosene 2nd Heat</v>
      </c>
      <c r="C484" s="27">
        <f>'AEO14 rsstk'!A501</f>
        <v>68120</v>
      </c>
      <c r="D484" s="27">
        <f>'AEO14 rsstk'!B501</f>
        <v>6852</v>
      </c>
      <c r="E484" s="27">
        <f>'AEO14 rsstk'!C501</f>
        <v>11555</v>
      </c>
      <c r="G484" s="27">
        <f>'AEO14 UEC'!A501</f>
        <v>2.7549999999999999</v>
      </c>
      <c r="H484" s="27">
        <f>'AEO14 UEC'!B501</f>
        <v>3.782</v>
      </c>
      <c r="I484" s="27">
        <f>'AEO14 UEC'!C501</f>
        <v>10.8</v>
      </c>
      <c r="N484" s="52"/>
      <c r="Q484" s="86"/>
    </row>
    <row r="485" spans="1:17">
      <c r="A485" s="27">
        <v>5</v>
      </c>
      <c r="B485" s="27" t="str">
        <f>'AEO14 rsstk'!D502</f>
        <v>Kerosene 2nd Heat</v>
      </c>
      <c r="C485" s="27">
        <f>'AEO14 rsstk'!A502</f>
        <v>183849</v>
      </c>
      <c r="D485" s="27">
        <f>'AEO14 rsstk'!B502</f>
        <v>9247</v>
      </c>
      <c r="E485" s="27">
        <f>'AEO14 rsstk'!C502</f>
        <v>119545</v>
      </c>
      <c r="G485" s="27">
        <f>'AEO14 UEC'!A502</f>
        <v>4.6029999999999998</v>
      </c>
      <c r="H485" s="27">
        <f>'AEO14 UEC'!B502</f>
        <v>2.8759999999999999</v>
      </c>
      <c r="I485" s="27">
        <f>'AEO14 UEC'!C502</f>
        <v>4.2039999999999997</v>
      </c>
      <c r="N485" s="52"/>
      <c r="Q485" s="86"/>
    </row>
    <row r="486" spans="1:17">
      <c r="A486" s="27">
        <v>6</v>
      </c>
      <c r="B486" s="27" t="str">
        <f>'AEO14 rsstk'!D503</f>
        <v>Kerosene 2nd Heat</v>
      </c>
      <c r="C486" s="27">
        <f>'AEO14 rsstk'!A503</f>
        <v>52574</v>
      </c>
      <c r="D486" s="27">
        <f>'AEO14 rsstk'!B503</f>
        <v>0</v>
      </c>
      <c r="E486" s="27">
        <f>'AEO14 rsstk'!C503</f>
        <v>15142</v>
      </c>
      <c r="G486" s="27">
        <f>'AEO14 UEC'!A503</f>
        <v>3.87</v>
      </c>
      <c r="H486" s="27">
        <f>'AEO14 UEC'!B503</f>
        <v>0</v>
      </c>
      <c r="I486" s="27">
        <f>'AEO14 UEC'!C503</f>
        <v>1.35</v>
      </c>
      <c r="N486" s="52"/>
      <c r="Q486" s="86"/>
    </row>
    <row r="487" spans="1:17">
      <c r="A487" s="27">
        <v>7</v>
      </c>
      <c r="B487" s="27" t="str">
        <f>'AEO14 rsstk'!D504</f>
        <v>Kerosene 2nd Heat</v>
      </c>
      <c r="C487" s="27">
        <f>'AEO14 rsstk'!A504</f>
        <v>9230</v>
      </c>
      <c r="D487" s="27">
        <f>'AEO14 rsstk'!B504</f>
        <v>0</v>
      </c>
      <c r="E487" s="27">
        <f>'AEO14 rsstk'!C504</f>
        <v>0</v>
      </c>
      <c r="G487" s="27">
        <f>'AEO14 UEC'!A504</f>
        <v>2.7839999999999998</v>
      </c>
      <c r="H487" s="27">
        <f>'AEO14 UEC'!B504</f>
        <v>0</v>
      </c>
      <c r="I487" s="27">
        <f>'AEO14 UEC'!C504</f>
        <v>0</v>
      </c>
      <c r="N487" s="52"/>
      <c r="Q487" s="86"/>
    </row>
    <row r="488" spans="1:17">
      <c r="A488" s="27">
        <v>8</v>
      </c>
      <c r="B488" s="27" t="str">
        <f>'AEO14 rsstk'!D505</f>
        <v>Kerosene 2nd Heat</v>
      </c>
      <c r="C488" s="27">
        <f>'AEO14 rsstk'!A505</f>
        <v>8788</v>
      </c>
      <c r="D488" s="27">
        <f>'AEO14 rsstk'!B505</f>
        <v>0</v>
      </c>
      <c r="E488" s="27">
        <f>'AEO14 rsstk'!C505</f>
        <v>10228</v>
      </c>
      <c r="G488" s="27">
        <f>'AEO14 UEC'!A505</f>
        <v>12.15</v>
      </c>
      <c r="H488" s="27">
        <f>'AEO14 UEC'!B505</f>
        <v>0</v>
      </c>
      <c r="I488" s="27">
        <f>'AEO14 UEC'!C505</f>
        <v>3.448</v>
      </c>
      <c r="N488" s="52"/>
      <c r="Q488" s="86"/>
    </row>
    <row r="489" spans="1:17">
      <c r="A489" s="27">
        <v>9</v>
      </c>
      <c r="B489" s="27" t="str">
        <f>'AEO14 rsstk'!D506</f>
        <v>Kerosene 2nd Heat</v>
      </c>
      <c r="C489" s="27">
        <f>'AEO14 rsstk'!A506</f>
        <v>16283</v>
      </c>
      <c r="D489" s="27">
        <f>'AEO14 rsstk'!B506</f>
        <v>8946</v>
      </c>
      <c r="E489" s="27">
        <f>'AEO14 rsstk'!C506</f>
        <v>0</v>
      </c>
      <c r="G489" s="27">
        <f>'AEO14 UEC'!A506</f>
        <v>2.4420000000000002</v>
      </c>
      <c r="H489" s="27">
        <f>'AEO14 UEC'!B506</f>
        <v>2.17</v>
      </c>
      <c r="I489" s="27">
        <f>'AEO14 UEC'!C506</f>
        <v>0</v>
      </c>
      <c r="L489" s="51"/>
      <c r="N489" s="52"/>
      <c r="Q489" s="86"/>
    </row>
    <row r="490" spans="1:17">
      <c r="A490" s="27">
        <v>1</v>
      </c>
      <c r="B490" s="27" t="str">
        <f>'AEO14 rsstk'!D507</f>
        <v>Coal 2nd Heat</v>
      </c>
      <c r="C490" s="27">
        <f>'AEO14 rsstk'!A507</f>
        <v>8110</v>
      </c>
      <c r="D490" s="27">
        <f>'AEO14 rsstk'!B507</f>
        <v>0</v>
      </c>
      <c r="E490" s="27">
        <f>'AEO14 rsstk'!C507</f>
        <v>0</v>
      </c>
      <c r="G490" s="27">
        <f>'AEO14 UEC'!A507</f>
        <v>3.7999999999999999E-2</v>
      </c>
      <c r="H490" s="27">
        <f>'AEO14 UEC'!B507</f>
        <v>3.7999999999999999E-2</v>
      </c>
      <c r="I490" s="27">
        <f>'AEO14 UEC'!C507</f>
        <v>3.7999999999999999E-2</v>
      </c>
      <c r="N490" s="52"/>
      <c r="Q490" s="86"/>
    </row>
    <row r="491" spans="1:17">
      <c r="A491" s="27">
        <v>2</v>
      </c>
      <c r="B491" s="27" t="str">
        <f>'AEO14 rsstk'!D508</f>
        <v>Coal 2nd Heat</v>
      </c>
      <c r="C491" s="27">
        <f>'AEO14 rsstk'!A508</f>
        <v>20242</v>
      </c>
      <c r="D491" s="27">
        <f>'AEO14 rsstk'!B508</f>
        <v>0</v>
      </c>
      <c r="E491" s="27">
        <f>'AEO14 rsstk'!C508</f>
        <v>0</v>
      </c>
      <c r="G491" s="27">
        <f>'AEO14 UEC'!A508</f>
        <v>0.19600000000000001</v>
      </c>
      <c r="H491" s="27">
        <f>'AEO14 UEC'!B508</f>
        <v>0.19600000000000001</v>
      </c>
      <c r="I491" s="27">
        <f>'AEO14 UEC'!C508</f>
        <v>0.19600000000000001</v>
      </c>
      <c r="N491" s="52"/>
      <c r="Q491" s="86"/>
    </row>
    <row r="492" spans="1:17">
      <c r="A492" s="27">
        <v>3</v>
      </c>
      <c r="B492" s="27" t="str">
        <f>'AEO14 rsstk'!D509</f>
        <v>Coal 2nd Heat</v>
      </c>
      <c r="C492" s="27">
        <f>'AEO14 rsstk'!A509</f>
        <v>15914</v>
      </c>
      <c r="D492" s="27">
        <f>'AEO14 rsstk'!B509</f>
        <v>0</v>
      </c>
      <c r="E492" s="27">
        <f>'AEO14 rsstk'!C509</f>
        <v>0</v>
      </c>
      <c r="G492" s="27">
        <f>'AEO14 UEC'!A509</f>
        <v>0.2</v>
      </c>
      <c r="H492" s="27">
        <f>'AEO14 UEC'!B509</f>
        <v>0.2</v>
      </c>
      <c r="I492" s="27">
        <f>'AEO14 UEC'!C509</f>
        <v>0.2</v>
      </c>
      <c r="N492" s="52"/>
      <c r="Q492" s="86"/>
    </row>
    <row r="493" spans="1:17">
      <c r="A493" s="27">
        <v>4</v>
      </c>
      <c r="B493" s="27" t="str">
        <f>'AEO14 rsstk'!D510</f>
        <v>Coal 2nd Heat</v>
      </c>
      <c r="C493" s="27">
        <f>'AEO14 rsstk'!A510</f>
        <v>9504</v>
      </c>
      <c r="D493" s="27">
        <f>'AEO14 rsstk'!B510</f>
        <v>0</v>
      </c>
      <c r="E493" s="27">
        <f>'AEO14 rsstk'!C510</f>
        <v>7089</v>
      </c>
      <c r="G493" s="27">
        <f>'AEO14 UEC'!A510</f>
        <v>0.26500000000000001</v>
      </c>
      <c r="H493" s="27">
        <f>'AEO14 UEC'!B510</f>
        <v>0.26500000000000001</v>
      </c>
      <c r="I493" s="27">
        <f>'AEO14 UEC'!C510</f>
        <v>0.26500000000000001</v>
      </c>
      <c r="N493" s="52"/>
      <c r="Q493" s="86"/>
    </row>
    <row r="494" spans="1:17">
      <c r="A494" s="27">
        <v>5</v>
      </c>
      <c r="B494" s="27" t="str">
        <f>'AEO14 rsstk'!D511</f>
        <v>Coal 2nd Heat</v>
      </c>
      <c r="C494" s="27">
        <f>'AEO14 rsstk'!A511</f>
        <v>32170</v>
      </c>
      <c r="D494" s="27">
        <f>'AEO14 rsstk'!B511</f>
        <v>0</v>
      </c>
      <c r="E494" s="27">
        <f>'AEO14 rsstk'!C511</f>
        <v>18040</v>
      </c>
      <c r="G494" s="27">
        <f>'AEO14 UEC'!A511</f>
        <v>7.0999999999999994E-2</v>
      </c>
      <c r="H494" s="27">
        <f>'AEO14 UEC'!B511</f>
        <v>7.0999999999999994E-2</v>
      </c>
      <c r="I494" s="27">
        <f>'AEO14 UEC'!C511</f>
        <v>7.0999999999999994E-2</v>
      </c>
      <c r="N494" s="52"/>
      <c r="Q494" s="86"/>
    </row>
    <row r="495" spans="1:17">
      <c r="A495" s="27">
        <v>6</v>
      </c>
      <c r="B495" s="27" t="str">
        <f>'AEO14 rsstk'!D512</f>
        <v>Coal 2nd Heat</v>
      </c>
      <c r="C495" s="27">
        <f>'AEO14 rsstk'!A512</f>
        <v>1</v>
      </c>
      <c r="D495" s="27">
        <f>'AEO14 rsstk'!B512</f>
        <v>0</v>
      </c>
      <c r="E495" s="27">
        <f>'AEO14 rsstk'!C512</f>
        <v>0</v>
      </c>
      <c r="G495" s="27">
        <f>'AEO14 UEC'!A512</f>
        <v>0.14099999999999999</v>
      </c>
      <c r="H495" s="27">
        <f>'AEO14 UEC'!B512</f>
        <v>0.14099999999999999</v>
      </c>
      <c r="I495" s="27">
        <f>'AEO14 UEC'!C512</f>
        <v>0.14099999999999999</v>
      </c>
      <c r="N495" s="52"/>
      <c r="Q495" s="86"/>
    </row>
    <row r="496" spans="1:17">
      <c r="A496" s="27">
        <v>7</v>
      </c>
      <c r="B496" s="27" t="str">
        <f>'AEO14 rsstk'!D513</f>
        <v>Coal 2nd Heat</v>
      </c>
      <c r="C496" s="27">
        <f>'AEO14 rsstk'!A513</f>
        <v>7937</v>
      </c>
      <c r="D496" s="27">
        <f>'AEO14 rsstk'!B513</f>
        <v>0</v>
      </c>
      <c r="E496" s="27">
        <f>'AEO14 rsstk'!C513</f>
        <v>0</v>
      </c>
      <c r="G496" s="27">
        <f>'AEO14 UEC'!A513</f>
        <v>4.0000000000000001E-3</v>
      </c>
      <c r="H496" s="27">
        <f>'AEO14 UEC'!B513</f>
        <v>4.0000000000000001E-3</v>
      </c>
      <c r="I496" s="27">
        <f>'AEO14 UEC'!C513</f>
        <v>4.0000000000000001E-3</v>
      </c>
      <c r="N496" s="52"/>
      <c r="Q496" s="86"/>
    </row>
    <row r="497" spans="1:17">
      <c r="A497" s="27">
        <v>8</v>
      </c>
      <c r="B497" s="27" t="str">
        <f>'AEO14 rsstk'!D514</f>
        <v>Coal 2nd Heat</v>
      </c>
      <c r="C497" s="27">
        <f>'AEO14 rsstk'!A514</f>
        <v>1</v>
      </c>
      <c r="D497" s="27">
        <f>'AEO14 rsstk'!B514</f>
        <v>0</v>
      </c>
      <c r="E497" s="27">
        <f>'AEO14 rsstk'!C514</f>
        <v>0</v>
      </c>
      <c r="G497" s="27">
        <f>'AEO14 UEC'!A514</f>
        <v>0.14099999999999999</v>
      </c>
      <c r="H497" s="27">
        <f>'AEO14 UEC'!B514</f>
        <v>0.14099999999999999</v>
      </c>
      <c r="I497" s="27">
        <f>'AEO14 UEC'!C514</f>
        <v>0.14099999999999999</v>
      </c>
      <c r="N497" s="52"/>
      <c r="Q497" s="86"/>
    </row>
    <row r="498" spans="1:17">
      <c r="A498" s="27">
        <v>9</v>
      </c>
      <c r="B498" s="27" t="str">
        <f>'AEO14 rsstk'!D515</f>
        <v>Coal 2nd Heat</v>
      </c>
      <c r="C498" s="27">
        <f>'AEO14 rsstk'!A515</f>
        <v>19713</v>
      </c>
      <c r="D498" s="27">
        <f>'AEO14 rsstk'!B515</f>
        <v>0</v>
      </c>
      <c r="E498" s="27">
        <f>'AEO14 rsstk'!C515</f>
        <v>0</v>
      </c>
      <c r="G498" s="27">
        <f>'AEO14 UEC'!A515</f>
        <v>6.8000000000000005E-2</v>
      </c>
      <c r="H498" s="27">
        <f>'AEO14 UEC'!B515</f>
        <v>6.8000000000000005E-2</v>
      </c>
      <c r="I498" s="27">
        <f>'AEO14 UEC'!C515</f>
        <v>6.8000000000000005E-2</v>
      </c>
      <c r="L498" s="51"/>
      <c r="N498" s="52"/>
      <c r="Q498" s="86"/>
    </row>
    <row r="499" spans="1:17">
      <c r="A499" s="27">
        <v>1</v>
      </c>
      <c r="B499" s="27" t="str">
        <f>'AEO14 rsstk'!D516</f>
        <v>Wood 2nd Heat</v>
      </c>
      <c r="C499" s="27">
        <f>'AEO14 rsstk'!A516</f>
        <v>706538</v>
      </c>
      <c r="D499" s="27">
        <f>'AEO14 rsstk'!B516</f>
        <v>39011</v>
      </c>
      <c r="E499" s="27">
        <f>'AEO14 rsstk'!C516</f>
        <v>13873</v>
      </c>
      <c r="G499" s="27">
        <f>'AEO14 UEC'!A516</f>
        <v>18.364999999999998</v>
      </c>
      <c r="H499" s="27">
        <f>'AEO14 UEC'!B516</f>
        <v>27.02</v>
      </c>
      <c r="I499" s="27">
        <f>'AEO14 UEC'!C516</f>
        <v>120.899</v>
      </c>
      <c r="K499" s="27">
        <f t="shared" ref="K499:K507" si="10">SUMPRODUCT(C499:E499,G499:I499)</f>
        <v>15706879.416999999</v>
      </c>
      <c r="N499" s="52">
        <f t="shared" ref="N499:N507" si="11">K499/1000000000*$O$1</f>
        <v>16.571637370182351</v>
      </c>
      <c r="Q499" s="86"/>
    </row>
    <row r="500" spans="1:17">
      <c r="A500" s="27">
        <v>2</v>
      </c>
      <c r="B500" s="27" t="str">
        <f>'AEO14 rsstk'!D517</f>
        <v>Wood 2nd Heat</v>
      </c>
      <c r="C500" s="27">
        <f>'AEO14 rsstk'!A517</f>
        <v>964341</v>
      </c>
      <c r="D500" s="27">
        <f>'AEO14 rsstk'!B517</f>
        <v>23551</v>
      </c>
      <c r="E500" s="27">
        <f>'AEO14 rsstk'!C517</f>
        <v>44289</v>
      </c>
      <c r="G500" s="27">
        <f>'AEO14 UEC'!A517</f>
        <v>15.304</v>
      </c>
      <c r="H500" s="27">
        <f>'AEO14 UEC'!B517</f>
        <v>60.756</v>
      </c>
      <c r="I500" s="27">
        <f>'AEO14 UEC'!C517</f>
        <v>20.747</v>
      </c>
      <c r="K500" s="27">
        <f t="shared" si="10"/>
        <v>17108003.103</v>
      </c>
      <c r="N500" s="52">
        <f t="shared" si="11"/>
        <v>18.049901321838771</v>
      </c>
      <c r="Q500" s="86"/>
    </row>
    <row r="501" spans="1:17">
      <c r="A501" s="27">
        <v>3</v>
      </c>
      <c r="B501" s="27" t="str">
        <f>'AEO14 rsstk'!D518</f>
        <v>Wood 2nd Heat</v>
      </c>
      <c r="C501" s="27">
        <f>'AEO14 rsstk'!A518</f>
        <v>1228114</v>
      </c>
      <c r="D501" s="27">
        <f>'AEO14 rsstk'!B518</f>
        <v>18065</v>
      </c>
      <c r="E501" s="27">
        <f>'AEO14 rsstk'!C518</f>
        <v>25748</v>
      </c>
      <c r="G501" s="27">
        <f>'AEO14 UEC'!A518</f>
        <v>23.324999999999999</v>
      </c>
      <c r="H501" s="27">
        <f>'AEO14 UEC'!B518</f>
        <v>20.245999999999999</v>
      </c>
      <c r="I501" s="27">
        <f>'AEO14 UEC'!C518</f>
        <v>13.698</v>
      </c>
      <c r="K501" s="27">
        <f t="shared" si="10"/>
        <v>29364199.143999998</v>
      </c>
      <c r="N501" s="52">
        <f t="shared" si="11"/>
        <v>30.980874492072061</v>
      </c>
      <c r="Q501" s="86"/>
    </row>
    <row r="502" spans="1:17">
      <c r="A502" s="27">
        <v>4</v>
      </c>
      <c r="B502" s="27" t="str">
        <f>'AEO14 rsstk'!D519</f>
        <v>Wood 2nd Heat</v>
      </c>
      <c r="C502" s="27">
        <f>'AEO14 rsstk'!A519</f>
        <v>768979</v>
      </c>
      <c r="D502" s="27">
        <f>'AEO14 rsstk'!B519</f>
        <v>8853</v>
      </c>
      <c r="E502" s="27">
        <f>'AEO14 rsstk'!C519</f>
        <v>18482</v>
      </c>
      <c r="G502" s="27">
        <f>'AEO14 UEC'!A519</f>
        <v>22.79</v>
      </c>
      <c r="H502" s="27">
        <f>'AEO14 UEC'!B519</f>
        <v>10</v>
      </c>
      <c r="I502" s="27">
        <f>'AEO14 UEC'!C519</f>
        <v>31.405000000000001</v>
      </c>
      <c r="K502" s="27">
        <f t="shared" si="10"/>
        <v>18193988.620000001</v>
      </c>
      <c r="N502" s="52">
        <f t="shared" si="11"/>
        <v>19.195676857462722</v>
      </c>
      <c r="Q502" s="86"/>
    </row>
    <row r="503" spans="1:17">
      <c r="A503" s="27">
        <v>5</v>
      </c>
      <c r="B503" s="27" t="str">
        <f>'AEO14 rsstk'!D520</f>
        <v>Wood 2nd Heat</v>
      </c>
      <c r="C503" s="27">
        <f>'AEO14 rsstk'!A520</f>
        <v>1458685</v>
      </c>
      <c r="D503" s="27">
        <f>'AEO14 rsstk'!B520</f>
        <v>75874</v>
      </c>
      <c r="E503" s="27">
        <f>'AEO14 rsstk'!C520</f>
        <v>68691</v>
      </c>
      <c r="G503" s="27">
        <f>'AEO14 UEC'!A520</f>
        <v>20.433</v>
      </c>
      <c r="H503" s="27">
        <f>'AEO14 UEC'!B520</f>
        <v>24.77</v>
      </c>
      <c r="I503" s="27">
        <f>'AEO14 UEC'!C520</f>
        <v>37.515999999999998</v>
      </c>
      <c r="K503" s="27">
        <f t="shared" si="10"/>
        <v>34261721.141000003</v>
      </c>
      <c r="N503" s="52">
        <f t="shared" si="11"/>
        <v>36.148034460138902</v>
      </c>
      <c r="Q503" s="86"/>
    </row>
    <row r="504" spans="1:17">
      <c r="A504" s="27">
        <v>6</v>
      </c>
      <c r="B504" s="27" t="str">
        <f>'AEO14 rsstk'!D521</f>
        <v>Wood 2nd Heat</v>
      </c>
      <c r="C504" s="27">
        <f>'AEO14 rsstk'!A521</f>
        <v>370201</v>
      </c>
      <c r="D504" s="27">
        <f>'AEO14 rsstk'!B521</f>
        <v>11407</v>
      </c>
      <c r="E504" s="27">
        <f>'AEO14 rsstk'!C521</f>
        <v>11145</v>
      </c>
      <c r="G504" s="27">
        <f>'AEO14 UEC'!A521</f>
        <v>17.027000000000001</v>
      </c>
      <c r="H504" s="27">
        <f>'AEO14 UEC'!B521</f>
        <v>40</v>
      </c>
      <c r="I504" s="27">
        <f>'AEO14 UEC'!C521</f>
        <v>12.57</v>
      </c>
      <c r="K504" s="27">
        <f t="shared" si="10"/>
        <v>6899785.0770000005</v>
      </c>
      <c r="N504" s="52">
        <f t="shared" si="11"/>
        <v>7.2796596441993131</v>
      </c>
      <c r="Q504" s="86"/>
    </row>
    <row r="505" spans="1:17">
      <c r="A505" s="27">
        <v>7</v>
      </c>
      <c r="B505" s="27" t="str">
        <f>'AEO14 rsstk'!D522</f>
        <v>Wood 2nd Heat</v>
      </c>
      <c r="C505" s="27">
        <f>'AEO14 rsstk'!A522</f>
        <v>574135</v>
      </c>
      <c r="D505" s="27">
        <f>'AEO14 rsstk'!B522</f>
        <v>54742</v>
      </c>
      <c r="E505" s="27">
        <f>'AEO14 rsstk'!C522</f>
        <v>34356</v>
      </c>
      <c r="G505" s="27">
        <f>'AEO14 UEC'!A522</f>
        <v>16.591000000000001</v>
      </c>
      <c r="H505" s="27">
        <f>'AEO14 UEC'!B522</f>
        <v>20.317</v>
      </c>
      <c r="I505" s="27">
        <f>'AEO14 UEC'!C522</f>
        <v>12.731</v>
      </c>
      <c r="K505" s="27">
        <f t="shared" si="10"/>
        <v>11075053.234999999</v>
      </c>
      <c r="N505" s="52">
        <f t="shared" si="11"/>
        <v>11.684801365906161</v>
      </c>
      <c r="Q505" s="86"/>
    </row>
    <row r="506" spans="1:17">
      <c r="A506" s="27">
        <v>8</v>
      </c>
      <c r="B506" s="27" t="str">
        <f>'AEO14 rsstk'!D523</f>
        <v>Wood 2nd Heat</v>
      </c>
      <c r="C506" s="27">
        <f>'AEO14 rsstk'!A523</f>
        <v>612107</v>
      </c>
      <c r="D506" s="27">
        <f>'AEO14 rsstk'!B523</f>
        <v>124970</v>
      </c>
      <c r="E506" s="27">
        <f>'AEO14 rsstk'!C523</f>
        <v>37261</v>
      </c>
      <c r="G506" s="27">
        <f>'AEO14 UEC'!A523</f>
        <v>13.821999999999999</v>
      </c>
      <c r="H506" s="27">
        <f>'AEO14 UEC'!B523</f>
        <v>23.294</v>
      </c>
      <c r="I506" s="27">
        <f>'AEO14 UEC'!C523</f>
        <v>13.47</v>
      </c>
      <c r="K506" s="27">
        <f t="shared" si="10"/>
        <v>11873499.804</v>
      </c>
      <c r="N506" s="52">
        <f t="shared" si="11"/>
        <v>12.527207209209024</v>
      </c>
      <c r="Q506" s="86"/>
    </row>
    <row r="507" spans="1:17">
      <c r="A507" s="27">
        <v>9</v>
      </c>
      <c r="B507" s="27" t="str">
        <f>'AEO14 rsstk'!D524</f>
        <v>Wood 2nd Heat</v>
      </c>
      <c r="C507" s="27">
        <f>'AEO14 rsstk'!A524</f>
        <v>1497340</v>
      </c>
      <c r="D507" s="27">
        <f>'AEO14 rsstk'!B524</f>
        <v>235019</v>
      </c>
      <c r="E507" s="27">
        <f>'AEO14 rsstk'!C524</f>
        <v>19669</v>
      </c>
      <c r="G507" s="27">
        <f>'AEO14 UEC'!A524</f>
        <v>12.847</v>
      </c>
      <c r="H507" s="27">
        <f>'AEO14 UEC'!B524</f>
        <v>11.52</v>
      </c>
      <c r="I507" s="27">
        <f>'AEO14 UEC'!C524</f>
        <v>11.516</v>
      </c>
      <c r="K507" s="27">
        <f t="shared" si="10"/>
        <v>22170254.063999999</v>
      </c>
      <c r="L507" s="51">
        <f>SUM(K499:K507)/1000000000</f>
        <v>0.16665338360500001</v>
      </c>
      <c r="N507" s="52">
        <f t="shared" si="11"/>
        <v>23.390859571747583</v>
      </c>
      <c r="Q507" s="86"/>
    </row>
    <row r="508" spans="1:17">
      <c r="A508" s="27">
        <v>1</v>
      </c>
      <c r="B508" s="27" t="str">
        <f>'AEO14 rsstk'!D525</f>
        <v>Natural Gas Appliances</v>
      </c>
      <c r="C508" s="27">
        <f>'AEO14 rsstk'!A525</f>
        <v>130230</v>
      </c>
      <c r="D508" s="27">
        <f>'AEO14 rsstk'!B525</f>
        <v>29867</v>
      </c>
      <c r="E508" s="27">
        <f>'AEO14 rsstk'!C525</f>
        <v>5436</v>
      </c>
      <c r="G508" s="27">
        <f>'AEO14 UEC'!A525</f>
        <v>53.155000000000001</v>
      </c>
      <c r="H508" s="27">
        <f>'AEO14 UEC'!B525</f>
        <v>168.12799999999999</v>
      </c>
      <c r="I508" s="27">
        <f>'AEO14 UEC'!C525</f>
        <v>12.975</v>
      </c>
      <c r="N508" s="52"/>
      <c r="Q508" s="86"/>
    </row>
    <row r="509" spans="1:17">
      <c r="A509" s="27">
        <v>2</v>
      </c>
      <c r="B509" s="27" t="str">
        <f>'AEO14 rsstk'!D526</f>
        <v>Natural Gas Appliances</v>
      </c>
      <c r="C509" s="27">
        <f>'AEO14 rsstk'!A526</f>
        <v>1206215</v>
      </c>
      <c r="D509" s="27">
        <f>'AEO14 rsstk'!B526</f>
        <v>27542</v>
      </c>
      <c r="E509" s="27">
        <f>'AEO14 rsstk'!C526</f>
        <v>12072</v>
      </c>
      <c r="G509" s="27">
        <f>'AEO14 UEC'!A526</f>
        <v>37.869</v>
      </c>
      <c r="H509" s="27">
        <f>'AEO14 UEC'!B526</f>
        <v>438.923</v>
      </c>
      <c r="I509" s="27">
        <f>'AEO14 UEC'!C526</f>
        <v>0.92400000000000004</v>
      </c>
      <c r="N509" s="52"/>
      <c r="Q509" s="86"/>
    </row>
    <row r="510" spans="1:17">
      <c r="A510" s="27">
        <v>3</v>
      </c>
      <c r="B510" s="27" t="str">
        <f>'AEO14 rsstk'!D527</f>
        <v>Natural Gas Appliances</v>
      </c>
      <c r="C510" s="27">
        <f>'AEO14 rsstk'!A527</f>
        <v>1543727</v>
      </c>
      <c r="D510" s="27">
        <f>'AEO14 rsstk'!B527</f>
        <v>44364</v>
      </c>
      <c r="E510" s="27">
        <f>'AEO14 rsstk'!C527</f>
        <v>66272</v>
      </c>
      <c r="G510" s="27">
        <f>'AEO14 UEC'!A527</f>
        <v>40.103999999999999</v>
      </c>
      <c r="H510" s="27">
        <f>'AEO14 UEC'!B527</f>
        <v>182.47800000000001</v>
      </c>
      <c r="I510" s="27">
        <f>'AEO14 UEC'!C527</f>
        <v>15.602</v>
      </c>
      <c r="N510" s="52"/>
      <c r="Q510" s="86"/>
    </row>
    <row r="511" spans="1:17">
      <c r="A511" s="27">
        <v>4</v>
      </c>
      <c r="B511" s="27" t="str">
        <f>'AEO14 rsstk'!D528</f>
        <v>Natural Gas Appliances</v>
      </c>
      <c r="C511" s="27">
        <f>'AEO14 rsstk'!A528</f>
        <v>353415</v>
      </c>
      <c r="D511" s="27">
        <f>'AEO14 rsstk'!B528</f>
        <v>5382</v>
      </c>
      <c r="E511" s="27">
        <f>'AEO14 rsstk'!C528</f>
        <v>65761</v>
      </c>
      <c r="G511" s="27">
        <f>'AEO14 UEC'!A528</f>
        <v>30.864000000000001</v>
      </c>
      <c r="H511" s="27">
        <f>'AEO14 UEC'!B528</f>
        <v>186.78399999999999</v>
      </c>
      <c r="I511" s="27">
        <f>'AEO14 UEC'!C528</f>
        <v>27.773</v>
      </c>
      <c r="N511" s="52"/>
      <c r="Q511" s="86"/>
    </row>
    <row r="512" spans="1:17">
      <c r="A512" s="27">
        <v>5</v>
      </c>
      <c r="B512" s="27" t="str">
        <f>'AEO14 rsstk'!D529</f>
        <v>Natural Gas Appliances</v>
      </c>
      <c r="C512" s="27">
        <f>'AEO14 rsstk'!A529</f>
        <v>929726</v>
      </c>
      <c r="D512" s="27">
        <f>'AEO14 rsstk'!B529</f>
        <v>124072</v>
      </c>
      <c r="E512" s="27">
        <f>'AEO14 rsstk'!C529</f>
        <v>31127</v>
      </c>
      <c r="G512" s="27">
        <f>'AEO14 UEC'!A529</f>
        <v>14.955</v>
      </c>
      <c r="H512" s="27">
        <f>'AEO14 UEC'!B529</f>
        <v>0.56599999999999995</v>
      </c>
      <c r="I512" s="27">
        <f>'AEO14 UEC'!C529</f>
        <v>14.577</v>
      </c>
      <c r="N512" s="52"/>
      <c r="Q512" s="86"/>
    </row>
    <row r="513" spans="1:17">
      <c r="A513" s="27">
        <v>6</v>
      </c>
      <c r="B513" s="27" t="str">
        <f>'AEO14 rsstk'!D530</f>
        <v>Natural Gas Appliances</v>
      </c>
      <c r="C513" s="27">
        <f>'AEO14 rsstk'!A530</f>
        <v>336185</v>
      </c>
      <c r="D513" s="27">
        <f>'AEO14 rsstk'!B530</f>
        <v>8290</v>
      </c>
      <c r="E513" s="27">
        <f>'AEO14 rsstk'!C530</f>
        <v>5636</v>
      </c>
      <c r="G513" s="27">
        <f>'AEO14 UEC'!A530</f>
        <v>3.61</v>
      </c>
      <c r="H513" s="27">
        <f>'AEO14 UEC'!B530</f>
        <v>88.777000000000001</v>
      </c>
      <c r="I513" s="27">
        <f>'AEO14 UEC'!C530</f>
        <v>1.74</v>
      </c>
      <c r="N513" s="52"/>
      <c r="Q513" s="86"/>
    </row>
    <row r="514" spans="1:17">
      <c r="A514" s="27">
        <v>7</v>
      </c>
      <c r="B514" s="27" t="str">
        <f>'AEO14 rsstk'!D531</f>
        <v>Natural Gas Appliances</v>
      </c>
      <c r="C514" s="27">
        <f>'AEO14 rsstk'!A531</f>
        <v>779633</v>
      </c>
      <c r="D514" s="27">
        <f>'AEO14 rsstk'!B531</f>
        <v>16468</v>
      </c>
      <c r="E514" s="27">
        <f>'AEO14 rsstk'!C531</f>
        <v>17477</v>
      </c>
      <c r="G514" s="27">
        <f>'AEO14 UEC'!A531</f>
        <v>20.911999999999999</v>
      </c>
      <c r="H514" s="27">
        <f>'AEO14 UEC'!B531</f>
        <v>25.628</v>
      </c>
      <c r="I514" s="27">
        <f>'AEO14 UEC'!C531</f>
        <v>23.914000000000001</v>
      </c>
      <c r="N514" s="52"/>
      <c r="Q514" s="86"/>
    </row>
    <row r="515" spans="1:17">
      <c r="A515" s="27">
        <v>8</v>
      </c>
      <c r="B515" s="27" t="str">
        <f>'AEO14 rsstk'!D532</f>
        <v>Natural Gas Appliances</v>
      </c>
      <c r="C515" s="27">
        <f>'AEO14 rsstk'!A532</f>
        <v>777041</v>
      </c>
      <c r="D515" s="27">
        <f>'AEO14 rsstk'!B532</f>
        <v>17955</v>
      </c>
      <c r="E515" s="27">
        <f>'AEO14 rsstk'!C532</f>
        <v>58893</v>
      </c>
      <c r="G515" s="27">
        <f>'AEO14 UEC'!A532</f>
        <v>14.629</v>
      </c>
      <c r="H515" s="27">
        <f>'AEO14 UEC'!B532</f>
        <v>34.72</v>
      </c>
      <c r="I515" s="27">
        <f>'AEO14 UEC'!C532</f>
        <v>9.766</v>
      </c>
      <c r="N515" s="52"/>
      <c r="Q515" s="86"/>
    </row>
    <row r="516" spans="1:17">
      <c r="A516" s="27">
        <v>9</v>
      </c>
      <c r="B516" s="27" t="str">
        <f>'AEO14 rsstk'!D533</f>
        <v>Natural Gas Appliances</v>
      </c>
      <c r="C516" s="27">
        <f>'AEO14 rsstk'!A533</f>
        <v>1639011</v>
      </c>
      <c r="D516" s="27">
        <f>'AEO14 rsstk'!B533</f>
        <v>74405</v>
      </c>
      <c r="E516" s="27">
        <f>'AEO14 rsstk'!C533</f>
        <v>23388</v>
      </c>
      <c r="G516" s="27">
        <f>'AEO14 UEC'!A533</f>
        <v>24.518999999999998</v>
      </c>
      <c r="H516" s="27">
        <f>'AEO14 UEC'!B533</f>
        <v>44.521999999999998</v>
      </c>
      <c r="I516" s="27">
        <f>'AEO14 UEC'!C533</f>
        <v>64.748000000000005</v>
      </c>
      <c r="L516" s="51"/>
      <c r="N516" s="52"/>
      <c r="Q516" s="86"/>
    </row>
    <row r="517" spans="1:17">
      <c r="A517" s="27">
        <v>1</v>
      </c>
      <c r="B517" s="27" t="str">
        <f>'AEO14 rsstk'!D534</f>
        <v>LPG Appliances</v>
      </c>
      <c r="C517" s="27">
        <f>'AEO14 rsstk'!A534</f>
        <v>122928.8</v>
      </c>
      <c r="D517" s="27">
        <f>'AEO14 rsstk'!B534</f>
        <v>29883</v>
      </c>
      <c r="E517" s="27">
        <f>'AEO14 rsstk'!C534</f>
        <v>7475.2</v>
      </c>
      <c r="G517" s="27">
        <f>'AEO14 UEC'!A534</f>
        <v>35.756</v>
      </c>
      <c r="H517" s="27">
        <f>'AEO14 UEC'!B534</f>
        <v>0.109</v>
      </c>
      <c r="I517" s="27">
        <f>'AEO14 UEC'!C534</f>
        <v>1.3320000000000001</v>
      </c>
      <c r="N517" s="52"/>
      <c r="Q517" s="86"/>
    </row>
    <row r="518" spans="1:17">
      <c r="A518" s="27">
        <v>2</v>
      </c>
      <c r="B518" s="27" t="str">
        <f>'AEO14 rsstk'!D535</f>
        <v>LPG Appliances</v>
      </c>
      <c r="C518" s="27">
        <f>'AEO14 rsstk'!A535</f>
        <v>264413.7</v>
      </c>
      <c r="D518" s="27">
        <f>'AEO14 rsstk'!B535</f>
        <v>15997.1</v>
      </c>
      <c r="E518" s="27">
        <f>'AEO14 rsstk'!C535</f>
        <v>36249</v>
      </c>
      <c r="G518" s="27">
        <f>'AEO14 UEC'!A535</f>
        <v>26.765999999999998</v>
      </c>
      <c r="H518" s="27">
        <f>'AEO14 UEC'!B535</f>
        <v>42.393999999999998</v>
      </c>
      <c r="I518" s="27">
        <f>'AEO14 UEC'!C535</f>
        <v>0.1</v>
      </c>
      <c r="N518" s="52"/>
      <c r="Q518" s="86"/>
    </row>
    <row r="519" spans="1:17">
      <c r="A519" s="27">
        <v>3</v>
      </c>
      <c r="B519" s="27" t="str">
        <f>'AEO14 rsstk'!D536</f>
        <v>LPG Appliances</v>
      </c>
      <c r="C519" s="27">
        <f>'AEO14 rsstk'!A536</f>
        <v>217164.1</v>
      </c>
      <c r="D519" s="27">
        <f>'AEO14 rsstk'!B536</f>
        <v>12467.9</v>
      </c>
      <c r="E519" s="27">
        <f>'AEO14 rsstk'!C536</f>
        <v>38459</v>
      </c>
      <c r="G519" s="27">
        <f>'AEO14 UEC'!A536</f>
        <v>15.634</v>
      </c>
      <c r="H519" s="27">
        <f>'AEO14 UEC'!B536</f>
        <v>2.9340000000000002</v>
      </c>
      <c r="I519" s="27">
        <f>'AEO14 UEC'!C536</f>
        <v>0.33400000000000002</v>
      </c>
      <c r="N519" s="52"/>
      <c r="Q519" s="86"/>
    </row>
    <row r="520" spans="1:17">
      <c r="A520" s="27">
        <v>4</v>
      </c>
      <c r="B520" s="27" t="str">
        <f>'AEO14 rsstk'!D537</f>
        <v>LPG Appliances</v>
      </c>
      <c r="C520" s="27">
        <f>'AEO14 rsstk'!A537</f>
        <v>190670.3</v>
      </c>
      <c r="D520" s="27">
        <f>'AEO14 rsstk'!B537</f>
        <v>5144</v>
      </c>
      <c r="E520" s="27">
        <f>'AEO14 rsstk'!C537</f>
        <v>8925.2000000000007</v>
      </c>
      <c r="G520" s="27">
        <f>'AEO14 UEC'!A537</f>
        <v>19.007000000000001</v>
      </c>
      <c r="H520" s="27">
        <f>'AEO14 UEC'!B537</f>
        <v>0</v>
      </c>
      <c r="I520" s="27">
        <f>'AEO14 UEC'!C537</f>
        <v>28.212</v>
      </c>
      <c r="N520" s="52"/>
      <c r="Q520" s="86"/>
    </row>
    <row r="521" spans="1:17">
      <c r="A521" s="27">
        <v>5</v>
      </c>
      <c r="B521" s="27" t="str">
        <f>'AEO14 rsstk'!D538</f>
        <v>LPG Appliances</v>
      </c>
      <c r="C521" s="27">
        <f>'AEO14 rsstk'!A538</f>
        <v>349223.2</v>
      </c>
      <c r="D521" s="27">
        <f>'AEO14 rsstk'!B538</f>
        <v>8738</v>
      </c>
      <c r="E521" s="27">
        <f>'AEO14 rsstk'!C538</f>
        <v>8678.2999999999993</v>
      </c>
      <c r="G521" s="27">
        <f>'AEO14 UEC'!A538</f>
        <v>22.405000000000001</v>
      </c>
      <c r="H521" s="27">
        <f>'AEO14 UEC'!B538</f>
        <v>7.7389999999999999</v>
      </c>
      <c r="I521" s="27">
        <f>'AEO14 UEC'!C538</f>
        <v>18.472000000000001</v>
      </c>
      <c r="N521" s="52"/>
      <c r="Q521" s="86"/>
    </row>
    <row r="522" spans="1:17">
      <c r="A522" s="27">
        <v>6</v>
      </c>
      <c r="B522" s="27" t="str">
        <f>'AEO14 rsstk'!D539</f>
        <v>LPG Appliances</v>
      </c>
      <c r="C522" s="27">
        <f>'AEO14 rsstk'!A539</f>
        <v>104031.2</v>
      </c>
      <c r="D522" s="27">
        <f>'AEO14 rsstk'!B539</f>
        <v>0</v>
      </c>
      <c r="E522" s="27">
        <f>'AEO14 rsstk'!C539</f>
        <v>14339.6</v>
      </c>
      <c r="G522" s="27">
        <f>'AEO14 UEC'!A539</f>
        <v>23.864000000000001</v>
      </c>
      <c r="H522" s="27">
        <f>'AEO14 UEC'!B539</f>
        <v>0</v>
      </c>
      <c r="I522" s="27">
        <f>'AEO14 UEC'!C539</f>
        <v>0.14099999999999999</v>
      </c>
      <c r="N522" s="52"/>
      <c r="Q522" s="86"/>
    </row>
    <row r="523" spans="1:17">
      <c r="A523" s="27">
        <v>7</v>
      </c>
      <c r="B523" s="27" t="str">
        <f>'AEO14 rsstk'!D540</f>
        <v>LPG Appliances</v>
      </c>
      <c r="C523" s="27">
        <f>'AEO14 rsstk'!A540</f>
        <v>57973</v>
      </c>
      <c r="D523" s="27">
        <f>'AEO14 rsstk'!B540</f>
        <v>0</v>
      </c>
      <c r="E523" s="27">
        <f>'AEO14 rsstk'!C540</f>
        <v>14904</v>
      </c>
      <c r="G523" s="27">
        <f>'AEO14 UEC'!A540</f>
        <v>25.591000000000001</v>
      </c>
      <c r="H523" s="27">
        <f>'AEO14 UEC'!B540</f>
        <v>0</v>
      </c>
      <c r="I523" s="27">
        <f>'AEO14 UEC'!C540</f>
        <v>31.922000000000001</v>
      </c>
      <c r="N523" s="52"/>
      <c r="Q523" s="86"/>
    </row>
    <row r="524" spans="1:17">
      <c r="A524" s="27">
        <v>8</v>
      </c>
      <c r="B524" s="27" t="str">
        <f>'AEO14 rsstk'!D541</f>
        <v>LPG Appliances</v>
      </c>
      <c r="C524" s="27">
        <f>'AEO14 rsstk'!A541</f>
        <v>82657.399999999994</v>
      </c>
      <c r="D524" s="27">
        <f>'AEO14 rsstk'!B541</f>
        <v>53483.199999999997</v>
      </c>
      <c r="E524" s="27">
        <f>'AEO14 rsstk'!C541</f>
        <v>9620.4</v>
      </c>
      <c r="G524" s="27">
        <f>'AEO14 UEC'!A541</f>
        <v>15.978999999999999</v>
      </c>
      <c r="H524" s="27">
        <f>'AEO14 UEC'!B541</f>
        <v>15.028</v>
      </c>
      <c r="I524" s="27">
        <f>'AEO14 UEC'!C541</f>
        <v>70.805999999999997</v>
      </c>
      <c r="N524" s="52"/>
      <c r="Q524" s="86"/>
    </row>
    <row r="525" spans="1:17">
      <c r="A525" s="27">
        <v>9</v>
      </c>
      <c r="B525" s="27" t="str">
        <f>'AEO14 rsstk'!D542</f>
        <v>LPG Appliances</v>
      </c>
      <c r="C525" s="27">
        <f>'AEO14 rsstk'!A542</f>
        <v>201322.7</v>
      </c>
      <c r="D525" s="27">
        <f>'AEO14 rsstk'!B542</f>
        <v>29177</v>
      </c>
      <c r="E525" s="27">
        <f>'AEO14 rsstk'!C542</f>
        <v>41097.9</v>
      </c>
      <c r="G525" s="27">
        <f>'AEO14 UEC'!A542</f>
        <v>16.419</v>
      </c>
      <c r="H525" s="27">
        <f>'AEO14 UEC'!B542</f>
        <v>3.1859999999999999</v>
      </c>
      <c r="I525" s="27">
        <f>'AEO14 UEC'!C542</f>
        <v>11.682</v>
      </c>
      <c r="L525" s="51"/>
      <c r="N525" s="52"/>
      <c r="Q525" s="86"/>
    </row>
    <row r="526" spans="1:17">
      <c r="A526" s="27">
        <v>1</v>
      </c>
      <c r="B526" s="27" t="str">
        <f>'AEO14 rsstk'!D543</f>
        <v>Distillate Appliances</v>
      </c>
      <c r="C526" s="27">
        <f>'AEO14 rsstk'!A543</f>
        <v>51384</v>
      </c>
      <c r="D526" s="27">
        <f>'AEO14 rsstk'!B543</f>
        <v>252672</v>
      </c>
      <c r="E526" s="27">
        <f>'AEO14 rsstk'!C543</f>
        <v>24767</v>
      </c>
      <c r="G526" s="27">
        <f>'AEO14 UEC'!A543</f>
        <v>62.008000000000003</v>
      </c>
      <c r="H526" s="27">
        <f>'AEO14 UEC'!B543</f>
        <v>0</v>
      </c>
      <c r="I526" s="27">
        <f>'AEO14 UEC'!C543</f>
        <v>1E-3</v>
      </c>
      <c r="N526" s="52"/>
      <c r="Q526" s="86"/>
    </row>
    <row r="527" spans="1:17">
      <c r="A527" s="27">
        <v>2</v>
      </c>
      <c r="B527" s="27" t="str">
        <f>'AEO14 rsstk'!D544</f>
        <v>Distillate Appliances</v>
      </c>
      <c r="C527" s="27">
        <f>'AEO14 rsstk'!A544</f>
        <v>22316</v>
      </c>
      <c r="D527" s="27">
        <f>'AEO14 rsstk'!B544</f>
        <v>7720</v>
      </c>
      <c r="E527" s="27">
        <f>'AEO14 rsstk'!C544</f>
        <v>25524</v>
      </c>
      <c r="G527" s="27">
        <f>'AEO14 UEC'!A544</f>
        <v>40.780999999999999</v>
      </c>
      <c r="H527" s="27">
        <f>'AEO14 UEC'!B544</f>
        <v>31.486000000000001</v>
      </c>
      <c r="I527" s="27">
        <f>'AEO14 UEC'!C544</f>
        <v>17.064</v>
      </c>
      <c r="N527" s="52"/>
      <c r="Q527" s="86"/>
    </row>
    <row r="528" spans="1:17">
      <c r="A528" s="27">
        <v>3</v>
      </c>
      <c r="B528" s="27" t="str">
        <f>'AEO14 rsstk'!D545</f>
        <v>Distillate Appliances</v>
      </c>
      <c r="C528" s="27">
        <f>'AEO14 rsstk'!A545</f>
        <v>22414</v>
      </c>
      <c r="D528" s="27">
        <f>'AEO14 rsstk'!B545</f>
        <v>12468</v>
      </c>
      <c r="E528" s="27">
        <f>'AEO14 rsstk'!C545</f>
        <v>0</v>
      </c>
      <c r="G528" s="27">
        <f>'AEO14 UEC'!A545</f>
        <v>49.521999999999998</v>
      </c>
      <c r="H528" s="27">
        <f>'AEO14 UEC'!B545</f>
        <v>21.834</v>
      </c>
      <c r="I528" s="27">
        <f>'AEO14 UEC'!C545</f>
        <v>0</v>
      </c>
      <c r="N528" s="52"/>
      <c r="Q528" s="86"/>
    </row>
    <row r="529" spans="1:17">
      <c r="A529" s="27">
        <v>4</v>
      </c>
      <c r="B529" s="27" t="str">
        <f>'AEO14 rsstk'!D546</f>
        <v>Distillate Appliances</v>
      </c>
      <c r="C529" s="27">
        <f>'AEO14 rsstk'!A546</f>
        <v>8298</v>
      </c>
      <c r="D529" s="27">
        <f>'AEO14 rsstk'!B546</f>
        <v>10079</v>
      </c>
      <c r="E529" s="27">
        <f>'AEO14 rsstk'!C546</f>
        <v>0</v>
      </c>
      <c r="G529" s="27">
        <f>'AEO14 UEC'!A546</f>
        <v>44.256</v>
      </c>
      <c r="H529" s="27">
        <f>'AEO14 UEC'!B546</f>
        <v>0</v>
      </c>
      <c r="I529" s="27">
        <f>'AEO14 UEC'!C546</f>
        <v>0</v>
      </c>
      <c r="N529" s="52"/>
      <c r="Q529" s="86"/>
    </row>
    <row r="530" spans="1:17">
      <c r="A530" s="27">
        <v>5</v>
      </c>
      <c r="B530" s="27" t="str">
        <f>'AEO14 rsstk'!D547</f>
        <v>Distillate Appliances</v>
      </c>
      <c r="C530" s="27">
        <f>'AEO14 rsstk'!A547</f>
        <v>9397</v>
      </c>
      <c r="D530" s="27">
        <f>'AEO14 rsstk'!B547</f>
        <v>13389</v>
      </c>
      <c r="E530" s="27">
        <f>'AEO14 rsstk'!C547</f>
        <v>2253</v>
      </c>
      <c r="G530" s="27">
        <f>'AEO14 UEC'!A547</f>
        <v>23.413</v>
      </c>
      <c r="H530" s="27">
        <f>'AEO14 UEC'!B547</f>
        <v>30.443000000000001</v>
      </c>
      <c r="I530" s="27">
        <f>'AEO14 UEC'!C547</f>
        <v>3.0000000000000001E-3</v>
      </c>
      <c r="N530" s="52"/>
      <c r="Q530" s="86"/>
    </row>
    <row r="531" spans="1:17">
      <c r="A531" s="27">
        <v>6</v>
      </c>
      <c r="B531" s="27" t="str">
        <f>'AEO14 rsstk'!D548</f>
        <v>Distillate Appliances</v>
      </c>
      <c r="C531" s="27">
        <f>'AEO14 rsstk'!A548</f>
        <v>0</v>
      </c>
      <c r="D531" s="27">
        <f>'AEO14 rsstk'!B548</f>
        <v>0</v>
      </c>
      <c r="E531" s="27">
        <f>'AEO14 rsstk'!C548</f>
        <v>0</v>
      </c>
      <c r="G531" s="27">
        <f>'AEO14 UEC'!A548</f>
        <v>0</v>
      </c>
      <c r="H531" s="27">
        <f>'AEO14 UEC'!B548</f>
        <v>0</v>
      </c>
      <c r="I531" s="27">
        <f>'AEO14 UEC'!C548</f>
        <v>0</v>
      </c>
      <c r="N531" s="52"/>
      <c r="Q531" s="86"/>
    </row>
    <row r="532" spans="1:17">
      <c r="A532" s="27">
        <v>7</v>
      </c>
      <c r="B532" s="27" t="str">
        <f>'AEO14 rsstk'!D549</f>
        <v>Distillate Appliances</v>
      </c>
      <c r="C532" s="27">
        <f>'AEO14 rsstk'!A549</f>
        <v>0</v>
      </c>
      <c r="D532" s="27">
        <f>'AEO14 rsstk'!B549</f>
        <v>0</v>
      </c>
      <c r="E532" s="27">
        <f>'AEO14 rsstk'!C549</f>
        <v>0</v>
      </c>
      <c r="G532" s="27">
        <f>'AEO14 UEC'!A549</f>
        <v>0</v>
      </c>
      <c r="H532" s="27">
        <f>'AEO14 UEC'!B549</f>
        <v>0</v>
      </c>
      <c r="I532" s="27">
        <f>'AEO14 UEC'!C549</f>
        <v>0</v>
      </c>
      <c r="N532" s="52"/>
      <c r="Q532" s="86"/>
    </row>
    <row r="533" spans="1:17">
      <c r="A533" s="27">
        <v>8</v>
      </c>
      <c r="B533" s="27" t="str">
        <f>'AEO14 rsstk'!D550</f>
        <v>Distillate Appliances</v>
      </c>
      <c r="C533" s="27">
        <f>'AEO14 rsstk'!A550</f>
        <v>9539</v>
      </c>
      <c r="D533" s="27">
        <f>'AEO14 rsstk'!B550</f>
        <v>0</v>
      </c>
      <c r="E533" s="27">
        <f>'AEO14 rsstk'!C550</f>
        <v>0</v>
      </c>
      <c r="G533" s="27">
        <f>'AEO14 UEC'!A550</f>
        <v>17.14</v>
      </c>
      <c r="H533" s="27">
        <f>'AEO14 UEC'!B550</f>
        <v>0</v>
      </c>
      <c r="I533" s="27">
        <f>'AEO14 UEC'!C550</f>
        <v>0</v>
      </c>
      <c r="N533" s="52"/>
      <c r="Q533" s="86"/>
    </row>
    <row r="534" spans="1:17">
      <c r="A534" s="27">
        <v>9</v>
      </c>
      <c r="B534" s="27" t="str">
        <f>'AEO14 rsstk'!D551</f>
        <v>Distillate Appliances</v>
      </c>
      <c r="C534" s="27">
        <f>'AEO14 rsstk'!A551</f>
        <v>6207</v>
      </c>
      <c r="D534" s="27">
        <f>'AEO14 rsstk'!B551</f>
        <v>0</v>
      </c>
      <c r="E534" s="27">
        <f>'AEO14 rsstk'!C551</f>
        <v>0</v>
      </c>
      <c r="G534" s="27">
        <f>'AEO14 UEC'!A551</f>
        <v>18.152000000000001</v>
      </c>
      <c r="H534" s="27">
        <f>'AEO14 UEC'!B551</f>
        <v>0</v>
      </c>
      <c r="I534" s="27">
        <f>'AEO14 UEC'!C551</f>
        <v>0</v>
      </c>
      <c r="L534" s="51"/>
      <c r="N534" s="52"/>
      <c r="Q534" s="86"/>
    </row>
    <row r="535" spans="1:17">
      <c r="Q535" s="86"/>
    </row>
    <row r="536" spans="1:17">
      <c r="Q536" s="86"/>
    </row>
    <row r="537" spans="1:17">
      <c r="Q537" s="86"/>
    </row>
    <row r="538" spans="1:17">
      <c r="Q538" s="86"/>
    </row>
    <row r="539" spans="1:17">
      <c r="Q539" s="86"/>
    </row>
    <row r="540" spans="1:17">
      <c r="Q540" s="86"/>
    </row>
    <row r="541" spans="1:17">
      <c r="Q541" s="86"/>
    </row>
    <row r="542" spans="1:17">
      <c r="Q542" s="86"/>
    </row>
    <row r="543" spans="1:17">
      <c r="Q543" s="86"/>
    </row>
    <row r="544" spans="1:17">
      <c r="Q544" s="86"/>
    </row>
    <row r="545" spans="12:17">
      <c r="Q545" s="86"/>
    </row>
    <row r="546" spans="12:17">
      <c r="Q546" s="86"/>
    </row>
    <row r="547" spans="12:17">
      <c r="L547" s="51"/>
      <c r="M547" s="53"/>
      <c r="Q547" s="86"/>
    </row>
    <row r="548" spans="12:17">
      <c r="Q548" s="86"/>
    </row>
    <row r="549" spans="12:17">
      <c r="Q549" s="86"/>
    </row>
    <row r="550" spans="12:17">
      <c r="Q550" s="86"/>
    </row>
    <row r="551" spans="12:17">
      <c r="Q551" s="86"/>
    </row>
    <row r="552" spans="12:17">
      <c r="Q552" s="86"/>
    </row>
    <row r="553" spans="12:17">
      <c r="Q553" s="86"/>
    </row>
    <row r="554" spans="12:17">
      <c r="Q554" s="86"/>
    </row>
    <row r="555" spans="12:17">
      <c r="Q555" s="86"/>
    </row>
    <row r="556" spans="12:17">
      <c r="Q556" s="86"/>
    </row>
    <row r="557" spans="12:17">
      <c r="L557" s="51"/>
      <c r="M557" s="53"/>
      <c r="Q557" s="86"/>
    </row>
  </sheetData>
  <mergeCells count="2">
    <mergeCell ref="C2:E2"/>
    <mergeCell ref="G2:I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551"/>
  <sheetViews>
    <sheetView topLeftCell="A259" workbookViewId="0">
      <selection activeCell="R107" sqref="R107"/>
    </sheetView>
  </sheetViews>
  <sheetFormatPr defaultColWidth="9.28515625" defaultRowHeight="12.75"/>
  <cols>
    <col min="1" max="1" width="12.7109375" style="27" customWidth="1"/>
    <col min="2" max="3" width="9.28515625" style="27"/>
    <col min="4" max="4" width="39.7109375" style="27" customWidth="1"/>
    <col min="5" max="5" width="17.42578125" style="27" customWidth="1"/>
    <col min="6" max="16384" width="9.28515625" style="27"/>
  </cols>
  <sheetData>
    <row r="1" spans="1:1">
      <c r="A1" s="27" t="s">
        <v>1212</v>
      </c>
    </row>
    <row r="2" spans="1:1">
      <c r="A2" s="27" t="s">
        <v>1213</v>
      </c>
    </row>
    <row r="3" spans="1:1">
      <c r="A3" s="27" t="s">
        <v>1214</v>
      </c>
    </row>
    <row r="4" spans="1:1">
      <c r="A4" s="27" t="s">
        <v>1215</v>
      </c>
    </row>
    <row r="5" spans="1:1">
      <c r="A5" s="27" t="s">
        <v>1216</v>
      </c>
    </row>
    <row r="6" spans="1:1">
      <c r="A6" s="27" t="s">
        <v>1217</v>
      </c>
    </row>
    <row r="7" spans="1:1">
      <c r="A7" s="27" t="s">
        <v>1218</v>
      </c>
    </row>
    <row r="8" spans="1:1">
      <c r="A8" s="27" t="s">
        <v>2343</v>
      </c>
    </row>
    <row r="9" spans="1:1">
      <c r="A9" s="27" t="s">
        <v>1219</v>
      </c>
    </row>
    <row r="10" spans="1:1">
      <c r="A10" s="27" t="s">
        <v>1220</v>
      </c>
    </row>
    <row r="11" spans="1:1">
      <c r="A11" s="27" t="s">
        <v>1221</v>
      </c>
    </row>
    <row r="12" spans="1:1">
      <c r="A12" s="27" t="s">
        <v>1222</v>
      </c>
    </row>
    <row r="13" spans="1:1">
      <c r="A13" s="27" t="s">
        <v>1223</v>
      </c>
    </row>
    <row r="14" spans="1:1">
      <c r="A14" s="27" t="s">
        <v>1224</v>
      </c>
    </row>
    <row r="15" spans="1:1">
      <c r="A15" s="27" t="s">
        <v>1225</v>
      </c>
    </row>
    <row r="18" spans="1:4">
      <c r="A18" s="28" t="s">
        <v>1285</v>
      </c>
      <c r="B18" s="28" t="s">
        <v>1286</v>
      </c>
      <c r="C18" s="28" t="s">
        <v>1287</v>
      </c>
    </row>
    <row r="19" spans="1:4">
      <c r="A19" s="28" t="s">
        <v>1288</v>
      </c>
      <c r="B19" s="28" t="s">
        <v>1288</v>
      </c>
      <c r="C19" s="28" t="s">
        <v>1289</v>
      </c>
      <c r="D19" s="27" t="s">
        <v>1290</v>
      </c>
    </row>
    <row r="21" spans="1:4">
      <c r="A21" s="28">
        <v>14.727</v>
      </c>
      <c r="B21" s="28">
        <v>9.6129999999999995</v>
      </c>
      <c r="C21" s="28">
        <v>0</v>
      </c>
      <c r="D21" s="27" t="s">
        <v>1226</v>
      </c>
    </row>
    <row r="22" spans="1:4">
      <c r="A22" s="28">
        <v>15.621</v>
      </c>
      <c r="B22" s="28">
        <v>10.884</v>
      </c>
      <c r="C22" s="28">
        <v>14.516</v>
      </c>
      <c r="D22" s="27" t="s">
        <v>1226</v>
      </c>
    </row>
    <row r="23" spans="1:4">
      <c r="A23" s="28">
        <v>18.497</v>
      </c>
      <c r="B23" s="28">
        <v>10.175000000000001</v>
      </c>
      <c r="C23" s="28">
        <v>15.856</v>
      </c>
      <c r="D23" s="27" t="s">
        <v>1226</v>
      </c>
    </row>
    <row r="24" spans="1:4">
      <c r="A24" s="28">
        <v>18.356999999999999</v>
      </c>
      <c r="B24" s="28">
        <v>11.135999999999999</v>
      </c>
      <c r="C24" s="28">
        <v>17.882000000000001</v>
      </c>
      <c r="D24" s="27" t="s">
        <v>1226</v>
      </c>
    </row>
    <row r="25" spans="1:4">
      <c r="A25" s="28">
        <v>10.379</v>
      </c>
      <c r="B25" s="28">
        <v>7.008</v>
      </c>
      <c r="C25" s="28">
        <v>10.228</v>
      </c>
      <c r="D25" s="27" t="s">
        <v>1226</v>
      </c>
    </row>
    <row r="26" spans="1:4">
      <c r="A26" s="28">
        <v>13.387</v>
      </c>
      <c r="B26" s="28">
        <v>9.5890000000000004</v>
      </c>
      <c r="C26" s="28">
        <v>13.815</v>
      </c>
      <c r="D26" s="27" t="s">
        <v>1226</v>
      </c>
    </row>
    <row r="27" spans="1:4">
      <c r="A27" s="28">
        <v>8.6460000000000008</v>
      </c>
      <c r="B27" s="28">
        <v>6.7430000000000003</v>
      </c>
      <c r="C27" s="28">
        <v>8.0139999999999993</v>
      </c>
      <c r="D27" s="27" t="s">
        <v>1226</v>
      </c>
    </row>
    <row r="28" spans="1:4">
      <c r="A28" s="28">
        <v>9.5329999999999995</v>
      </c>
      <c r="B28" s="28">
        <v>5.4809999999999999</v>
      </c>
      <c r="C28" s="28">
        <v>13.638999999999999</v>
      </c>
      <c r="D28" s="27" t="s">
        <v>1226</v>
      </c>
    </row>
    <row r="29" spans="1:4">
      <c r="A29" s="28">
        <v>10.507</v>
      </c>
      <c r="B29" s="28">
        <v>5.52</v>
      </c>
      <c r="C29" s="28">
        <v>13.494</v>
      </c>
      <c r="D29" s="27" t="s">
        <v>1226</v>
      </c>
    </row>
    <row r="30" spans="1:4">
      <c r="A30" s="28">
        <v>7.391</v>
      </c>
      <c r="B30" s="28">
        <v>4.8250000000000002</v>
      </c>
      <c r="C30" s="28">
        <v>0</v>
      </c>
      <c r="D30" s="27" t="s">
        <v>1227</v>
      </c>
    </row>
    <row r="31" spans="1:4">
      <c r="A31" s="28">
        <v>7.84</v>
      </c>
      <c r="B31" s="28">
        <v>5.4630000000000001</v>
      </c>
      <c r="C31" s="28">
        <v>0</v>
      </c>
      <c r="D31" s="27" t="s">
        <v>1227</v>
      </c>
    </row>
    <row r="32" spans="1:4">
      <c r="A32" s="28">
        <v>9.2840000000000007</v>
      </c>
      <c r="B32" s="28">
        <v>5.1070000000000002</v>
      </c>
      <c r="C32" s="28">
        <v>0</v>
      </c>
      <c r="D32" s="27" t="s">
        <v>1227</v>
      </c>
    </row>
    <row r="33" spans="1:4">
      <c r="A33" s="28">
        <v>9.2129999999999992</v>
      </c>
      <c r="B33" s="28">
        <v>5.5890000000000004</v>
      </c>
      <c r="C33" s="28">
        <v>8.9749999999999996</v>
      </c>
      <c r="D33" s="27" t="s">
        <v>1227</v>
      </c>
    </row>
    <row r="34" spans="1:4">
      <c r="A34" s="28">
        <v>5.21</v>
      </c>
      <c r="B34" s="28">
        <v>3.5179999999999998</v>
      </c>
      <c r="C34" s="28">
        <v>5.1340000000000003</v>
      </c>
      <c r="D34" s="27" t="s">
        <v>1227</v>
      </c>
    </row>
    <row r="35" spans="1:4">
      <c r="A35" s="28">
        <v>6.7190000000000003</v>
      </c>
      <c r="B35" s="28">
        <v>4.8129999999999997</v>
      </c>
      <c r="C35" s="28">
        <v>6.9340000000000002</v>
      </c>
      <c r="D35" s="27" t="s">
        <v>1227</v>
      </c>
    </row>
    <row r="36" spans="1:4">
      <c r="A36" s="28">
        <v>4.3390000000000004</v>
      </c>
      <c r="B36" s="28">
        <v>3.3839999999999999</v>
      </c>
      <c r="C36" s="28">
        <v>4.0220000000000002</v>
      </c>
      <c r="D36" s="27" t="s">
        <v>1227</v>
      </c>
    </row>
    <row r="37" spans="1:4">
      <c r="A37" s="28">
        <v>4.7839999999999998</v>
      </c>
      <c r="B37" s="28">
        <v>2.7509999999999999</v>
      </c>
      <c r="C37" s="28">
        <v>6.8460000000000001</v>
      </c>
      <c r="D37" s="27" t="s">
        <v>1227</v>
      </c>
    </row>
    <row r="38" spans="1:4">
      <c r="A38" s="28">
        <v>5.274</v>
      </c>
      <c r="B38" s="28">
        <v>2.77</v>
      </c>
      <c r="C38" s="28">
        <v>6.7729999999999997</v>
      </c>
      <c r="D38" s="27" t="s">
        <v>1227</v>
      </c>
    </row>
    <row r="39" spans="1:4">
      <c r="A39" s="28">
        <v>72.397999999999996</v>
      </c>
      <c r="B39" s="28">
        <v>59.911000000000001</v>
      </c>
      <c r="C39" s="28">
        <v>65.977999999999994</v>
      </c>
      <c r="D39" s="27" t="s">
        <v>1228</v>
      </c>
    </row>
    <row r="40" spans="1:4">
      <c r="A40" s="28">
        <v>67.391000000000005</v>
      </c>
      <c r="B40" s="28">
        <v>48.192</v>
      </c>
      <c r="C40" s="28">
        <v>33.191000000000003</v>
      </c>
      <c r="D40" s="27" t="s">
        <v>1228</v>
      </c>
    </row>
    <row r="41" spans="1:4">
      <c r="A41" s="28">
        <v>71.813999999999993</v>
      </c>
      <c r="B41" s="28">
        <v>53.847999999999999</v>
      </c>
      <c r="C41" s="28">
        <v>42.417000000000002</v>
      </c>
      <c r="D41" s="27" t="s">
        <v>1228</v>
      </c>
    </row>
    <row r="42" spans="1:4">
      <c r="A42" s="28">
        <v>61.866</v>
      </c>
      <c r="B42" s="28">
        <v>48.698</v>
      </c>
      <c r="C42" s="28">
        <v>53.956000000000003</v>
      </c>
      <c r="D42" s="27" t="s">
        <v>1228</v>
      </c>
    </row>
    <row r="43" spans="1:4">
      <c r="A43" s="28">
        <v>47.460999999999999</v>
      </c>
      <c r="B43" s="28">
        <v>28.952000000000002</v>
      </c>
      <c r="C43" s="28">
        <v>29.433</v>
      </c>
      <c r="D43" s="27" t="s">
        <v>1228</v>
      </c>
    </row>
    <row r="44" spans="1:4">
      <c r="A44" s="28">
        <v>43.478999999999999</v>
      </c>
      <c r="B44" s="28">
        <v>47.33</v>
      </c>
      <c r="C44" s="28">
        <v>19.864000000000001</v>
      </c>
      <c r="D44" s="27" t="s">
        <v>1228</v>
      </c>
    </row>
    <row r="45" spans="1:4">
      <c r="A45" s="28">
        <v>31.100999999999999</v>
      </c>
      <c r="B45" s="28">
        <v>21.486000000000001</v>
      </c>
      <c r="C45" s="28">
        <v>28.323</v>
      </c>
      <c r="D45" s="27" t="s">
        <v>1228</v>
      </c>
    </row>
    <row r="46" spans="1:4">
      <c r="A46" s="28">
        <v>46.194000000000003</v>
      </c>
      <c r="B46" s="28">
        <v>30.439</v>
      </c>
      <c r="C46" s="28">
        <v>41.69</v>
      </c>
      <c r="D46" s="27" t="s">
        <v>1228</v>
      </c>
    </row>
    <row r="47" spans="1:4">
      <c r="A47" s="28">
        <v>29.481000000000002</v>
      </c>
      <c r="B47" s="28">
        <v>13.701000000000001</v>
      </c>
      <c r="C47" s="28">
        <v>29.521000000000001</v>
      </c>
      <c r="D47" s="27" t="s">
        <v>1228</v>
      </c>
    </row>
    <row r="48" spans="1:4">
      <c r="A48" s="28">
        <v>74.254000000000005</v>
      </c>
      <c r="B48" s="28">
        <v>61.447000000000003</v>
      </c>
      <c r="C48" s="28">
        <v>67.668999999999997</v>
      </c>
      <c r="D48" s="27" t="s">
        <v>1229</v>
      </c>
    </row>
    <row r="49" spans="1:4">
      <c r="A49" s="28">
        <v>69.119</v>
      </c>
      <c r="B49" s="28">
        <v>49.427</v>
      </c>
      <c r="C49" s="28">
        <v>0</v>
      </c>
      <c r="D49" s="27" t="s">
        <v>1229</v>
      </c>
    </row>
    <row r="50" spans="1:4">
      <c r="A50" s="28">
        <v>73.656000000000006</v>
      </c>
      <c r="B50" s="28">
        <v>55.228000000000002</v>
      </c>
      <c r="C50" s="28">
        <v>0</v>
      </c>
      <c r="D50" s="27" t="s">
        <v>1229</v>
      </c>
    </row>
    <row r="51" spans="1:4">
      <c r="A51" s="28">
        <v>63.453000000000003</v>
      </c>
      <c r="B51" s="28">
        <v>49.945999999999998</v>
      </c>
      <c r="C51" s="28">
        <v>55.34</v>
      </c>
      <c r="D51" s="27" t="s">
        <v>1229</v>
      </c>
    </row>
    <row r="52" spans="1:4">
      <c r="A52" s="28">
        <v>48.677999999999997</v>
      </c>
      <c r="B52" s="28">
        <v>29.695</v>
      </c>
      <c r="C52" s="28">
        <v>30.187999999999999</v>
      </c>
      <c r="D52" s="27" t="s">
        <v>1229</v>
      </c>
    </row>
    <row r="53" spans="1:4">
      <c r="A53" s="28">
        <v>44.594000000000001</v>
      </c>
      <c r="B53" s="28">
        <v>48.543999999999997</v>
      </c>
      <c r="C53" s="28">
        <v>20.373999999999999</v>
      </c>
      <c r="D53" s="27" t="s">
        <v>1229</v>
      </c>
    </row>
    <row r="54" spans="1:4">
      <c r="A54" s="28">
        <v>31.899000000000001</v>
      </c>
      <c r="B54" s="28">
        <v>22.036999999999999</v>
      </c>
      <c r="C54" s="28">
        <v>0</v>
      </c>
      <c r="D54" s="27" t="s">
        <v>1229</v>
      </c>
    </row>
    <row r="55" spans="1:4">
      <c r="A55" s="28">
        <v>47.378</v>
      </c>
      <c r="B55" s="28">
        <v>31.219000000000001</v>
      </c>
      <c r="C55" s="28">
        <v>0</v>
      </c>
      <c r="D55" s="27" t="s">
        <v>1229</v>
      </c>
    </row>
    <row r="56" spans="1:4">
      <c r="A56" s="28">
        <v>30.236999999999998</v>
      </c>
      <c r="B56" s="28">
        <v>14.052</v>
      </c>
      <c r="C56" s="28">
        <v>30.277999999999999</v>
      </c>
      <c r="D56" s="27" t="s">
        <v>1229</v>
      </c>
    </row>
    <row r="57" spans="1:4">
      <c r="A57" s="28">
        <v>31.335000000000001</v>
      </c>
      <c r="B57" s="28">
        <v>31.358000000000001</v>
      </c>
      <c r="C57" s="28">
        <v>58.88</v>
      </c>
      <c r="D57" s="27" t="s">
        <v>1230</v>
      </c>
    </row>
    <row r="58" spans="1:4">
      <c r="A58" s="28">
        <v>24.131</v>
      </c>
      <c r="B58" s="28">
        <v>28.763000000000002</v>
      </c>
      <c r="C58" s="28">
        <v>45.225000000000001</v>
      </c>
      <c r="D58" s="27" t="s">
        <v>1230</v>
      </c>
    </row>
    <row r="59" spans="1:4">
      <c r="A59" s="28">
        <v>0</v>
      </c>
      <c r="B59" s="28">
        <v>0</v>
      </c>
      <c r="C59" s="28">
        <v>0</v>
      </c>
      <c r="D59" s="27" t="s">
        <v>1230</v>
      </c>
    </row>
    <row r="60" spans="1:4">
      <c r="A60" s="28">
        <v>0</v>
      </c>
      <c r="B60" s="28">
        <v>0</v>
      </c>
      <c r="C60" s="28">
        <v>0</v>
      </c>
      <c r="D60" s="27" t="s">
        <v>1230</v>
      </c>
    </row>
    <row r="61" spans="1:4">
      <c r="A61" s="28">
        <v>29.036999999999999</v>
      </c>
      <c r="B61" s="28">
        <v>0</v>
      </c>
      <c r="C61" s="28">
        <v>26.515000000000001</v>
      </c>
      <c r="D61" s="27" t="s">
        <v>1230</v>
      </c>
    </row>
    <row r="62" spans="1:4">
      <c r="A62" s="28">
        <v>24.408999999999999</v>
      </c>
      <c r="B62" s="28">
        <v>0</v>
      </c>
      <c r="C62" s="28">
        <v>0</v>
      </c>
      <c r="D62" s="27" t="s">
        <v>1230</v>
      </c>
    </row>
    <row r="63" spans="1:4">
      <c r="A63" s="28">
        <v>0</v>
      </c>
      <c r="B63" s="28">
        <v>0</v>
      </c>
      <c r="C63" s="28">
        <v>0</v>
      </c>
      <c r="D63" s="27" t="s">
        <v>1230</v>
      </c>
    </row>
    <row r="64" spans="1:4">
      <c r="A64" s="28">
        <v>0</v>
      </c>
      <c r="B64" s="28">
        <v>0</v>
      </c>
      <c r="C64" s="28">
        <v>0</v>
      </c>
      <c r="D64" s="27" t="s">
        <v>1230</v>
      </c>
    </row>
    <row r="65" spans="1:4">
      <c r="A65" s="28">
        <v>15.406000000000001</v>
      </c>
      <c r="B65" s="28">
        <v>13.686999999999999</v>
      </c>
      <c r="C65" s="28">
        <v>29.957000000000001</v>
      </c>
      <c r="D65" s="27" t="s">
        <v>1230</v>
      </c>
    </row>
    <row r="66" spans="1:4">
      <c r="A66" s="28">
        <v>53.713000000000001</v>
      </c>
      <c r="B66" s="28">
        <v>46.898000000000003</v>
      </c>
      <c r="C66" s="28">
        <v>44.738</v>
      </c>
      <c r="D66" s="27" t="s">
        <v>1231</v>
      </c>
    </row>
    <row r="67" spans="1:4">
      <c r="A67" s="28">
        <v>57.389000000000003</v>
      </c>
      <c r="B67" s="28">
        <v>37.926000000000002</v>
      </c>
      <c r="C67" s="28">
        <v>45.537999999999997</v>
      </c>
      <c r="D67" s="27" t="s">
        <v>1231</v>
      </c>
    </row>
    <row r="68" spans="1:4">
      <c r="A68" s="28">
        <v>65.83</v>
      </c>
      <c r="B68" s="28">
        <v>53.186999999999998</v>
      </c>
      <c r="C68" s="28">
        <v>46.988</v>
      </c>
      <c r="D68" s="27" t="s">
        <v>1231</v>
      </c>
    </row>
    <row r="69" spans="1:4">
      <c r="A69" s="28">
        <v>70.402000000000001</v>
      </c>
      <c r="B69" s="28">
        <v>51.378</v>
      </c>
      <c r="C69" s="28">
        <v>57.533999999999999</v>
      </c>
      <c r="D69" s="27" t="s">
        <v>1231</v>
      </c>
    </row>
    <row r="70" spans="1:4">
      <c r="A70" s="28">
        <v>41.262</v>
      </c>
      <c r="B70" s="28">
        <v>43.223999999999997</v>
      </c>
      <c r="C70" s="28">
        <v>24.75</v>
      </c>
      <c r="D70" s="27" t="s">
        <v>1231</v>
      </c>
    </row>
    <row r="71" spans="1:4">
      <c r="A71" s="28">
        <v>37.273000000000003</v>
      </c>
      <c r="B71" s="28">
        <v>0</v>
      </c>
      <c r="C71" s="28">
        <v>21.917999999999999</v>
      </c>
      <c r="D71" s="27" t="s">
        <v>1231</v>
      </c>
    </row>
    <row r="72" spans="1:4">
      <c r="A72" s="28">
        <v>34.255000000000003</v>
      </c>
      <c r="B72" s="28">
        <v>0</v>
      </c>
      <c r="C72" s="28">
        <v>22.927</v>
      </c>
      <c r="D72" s="27" t="s">
        <v>1231</v>
      </c>
    </row>
    <row r="73" spans="1:4">
      <c r="A73" s="28">
        <v>57.05</v>
      </c>
      <c r="B73" s="28">
        <v>56.204999999999998</v>
      </c>
      <c r="C73" s="28">
        <v>37.421999999999997</v>
      </c>
      <c r="D73" s="27" t="s">
        <v>1231</v>
      </c>
    </row>
    <row r="74" spans="1:4">
      <c r="A74" s="28">
        <v>33.737000000000002</v>
      </c>
      <c r="B74" s="28">
        <v>30.672999999999998</v>
      </c>
      <c r="C74" s="28">
        <v>33.018000000000001</v>
      </c>
      <c r="D74" s="27" t="s">
        <v>1231</v>
      </c>
    </row>
    <row r="75" spans="1:4">
      <c r="A75" s="28">
        <v>85.366</v>
      </c>
      <c r="B75" s="28">
        <v>62.625999999999998</v>
      </c>
      <c r="C75" s="28">
        <v>49.183</v>
      </c>
      <c r="D75" s="27" t="s">
        <v>1232</v>
      </c>
    </row>
    <row r="76" spans="1:4">
      <c r="A76" s="28">
        <v>78.772000000000006</v>
      </c>
      <c r="B76" s="28">
        <v>47.048999999999999</v>
      </c>
      <c r="C76" s="28">
        <v>46.213999999999999</v>
      </c>
      <c r="D76" s="27" t="s">
        <v>1232</v>
      </c>
    </row>
    <row r="77" spans="1:4">
      <c r="A77" s="28">
        <v>56.375</v>
      </c>
      <c r="B77" s="28">
        <v>62.411000000000001</v>
      </c>
      <c r="C77" s="28">
        <v>0</v>
      </c>
      <c r="D77" s="27" t="s">
        <v>1232</v>
      </c>
    </row>
    <row r="78" spans="1:4">
      <c r="A78" s="28">
        <v>67.8</v>
      </c>
      <c r="B78" s="28">
        <v>0</v>
      </c>
      <c r="C78" s="28">
        <v>0</v>
      </c>
      <c r="D78" s="27" t="s">
        <v>1232</v>
      </c>
    </row>
    <row r="79" spans="1:4">
      <c r="A79" s="28">
        <v>60.462000000000003</v>
      </c>
      <c r="B79" s="28">
        <v>0</v>
      </c>
      <c r="C79" s="28">
        <v>0</v>
      </c>
      <c r="D79" s="27" t="s">
        <v>1232</v>
      </c>
    </row>
    <row r="80" spans="1:4">
      <c r="A80" s="28">
        <v>0</v>
      </c>
      <c r="B80" s="28">
        <v>0</v>
      </c>
      <c r="C80" s="28">
        <v>0</v>
      </c>
      <c r="D80" s="27" t="s">
        <v>1232</v>
      </c>
    </row>
    <row r="81" spans="1:4">
      <c r="A81" s="28">
        <v>0</v>
      </c>
      <c r="B81" s="28">
        <v>0</v>
      </c>
      <c r="C81" s="28">
        <v>0</v>
      </c>
      <c r="D81" s="27" t="s">
        <v>1232</v>
      </c>
    </row>
    <row r="82" spans="1:4">
      <c r="A82" s="28">
        <v>43.456000000000003</v>
      </c>
      <c r="B82" s="28">
        <v>0</v>
      </c>
      <c r="C82" s="28">
        <v>0</v>
      </c>
      <c r="D82" s="27" t="s">
        <v>1232</v>
      </c>
    </row>
    <row r="83" spans="1:4">
      <c r="A83" s="28">
        <v>57.127000000000002</v>
      </c>
      <c r="B83" s="28">
        <v>0</v>
      </c>
      <c r="C83" s="28">
        <v>0</v>
      </c>
      <c r="D83" s="27" t="s">
        <v>1232</v>
      </c>
    </row>
    <row r="84" spans="1:4">
      <c r="A84" s="28">
        <v>87.555000000000007</v>
      </c>
      <c r="B84" s="28">
        <v>64.230999999999995</v>
      </c>
      <c r="C84" s="28">
        <v>50.444000000000003</v>
      </c>
      <c r="D84" s="27" t="s">
        <v>1233</v>
      </c>
    </row>
    <row r="85" spans="1:4">
      <c r="A85" s="28">
        <v>80.792000000000002</v>
      </c>
      <c r="B85" s="28">
        <v>48.256</v>
      </c>
      <c r="C85" s="28">
        <v>0</v>
      </c>
      <c r="D85" s="27" t="s">
        <v>1233</v>
      </c>
    </row>
    <row r="86" spans="1:4">
      <c r="A86" s="28">
        <v>57.820999999999998</v>
      </c>
      <c r="B86" s="28">
        <v>0</v>
      </c>
      <c r="C86" s="28">
        <v>0</v>
      </c>
      <c r="D86" s="27" t="s">
        <v>1233</v>
      </c>
    </row>
    <row r="87" spans="1:4">
      <c r="A87" s="28">
        <v>69.539000000000001</v>
      </c>
      <c r="B87" s="28">
        <v>58.026000000000003</v>
      </c>
      <c r="C87" s="28">
        <v>0</v>
      </c>
      <c r="D87" s="27" t="s">
        <v>1233</v>
      </c>
    </row>
    <row r="88" spans="1:4">
      <c r="A88" s="28">
        <v>62.012</v>
      </c>
      <c r="B88" s="28">
        <v>45.314999999999998</v>
      </c>
      <c r="C88" s="28">
        <v>0</v>
      </c>
      <c r="D88" s="27" t="s">
        <v>1233</v>
      </c>
    </row>
    <row r="89" spans="1:4">
      <c r="A89" s="28">
        <v>0</v>
      </c>
      <c r="B89" s="28">
        <v>0</v>
      </c>
      <c r="C89" s="28">
        <v>0</v>
      </c>
      <c r="D89" s="27" t="s">
        <v>1233</v>
      </c>
    </row>
    <row r="90" spans="1:4">
      <c r="A90" s="28">
        <v>0</v>
      </c>
      <c r="B90" s="28">
        <v>0</v>
      </c>
      <c r="C90" s="28">
        <v>0</v>
      </c>
      <c r="D90" s="27" t="s">
        <v>1233</v>
      </c>
    </row>
    <row r="91" spans="1:4">
      <c r="A91" s="28">
        <v>0</v>
      </c>
      <c r="B91" s="28">
        <v>0</v>
      </c>
      <c r="C91" s="28">
        <v>0</v>
      </c>
      <c r="D91" s="27" t="s">
        <v>1233</v>
      </c>
    </row>
    <row r="92" spans="1:4">
      <c r="A92" s="28">
        <v>58.591999999999999</v>
      </c>
      <c r="B92" s="28">
        <v>0</v>
      </c>
      <c r="C92" s="28">
        <v>0</v>
      </c>
      <c r="D92" s="27" t="s">
        <v>1233</v>
      </c>
    </row>
    <row r="93" spans="1:4">
      <c r="A93" s="28">
        <v>122.90300000000001</v>
      </c>
      <c r="B93" s="28">
        <v>0</v>
      </c>
      <c r="C93" s="28">
        <v>0</v>
      </c>
      <c r="D93" s="27" t="s">
        <v>1234</v>
      </c>
    </row>
    <row r="94" spans="1:4">
      <c r="A94" s="28">
        <v>102.417</v>
      </c>
      <c r="B94" s="28">
        <v>0</v>
      </c>
      <c r="C94" s="28">
        <v>138.84700000000001</v>
      </c>
      <c r="D94" s="27" t="s">
        <v>1234</v>
      </c>
    </row>
    <row r="95" spans="1:4">
      <c r="A95" s="28">
        <v>156.09700000000001</v>
      </c>
      <c r="B95" s="28">
        <v>135.49100000000001</v>
      </c>
      <c r="C95" s="28">
        <v>91.671999999999997</v>
      </c>
      <c r="D95" s="27" t="s">
        <v>1234</v>
      </c>
    </row>
    <row r="96" spans="1:4">
      <c r="A96" s="28">
        <v>152.518</v>
      </c>
      <c r="B96" s="28">
        <v>0</v>
      </c>
      <c r="C96" s="28">
        <v>210.16900000000001</v>
      </c>
      <c r="D96" s="27" t="s">
        <v>1234</v>
      </c>
    </row>
    <row r="97" spans="1:4">
      <c r="A97" s="28">
        <v>136.744</v>
      </c>
      <c r="B97" s="28">
        <v>165.77199999999999</v>
      </c>
      <c r="C97" s="28">
        <v>251.072</v>
      </c>
      <c r="D97" s="27" t="s">
        <v>1234</v>
      </c>
    </row>
    <row r="98" spans="1:4">
      <c r="A98" s="28">
        <v>113.94799999999999</v>
      </c>
      <c r="B98" s="28">
        <v>0</v>
      </c>
      <c r="C98" s="28">
        <v>84.122</v>
      </c>
      <c r="D98" s="27" t="s">
        <v>1234</v>
      </c>
    </row>
    <row r="99" spans="1:4">
      <c r="A99" s="28">
        <v>111.03100000000001</v>
      </c>
      <c r="B99" s="28">
        <v>0</v>
      </c>
      <c r="C99" s="28">
        <v>85.197999999999993</v>
      </c>
      <c r="D99" s="27" t="s">
        <v>1234</v>
      </c>
    </row>
    <row r="100" spans="1:4">
      <c r="A100" s="28">
        <v>92.501999999999995</v>
      </c>
      <c r="B100" s="28">
        <v>0</v>
      </c>
      <c r="C100" s="28">
        <v>90.143000000000001</v>
      </c>
      <c r="D100" s="27" t="s">
        <v>1234</v>
      </c>
    </row>
    <row r="101" spans="1:4">
      <c r="A101" s="28">
        <v>85.974000000000004</v>
      </c>
      <c r="B101" s="28">
        <v>0</v>
      </c>
      <c r="C101" s="28">
        <v>77.067999999999998</v>
      </c>
      <c r="D101" s="27" t="s">
        <v>1234</v>
      </c>
    </row>
    <row r="102" spans="1:4">
      <c r="A102" s="28">
        <v>4.9089999999999998</v>
      </c>
      <c r="B102" s="28">
        <v>0</v>
      </c>
      <c r="C102" s="28">
        <v>0</v>
      </c>
      <c r="D102" s="27" t="s">
        <v>1235</v>
      </c>
    </row>
    <row r="103" spans="1:4">
      <c r="A103" s="28">
        <v>5.2069999999999999</v>
      </c>
      <c r="B103" s="28">
        <v>0</v>
      </c>
      <c r="C103" s="28">
        <v>0</v>
      </c>
      <c r="D103" s="27" t="s">
        <v>1235</v>
      </c>
    </row>
    <row r="104" spans="1:4">
      <c r="A104" s="28">
        <v>6.1660000000000004</v>
      </c>
      <c r="B104" s="28">
        <v>0</v>
      </c>
      <c r="C104" s="28">
        <v>0</v>
      </c>
      <c r="D104" s="27" t="s">
        <v>1235</v>
      </c>
    </row>
    <row r="105" spans="1:4">
      <c r="A105" s="28">
        <v>6.1189999999999998</v>
      </c>
      <c r="B105" s="28">
        <v>0</v>
      </c>
      <c r="C105" s="28">
        <v>0</v>
      </c>
      <c r="D105" s="27" t="s">
        <v>1235</v>
      </c>
    </row>
    <row r="106" spans="1:4">
      <c r="A106" s="28">
        <v>3.46</v>
      </c>
      <c r="B106" s="28">
        <v>0</v>
      </c>
      <c r="C106" s="28">
        <v>0</v>
      </c>
      <c r="D106" s="27" t="s">
        <v>1235</v>
      </c>
    </row>
    <row r="107" spans="1:4">
      <c r="A107" s="28">
        <v>4.4619999999999997</v>
      </c>
      <c r="B107" s="28">
        <v>0</v>
      </c>
      <c r="C107" s="28">
        <v>0</v>
      </c>
      <c r="D107" s="27" t="s">
        <v>1235</v>
      </c>
    </row>
    <row r="108" spans="1:4">
      <c r="A108" s="28">
        <v>2.8820000000000001</v>
      </c>
      <c r="B108" s="28">
        <v>0</v>
      </c>
      <c r="C108" s="28">
        <v>0</v>
      </c>
      <c r="D108" s="27" t="s">
        <v>1235</v>
      </c>
    </row>
    <row r="109" spans="1:4">
      <c r="A109" s="28">
        <v>3.1779999999999999</v>
      </c>
      <c r="B109" s="28">
        <v>0</v>
      </c>
      <c r="C109" s="28">
        <v>0</v>
      </c>
      <c r="D109" s="27" t="s">
        <v>1235</v>
      </c>
    </row>
    <row r="110" spans="1:4">
      <c r="A110" s="28">
        <v>3.5019999999999998</v>
      </c>
      <c r="B110" s="28">
        <v>0</v>
      </c>
      <c r="C110" s="28">
        <v>0</v>
      </c>
      <c r="D110" s="27" t="s">
        <v>1235</v>
      </c>
    </row>
    <row r="111" spans="1:4">
      <c r="A111" s="28">
        <v>0</v>
      </c>
      <c r="B111" s="28">
        <v>0</v>
      </c>
      <c r="C111" s="28">
        <v>0</v>
      </c>
      <c r="D111" s="27" t="s">
        <v>1236</v>
      </c>
    </row>
    <row r="112" spans="1:4">
      <c r="A112" s="28">
        <v>0</v>
      </c>
      <c r="B112" s="28">
        <v>12.851000000000001</v>
      </c>
      <c r="C112" s="28">
        <v>0</v>
      </c>
      <c r="D112" s="27" t="s">
        <v>1236</v>
      </c>
    </row>
    <row r="113" spans="1:4">
      <c r="A113" s="28">
        <v>19.149999999999999</v>
      </c>
      <c r="B113" s="28">
        <v>0</v>
      </c>
      <c r="C113" s="28">
        <v>0</v>
      </c>
      <c r="D113" s="27" t="s">
        <v>1236</v>
      </c>
    </row>
    <row r="114" spans="1:4">
      <c r="A114" s="28">
        <v>16.498000000000001</v>
      </c>
      <c r="B114" s="28">
        <v>12.986000000000001</v>
      </c>
      <c r="C114" s="28">
        <v>0</v>
      </c>
      <c r="D114" s="27" t="s">
        <v>1236</v>
      </c>
    </row>
    <row r="115" spans="1:4">
      <c r="A115" s="28">
        <v>12.656000000000001</v>
      </c>
      <c r="B115" s="28">
        <v>7.7210000000000001</v>
      </c>
      <c r="C115" s="28">
        <v>0</v>
      </c>
      <c r="D115" s="27" t="s">
        <v>1236</v>
      </c>
    </row>
    <row r="116" spans="1:4">
      <c r="A116" s="28">
        <v>11.593999999999999</v>
      </c>
      <c r="B116" s="28">
        <v>0</v>
      </c>
      <c r="C116" s="28">
        <v>0</v>
      </c>
      <c r="D116" s="27" t="s">
        <v>1236</v>
      </c>
    </row>
    <row r="117" spans="1:4">
      <c r="A117" s="28">
        <v>8.2940000000000005</v>
      </c>
      <c r="B117" s="28">
        <v>0</v>
      </c>
      <c r="C117" s="28">
        <v>0</v>
      </c>
      <c r="D117" s="27" t="s">
        <v>1236</v>
      </c>
    </row>
    <row r="118" spans="1:4">
      <c r="A118" s="28">
        <v>12.318</v>
      </c>
      <c r="B118" s="28">
        <v>8.1170000000000009</v>
      </c>
      <c r="C118" s="28">
        <v>0</v>
      </c>
      <c r="D118" s="27" t="s">
        <v>1236</v>
      </c>
    </row>
    <row r="119" spans="1:4">
      <c r="A119" s="28">
        <v>7.8620000000000001</v>
      </c>
      <c r="B119" s="28">
        <v>3.6539999999999999</v>
      </c>
      <c r="C119" s="28">
        <v>0</v>
      </c>
      <c r="D119" s="27" t="s">
        <v>1236</v>
      </c>
    </row>
    <row r="120" spans="1:4">
      <c r="A120" s="28">
        <v>0.36899999999999999</v>
      </c>
      <c r="B120" s="28">
        <v>0.433</v>
      </c>
      <c r="C120" s="28">
        <v>0.496</v>
      </c>
      <c r="D120" s="27" t="s">
        <v>1237</v>
      </c>
    </row>
    <row r="121" spans="1:4">
      <c r="A121" s="28">
        <v>0.78200000000000003</v>
      </c>
      <c r="B121" s="28">
        <v>0.89</v>
      </c>
      <c r="C121" s="28">
        <v>0.49299999999999999</v>
      </c>
      <c r="D121" s="27" t="s">
        <v>1237</v>
      </c>
    </row>
    <row r="122" spans="1:4">
      <c r="A122" s="28">
        <v>0.90300000000000002</v>
      </c>
      <c r="B122" s="28">
        <v>0.82199999999999995</v>
      </c>
      <c r="C122" s="28">
        <v>0.40899999999999997</v>
      </c>
      <c r="D122" s="27" t="s">
        <v>1237</v>
      </c>
    </row>
    <row r="123" spans="1:4">
      <c r="A123" s="28">
        <v>0.99</v>
      </c>
      <c r="B123" s="28">
        <v>0.73299999999999998</v>
      </c>
      <c r="C123" s="28">
        <v>0.94899999999999995</v>
      </c>
      <c r="D123" s="27" t="s">
        <v>1237</v>
      </c>
    </row>
    <row r="124" spans="1:4">
      <c r="A124" s="28">
        <v>2.028</v>
      </c>
      <c r="B124" s="28">
        <v>2.335</v>
      </c>
      <c r="C124" s="28">
        <v>3.1120000000000001</v>
      </c>
      <c r="D124" s="27" t="s">
        <v>1237</v>
      </c>
    </row>
    <row r="125" spans="1:4">
      <c r="A125" s="28">
        <v>2.0230000000000001</v>
      </c>
      <c r="B125" s="28">
        <v>2.1930000000000001</v>
      </c>
      <c r="C125" s="28">
        <v>2.8540000000000001</v>
      </c>
      <c r="D125" s="27" t="s">
        <v>1237</v>
      </c>
    </row>
    <row r="126" spans="1:4">
      <c r="A126" s="28">
        <v>3.9169999999999998</v>
      </c>
      <c r="B126" s="28">
        <v>4.2350000000000003</v>
      </c>
      <c r="C126" s="28">
        <v>3.8519999999999999</v>
      </c>
      <c r="D126" s="27" t="s">
        <v>1237</v>
      </c>
    </row>
    <row r="127" spans="1:4">
      <c r="A127" s="28">
        <v>1.002</v>
      </c>
      <c r="B127" s="28">
        <v>0.25600000000000001</v>
      </c>
      <c r="C127" s="28">
        <v>4.867</v>
      </c>
      <c r="D127" s="27" t="s">
        <v>1237</v>
      </c>
    </row>
    <row r="128" spans="1:4">
      <c r="A128" s="28">
        <v>1.0760000000000001</v>
      </c>
      <c r="B128" s="28">
        <v>0.95099999999999996</v>
      </c>
      <c r="C128" s="28">
        <v>0.98799999999999999</v>
      </c>
      <c r="D128" s="27" t="s">
        <v>1237</v>
      </c>
    </row>
    <row r="129" spans="1:4">
      <c r="A129" s="28">
        <v>2.2530000000000001</v>
      </c>
      <c r="B129" s="28">
        <v>0.93400000000000005</v>
      </c>
      <c r="C129" s="28">
        <v>0.70399999999999996</v>
      </c>
      <c r="D129" s="27" t="s">
        <v>1238</v>
      </c>
    </row>
    <row r="130" spans="1:4">
      <c r="A130" s="28">
        <v>3.8079999999999998</v>
      </c>
      <c r="B130" s="28">
        <v>1.89</v>
      </c>
      <c r="C130" s="28">
        <v>2.855</v>
      </c>
      <c r="D130" s="27" t="s">
        <v>1238</v>
      </c>
    </row>
    <row r="131" spans="1:4">
      <c r="A131" s="28">
        <v>3.097</v>
      </c>
      <c r="B131" s="28">
        <v>1.44</v>
      </c>
      <c r="C131" s="28">
        <v>1.329</v>
      </c>
      <c r="D131" s="27" t="s">
        <v>1238</v>
      </c>
    </row>
    <row r="132" spans="1:4">
      <c r="A132" s="28">
        <v>4.74</v>
      </c>
      <c r="B132" s="28">
        <v>2.3530000000000002</v>
      </c>
      <c r="C132" s="28">
        <v>3.8010000000000002</v>
      </c>
      <c r="D132" s="27" t="s">
        <v>1238</v>
      </c>
    </row>
    <row r="133" spans="1:4">
      <c r="A133" s="28">
        <v>12.84</v>
      </c>
      <c r="B133" s="28">
        <v>5.52</v>
      </c>
      <c r="C133" s="28">
        <v>8.8699999999999992</v>
      </c>
      <c r="D133" s="27" t="s">
        <v>1238</v>
      </c>
    </row>
    <row r="134" spans="1:4">
      <c r="A134" s="28">
        <v>11.696</v>
      </c>
      <c r="B134" s="28">
        <v>4.649</v>
      </c>
      <c r="C134" s="28">
        <v>5.2050000000000001</v>
      </c>
      <c r="D134" s="27" t="s">
        <v>1238</v>
      </c>
    </row>
    <row r="135" spans="1:4">
      <c r="A135" s="28">
        <v>15.96</v>
      </c>
      <c r="B135" s="28">
        <v>6.0309999999999997</v>
      </c>
      <c r="C135" s="28">
        <v>11.597</v>
      </c>
      <c r="D135" s="27" t="s">
        <v>1238</v>
      </c>
    </row>
    <row r="136" spans="1:4">
      <c r="A136" s="28">
        <v>12.083</v>
      </c>
      <c r="B136" s="28">
        <v>6.4269999999999996</v>
      </c>
      <c r="C136" s="28">
        <v>10.52</v>
      </c>
      <c r="D136" s="27" t="s">
        <v>1238</v>
      </c>
    </row>
    <row r="137" spans="1:4">
      <c r="A137" s="28">
        <v>5.2110000000000003</v>
      </c>
      <c r="B137" s="28">
        <v>2.2240000000000002</v>
      </c>
      <c r="C137" s="28">
        <v>2.2599999999999998</v>
      </c>
      <c r="D137" s="27" t="s">
        <v>1238</v>
      </c>
    </row>
    <row r="138" spans="1:4">
      <c r="A138" s="28">
        <v>2.1909999999999998</v>
      </c>
      <c r="B138" s="28">
        <v>0.90800000000000003</v>
      </c>
      <c r="C138" s="28">
        <v>0</v>
      </c>
      <c r="D138" s="27" t="s">
        <v>1239</v>
      </c>
    </row>
    <row r="139" spans="1:4">
      <c r="A139" s="28">
        <v>3.7029999999999998</v>
      </c>
      <c r="B139" s="28">
        <v>1.837</v>
      </c>
      <c r="C139" s="28">
        <v>0</v>
      </c>
      <c r="D139" s="27" t="s">
        <v>1239</v>
      </c>
    </row>
    <row r="140" spans="1:4">
      <c r="A140" s="28">
        <v>3.0110000000000001</v>
      </c>
      <c r="B140" s="28">
        <v>1.4</v>
      </c>
      <c r="C140" s="28">
        <v>0</v>
      </c>
      <c r="D140" s="27" t="s">
        <v>1239</v>
      </c>
    </row>
    <row r="141" spans="1:4">
      <c r="A141" s="28">
        <v>4.609</v>
      </c>
      <c r="B141" s="28">
        <v>2.2879999999999998</v>
      </c>
      <c r="C141" s="28">
        <v>3.6960000000000002</v>
      </c>
      <c r="D141" s="27" t="s">
        <v>1239</v>
      </c>
    </row>
    <row r="142" spans="1:4">
      <c r="A142" s="28">
        <v>12.483000000000001</v>
      </c>
      <c r="B142" s="28">
        <v>5.367</v>
      </c>
      <c r="C142" s="28">
        <v>8.6229999999999993</v>
      </c>
      <c r="D142" s="27" t="s">
        <v>1239</v>
      </c>
    </row>
    <row r="143" spans="1:4">
      <c r="A143" s="28">
        <v>11.371</v>
      </c>
      <c r="B143" s="28">
        <v>4.5199999999999996</v>
      </c>
      <c r="C143" s="28">
        <v>5.0599999999999996</v>
      </c>
      <c r="D143" s="27" t="s">
        <v>1239</v>
      </c>
    </row>
    <row r="144" spans="1:4">
      <c r="A144" s="28">
        <v>15.516999999999999</v>
      </c>
      <c r="B144" s="28">
        <v>5.8639999999999999</v>
      </c>
      <c r="C144" s="28">
        <v>11.275</v>
      </c>
      <c r="D144" s="27" t="s">
        <v>1239</v>
      </c>
    </row>
    <row r="145" spans="1:4">
      <c r="A145" s="28">
        <v>11.747</v>
      </c>
      <c r="B145" s="28">
        <v>6.2489999999999997</v>
      </c>
      <c r="C145" s="28">
        <v>10.228</v>
      </c>
      <c r="D145" s="27" t="s">
        <v>1239</v>
      </c>
    </row>
    <row r="146" spans="1:4">
      <c r="A146" s="28">
        <v>5.0659999999999998</v>
      </c>
      <c r="B146" s="28">
        <v>2.1629999999999998</v>
      </c>
      <c r="C146" s="28">
        <v>2.1970000000000001</v>
      </c>
      <c r="D146" s="27" t="s">
        <v>1239</v>
      </c>
    </row>
    <row r="147" spans="1:4">
      <c r="A147" s="28">
        <v>1.643</v>
      </c>
      <c r="B147" s="28">
        <v>0</v>
      </c>
      <c r="C147" s="28">
        <v>0</v>
      </c>
      <c r="D147" s="27" t="s">
        <v>1240</v>
      </c>
    </row>
    <row r="148" spans="1:4">
      <c r="A148" s="28">
        <v>2.7770000000000001</v>
      </c>
      <c r="B148" s="28">
        <v>0</v>
      </c>
      <c r="C148" s="28">
        <v>0</v>
      </c>
      <c r="D148" s="27" t="s">
        <v>1240</v>
      </c>
    </row>
    <row r="149" spans="1:4">
      <c r="A149" s="28">
        <v>2.258</v>
      </c>
      <c r="B149" s="28">
        <v>0</v>
      </c>
      <c r="C149" s="28">
        <v>0</v>
      </c>
      <c r="D149" s="27" t="s">
        <v>1240</v>
      </c>
    </row>
    <row r="150" spans="1:4">
      <c r="A150" s="28">
        <v>3.4569999999999999</v>
      </c>
      <c r="B150" s="28">
        <v>0</v>
      </c>
      <c r="C150" s="28">
        <v>0</v>
      </c>
      <c r="D150" s="27" t="s">
        <v>1240</v>
      </c>
    </row>
    <row r="151" spans="1:4">
      <c r="A151" s="28">
        <v>9.3620000000000001</v>
      </c>
      <c r="B151" s="28">
        <v>0</v>
      </c>
      <c r="C151" s="28">
        <v>0</v>
      </c>
      <c r="D151" s="27" t="s">
        <v>1240</v>
      </c>
    </row>
    <row r="152" spans="1:4">
      <c r="A152" s="28">
        <v>8.5280000000000005</v>
      </c>
      <c r="B152" s="28">
        <v>0</v>
      </c>
      <c r="C152" s="28">
        <v>0</v>
      </c>
      <c r="D152" s="27" t="s">
        <v>1240</v>
      </c>
    </row>
    <row r="153" spans="1:4">
      <c r="A153" s="28">
        <v>11.638</v>
      </c>
      <c r="B153" s="28">
        <v>0</v>
      </c>
      <c r="C153" s="28">
        <v>0</v>
      </c>
      <c r="D153" s="27" t="s">
        <v>1240</v>
      </c>
    </row>
    <row r="154" spans="1:4">
      <c r="A154" s="28">
        <v>8.81</v>
      </c>
      <c r="B154" s="28">
        <v>0</v>
      </c>
      <c r="C154" s="28">
        <v>0</v>
      </c>
      <c r="D154" s="27" t="s">
        <v>1240</v>
      </c>
    </row>
    <row r="155" spans="1:4">
      <c r="A155" s="28">
        <v>3.8</v>
      </c>
      <c r="B155" s="28">
        <v>0</v>
      </c>
      <c r="C155" s="28">
        <v>0</v>
      </c>
      <c r="D155" s="27" t="s">
        <v>1240</v>
      </c>
    </row>
    <row r="156" spans="1:4">
      <c r="A156" s="28">
        <v>11.301</v>
      </c>
      <c r="B156" s="28">
        <v>4.6840000000000002</v>
      </c>
      <c r="C156" s="28">
        <v>7.6360000000000001</v>
      </c>
      <c r="D156" s="27" t="s">
        <v>1241</v>
      </c>
    </row>
    <row r="157" spans="1:4">
      <c r="A157" s="28">
        <v>19.099</v>
      </c>
      <c r="B157" s="28">
        <v>9.4770000000000003</v>
      </c>
      <c r="C157" s="28">
        <v>12.904999999999999</v>
      </c>
      <c r="D157" s="27" t="s">
        <v>1241</v>
      </c>
    </row>
    <row r="158" spans="1:4">
      <c r="A158" s="28">
        <v>15.531000000000001</v>
      </c>
      <c r="B158" s="28">
        <v>7.2240000000000002</v>
      </c>
      <c r="C158" s="28">
        <v>10.494999999999999</v>
      </c>
      <c r="D158" s="27" t="s">
        <v>1241</v>
      </c>
    </row>
    <row r="159" spans="1:4">
      <c r="A159" s="28">
        <v>23.773</v>
      </c>
      <c r="B159" s="28">
        <v>11.801</v>
      </c>
      <c r="C159" s="28">
        <v>19.062999999999999</v>
      </c>
      <c r="D159" s="27" t="s">
        <v>1241</v>
      </c>
    </row>
    <row r="160" spans="1:4">
      <c r="A160" s="28">
        <v>64.391000000000005</v>
      </c>
      <c r="B160" s="28">
        <v>27.684999999999999</v>
      </c>
      <c r="C160" s="28">
        <v>44.48</v>
      </c>
      <c r="D160" s="27" t="s">
        <v>1241</v>
      </c>
    </row>
    <row r="161" spans="1:4">
      <c r="A161" s="28">
        <v>58.655999999999999</v>
      </c>
      <c r="B161" s="28">
        <v>23.315999999999999</v>
      </c>
      <c r="C161" s="28">
        <v>26.100999999999999</v>
      </c>
      <c r="D161" s="27" t="s">
        <v>1241</v>
      </c>
    </row>
    <row r="162" spans="1:4">
      <c r="A162" s="28">
        <v>80.040999999999997</v>
      </c>
      <c r="B162" s="28">
        <v>30.247</v>
      </c>
      <c r="C162" s="28">
        <v>58.158000000000001</v>
      </c>
      <c r="D162" s="27" t="s">
        <v>1241</v>
      </c>
    </row>
    <row r="163" spans="1:4">
      <c r="A163" s="28">
        <v>60.594999999999999</v>
      </c>
      <c r="B163" s="28">
        <v>32.231999999999999</v>
      </c>
      <c r="C163" s="28">
        <v>52.759</v>
      </c>
      <c r="D163" s="27" t="s">
        <v>1241</v>
      </c>
    </row>
    <row r="164" spans="1:4">
      <c r="A164" s="28">
        <v>26.132000000000001</v>
      </c>
      <c r="B164" s="28">
        <v>11.156000000000001</v>
      </c>
      <c r="C164" s="28">
        <v>11.332000000000001</v>
      </c>
      <c r="D164" s="27" t="s">
        <v>1241</v>
      </c>
    </row>
    <row r="165" spans="1:4">
      <c r="A165" s="28">
        <v>0.34599999999999997</v>
      </c>
      <c r="B165" s="28">
        <v>0.34399999999999997</v>
      </c>
      <c r="C165" s="28">
        <v>0.34699999999999998</v>
      </c>
      <c r="D165" s="27" t="s">
        <v>1242</v>
      </c>
    </row>
    <row r="166" spans="1:4">
      <c r="A166" s="28">
        <v>0.35</v>
      </c>
      <c r="B166" s="28">
        <v>0.34899999999999998</v>
      </c>
      <c r="C166" s="28">
        <v>0.35099999999999998</v>
      </c>
      <c r="D166" s="27" t="s">
        <v>1242</v>
      </c>
    </row>
    <row r="167" spans="1:4">
      <c r="A167" s="28">
        <v>0.35499999999999998</v>
      </c>
      <c r="B167" s="28">
        <v>0.35499999999999998</v>
      </c>
      <c r="C167" s="28">
        <v>0.35599999999999998</v>
      </c>
      <c r="D167" s="27" t="s">
        <v>1242</v>
      </c>
    </row>
    <row r="168" spans="1:4">
      <c r="A168" s="28">
        <v>0.35599999999999998</v>
      </c>
      <c r="B168" s="28">
        <v>0.35499999999999998</v>
      </c>
      <c r="C168" s="28">
        <v>0.35599999999999998</v>
      </c>
      <c r="D168" s="27" t="s">
        <v>1242</v>
      </c>
    </row>
    <row r="169" spans="1:4">
      <c r="A169" s="28">
        <v>0.35499999999999998</v>
      </c>
      <c r="B169" s="28">
        <v>0.35299999999999998</v>
      </c>
      <c r="C169" s="28">
        <v>0.35499999999999998</v>
      </c>
      <c r="D169" s="27" t="s">
        <v>1242</v>
      </c>
    </row>
    <row r="170" spans="1:4">
      <c r="A170" s="28">
        <v>0.35399999999999998</v>
      </c>
      <c r="B170" s="28">
        <v>0.34899999999999998</v>
      </c>
      <c r="C170" s="28">
        <v>0.35499999999999998</v>
      </c>
      <c r="D170" s="27" t="s">
        <v>1242</v>
      </c>
    </row>
    <row r="171" spans="1:4">
      <c r="A171" s="28">
        <v>0.35</v>
      </c>
      <c r="B171" s="28">
        <v>0.34699999999999998</v>
      </c>
      <c r="C171" s="28">
        <v>0.35099999999999998</v>
      </c>
      <c r="D171" s="27" t="s">
        <v>1242</v>
      </c>
    </row>
    <row r="172" spans="1:4">
      <c r="A172" s="28">
        <v>0.35599999999999998</v>
      </c>
      <c r="B172" s="28">
        <v>0.35</v>
      </c>
      <c r="C172" s="28">
        <v>0.35399999999999998</v>
      </c>
      <c r="D172" s="27" t="s">
        <v>1242</v>
      </c>
    </row>
    <row r="173" spans="1:4">
      <c r="A173" s="28">
        <v>0.35299999999999998</v>
      </c>
      <c r="B173" s="28">
        <v>0.35199999999999998</v>
      </c>
      <c r="C173" s="28">
        <v>0.35299999999999998</v>
      </c>
      <c r="D173" s="27" t="s">
        <v>1242</v>
      </c>
    </row>
    <row r="174" spans="1:4">
      <c r="A174" s="28">
        <v>1.4790000000000001</v>
      </c>
      <c r="B174" s="28">
        <v>1.48</v>
      </c>
      <c r="C174" s="28">
        <v>1.4770000000000001</v>
      </c>
      <c r="D174" s="27" t="s">
        <v>1243</v>
      </c>
    </row>
    <row r="175" spans="1:4">
      <c r="A175" s="28">
        <v>1.48</v>
      </c>
      <c r="B175" s="28">
        <v>1.484</v>
      </c>
      <c r="C175" s="28">
        <v>1.486</v>
      </c>
      <c r="D175" s="27" t="s">
        <v>1243</v>
      </c>
    </row>
    <row r="176" spans="1:4">
      <c r="A176" s="28">
        <v>1.4790000000000001</v>
      </c>
      <c r="B176" s="28">
        <v>1.48</v>
      </c>
      <c r="C176" s="28">
        <v>1.4930000000000001</v>
      </c>
      <c r="D176" s="27" t="s">
        <v>1243</v>
      </c>
    </row>
    <row r="177" spans="1:6">
      <c r="A177" s="28">
        <v>1.482</v>
      </c>
      <c r="B177" s="28">
        <v>1.494</v>
      </c>
      <c r="C177" s="28">
        <v>1.4870000000000001</v>
      </c>
      <c r="D177" s="27" t="s">
        <v>1243</v>
      </c>
    </row>
    <row r="178" spans="1:6">
      <c r="A178" s="28">
        <v>1.4850000000000001</v>
      </c>
      <c r="B178" s="28">
        <v>1.488</v>
      </c>
      <c r="C178" s="28">
        <v>1.49</v>
      </c>
      <c r="D178" s="27" t="s">
        <v>1243</v>
      </c>
    </row>
    <row r="179" spans="1:6">
      <c r="A179" s="28">
        <v>1.486</v>
      </c>
      <c r="B179" s="28">
        <v>1.4830000000000001</v>
      </c>
      <c r="C179" s="28">
        <v>1.4890000000000001</v>
      </c>
      <c r="D179" s="27" t="s">
        <v>1243</v>
      </c>
    </row>
    <row r="180" spans="1:6">
      <c r="A180" s="28">
        <v>1.4950000000000001</v>
      </c>
      <c r="B180" s="28">
        <v>1.4950000000000001</v>
      </c>
      <c r="C180" s="28">
        <v>1.4910000000000001</v>
      </c>
      <c r="D180" s="27" t="s">
        <v>1243</v>
      </c>
    </row>
    <row r="181" spans="1:6">
      <c r="A181" s="28">
        <v>1.49</v>
      </c>
      <c r="B181" s="28">
        <v>1.4950000000000001</v>
      </c>
      <c r="C181" s="28">
        <v>1.498</v>
      </c>
      <c r="D181" s="27" t="s">
        <v>1243</v>
      </c>
    </row>
    <row r="182" spans="1:6">
      <c r="A182" s="28">
        <v>1.4830000000000001</v>
      </c>
      <c r="B182" s="28">
        <v>1.4810000000000001</v>
      </c>
      <c r="C182" s="28">
        <v>1.4850000000000001</v>
      </c>
      <c r="D182" s="27" t="s">
        <v>1243</v>
      </c>
    </row>
    <row r="183" spans="1:6">
      <c r="A183" s="28">
        <v>27.262</v>
      </c>
      <c r="B183" s="28">
        <v>15.647</v>
      </c>
      <c r="C183" s="28">
        <v>16.009</v>
      </c>
      <c r="D183" s="27" t="s">
        <v>1244</v>
      </c>
      <c r="F183" s="28"/>
    </row>
    <row r="184" spans="1:6">
      <c r="A184" s="28">
        <v>25.742999999999999</v>
      </c>
      <c r="B184" s="28">
        <v>15.231999999999999</v>
      </c>
      <c r="C184" s="28">
        <v>19.882000000000001</v>
      </c>
      <c r="D184" s="27" t="s">
        <v>1244</v>
      </c>
      <c r="F184" s="28"/>
    </row>
    <row r="185" spans="1:6">
      <c r="A185" s="28">
        <v>24.599</v>
      </c>
      <c r="B185" s="28">
        <v>16.225999999999999</v>
      </c>
      <c r="C185" s="28">
        <v>17.978000000000002</v>
      </c>
      <c r="D185" s="27" t="s">
        <v>1244</v>
      </c>
      <c r="F185" s="28"/>
    </row>
    <row r="186" spans="1:6">
      <c r="A186" s="28">
        <v>24.408000000000001</v>
      </c>
      <c r="B186" s="28">
        <v>13.491</v>
      </c>
      <c r="C186" s="28">
        <v>24.047000000000001</v>
      </c>
      <c r="D186" s="27" t="s">
        <v>1244</v>
      </c>
      <c r="F186" s="28"/>
    </row>
    <row r="187" spans="1:6">
      <c r="A187" s="28">
        <v>25.344000000000001</v>
      </c>
      <c r="B187" s="28">
        <v>12.808999999999999</v>
      </c>
      <c r="C187" s="28">
        <v>13.734</v>
      </c>
      <c r="D187" s="27" t="s">
        <v>1244</v>
      </c>
      <c r="F187" s="28"/>
    </row>
    <row r="188" spans="1:6">
      <c r="A188" s="28">
        <v>23.635000000000002</v>
      </c>
      <c r="B188" s="28">
        <v>21.922999999999998</v>
      </c>
      <c r="C188" s="28">
        <v>13.180999999999999</v>
      </c>
      <c r="D188" s="27" t="s">
        <v>1244</v>
      </c>
      <c r="F188" s="28"/>
    </row>
    <row r="189" spans="1:6">
      <c r="A189" s="28">
        <v>21.655999999999999</v>
      </c>
      <c r="B189" s="28">
        <v>11.621</v>
      </c>
      <c r="C189" s="28">
        <v>18.617000000000001</v>
      </c>
      <c r="D189" s="27" t="s">
        <v>1244</v>
      </c>
      <c r="F189" s="28"/>
    </row>
    <row r="190" spans="1:6">
      <c r="A190" s="28">
        <v>22.073</v>
      </c>
      <c r="B190" s="28">
        <v>12.702999999999999</v>
      </c>
      <c r="C190" s="28">
        <v>18.434999999999999</v>
      </c>
      <c r="D190" s="27" t="s">
        <v>1244</v>
      </c>
      <c r="F190" s="28"/>
    </row>
    <row r="191" spans="1:6">
      <c r="A191" s="28">
        <v>20.523</v>
      </c>
      <c r="B191" s="28">
        <v>10.811</v>
      </c>
      <c r="C191" s="28">
        <v>18.224</v>
      </c>
      <c r="D191" s="27" t="s">
        <v>1244</v>
      </c>
      <c r="F191" s="28"/>
    </row>
    <row r="192" spans="1:6">
      <c r="A192" s="28">
        <v>8.64</v>
      </c>
      <c r="B192" s="28">
        <v>6.6980000000000004</v>
      </c>
      <c r="C192" s="28">
        <v>7.4610000000000003</v>
      </c>
      <c r="D192" s="27" t="s">
        <v>1245</v>
      </c>
      <c r="F192" s="28"/>
    </row>
    <row r="193" spans="1:6">
      <c r="A193" s="28">
        <v>9.7430000000000003</v>
      </c>
      <c r="B193" s="28">
        <v>7.3010000000000002</v>
      </c>
      <c r="C193" s="28">
        <v>8.9450000000000003</v>
      </c>
      <c r="D193" s="27" t="s">
        <v>1245</v>
      </c>
      <c r="F193" s="28"/>
    </row>
    <row r="194" spans="1:6">
      <c r="A194" s="28">
        <v>10.488</v>
      </c>
      <c r="B194" s="28">
        <v>7.09</v>
      </c>
      <c r="C194" s="28">
        <v>11.042</v>
      </c>
      <c r="D194" s="27" t="s">
        <v>1245</v>
      </c>
      <c r="F194" s="28"/>
    </row>
    <row r="195" spans="1:6">
      <c r="A195" s="28">
        <v>10.888</v>
      </c>
      <c r="B195" s="28">
        <v>6.6740000000000004</v>
      </c>
      <c r="C195" s="28">
        <v>11.382999999999999</v>
      </c>
      <c r="D195" s="27" t="s">
        <v>1245</v>
      </c>
      <c r="F195" s="28"/>
    </row>
    <row r="196" spans="1:6">
      <c r="A196" s="28">
        <v>9.2349999999999994</v>
      </c>
      <c r="B196" s="28">
        <v>6.61</v>
      </c>
      <c r="C196" s="28">
        <v>10.06</v>
      </c>
      <c r="D196" s="27" t="s">
        <v>1245</v>
      </c>
      <c r="F196" s="28"/>
    </row>
    <row r="197" spans="1:6">
      <c r="A197" s="28">
        <v>9.8759999999999994</v>
      </c>
      <c r="B197" s="28">
        <v>7.1070000000000002</v>
      </c>
      <c r="C197" s="28">
        <v>10.795</v>
      </c>
      <c r="D197" s="27" t="s">
        <v>1245</v>
      </c>
      <c r="F197" s="28"/>
    </row>
    <row r="198" spans="1:6">
      <c r="A198" s="28">
        <v>10.013</v>
      </c>
      <c r="B198" s="28">
        <v>7.157</v>
      </c>
      <c r="C198" s="28">
        <v>11.28</v>
      </c>
      <c r="D198" s="27" t="s">
        <v>1245</v>
      </c>
      <c r="F198" s="28"/>
    </row>
    <row r="199" spans="1:6">
      <c r="A199" s="28">
        <v>9.6080000000000005</v>
      </c>
      <c r="B199" s="28">
        <v>6.141</v>
      </c>
      <c r="C199" s="28">
        <v>10.233000000000001</v>
      </c>
      <c r="D199" s="27" t="s">
        <v>1245</v>
      </c>
      <c r="F199" s="28"/>
    </row>
    <row r="200" spans="1:6">
      <c r="A200" s="28">
        <v>11.335000000000001</v>
      </c>
      <c r="B200" s="28">
        <v>6.758</v>
      </c>
      <c r="C200" s="28">
        <v>11.750999999999999</v>
      </c>
      <c r="D200" s="27" t="s">
        <v>1245</v>
      </c>
      <c r="F200" s="28"/>
    </row>
    <row r="201" spans="1:6">
      <c r="A201" s="28">
        <v>21.44</v>
      </c>
      <c r="B201" s="28">
        <v>13.754</v>
      </c>
      <c r="C201" s="28">
        <v>0</v>
      </c>
      <c r="D201" s="27" t="s">
        <v>1246</v>
      </c>
      <c r="F201" s="28"/>
    </row>
    <row r="202" spans="1:6">
      <c r="A202" s="28">
        <v>20.105</v>
      </c>
      <c r="B202" s="28">
        <v>13.896000000000001</v>
      </c>
      <c r="C202" s="28">
        <v>9.7289999999999992</v>
      </c>
      <c r="D202" s="27" t="s">
        <v>1246</v>
      </c>
      <c r="F202" s="28"/>
    </row>
    <row r="203" spans="1:6">
      <c r="A203" s="28">
        <v>2.109</v>
      </c>
      <c r="B203" s="28">
        <v>0</v>
      </c>
      <c r="C203" s="28">
        <v>0</v>
      </c>
      <c r="D203" s="27" t="s">
        <v>1246</v>
      </c>
      <c r="F203" s="28"/>
    </row>
    <row r="204" spans="1:6">
      <c r="A204" s="28">
        <v>0</v>
      </c>
      <c r="B204" s="28">
        <v>0</v>
      </c>
      <c r="C204" s="28">
        <v>0</v>
      </c>
      <c r="D204" s="27" t="s">
        <v>1246</v>
      </c>
      <c r="F204" s="28"/>
    </row>
    <row r="205" spans="1:6">
      <c r="A205" s="28">
        <v>13.717000000000001</v>
      </c>
      <c r="B205" s="28">
        <v>0</v>
      </c>
      <c r="C205" s="28">
        <v>0</v>
      </c>
      <c r="D205" s="27" t="s">
        <v>1246</v>
      </c>
      <c r="F205" s="28"/>
    </row>
    <row r="206" spans="1:6">
      <c r="A206" s="28">
        <v>0</v>
      </c>
      <c r="B206" s="28">
        <v>0</v>
      </c>
      <c r="C206" s="28">
        <v>0</v>
      </c>
      <c r="D206" s="27" t="s">
        <v>1246</v>
      </c>
      <c r="F206" s="28"/>
    </row>
    <row r="207" spans="1:6">
      <c r="A207" s="28">
        <v>0</v>
      </c>
      <c r="B207" s="28">
        <v>0</v>
      </c>
      <c r="C207" s="28">
        <v>0</v>
      </c>
      <c r="D207" s="27" t="s">
        <v>1246</v>
      </c>
      <c r="F207" s="28"/>
    </row>
    <row r="208" spans="1:6">
      <c r="A208" s="28">
        <v>0</v>
      </c>
      <c r="B208" s="28">
        <v>0</v>
      </c>
      <c r="C208" s="28">
        <v>0</v>
      </c>
      <c r="D208" s="27" t="s">
        <v>1246</v>
      </c>
      <c r="F208" s="28"/>
    </row>
    <row r="209" spans="1:6">
      <c r="A209" s="28">
        <v>24.326000000000001</v>
      </c>
      <c r="B209" s="28">
        <v>0</v>
      </c>
      <c r="C209" s="28">
        <v>0</v>
      </c>
      <c r="D209" s="27" t="s">
        <v>1246</v>
      </c>
      <c r="F209" s="28"/>
    </row>
    <row r="210" spans="1:6">
      <c r="A210" s="28">
        <v>14.803000000000001</v>
      </c>
      <c r="B210" s="28">
        <v>8.7929999999999993</v>
      </c>
      <c r="C210" s="28">
        <v>13.868</v>
      </c>
      <c r="D210" s="27" t="s">
        <v>1247</v>
      </c>
      <c r="F210" s="28"/>
    </row>
    <row r="211" spans="1:6">
      <c r="A211" s="28">
        <v>19.585000000000001</v>
      </c>
      <c r="B211" s="28">
        <v>10.176</v>
      </c>
      <c r="C211" s="28">
        <v>8.2059999999999995</v>
      </c>
      <c r="D211" s="27" t="s">
        <v>1247</v>
      </c>
      <c r="F211" s="28"/>
    </row>
    <row r="212" spans="1:6">
      <c r="A212" s="28">
        <v>24.07</v>
      </c>
      <c r="B212" s="28">
        <v>13.731</v>
      </c>
      <c r="C212" s="28">
        <v>14.577</v>
      </c>
      <c r="D212" s="27" t="s">
        <v>1247</v>
      </c>
      <c r="F212" s="28"/>
    </row>
    <row r="213" spans="1:6">
      <c r="A213" s="28">
        <v>20.445</v>
      </c>
      <c r="B213" s="28">
        <v>17.12</v>
      </c>
      <c r="C213" s="28">
        <v>6.0839999999999996</v>
      </c>
      <c r="D213" s="27" t="s">
        <v>1247</v>
      </c>
      <c r="F213" s="28"/>
    </row>
    <row r="214" spans="1:6">
      <c r="A214" s="28">
        <v>19.5</v>
      </c>
      <c r="B214" s="28">
        <v>22.013000000000002</v>
      </c>
      <c r="C214" s="28">
        <v>6.7859999999999996</v>
      </c>
      <c r="D214" s="27" t="s">
        <v>1247</v>
      </c>
      <c r="F214" s="28"/>
    </row>
    <row r="215" spans="1:6">
      <c r="A215" s="28">
        <v>25.829000000000001</v>
      </c>
      <c r="B215" s="28">
        <v>0</v>
      </c>
      <c r="C215" s="28">
        <v>0</v>
      </c>
      <c r="D215" s="27" t="s">
        <v>1247</v>
      </c>
      <c r="F215" s="28"/>
    </row>
    <row r="216" spans="1:6">
      <c r="A216" s="28">
        <v>26.452000000000002</v>
      </c>
      <c r="B216" s="28">
        <v>0</v>
      </c>
      <c r="C216" s="28">
        <v>6.1609999999999996</v>
      </c>
      <c r="D216" s="27" t="s">
        <v>1247</v>
      </c>
      <c r="F216" s="28"/>
    </row>
    <row r="217" spans="1:6">
      <c r="A217" s="28">
        <v>21.69</v>
      </c>
      <c r="B217" s="28">
        <v>8.5</v>
      </c>
      <c r="C217" s="28">
        <v>7.8369999999999997</v>
      </c>
      <c r="D217" s="27" t="s">
        <v>1247</v>
      </c>
      <c r="F217" s="28"/>
    </row>
    <row r="218" spans="1:6">
      <c r="A218" s="28">
        <v>19.523</v>
      </c>
      <c r="B218" s="28">
        <v>15.042</v>
      </c>
      <c r="C218" s="28">
        <v>9.3070000000000004</v>
      </c>
      <c r="D218" s="27" t="s">
        <v>1247</v>
      </c>
      <c r="F218" s="28"/>
    </row>
    <row r="219" spans="1:6">
      <c r="A219" s="28">
        <v>4.32</v>
      </c>
      <c r="B219" s="28">
        <v>3.3490000000000002</v>
      </c>
      <c r="C219" s="28">
        <v>3.73</v>
      </c>
      <c r="D219" s="27" t="s">
        <v>1248</v>
      </c>
      <c r="F219" s="28"/>
    </row>
    <row r="220" spans="1:6">
      <c r="A220" s="28">
        <v>4.8719999999999999</v>
      </c>
      <c r="B220" s="28">
        <v>3.65</v>
      </c>
      <c r="C220" s="28">
        <v>4.4729999999999999</v>
      </c>
      <c r="D220" s="27" t="s">
        <v>1248</v>
      </c>
      <c r="F220" s="28"/>
    </row>
    <row r="221" spans="1:6">
      <c r="A221" s="28">
        <v>5.2439999999999998</v>
      </c>
      <c r="B221" s="28">
        <v>3.5449999999999999</v>
      </c>
      <c r="C221" s="28">
        <v>5.5209999999999999</v>
      </c>
      <c r="D221" s="27" t="s">
        <v>1248</v>
      </c>
      <c r="F221" s="28"/>
    </row>
    <row r="222" spans="1:6">
      <c r="A222" s="28">
        <v>5.444</v>
      </c>
      <c r="B222" s="28">
        <v>3.3370000000000002</v>
      </c>
      <c r="C222" s="28">
        <v>5.6920000000000002</v>
      </c>
      <c r="D222" s="27" t="s">
        <v>1248</v>
      </c>
      <c r="F222" s="28"/>
    </row>
    <row r="223" spans="1:6">
      <c r="A223" s="28">
        <v>4.617</v>
      </c>
      <c r="B223" s="28">
        <v>3.3050000000000002</v>
      </c>
      <c r="C223" s="28">
        <v>5.03</v>
      </c>
      <c r="D223" s="27" t="s">
        <v>1248</v>
      </c>
      <c r="F223" s="28"/>
    </row>
    <row r="224" spans="1:6">
      <c r="A224" s="28">
        <v>4.9379999999999997</v>
      </c>
      <c r="B224" s="28">
        <v>3.5529999999999999</v>
      </c>
      <c r="C224" s="28">
        <v>5.3979999999999997</v>
      </c>
      <c r="D224" s="27" t="s">
        <v>1248</v>
      </c>
      <c r="F224" s="28"/>
    </row>
    <row r="225" spans="1:6">
      <c r="A225" s="28">
        <v>5.0069999999999997</v>
      </c>
      <c r="B225" s="28">
        <v>3.5779999999999998</v>
      </c>
      <c r="C225" s="28">
        <v>5.64</v>
      </c>
      <c r="D225" s="27" t="s">
        <v>1248</v>
      </c>
      <c r="F225" s="28"/>
    </row>
    <row r="226" spans="1:6">
      <c r="A226" s="28">
        <v>4.8040000000000003</v>
      </c>
      <c r="B226" s="28">
        <v>3.07</v>
      </c>
      <c r="C226" s="28">
        <v>5.117</v>
      </c>
      <c r="D226" s="27" t="s">
        <v>1248</v>
      </c>
      <c r="F226" s="28"/>
    </row>
    <row r="227" spans="1:6">
      <c r="A227" s="28">
        <v>5.6680000000000001</v>
      </c>
      <c r="B227" s="28">
        <v>3.379</v>
      </c>
      <c r="C227" s="28">
        <v>5.8760000000000003</v>
      </c>
      <c r="D227" s="27" t="s">
        <v>1248</v>
      </c>
      <c r="F227" s="28"/>
    </row>
    <row r="228" spans="1:6">
      <c r="A228" s="28">
        <v>5.5380000000000003</v>
      </c>
      <c r="B228" s="28">
        <v>5.5439999999999996</v>
      </c>
      <c r="C228" s="28">
        <v>5.5469999999999997</v>
      </c>
      <c r="D228" s="27" t="s">
        <v>1249</v>
      </c>
    </row>
    <row r="229" spans="1:6">
      <c r="A229" s="28">
        <v>5.5410000000000004</v>
      </c>
      <c r="B229" s="28">
        <v>5.5449999999999999</v>
      </c>
      <c r="C229" s="28">
        <v>3.73</v>
      </c>
      <c r="D229" s="27" t="s">
        <v>1249</v>
      </c>
    </row>
    <row r="230" spans="1:6">
      <c r="A230" s="28">
        <v>5.5419999999999998</v>
      </c>
      <c r="B230" s="28">
        <v>5.5460000000000003</v>
      </c>
      <c r="C230" s="28">
        <v>5.5419999999999998</v>
      </c>
      <c r="D230" s="27" t="s">
        <v>1249</v>
      </c>
    </row>
    <row r="231" spans="1:6">
      <c r="A231" s="28">
        <v>5.5359999999999996</v>
      </c>
      <c r="B231" s="28">
        <v>5.5430000000000001</v>
      </c>
      <c r="C231" s="28">
        <v>5.5469999999999997</v>
      </c>
      <c r="D231" s="27" t="s">
        <v>1249</v>
      </c>
    </row>
    <row r="232" spans="1:6">
      <c r="A232" s="28">
        <v>5.5359999999999996</v>
      </c>
      <c r="B232" s="28">
        <v>4.6340000000000003</v>
      </c>
      <c r="C232" s="28">
        <v>5.5330000000000004</v>
      </c>
      <c r="D232" s="27" t="s">
        <v>1249</v>
      </c>
    </row>
    <row r="233" spans="1:6">
      <c r="A233" s="28">
        <v>5.5279999999999996</v>
      </c>
      <c r="B233" s="28">
        <v>5.5460000000000003</v>
      </c>
      <c r="C233" s="28">
        <v>2.7570000000000001</v>
      </c>
      <c r="D233" s="27" t="s">
        <v>1249</v>
      </c>
    </row>
    <row r="234" spans="1:6">
      <c r="A234" s="28">
        <v>5.5350000000000001</v>
      </c>
      <c r="B234" s="28">
        <v>5.5449999999999999</v>
      </c>
      <c r="C234" s="28">
        <v>5.5330000000000004</v>
      </c>
      <c r="D234" s="27" t="s">
        <v>1249</v>
      </c>
    </row>
    <row r="235" spans="1:6">
      <c r="A235" s="28">
        <v>5.5229999999999997</v>
      </c>
      <c r="B235" s="28">
        <v>5.5380000000000003</v>
      </c>
      <c r="C235" s="28">
        <v>5.5359999999999996</v>
      </c>
      <c r="D235" s="27" t="s">
        <v>1249</v>
      </c>
    </row>
    <row r="236" spans="1:6">
      <c r="A236" s="28">
        <v>5.5389999999999997</v>
      </c>
      <c r="B236" s="28">
        <v>5.5449999999999999</v>
      </c>
      <c r="C236" s="28">
        <v>5.5220000000000002</v>
      </c>
      <c r="D236" s="27" t="s">
        <v>1249</v>
      </c>
    </row>
    <row r="237" spans="1:6">
      <c r="A237" s="28">
        <v>5.5380000000000003</v>
      </c>
      <c r="B237" s="28">
        <v>5.5380000000000003</v>
      </c>
      <c r="C237" s="28">
        <v>5.5380000000000003</v>
      </c>
      <c r="D237" s="27" t="s">
        <v>1250</v>
      </c>
    </row>
    <row r="238" spans="1:6">
      <c r="A238" s="28">
        <v>5.548</v>
      </c>
      <c r="B238" s="28">
        <v>5.548</v>
      </c>
      <c r="C238" s="28">
        <v>5.548</v>
      </c>
      <c r="D238" s="27" t="s">
        <v>1250</v>
      </c>
    </row>
    <row r="239" spans="1:6">
      <c r="A239" s="28">
        <v>5.5369999999999999</v>
      </c>
      <c r="B239" s="28">
        <v>5.5369999999999999</v>
      </c>
      <c r="C239" s="28">
        <v>5.5369999999999999</v>
      </c>
      <c r="D239" s="27" t="s">
        <v>1250</v>
      </c>
    </row>
    <row r="240" spans="1:6">
      <c r="A240" s="28">
        <v>5.5439999999999996</v>
      </c>
      <c r="B240" s="28">
        <v>5.5439999999999996</v>
      </c>
      <c r="C240" s="28">
        <v>5.5439999999999996</v>
      </c>
      <c r="D240" s="27" t="s">
        <v>1250</v>
      </c>
    </row>
    <row r="241" spans="1:4">
      <c r="A241" s="28">
        <v>5.5389999999999997</v>
      </c>
      <c r="B241" s="28">
        <v>5.5389999999999997</v>
      </c>
      <c r="C241" s="28">
        <v>5.5389999999999997</v>
      </c>
      <c r="D241" s="27" t="s">
        <v>1250</v>
      </c>
    </row>
    <row r="242" spans="1:4">
      <c r="A242" s="28">
        <v>5.5510000000000002</v>
      </c>
      <c r="B242" s="28">
        <v>5.5510000000000002</v>
      </c>
      <c r="C242" s="28">
        <v>5.5510000000000002</v>
      </c>
      <c r="D242" s="27" t="s">
        <v>1250</v>
      </c>
    </row>
    <row r="243" spans="1:4">
      <c r="A243" s="28">
        <v>5.548</v>
      </c>
      <c r="B243" s="28">
        <v>5.548</v>
      </c>
      <c r="C243" s="28">
        <v>5.548</v>
      </c>
      <c r="D243" s="27" t="s">
        <v>1250</v>
      </c>
    </row>
    <row r="244" spans="1:4">
      <c r="A244" s="28">
        <v>5.5460000000000003</v>
      </c>
      <c r="B244" s="28">
        <v>5.5460000000000003</v>
      </c>
      <c r="C244" s="28">
        <v>5.5460000000000003</v>
      </c>
      <c r="D244" s="27" t="s">
        <v>1250</v>
      </c>
    </row>
    <row r="245" spans="1:4">
      <c r="A245" s="28">
        <v>5.5270000000000001</v>
      </c>
      <c r="B245" s="28">
        <v>5.5270000000000001</v>
      </c>
      <c r="C245" s="28">
        <v>5.5270000000000001</v>
      </c>
      <c r="D245" s="27" t="s">
        <v>1250</v>
      </c>
    </row>
    <row r="246" spans="1:4">
      <c r="A246" s="28">
        <v>1.452</v>
      </c>
      <c r="B246" s="28">
        <v>1.1930000000000001</v>
      </c>
      <c r="C246" s="28">
        <v>0.84699999999999998</v>
      </c>
      <c r="D246" s="27" t="s">
        <v>1251</v>
      </c>
    </row>
    <row r="247" spans="1:4">
      <c r="A247" s="28">
        <v>1.446</v>
      </c>
      <c r="B247" s="28">
        <v>0.97399999999999998</v>
      </c>
      <c r="C247" s="28">
        <v>0.93</v>
      </c>
      <c r="D247" s="27" t="s">
        <v>1251</v>
      </c>
    </row>
    <row r="248" spans="1:4">
      <c r="A248" s="28">
        <v>1.61</v>
      </c>
      <c r="B248" s="28">
        <v>0.98</v>
      </c>
      <c r="C248" s="28">
        <v>1.829</v>
      </c>
      <c r="D248" s="27" t="s">
        <v>1251</v>
      </c>
    </row>
    <row r="249" spans="1:4">
      <c r="A249" s="28">
        <v>1.5640000000000001</v>
      </c>
      <c r="B249" s="28">
        <v>1.544</v>
      </c>
      <c r="C249" s="28">
        <v>1.6739999999999999</v>
      </c>
      <c r="D249" s="27" t="s">
        <v>1251</v>
      </c>
    </row>
    <row r="250" spans="1:4">
      <c r="A250" s="28">
        <v>1.6180000000000001</v>
      </c>
      <c r="B250" s="28">
        <v>1.5109999999999999</v>
      </c>
      <c r="C250" s="28">
        <v>1.7470000000000001</v>
      </c>
      <c r="D250" s="27" t="s">
        <v>1251</v>
      </c>
    </row>
    <row r="251" spans="1:4">
      <c r="A251" s="28">
        <v>1.919</v>
      </c>
      <c r="B251" s="28">
        <v>1.149</v>
      </c>
      <c r="C251" s="28">
        <v>2.0640000000000001</v>
      </c>
      <c r="D251" s="27" t="s">
        <v>1251</v>
      </c>
    </row>
    <row r="252" spans="1:4">
      <c r="A252" s="28">
        <v>1.9119999999999999</v>
      </c>
      <c r="B252" s="28">
        <v>1.377</v>
      </c>
      <c r="C252" s="28">
        <v>1.8049999999999999</v>
      </c>
      <c r="D252" s="27" t="s">
        <v>1251</v>
      </c>
    </row>
    <row r="253" spans="1:4">
      <c r="A253" s="28">
        <v>1.4950000000000001</v>
      </c>
      <c r="B253" s="28">
        <v>1.08</v>
      </c>
      <c r="C253" s="28">
        <v>1.0640000000000001</v>
      </c>
      <c r="D253" s="27" t="s">
        <v>1251</v>
      </c>
    </row>
    <row r="254" spans="1:4">
      <c r="A254" s="28">
        <v>1.5109999999999999</v>
      </c>
      <c r="B254" s="28">
        <v>1.2170000000000001</v>
      </c>
      <c r="C254" s="28">
        <v>1.8320000000000001</v>
      </c>
      <c r="D254" s="27" t="s">
        <v>1251</v>
      </c>
    </row>
    <row r="255" spans="1:4">
      <c r="A255" s="28">
        <v>2.1880000000000002</v>
      </c>
      <c r="B255" s="28">
        <v>2.0499999999999998</v>
      </c>
      <c r="C255" s="28">
        <v>1.861</v>
      </c>
      <c r="D255" s="27" t="s">
        <v>1252</v>
      </c>
    </row>
    <row r="256" spans="1:4">
      <c r="A256" s="28">
        <v>2.4849999999999999</v>
      </c>
      <c r="B256" s="28">
        <v>1.7849999999999999</v>
      </c>
      <c r="C256" s="28">
        <v>1.7849999999999999</v>
      </c>
      <c r="D256" s="27" t="s">
        <v>1252</v>
      </c>
    </row>
    <row r="257" spans="1:4">
      <c r="A257" s="28">
        <v>2.6309999999999998</v>
      </c>
      <c r="B257" s="28">
        <v>2.052</v>
      </c>
      <c r="C257" s="28">
        <v>2.726</v>
      </c>
      <c r="D257" s="27" t="s">
        <v>1252</v>
      </c>
    </row>
    <row r="258" spans="1:4">
      <c r="A258" s="28">
        <v>2.7810000000000001</v>
      </c>
      <c r="B258" s="28">
        <v>2.5739999999999998</v>
      </c>
      <c r="C258" s="28">
        <v>2.2450000000000001</v>
      </c>
      <c r="D258" s="27" t="s">
        <v>1252</v>
      </c>
    </row>
    <row r="259" spans="1:4">
      <c r="A259" s="28">
        <v>3.3130000000000002</v>
      </c>
      <c r="B259" s="28">
        <v>2.669</v>
      </c>
      <c r="C259" s="28">
        <v>2.669</v>
      </c>
      <c r="D259" s="27" t="s">
        <v>1252</v>
      </c>
    </row>
    <row r="260" spans="1:4">
      <c r="A260" s="28">
        <v>3.6360000000000001</v>
      </c>
      <c r="B260" s="28">
        <v>3.6360000000000001</v>
      </c>
      <c r="C260" s="28">
        <v>3.6360000000000001</v>
      </c>
      <c r="D260" s="27" t="s">
        <v>1252</v>
      </c>
    </row>
    <row r="261" spans="1:4">
      <c r="A261" s="28">
        <v>4.2089999999999996</v>
      </c>
      <c r="B261" s="28">
        <v>3.3690000000000002</v>
      </c>
      <c r="C261" s="28">
        <v>3.3690000000000002</v>
      </c>
      <c r="D261" s="27" t="s">
        <v>1252</v>
      </c>
    </row>
    <row r="262" spans="1:4">
      <c r="A262" s="28">
        <v>3.0379999999999998</v>
      </c>
      <c r="B262" s="28">
        <v>2.7389999999999999</v>
      </c>
      <c r="C262" s="28">
        <v>2.7469999999999999</v>
      </c>
      <c r="D262" s="27" t="s">
        <v>1252</v>
      </c>
    </row>
    <row r="263" spans="1:4">
      <c r="A263" s="28">
        <v>2.82</v>
      </c>
      <c r="B263" s="28">
        <v>2.0529999999999999</v>
      </c>
      <c r="C263" s="28">
        <v>2.48</v>
      </c>
      <c r="D263" s="27" t="s">
        <v>1252</v>
      </c>
    </row>
    <row r="264" spans="1:4">
      <c r="A264" s="28">
        <v>2.6</v>
      </c>
      <c r="B264" s="28">
        <v>2.137</v>
      </c>
      <c r="C264" s="28">
        <v>2.2029999999999998</v>
      </c>
      <c r="D264" s="27" t="s">
        <v>1253</v>
      </c>
    </row>
    <row r="265" spans="1:4">
      <c r="A265" s="28">
        <v>2.7149999999999999</v>
      </c>
      <c r="B265" s="28">
        <v>2.2149999999999999</v>
      </c>
      <c r="C265" s="28">
        <v>2.0129999999999999</v>
      </c>
      <c r="D265" s="27" t="s">
        <v>1253</v>
      </c>
    </row>
    <row r="266" spans="1:4">
      <c r="A266" s="28">
        <v>2.71</v>
      </c>
      <c r="B266" s="28">
        <v>2.41</v>
      </c>
      <c r="C266" s="28">
        <v>2.274</v>
      </c>
      <c r="D266" s="27" t="s">
        <v>1253</v>
      </c>
    </row>
    <row r="267" spans="1:4">
      <c r="A267" s="28">
        <v>2.9</v>
      </c>
      <c r="B267" s="28">
        <v>1.732</v>
      </c>
      <c r="C267" s="28">
        <v>3.4180000000000001</v>
      </c>
      <c r="D267" s="27" t="s">
        <v>1253</v>
      </c>
    </row>
    <row r="268" spans="1:4">
      <c r="A268" s="28">
        <v>2.8370000000000002</v>
      </c>
      <c r="B268" s="28">
        <v>2.464</v>
      </c>
      <c r="C268" s="28">
        <v>3.0939999999999999</v>
      </c>
      <c r="D268" s="27" t="s">
        <v>1253</v>
      </c>
    </row>
    <row r="269" spans="1:4">
      <c r="A269" s="28">
        <v>2.976</v>
      </c>
      <c r="B269" s="28">
        <v>4.5979999999999999</v>
      </c>
      <c r="C269" s="28">
        <v>3.0819999999999999</v>
      </c>
      <c r="D269" s="27" t="s">
        <v>1253</v>
      </c>
    </row>
    <row r="270" spans="1:4">
      <c r="A270" s="28">
        <v>2.9809999999999999</v>
      </c>
      <c r="B270" s="28">
        <v>2.2530000000000001</v>
      </c>
      <c r="C270" s="28">
        <v>3.3130000000000002</v>
      </c>
      <c r="D270" s="27" t="s">
        <v>1253</v>
      </c>
    </row>
    <row r="271" spans="1:4">
      <c r="A271" s="28">
        <v>2.5409999999999999</v>
      </c>
      <c r="B271" s="28">
        <v>2.7210000000000001</v>
      </c>
      <c r="C271" s="28">
        <v>2.8730000000000002</v>
      </c>
      <c r="D271" s="27" t="s">
        <v>1253</v>
      </c>
    </row>
    <row r="272" spans="1:4">
      <c r="A272" s="28">
        <v>2.5950000000000002</v>
      </c>
      <c r="B272" s="28">
        <v>2.0529999999999999</v>
      </c>
      <c r="C272" s="28">
        <v>3.2360000000000002</v>
      </c>
      <c r="D272" s="27" t="s">
        <v>1253</v>
      </c>
    </row>
    <row r="273" spans="1:7">
      <c r="A273" s="28">
        <v>2.6560000000000001</v>
      </c>
      <c r="B273" s="28">
        <v>2.653</v>
      </c>
      <c r="C273" s="28">
        <v>2.6520000000000001</v>
      </c>
      <c r="D273" s="27" t="s">
        <v>1254</v>
      </c>
      <c r="F273" s="128"/>
    </row>
    <row r="274" spans="1:7">
      <c r="A274" s="28">
        <v>2.661</v>
      </c>
      <c r="B274" s="28">
        <v>2.657</v>
      </c>
      <c r="C274" s="28">
        <v>2.6560000000000001</v>
      </c>
      <c r="D274" s="27" t="s">
        <v>1254</v>
      </c>
      <c r="F274" s="128"/>
    </row>
    <row r="275" spans="1:7">
      <c r="A275" s="28">
        <v>2.6669999999999998</v>
      </c>
      <c r="B275" s="28">
        <v>2.6640000000000001</v>
      </c>
      <c r="C275" s="28">
        <v>2.6640000000000001</v>
      </c>
      <c r="D275" s="27" t="s">
        <v>1254</v>
      </c>
      <c r="F275" s="128"/>
    </row>
    <row r="276" spans="1:7">
      <c r="A276" s="28">
        <v>2.6680000000000001</v>
      </c>
      <c r="B276" s="28">
        <v>2.6640000000000001</v>
      </c>
      <c r="C276" s="28">
        <v>2.6640000000000001</v>
      </c>
      <c r="D276" s="27" t="s">
        <v>1254</v>
      </c>
      <c r="F276" s="128"/>
    </row>
    <row r="277" spans="1:7">
      <c r="A277" s="28">
        <v>2.6629999999999998</v>
      </c>
      <c r="B277" s="28">
        <v>2.6579999999999999</v>
      </c>
      <c r="C277" s="28">
        <v>2.66</v>
      </c>
      <c r="D277" s="27" t="s">
        <v>1254</v>
      </c>
      <c r="F277" s="128"/>
    </row>
    <row r="278" spans="1:7">
      <c r="A278" s="28">
        <v>2.6659999999999999</v>
      </c>
      <c r="B278" s="28">
        <v>2.6629999999999998</v>
      </c>
      <c r="C278" s="28">
        <v>2.661</v>
      </c>
      <c r="D278" s="27" t="s">
        <v>1254</v>
      </c>
      <c r="F278" s="128"/>
    </row>
    <row r="279" spans="1:7">
      <c r="A279" s="28">
        <v>2.66</v>
      </c>
      <c r="B279" s="28">
        <v>2.6520000000000001</v>
      </c>
      <c r="C279" s="28">
        <v>2.653</v>
      </c>
      <c r="D279" s="27" t="s">
        <v>1254</v>
      </c>
      <c r="F279" s="128"/>
    </row>
    <row r="280" spans="1:7">
      <c r="A280" s="28">
        <v>2.6640000000000001</v>
      </c>
      <c r="B280" s="28">
        <v>2.657</v>
      </c>
      <c r="C280" s="28">
        <v>2.6579999999999999</v>
      </c>
      <c r="D280" s="27" t="s">
        <v>1254</v>
      </c>
      <c r="F280" s="128"/>
    </row>
    <row r="281" spans="1:7" ht="15">
      <c r="A281" s="28">
        <v>2.6629999999999998</v>
      </c>
      <c r="B281" s="28">
        <v>2.6589999999999998</v>
      </c>
      <c r="C281" s="28">
        <v>2.6579999999999999</v>
      </c>
      <c r="D281" s="27" t="s">
        <v>1254</v>
      </c>
      <c r="F281" s="128"/>
      <c r="G281" s="129"/>
    </row>
    <row r="282" spans="1:7">
      <c r="A282" s="28">
        <v>2.0649999999999999</v>
      </c>
      <c r="B282" s="28">
        <v>2.0659999999999998</v>
      </c>
      <c r="C282" s="28">
        <v>2.0680000000000001</v>
      </c>
      <c r="D282" s="27" t="s">
        <v>1255</v>
      </c>
      <c r="F282" s="128"/>
    </row>
    <row r="283" spans="1:7">
      <c r="A283" s="28">
        <v>2.0739999999999998</v>
      </c>
      <c r="B283" s="28">
        <v>2.0739999999999998</v>
      </c>
      <c r="C283" s="28">
        <v>2.0779999999999998</v>
      </c>
      <c r="D283" s="27" t="s">
        <v>1255</v>
      </c>
      <c r="F283" s="128"/>
    </row>
    <row r="284" spans="1:7">
      <c r="A284" s="28">
        <v>2.0750000000000002</v>
      </c>
      <c r="B284" s="28">
        <v>2.0760000000000001</v>
      </c>
      <c r="C284" s="28">
        <v>2.0779999999999998</v>
      </c>
      <c r="D284" s="27" t="s">
        <v>1255</v>
      </c>
      <c r="F284" s="128"/>
    </row>
    <row r="285" spans="1:7">
      <c r="A285" s="28">
        <v>2.08</v>
      </c>
      <c r="B285" s="28">
        <v>2.08</v>
      </c>
      <c r="C285" s="28">
        <v>2.089</v>
      </c>
      <c r="D285" s="27" t="s">
        <v>1255</v>
      </c>
      <c r="F285" s="128"/>
    </row>
    <row r="286" spans="1:7">
      <c r="A286" s="28">
        <v>2.081</v>
      </c>
      <c r="B286" s="28">
        <v>2.077</v>
      </c>
      <c r="C286" s="28">
        <v>2.0830000000000002</v>
      </c>
      <c r="D286" s="27" t="s">
        <v>1255</v>
      </c>
      <c r="F286" s="128"/>
    </row>
    <row r="287" spans="1:7">
      <c r="A287" s="28">
        <v>2.085</v>
      </c>
      <c r="B287" s="28">
        <v>2.0950000000000002</v>
      </c>
      <c r="C287" s="28">
        <v>2.085</v>
      </c>
      <c r="D287" s="27" t="s">
        <v>1255</v>
      </c>
      <c r="F287" s="128"/>
    </row>
    <row r="288" spans="1:7">
      <c r="A288" s="28">
        <v>2.0880000000000001</v>
      </c>
      <c r="B288" s="28">
        <v>2.085</v>
      </c>
      <c r="C288" s="28">
        <v>2.081</v>
      </c>
      <c r="D288" s="27" t="s">
        <v>1255</v>
      </c>
      <c r="F288" s="128"/>
    </row>
    <row r="289" spans="1:7">
      <c r="A289" s="28">
        <v>2.0870000000000002</v>
      </c>
      <c r="B289" s="28">
        <v>2.0859999999999999</v>
      </c>
      <c r="C289" s="28">
        <v>2.089</v>
      </c>
      <c r="D289" s="27" t="s">
        <v>1255</v>
      </c>
      <c r="F289" s="128"/>
    </row>
    <row r="290" spans="1:7" ht="15">
      <c r="A290" s="28">
        <v>2.077</v>
      </c>
      <c r="B290" s="28">
        <v>2.0859999999999999</v>
      </c>
      <c r="C290" s="28">
        <v>2.0779999999999998</v>
      </c>
      <c r="D290" s="27" t="s">
        <v>1255</v>
      </c>
      <c r="F290" s="128"/>
      <c r="G290" s="129"/>
    </row>
    <row r="291" spans="1:7">
      <c r="A291" s="28">
        <v>3.1480000000000001</v>
      </c>
      <c r="B291" s="28">
        <v>1.5629999999999999</v>
      </c>
      <c r="C291" s="28">
        <v>2.512</v>
      </c>
      <c r="D291" s="27" t="s">
        <v>1256</v>
      </c>
    </row>
    <row r="292" spans="1:7">
      <c r="A292" s="28">
        <v>2.2109999999999999</v>
      </c>
      <c r="B292" s="28">
        <v>1.379</v>
      </c>
      <c r="C292" s="28">
        <v>2.7050000000000001</v>
      </c>
      <c r="D292" s="27" t="s">
        <v>1256</v>
      </c>
    </row>
    <row r="293" spans="1:7">
      <c r="A293" s="28">
        <v>2.7269999999999999</v>
      </c>
      <c r="B293" s="28">
        <v>1.4219999999999999</v>
      </c>
      <c r="C293" s="28">
        <v>2.5670000000000002</v>
      </c>
      <c r="D293" s="27" t="s">
        <v>1256</v>
      </c>
    </row>
    <row r="294" spans="1:7">
      <c r="A294" s="28">
        <v>2.3839999999999999</v>
      </c>
      <c r="B294" s="28">
        <v>1.157</v>
      </c>
      <c r="C294" s="28">
        <v>2.3380000000000001</v>
      </c>
      <c r="D294" s="27" t="s">
        <v>1256</v>
      </c>
    </row>
    <row r="295" spans="1:7">
      <c r="A295" s="28">
        <v>1.738</v>
      </c>
      <c r="B295" s="28">
        <v>0.81699999999999995</v>
      </c>
      <c r="C295" s="28">
        <v>1.911</v>
      </c>
      <c r="D295" s="27" t="s">
        <v>1256</v>
      </c>
    </row>
    <row r="296" spans="1:7">
      <c r="A296" s="28">
        <v>1.85</v>
      </c>
      <c r="B296" s="28">
        <v>0.70499999999999996</v>
      </c>
      <c r="C296" s="28">
        <v>1.3009999999999999</v>
      </c>
      <c r="D296" s="27" t="s">
        <v>1256</v>
      </c>
    </row>
    <row r="297" spans="1:7">
      <c r="A297" s="28">
        <v>0.89800000000000002</v>
      </c>
      <c r="B297" s="28">
        <v>0.624</v>
      </c>
      <c r="C297" s="28">
        <v>1.44</v>
      </c>
      <c r="D297" s="27" t="s">
        <v>1256</v>
      </c>
    </row>
    <row r="298" spans="1:7">
      <c r="A298" s="28">
        <v>2.1509999999999998</v>
      </c>
      <c r="B298" s="28">
        <v>0.76200000000000001</v>
      </c>
      <c r="C298" s="28">
        <v>1.206</v>
      </c>
      <c r="D298" s="27" t="s">
        <v>1256</v>
      </c>
    </row>
    <row r="299" spans="1:7">
      <c r="A299" s="28">
        <v>0.99299999999999999</v>
      </c>
      <c r="B299" s="28">
        <v>0.34</v>
      </c>
      <c r="C299" s="28">
        <v>0.74</v>
      </c>
      <c r="D299" s="27" t="s">
        <v>1256</v>
      </c>
    </row>
    <row r="300" spans="1:7">
      <c r="A300" s="28">
        <v>0.753</v>
      </c>
      <c r="B300" s="28">
        <v>0.753</v>
      </c>
      <c r="C300" s="28">
        <v>0.753</v>
      </c>
      <c r="D300" s="27" t="s">
        <v>1257</v>
      </c>
    </row>
    <row r="301" spans="1:7">
      <c r="A301" s="28">
        <v>0.753</v>
      </c>
      <c r="B301" s="28">
        <v>0.753</v>
      </c>
      <c r="C301" s="28">
        <v>0.753</v>
      </c>
      <c r="D301" s="27" t="s">
        <v>1257</v>
      </c>
    </row>
    <row r="302" spans="1:7">
      <c r="A302" s="28">
        <v>0.753</v>
      </c>
      <c r="B302" s="28">
        <v>0.753</v>
      </c>
      <c r="C302" s="28">
        <v>0.753</v>
      </c>
      <c r="D302" s="27" t="s">
        <v>1257</v>
      </c>
    </row>
    <row r="303" spans="1:7">
      <c r="A303" s="28">
        <v>0.753</v>
      </c>
      <c r="B303" s="28">
        <v>0.753</v>
      </c>
      <c r="C303" s="28">
        <v>0.753</v>
      </c>
      <c r="D303" s="27" t="s">
        <v>1257</v>
      </c>
    </row>
    <row r="304" spans="1:7">
      <c r="A304" s="28">
        <v>0.753</v>
      </c>
      <c r="B304" s="28">
        <v>0.753</v>
      </c>
      <c r="C304" s="28">
        <v>0.753</v>
      </c>
      <c r="D304" s="27" t="s">
        <v>1257</v>
      </c>
    </row>
    <row r="305" spans="1:4">
      <c r="A305" s="28">
        <v>0.753</v>
      </c>
      <c r="B305" s="28">
        <v>0.753</v>
      </c>
      <c r="C305" s="28">
        <v>0.753</v>
      </c>
      <c r="D305" s="27" t="s">
        <v>1257</v>
      </c>
    </row>
    <row r="306" spans="1:4">
      <c r="A306" s="28">
        <v>0.753</v>
      </c>
      <c r="B306" s="28">
        <v>0.753</v>
      </c>
      <c r="C306" s="28">
        <v>0.753</v>
      </c>
      <c r="D306" s="27" t="s">
        <v>1257</v>
      </c>
    </row>
    <row r="307" spans="1:4">
      <c r="A307" s="28">
        <v>0.753</v>
      </c>
      <c r="B307" s="28">
        <v>0.753</v>
      </c>
      <c r="C307" s="28">
        <v>0.753</v>
      </c>
      <c r="D307" s="27" t="s">
        <v>1257</v>
      </c>
    </row>
    <row r="308" spans="1:4">
      <c r="A308" s="28">
        <v>0.753</v>
      </c>
      <c r="B308" s="28">
        <v>0.753</v>
      </c>
      <c r="C308" s="28">
        <v>0.753</v>
      </c>
      <c r="D308" s="27" t="s">
        <v>1257</v>
      </c>
    </row>
    <row r="309" spans="1:4">
      <c r="A309" s="28">
        <v>0.46899999999999997</v>
      </c>
      <c r="B309" s="28">
        <v>0.46899999999999997</v>
      </c>
      <c r="C309" s="28">
        <v>0.46899999999999997</v>
      </c>
      <c r="D309" s="27" t="s">
        <v>1258</v>
      </c>
    </row>
    <row r="310" spans="1:4">
      <c r="A310" s="28">
        <v>0.46899999999999997</v>
      </c>
      <c r="B310" s="28">
        <v>0.46899999999999997</v>
      </c>
      <c r="C310" s="28">
        <v>0.46899999999999997</v>
      </c>
      <c r="D310" s="27" t="s">
        <v>1258</v>
      </c>
    </row>
    <row r="311" spans="1:4">
      <c r="A311" s="28">
        <v>0.46899999999999997</v>
      </c>
      <c r="B311" s="28">
        <v>0.46899999999999997</v>
      </c>
      <c r="C311" s="28">
        <v>0.46899999999999997</v>
      </c>
      <c r="D311" s="27" t="s">
        <v>1258</v>
      </c>
    </row>
    <row r="312" spans="1:4">
      <c r="A312" s="28">
        <v>0.46899999999999997</v>
      </c>
      <c r="B312" s="28">
        <v>0.46899999999999997</v>
      </c>
      <c r="C312" s="28">
        <v>0.46899999999999997</v>
      </c>
      <c r="D312" s="27" t="s">
        <v>1258</v>
      </c>
    </row>
    <row r="313" spans="1:4">
      <c r="A313" s="28">
        <v>0.46899999999999997</v>
      </c>
      <c r="B313" s="28">
        <v>0.46899999999999997</v>
      </c>
      <c r="C313" s="28">
        <v>0.46899999999999997</v>
      </c>
      <c r="D313" s="27" t="s">
        <v>1258</v>
      </c>
    </row>
    <row r="314" spans="1:4">
      <c r="A314" s="28">
        <v>0.46899999999999997</v>
      </c>
      <c r="B314" s="28">
        <v>0.46899999999999997</v>
      </c>
      <c r="C314" s="28">
        <v>0.46899999999999997</v>
      </c>
      <c r="D314" s="27" t="s">
        <v>1258</v>
      </c>
    </row>
    <row r="315" spans="1:4">
      <c r="A315" s="28">
        <v>0.46899999999999997</v>
      </c>
      <c r="B315" s="28">
        <v>0.46899999999999997</v>
      </c>
      <c r="C315" s="28">
        <v>0.46899999999999997</v>
      </c>
      <c r="D315" s="27" t="s">
        <v>1258</v>
      </c>
    </row>
    <row r="316" spans="1:4">
      <c r="A316" s="28">
        <v>0.46899999999999997</v>
      </c>
      <c r="B316" s="28">
        <v>0.46899999999999997</v>
      </c>
      <c r="C316" s="28">
        <v>0.46899999999999997</v>
      </c>
      <c r="D316" s="27" t="s">
        <v>1258</v>
      </c>
    </row>
    <row r="317" spans="1:4">
      <c r="A317" s="28">
        <v>0.46899999999999997</v>
      </c>
      <c r="B317" s="28">
        <v>0.46899999999999997</v>
      </c>
      <c r="C317" s="28">
        <v>0.46899999999999997</v>
      </c>
      <c r="D317" s="27" t="s">
        <v>1258</v>
      </c>
    </row>
    <row r="318" spans="1:4">
      <c r="A318" s="28">
        <v>0.27400000000000002</v>
      </c>
      <c r="B318" s="28">
        <v>0.27400000000000002</v>
      </c>
      <c r="C318" s="28">
        <v>0.27400000000000002</v>
      </c>
      <c r="D318" s="27" t="s">
        <v>1259</v>
      </c>
    </row>
    <row r="319" spans="1:4">
      <c r="A319" s="28">
        <v>0.27400000000000002</v>
      </c>
      <c r="B319" s="28">
        <v>0.27400000000000002</v>
      </c>
      <c r="C319" s="28">
        <v>0.27400000000000002</v>
      </c>
      <c r="D319" s="27" t="s">
        <v>1259</v>
      </c>
    </row>
    <row r="320" spans="1:4">
      <c r="A320" s="28">
        <v>0.27400000000000002</v>
      </c>
      <c r="B320" s="28">
        <v>0.27400000000000002</v>
      </c>
      <c r="C320" s="28">
        <v>0.27400000000000002</v>
      </c>
      <c r="D320" s="27" t="s">
        <v>1259</v>
      </c>
    </row>
    <row r="321" spans="1:4">
      <c r="A321" s="28">
        <v>0.27400000000000002</v>
      </c>
      <c r="B321" s="28">
        <v>0.27400000000000002</v>
      </c>
      <c r="C321" s="28">
        <v>0.27400000000000002</v>
      </c>
      <c r="D321" s="27" t="s">
        <v>1259</v>
      </c>
    </row>
    <row r="322" spans="1:4">
      <c r="A322" s="28">
        <v>0.27400000000000002</v>
      </c>
      <c r="B322" s="28">
        <v>0.27400000000000002</v>
      </c>
      <c r="C322" s="28">
        <v>0.27400000000000002</v>
      </c>
      <c r="D322" s="27" t="s">
        <v>1259</v>
      </c>
    </row>
    <row r="323" spans="1:4">
      <c r="A323" s="28">
        <v>0.27400000000000002</v>
      </c>
      <c r="B323" s="28">
        <v>0.27400000000000002</v>
      </c>
      <c r="C323" s="28">
        <v>0.27400000000000002</v>
      </c>
      <c r="D323" s="27" t="s">
        <v>1259</v>
      </c>
    </row>
    <row r="324" spans="1:4">
      <c r="A324" s="28">
        <v>0.27400000000000002</v>
      </c>
      <c r="B324" s="28">
        <v>0.27400000000000002</v>
      </c>
      <c r="C324" s="28">
        <v>0.27400000000000002</v>
      </c>
      <c r="D324" s="27" t="s">
        <v>1259</v>
      </c>
    </row>
    <row r="325" spans="1:4">
      <c r="A325" s="28">
        <v>0.27400000000000002</v>
      </c>
      <c r="B325" s="28">
        <v>0.27400000000000002</v>
      </c>
      <c r="C325" s="28">
        <v>0.27400000000000002</v>
      </c>
      <c r="D325" s="27" t="s">
        <v>1259</v>
      </c>
    </row>
    <row r="326" spans="1:4">
      <c r="A326" s="28">
        <v>0.27400000000000002</v>
      </c>
      <c r="B326" s="28">
        <v>0.27400000000000002</v>
      </c>
      <c r="C326" s="28">
        <v>0.27400000000000002</v>
      </c>
      <c r="D326" s="27" t="s">
        <v>1259</v>
      </c>
    </row>
    <row r="327" spans="1:4">
      <c r="A327" s="28">
        <v>9.9000000000000005E-2</v>
      </c>
      <c r="B327" s="28">
        <v>9.9000000000000005E-2</v>
      </c>
      <c r="C327" s="28">
        <v>9.9000000000000005E-2</v>
      </c>
      <c r="D327" s="27" t="s">
        <v>1260</v>
      </c>
    </row>
    <row r="328" spans="1:4">
      <c r="A328" s="28">
        <v>9.9000000000000005E-2</v>
      </c>
      <c r="B328" s="28">
        <v>9.9000000000000005E-2</v>
      </c>
      <c r="C328" s="28">
        <v>9.9000000000000005E-2</v>
      </c>
      <c r="D328" s="27" t="s">
        <v>1260</v>
      </c>
    </row>
    <row r="329" spans="1:4">
      <c r="A329" s="28">
        <v>9.9000000000000005E-2</v>
      </c>
      <c r="B329" s="28">
        <v>9.9000000000000005E-2</v>
      </c>
      <c r="C329" s="28">
        <v>9.9000000000000005E-2</v>
      </c>
      <c r="D329" s="27" t="s">
        <v>1260</v>
      </c>
    </row>
    <row r="330" spans="1:4">
      <c r="A330" s="28">
        <v>9.9000000000000005E-2</v>
      </c>
      <c r="B330" s="28">
        <v>9.9000000000000005E-2</v>
      </c>
      <c r="C330" s="28">
        <v>9.9000000000000005E-2</v>
      </c>
      <c r="D330" s="27" t="s">
        <v>1260</v>
      </c>
    </row>
    <row r="331" spans="1:4">
      <c r="A331" s="28">
        <v>9.9000000000000005E-2</v>
      </c>
      <c r="B331" s="28">
        <v>9.9000000000000005E-2</v>
      </c>
      <c r="C331" s="28">
        <v>9.9000000000000005E-2</v>
      </c>
      <c r="D331" s="27" t="s">
        <v>1260</v>
      </c>
    </row>
    <row r="332" spans="1:4">
      <c r="A332" s="28">
        <v>9.9000000000000005E-2</v>
      </c>
      <c r="B332" s="28">
        <v>9.9000000000000005E-2</v>
      </c>
      <c r="C332" s="28">
        <v>9.9000000000000005E-2</v>
      </c>
      <c r="D332" s="27" t="s">
        <v>1260</v>
      </c>
    </row>
    <row r="333" spans="1:4">
      <c r="A333" s="28">
        <v>9.9000000000000005E-2</v>
      </c>
      <c r="B333" s="28">
        <v>9.9000000000000005E-2</v>
      </c>
      <c r="C333" s="28">
        <v>9.9000000000000005E-2</v>
      </c>
      <c r="D333" s="27" t="s">
        <v>1260</v>
      </c>
    </row>
    <row r="334" spans="1:4">
      <c r="A334" s="28">
        <v>9.9000000000000005E-2</v>
      </c>
      <c r="B334" s="28">
        <v>9.9000000000000005E-2</v>
      </c>
      <c r="C334" s="28">
        <v>9.9000000000000005E-2</v>
      </c>
      <c r="D334" s="27" t="s">
        <v>1260</v>
      </c>
    </row>
    <row r="335" spans="1:4">
      <c r="A335" s="28">
        <v>9.9000000000000005E-2</v>
      </c>
      <c r="B335" s="28">
        <v>9.9000000000000005E-2</v>
      </c>
      <c r="C335" s="28">
        <v>9.9000000000000005E-2</v>
      </c>
      <c r="D335" s="27" t="s">
        <v>1260</v>
      </c>
    </row>
    <row r="336" spans="1:4">
      <c r="A336" s="28">
        <v>0.14899999999999999</v>
      </c>
      <c r="B336" s="28">
        <v>0.14899999999999999</v>
      </c>
      <c r="C336" s="28">
        <v>0.14899999999999999</v>
      </c>
      <c r="D336" s="27" t="s">
        <v>1261</v>
      </c>
    </row>
    <row r="337" spans="1:4">
      <c r="A337" s="28">
        <v>0.14899999999999999</v>
      </c>
      <c r="B337" s="28">
        <v>0.14899999999999999</v>
      </c>
      <c r="C337" s="28">
        <v>0.14899999999999999</v>
      </c>
      <c r="D337" s="27" t="s">
        <v>1261</v>
      </c>
    </row>
    <row r="338" spans="1:4">
      <c r="A338" s="28">
        <v>0.14899999999999999</v>
      </c>
      <c r="B338" s="28">
        <v>0.14899999999999999</v>
      </c>
      <c r="C338" s="28">
        <v>0.14899999999999999</v>
      </c>
      <c r="D338" s="27" t="s">
        <v>1261</v>
      </c>
    </row>
    <row r="339" spans="1:4">
      <c r="A339" s="28">
        <v>0.14899999999999999</v>
      </c>
      <c r="B339" s="28">
        <v>0.14899999999999999</v>
      </c>
      <c r="C339" s="28">
        <v>0.14899999999999999</v>
      </c>
      <c r="D339" s="27" t="s">
        <v>1261</v>
      </c>
    </row>
    <row r="340" spans="1:4">
      <c r="A340" s="28">
        <v>0.14899999999999999</v>
      </c>
      <c r="B340" s="28">
        <v>0.14899999999999999</v>
      </c>
      <c r="C340" s="28">
        <v>0.14899999999999999</v>
      </c>
      <c r="D340" s="27" t="s">
        <v>1261</v>
      </c>
    </row>
    <row r="341" spans="1:4">
      <c r="A341" s="28">
        <v>0.14899999999999999</v>
      </c>
      <c r="B341" s="28">
        <v>0.14899999999999999</v>
      </c>
      <c r="C341" s="28">
        <v>0.14899999999999999</v>
      </c>
      <c r="D341" s="27" t="s">
        <v>1261</v>
      </c>
    </row>
    <row r="342" spans="1:4">
      <c r="A342" s="28">
        <v>0.14899999999999999</v>
      </c>
      <c r="B342" s="28">
        <v>0.14899999999999999</v>
      </c>
      <c r="C342" s="28">
        <v>0.14899999999999999</v>
      </c>
      <c r="D342" s="27" t="s">
        <v>1261</v>
      </c>
    </row>
    <row r="343" spans="1:4">
      <c r="A343" s="28">
        <v>0.14899999999999999</v>
      </c>
      <c r="B343" s="28">
        <v>0.14899999999999999</v>
      </c>
      <c r="C343" s="28">
        <v>0.14899999999999999</v>
      </c>
      <c r="D343" s="27" t="s">
        <v>1261</v>
      </c>
    </row>
    <row r="344" spans="1:4">
      <c r="A344" s="28">
        <v>0.14899999999999999</v>
      </c>
      <c r="B344" s="28">
        <v>0.14899999999999999</v>
      </c>
      <c r="C344" s="28">
        <v>0.14899999999999999</v>
      </c>
      <c r="D344" s="27" t="s">
        <v>1261</v>
      </c>
    </row>
    <row r="345" spans="1:4">
      <c r="A345" s="28">
        <v>0.83699999999999997</v>
      </c>
      <c r="B345" s="28">
        <v>0.83699999999999997</v>
      </c>
      <c r="C345" s="28">
        <v>0.83699999999999997</v>
      </c>
      <c r="D345" s="27" t="s">
        <v>1262</v>
      </c>
    </row>
    <row r="346" spans="1:4">
      <c r="A346" s="28">
        <v>0.83699999999999997</v>
      </c>
      <c r="B346" s="28">
        <v>0.83699999999999997</v>
      </c>
      <c r="C346" s="28">
        <v>0.83699999999999997</v>
      </c>
      <c r="D346" s="27" t="s">
        <v>1262</v>
      </c>
    </row>
    <row r="347" spans="1:4">
      <c r="A347" s="28">
        <v>0.83699999999999997</v>
      </c>
      <c r="B347" s="28">
        <v>0.83699999999999997</v>
      </c>
      <c r="C347" s="28">
        <v>0.83699999999999997</v>
      </c>
      <c r="D347" s="27" t="s">
        <v>1262</v>
      </c>
    </row>
    <row r="348" spans="1:4">
      <c r="A348" s="28">
        <v>0.83699999999999997</v>
      </c>
      <c r="B348" s="28">
        <v>0.83699999999999997</v>
      </c>
      <c r="C348" s="28">
        <v>0.83699999999999997</v>
      </c>
      <c r="D348" s="27" t="s">
        <v>1262</v>
      </c>
    </row>
    <row r="349" spans="1:4">
      <c r="A349" s="28">
        <v>0.83699999999999997</v>
      </c>
      <c r="B349" s="28">
        <v>0.83699999999999997</v>
      </c>
      <c r="C349" s="28">
        <v>0.83699999999999997</v>
      </c>
      <c r="D349" s="27" t="s">
        <v>1262</v>
      </c>
    </row>
    <row r="350" spans="1:4">
      <c r="A350" s="28">
        <v>0.83699999999999997</v>
      </c>
      <c r="B350" s="28">
        <v>0.83699999999999997</v>
      </c>
      <c r="C350" s="28">
        <v>0.83699999999999997</v>
      </c>
      <c r="D350" s="27" t="s">
        <v>1262</v>
      </c>
    </row>
    <row r="351" spans="1:4">
      <c r="A351" s="28">
        <v>0.83699999999999997</v>
      </c>
      <c r="B351" s="28">
        <v>0.83699999999999997</v>
      </c>
      <c r="C351" s="28">
        <v>0.83699999999999997</v>
      </c>
      <c r="D351" s="27" t="s">
        <v>1262</v>
      </c>
    </row>
    <row r="352" spans="1:4">
      <c r="A352" s="28">
        <v>0.83699999999999997</v>
      </c>
      <c r="B352" s="28">
        <v>0.83699999999999997</v>
      </c>
      <c r="C352" s="28">
        <v>0.83699999999999997</v>
      </c>
      <c r="D352" s="27" t="s">
        <v>1262</v>
      </c>
    </row>
    <row r="353" spans="1:4">
      <c r="A353" s="28">
        <v>0.83699999999999997</v>
      </c>
      <c r="B353" s="28">
        <v>0.83699999999999997</v>
      </c>
      <c r="C353" s="28">
        <v>0.83699999999999997</v>
      </c>
      <c r="D353" s="27" t="s">
        <v>1262</v>
      </c>
    </row>
    <row r="354" spans="1:4">
      <c r="A354" s="28">
        <v>0.22700000000000001</v>
      </c>
      <c r="B354" s="28">
        <v>0.22700000000000001</v>
      </c>
      <c r="C354" s="28">
        <v>0.22700000000000001</v>
      </c>
      <c r="D354" s="27" t="s">
        <v>1263</v>
      </c>
    </row>
    <row r="355" spans="1:4">
      <c r="A355" s="28">
        <v>0.22700000000000001</v>
      </c>
      <c r="B355" s="28">
        <v>0.22700000000000001</v>
      </c>
      <c r="C355" s="28">
        <v>0.22700000000000001</v>
      </c>
      <c r="D355" s="27" t="s">
        <v>1263</v>
      </c>
    </row>
    <row r="356" spans="1:4">
      <c r="A356" s="28">
        <v>0.22700000000000001</v>
      </c>
      <c r="B356" s="28">
        <v>0.22700000000000001</v>
      </c>
      <c r="C356" s="28">
        <v>0.22700000000000001</v>
      </c>
      <c r="D356" s="27" t="s">
        <v>1263</v>
      </c>
    </row>
    <row r="357" spans="1:4">
      <c r="A357" s="28">
        <v>0.22700000000000001</v>
      </c>
      <c r="B357" s="28">
        <v>0.22700000000000001</v>
      </c>
      <c r="C357" s="28">
        <v>0.22700000000000001</v>
      </c>
      <c r="D357" s="27" t="s">
        <v>1263</v>
      </c>
    </row>
    <row r="358" spans="1:4">
      <c r="A358" s="28">
        <v>0.22700000000000001</v>
      </c>
      <c r="B358" s="28">
        <v>0.22700000000000001</v>
      </c>
      <c r="C358" s="28">
        <v>0.22700000000000001</v>
      </c>
      <c r="D358" s="27" t="s">
        <v>1263</v>
      </c>
    </row>
    <row r="359" spans="1:4">
      <c r="A359" s="28">
        <v>0.22700000000000001</v>
      </c>
      <c r="B359" s="28">
        <v>0.22700000000000001</v>
      </c>
      <c r="C359" s="28">
        <v>0.22700000000000001</v>
      </c>
      <c r="D359" s="27" t="s">
        <v>1263</v>
      </c>
    </row>
    <row r="360" spans="1:4">
      <c r="A360" s="28">
        <v>0.22700000000000001</v>
      </c>
      <c r="B360" s="28">
        <v>0.22700000000000001</v>
      </c>
      <c r="C360" s="28">
        <v>0.22700000000000001</v>
      </c>
      <c r="D360" s="27" t="s">
        <v>1263</v>
      </c>
    </row>
    <row r="361" spans="1:4">
      <c r="A361" s="28">
        <v>0.22700000000000001</v>
      </c>
      <c r="B361" s="28">
        <v>0.22700000000000001</v>
      </c>
      <c r="C361" s="28">
        <v>0.22700000000000001</v>
      </c>
      <c r="D361" s="27" t="s">
        <v>1263</v>
      </c>
    </row>
    <row r="362" spans="1:4">
      <c r="A362" s="28">
        <v>0.22700000000000001</v>
      </c>
      <c r="B362" s="28">
        <v>0.22700000000000001</v>
      </c>
      <c r="C362" s="28">
        <v>0.22700000000000001</v>
      </c>
      <c r="D362" s="27" t="s">
        <v>1263</v>
      </c>
    </row>
    <row r="363" spans="1:4">
      <c r="A363" s="28">
        <v>0.376</v>
      </c>
      <c r="B363" s="28">
        <v>0.376</v>
      </c>
      <c r="C363" s="28">
        <v>0.376</v>
      </c>
      <c r="D363" s="27" t="s">
        <v>1264</v>
      </c>
    </row>
    <row r="364" spans="1:4">
      <c r="A364" s="28">
        <v>0.376</v>
      </c>
      <c r="B364" s="28">
        <v>0.376</v>
      </c>
      <c r="C364" s="28">
        <v>0.376</v>
      </c>
      <c r="D364" s="27" t="s">
        <v>1264</v>
      </c>
    </row>
    <row r="365" spans="1:4">
      <c r="A365" s="28">
        <v>0.376</v>
      </c>
      <c r="B365" s="28">
        <v>0.376</v>
      </c>
      <c r="C365" s="28">
        <v>0.376</v>
      </c>
      <c r="D365" s="27" t="s">
        <v>1264</v>
      </c>
    </row>
    <row r="366" spans="1:4">
      <c r="A366" s="28">
        <v>0.376</v>
      </c>
      <c r="B366" s="28">
        <v>0.376</v>
      </c>
      <c r="C366" s="28">
        <v>0.376</v>
      </c>
      <c r="D366" s="27" t="s">
        <v>1264</v>
      </c>
    </row>
    <row r="367" spans="1:4">
      <c r="A367" s="28">
        <v>0.376</v>
      </c>
      <c r="B367" s="28">
        <v>0.376</v>
      </c>
      <c r="C367" s="28">
        <v>0.376</v>
      </c>
      <c r="D367" s="27" t="s">
        <v>1264</v>
      </c>
    </row>
    <row r="368" spans="1:4">
      <c r="A368" s="28">
        <v>0.376</v>
      </c>
      <c r="B368" s="28">
        <v>0.376</v>
      </c>
      <c r="C368" s="28">
        <v>0.376</v>
      </c>
      <c r="D368" s="27" t="s">
        <v>1264</v>
      </c>
    </row>
    <row r="369" spans="1:4">
      <c r="A369" s="28">
        <v>0.376</v>
      </c>
      <c r="B369" s="28">
        <v>0.376</v>
      </c>
      <c r="C369" s="28">
        <v>0.376</v>
      </c>
      <c r="D369" s="27" t="s">
        <v>1264</v>
      </c>
    </row>
    <row r="370" spans="1:4">
      <c r="A370" s="28">
        <v>0.376</v>
      </c>
      <c r="B370" s="28">
        <v>0.376</v>
      </c>
      <c r="C370" s="28">
        <v>0.376</v>
      </c>
      <c r="D370" s="27" t="s">
        <v>1264</v>
      </c>
    </row>
    <row r="371" spans="1:4">
      <c r="A371" s="28">
        <v>0.376</v>
      </c>
      <c r="B371" s="28">
        <v>0.376</v>
      </c>
      <c r="C371" s="28">
        <v>0.376</v>
      </c>
      <c r="D371" s="27" t="s">
        <v>1264</v>
      </c>
    </row>
    <row r="372" spans="1:4">
      <c r="A372" s="28">
        <v>0.186</v>
      </c>
      <c r="B372" s="28">
        <v>0.186</v>
      </c>
      <c r="C372" s="28">
        <v>0.186</v>
      </c>
      <c r="D372" s="27" t="s">
        <v>1265</v>
      </c>
    </row>
    <row r="373" spans="1:4">
      <c r="A373" s="28">
        <v>0.186</v>
      </c>
      <c r="B373" s="28">
        <v>0.186</v>
      </c>
      <c r="C373" s="28">
        <v>0.186</v>
      </c>
      <c r="D373" s="27" t="s">
        <v>1265</v>
      </c>
    </row>
    <row r="374" spans="1:4">
      <c r="A374" s="28">
        <v>0.186</v>
      </c>
      <c r="B374" s="28">
        <v>0.186</v>
      </c>
      <c r="C374" s="28">
        <v>0.186</v>
      </c>
      <c r="D374" s="27" t="s">
        <v>1265</v>
      </c>
    </row>
    <row r="375" spans="1:4">
      <c r="A375" s="28">
        <v>0.186</v>
      </c>
      <c r="B375" s="28">
        <v>0.186</v>
      </c>
      <c r="C375" s="28">
        <v>0.186</v>
      </c>
      <c r="D375" s="27" t="s">
        <v>1265</v>
      </c>
    </row>
    <row r="376" spans="1:4">
      <c r="A376" s="28">
        <v>0.186</v>
      </c>
      <c r="B376" s="28">
        <v>0.186</v>
      </c>
      <c r="C376" s="28">
        <v>0.186</v>
      </c>
      <c r="D376" s="27" t="s">
        <v>1265</v>
      </c>
    </row>
    <row r="377" spans="1:4">
      <c r="A377" s="28">
        <v>0.186</v>
      </c>
      <c r="B377" s="28">
        <v>0.186</v>
      </c>
      <c r="C377" s="28">
        <v>0.186</v>
      </c>
      <c r="D377" s="27" t="s">
        <v>1265</v>
      </c>
    </row>
    <row r="378" spans="1:4">
      <c r="A378" s="28">
        <v>0.186</v>
      </c>
      <c r="B378" s="28">
        <v>0.186</v>
      </c>
      <c r="C378" s="28">
        <v>0.186</v>
      </c>
      <c r="D378" s="27" t="s">
        <v>1265</v>
      </c>
    </row>
    <row r="379" spans="1:4">
      <c r="A379" s="28">
        <v>0.186</v>
      </c>
      <c r="B379" s="28">
        <v>0.186</v>
      </c>
      <c r="C379" s="28">
        <v>0.186</v>
      </c>
      <c r="D379" s="27" t="s">
        <v>1265</v>
      </c>
    </row>
    <row r="380" spans="1:4">
      <c r="A380" s="28">
        <v>0.186</v>
      </c>
      <c r="B380" s="28">
        <v>0.186</v>
      </c>
      <c r="C380" s="28">
        <v>0.186</v>
      </c>
      <c r="D380" s="27" t="s">
        <v>1265</v>
      </c>
    </row>
    <row r="381" spans="1:4">
      <c r="A381" s="28">
        <v>1.2999999999999999E-2</v>
      </c>
      <c r="B381" s="28">
        <v>1.2999999999999999E-2</v>
      </c>
      <c r="C381" s="28">
        <v>1.2999999999999999E-2</v>
      </c>
      <c r="D381" s="27" t="s">
        <v>1266</v>
      </c>
    </row>
    <row r="382" spans="1:4">
      <c r="A382" s="28">
        <v>1.2999999999999999E-2</v>
      </c>
      <c r="B382" s="28">
        <v>1.2999999999999999E-2</v>
      </c>
      <c r="C382" s="28">
        <v>1.2999999999999999E-2</v>
      </c>
      <c r="D382" s="27" t="s">
        <v>1266</v>
      </c>
    </row>
    <row r="383" spans="1:4">
      <c r="A383" s="28">
        <v>1.2999999999999999E-2</v>
      </c>
      <c r="B383" s="28">
        <v>1.2999999999999999E-2</v>
      </c>
      <c r="C383" s="28">
        <v>1.2999999999999999E-2</v>
      </c>
      <c r="D383" s="27" t="s">
        <v>1266</v>
      </c>
    </row>
    <row r="384" spans="1:4">
      <c r="A384" s="28">
        <v>1.2999999999999999E-2</v>
      </c>
      <c r="B384" s="28">
        <v>1.2999999999999999E-2</v>
      </c>
      <c r="C384" s="28">
        <v>1.2999999999999999E-2</v>
      </c>
      <c r="D384" s="27" t="s">
        <v>1266</v>
      </c>
    </row>
    <row r="385" spans="1:4">
      <c r="A385" s="28">
        <v>1.2999999999999999E-2</v>
      </c>
      <c r="B385" s="28">
        <v>1.2999999999999999E-2</v>
      </c>
      <c r="C385" s="28">
        <v>1.2999999999999999E-2</v>
      </c>
      <c r="D385" s="27" t="s">
        <v>1266</v>
      </c>
    </row>
    <row r="386" spans="1:4">
      <c r="A386" s="28">
        <v>1.2999999999999999E-2</v>
      </c>
      <c r="B386" s="28">
        <v>1.2999999999999999E-2</v>
      </c>
      <c r="C386" s="28">
        <v>1.2999999999999999E-2</v>
      </c>
      <c r="D386" s="27" t="s">
        <v>1266</v>
      </c>
    </row>
    <row r="387" spans="1:4">
      <c r="A387" s="28">
        <v>1.2999999999999999E-2</v>
      </c>
      <c r="B387" s="28">
        <v>1.2999999999999999E-2</v>
      </c>
      <c r="C387" s="28">
        <v>1.2999999999999999E-2</v>
      </c>
      <c r="D387" s="27" t="s">
        <v>1266</v>
      </c>
    </row>
    <row r="388" spans="1:4">
      <c r="A388" s="28">
        <v>1.2999999999999999E-2</v>
      </c>
      <c r="B388" s="28">
        <v>1.2999999999999999E-2</v>
      </c>
      <c r="C388" s="28">
        <v>1.2999999999999999E-2</v>
      </c>
      <c r="D388" s="27" t="s">
        <v>1266</v>
      </c>
    </row>
    <row r="389" spans="1:4">
      <c r="A389" s="28">
        <v>1.2999999999999999E-2</v>
      </c>
      <c r="B389" s="28">
        <v>1.2999999999999999E-2</v>
      </c>
      <c r="C389" s="28">
        <v>1.2999999999999999E-2</v>
      </c>
      <c r="D389" s="27" t="s">
        <v>1266</v>
      </c>
    </row>
    <row r="390" spans="1:4">
      <c r="A390" s="28">
        <v>0.27200000000000002</v>
      </c>
      <c r="B390" s="28">
        <v>0.27200000000000002</v>
      </c>
      <c r="C390" s="28">
        <v>0.27200000000000002</v>
      </c>
      <c r="D390" s="27" t="s">
        <v>1267</v>
      </c>
    </row>
    <row r="391" spans="1:4">
      <c r="A391" s="28">
        <v>0.27200000000000002</v>
      </c>
      <c r="B391" s="28">
        <v>0.27200000000000002</v>
      </c>
      <c r="C391" s="28">
        <v>0.27200000000000002</v>
      </c>
      <c r="D391" s="27" t="s">
        <v>1267</v>
      </c>
    </row>
    <row r="392" spans="1:4">
      <c r="A392" s="28">
        <v>0.27200000000000002</v>
      </c>
      <c r="B392" s="28">
        <v>0.27200000000000002</v>
      </c>
      <c r="C392" s="28">
        <v>0.27200000000000002</v>
      </c>
      <c r="D392" s="27" t="s">
        <v>1267</v>
      </c>
    </row>
    <row r="393" spans="1:4">
      <c r="A393" s="28">
        <v>0.27200000000000002</v>
      </c>
      <c r="B393" s="28">
        <v>0.27200000000000002</v>
      </c>
      <c r="C393" s="28">
        <v>0.27200000000000002</v>
      </c>
      <c r="D393" s="27" t="s">
        <v>1267</v>
      </c>
    </row>
    <row r="394" spans="1:4">
      <c r="A394" s="28">
        <v>0.27200000000000002</v>
      </c>
      <c r="B394" s="28">
        <v>0.27200000000000002</v>
      </c>
      <c r="C394" s="28">
        <v>0.27200000000000002</v>
      </c>
      <c r="D394" s="27" t="s">
        <v>1267</v>
      </c>
    </row>
    <row r="395" spans="1:4">
      <c r="A395" s="28">
        <v>0.27200000000000002</v>
      </c>
      <c r="B395" s="28">
        <v>0.27200000000000002</v>
      </c>
      <c r="C395" s="28">
        <v>0.27200000000000002</v>
      </c>
      <c r="D395" s="27" t="s">
        <v>1267</v>
      </c>
    </row>
    <row r="396" spans="1:4">
      <c r="A396" s="28">
        <v>0.27200000000000002</v>
      </c>
      <c r="B396" s="28">
        <v>0.27200000000000002</v>
      </c>
      <c r="C396" s="28">
        <v>0.27200000000000002</v>
      </c>
      <c r="D396" s="27" t="s">
        <v>1267</v>
      </c>
    </row>
    <row r="397" spans="1:4">
      <c r="A397" s="28">
        <v>0.27200000000000002</v>
      </c>
      <c r="B397" s="28">
        <v>0.27200000000000002</v>
      </c>
      <c r="C397" s="28">
        <v>0.27200000000000002</v>
      </c>
      <c r="D397" s="27" t="s">
        <v>1267</v>
      </c>
    </row>
    <row r="398" spans="1:4">
      <c r="A398" s="28">
        <v>0.27200000000000002</v>
      </c>
      <c r="B398" s="28">
        <v>0.27200000000000002</v>
      </c>
      <c r="C398" s="28">
        <v>0.27200000000000002</v>
      </c>
      <c r="D398" s="27" t="s">
        <v>1267</v>
      </c>
    </row>
    <row r="399" spans="1:4">
      <c r="A399" s="28">
        <v>0.20799999999999999</v>
      </c>
      <c r="B399" s="28">
        <v>0.20799999999999999</v>
      </c>
      <c r="C399" s="28">
        <v>0.20799999999999999</v>
      </c>
      <c r="D399" s="27" t="s">
        <v>1268</v>
      </c>
    </row>
    <row r="400" spans="1:4">
      <c r="A400" s="28">
        <v>0.20799999999999999</v>
      </c>
      <c r="B400" s="28">
        <v>0.20799999999999999</v>
      </c>
      <c r="C400" s="28">
        <v>0.20799999999999999</v>
      </c>
      <c r="D400" s="27" t="s">
        <v>1268</v>
      </c>
    </row>
    <row r="401" spans="1:4">
      <c r="A401" s="28">
        <v>0.20799999999999999</v>
      </c>
      <c r="B401" s="28">
        <v>0.20799999999999999</v>
      </c>
      <c r="C401" s="28">
        <v>0.20799999999999999</v>
      </c>
      <c r="D401" s="27" t="s">
        <v>1268</v>
      </c>
    </row>
    <row r="402" spans="1:4">
      <c r="A402" s="28">
        <v>0.20799999999999999</v>
      </c>
      <c r="B402" s="28">
        <v>0.20799999999999999</v>
      </c>
      <c r="C402" s="28">
        <v>0.20799999999999999</v>
      </c>
      <c r="D402" s="27" t="s">
        <v>1268</v>
      </c>
    </row>
    <row r="403" spans="1:4">
      <c r="A403" s="28">
        <v>0.20799999999999999</v>
      </c>
      <c r="B403" s="28">
        <v>0.20799999999999999</v>
      </c>
      <c r="C403" s="28">
        <v>0.20799999999999999</v>
      </c>
      <c r="D403" s="27" t="s">
        <v>1268</v>
      </c>
    </row>
    <row r="404" spans="1:4">
      <c r="A404" s="28">
        <v>0.20799999999999999</v>
      </c>
      <c r="B404" s="28">
        <v>0.20799999999999999</v>
      </c>
      <c r="C404" s="28">
        <v>0.20799999999999999</v>
      </c>
      <c r="D404" s="27" t="s">
        <v>1268</v>
      </c>
    </row>
    <row r="405" spans="1:4">
      <c r="A405" s="28">
        <v>0.20799999999999999</v>
      </c>
      <c r="B405" s="28">
        <v>0.20799999999999999</v>
      </c>
      <c r="C405" s="28">
        <v>0.20799999999999999</v>
      </c>
      <c r="D405" s="27" t="s">
        <v>1268</v>
      </c>
    </row>
    <row r="406" spans="1:4">
      <c r="A406" s="28">
        <v>0.20799999999999999</v>
      </c>
      <c r="B406" s="28">
        <v>0.20799999999999999</v>
      </c>
      <c r="C406" s="28">
        <v>0.20799999999999999</v>
      </c>
      <c r="D406" s="27" t="s">
        <v>1268</v>
      </c>
    </row>
    <row r="407" spans="1:4">
      <c r="A407" s="28">
        <v>0.20799999999999999</v>
      </c>
      <c r="B407" s="28">
        <v>0.20799999999999999</v>
      </c>
      <c r="C407" s="28">
        <v>0.20799999999999999</v>
      </c>
      <c r="D407" s="27" t="s">
        <v>1268</v>
      </c>
    </row>
    <row r="408" spans="1:4">
      <c r="A408" s="28">
        <v>2.5760000000000001</v>
      </c>
      <c r="B408" s="28">
        <v>2.5760000000000001</v>
      </c>
      <c r="C408" s="28">
        <v>2.5760000000000001</v>
      </c>
      <c r="D408" s="27" t="s">
        <v>1269</v>
      </c>
    </row>
    <row r="409" spans="1:4">
      <c r="A409" s="28">
        <v>2.5760000000000001</v>
      </c>
      <c r="B409" s="28">
        <v>2.5760000000000001</v>
      </c>
      <c r="C409" s="28">
        <v>2.5760000000000001</v>
      </c>
      <c r="D409" s="27" t="s">
        <v>1269</v>
      </c>
    </row>
    <row r="410" spans="1:4">
      <c r="A410" s="28">
        <v>2.5760000000000001</v>
      </c>
      <c r="B410" s="28">
        <v>2.5760000000000001</v>
      </c>
      <c r="C410" s="28">
        <v>2.5760000000000001</v>
      </c>
      <c r="D410" s="27" t="s">
        <v>1269</v>
      </c>
    </row>
    <row r="411" spans="1:4">
      <c r="A411" s="28">
        <v>2.5760000000000001</v>
      </c>
      <c r="B411" s="28">
        <v>2.5760000000000001</v>
      </c>
      <c r="C411" s="28">
        <v>2.5760000000000001</v>
      </c>
      <c r="D411" s="27" t="s">
        <v>1269</v>
      </c>
    </row>
    <row r="412" spans="1:4">
      <c r="A412" s="28">
        <v>2.5760000000000001</v>
      </c>
      <c r="B412" s="28">
        <v>2.5760000000000001</v>
      </c>
      <c r="C412" s="28">
        <v>2.5760000000000001</v>
      </c>
      <c r="D412" s="27" t="s">
        <v>1269</v>
      </c>
    </row>
    <row r="413" spans="1:4">
      <c r="A413" s="28">
        <v>2.5760000000000001</v>
      </c>
      <c r="B413" s="28">
        <v>2.5760000000000001</v>
      </c>
      <c r="C413" s="28">
        <v>2.5760000000000001</v>
      </c>
      <c r="D413" s="27" t="s">
        <v>1269</v>
      </c>
    </row>
    <row r="414" spans="1:4">
      <c r="A414" s="28">
        <v>2.5760000000000001</v>
      </c>
      <c r="B414" s="28">
        <v>2.5760000000000001</v>
      </c>
      <c r="C414" s="28">
        <v>2.5760000000000001</v>
      </c>
      <c r="D414" s="27" t="s">
        <v>1269</v>
      </c>
    </row>
    <row r="415" spans="1:4">
      <c r="A415" s="28">
        <v>2.5760000000000001</v>
      </c>
      <c r="B415" s="28">
        <v>2.5760000000000001</v>
      </c>
      <c r="C415" s="28">
        <v>2.5760000000000001</v>
      </c>
      <c r="D415" s="27" t="s">
        <v>1269</v>
      </c>
    </row>
    <row r="416" spans="1:4">
      <c r="A416" s="28">
        <v>2.5760000000000001</v>
      </c>
      <c r="B416" s="28">
        <v>2.5760000000000001</v>
      </c>
      <c r="C416" s="28">
        <v>2.5760000000000001</v>
      </c>
      <c r="D416" s="27" t="s">
        <v>1269</v>
      </c>
    </row>
    <row r="417" spans="1:4">
      <c r="A417" s="28">
        <v>0.44700000000000001</v>
      </c>
      <c r="B417" s="28">
        <v>0.44700000000000001</v>
      </c>
      <c r="C417" s="28">
        <v>0.44700000000000001</v>
      </c>
      <c r="D417" s="27" t="s">
        <v>1270</v>
      </c>
    </row>
    <row r="418" spans="1:4">
      <c r="A418" s="28">
        <v>0.44700000000000001</v>
      </c>
      <c r="B418" s="28">
        <v>0.44700000000000001</v>
      </c>
      <c r="C418" s="28">
        <v>0.44700000000000001</v>
      </c>
      <c r="D418" s="27" t="s">
        <v>1270</v>
      </c>
    </row>
    <row r="419" spans="1:4">
      <c r="A419" s="28">
        <v>0.44700000000000001</v>
      </c>
      <c r="B419" s="28">
        <v>0.44700000000000001</v>
      </c>
      <c r="C419" s="28">
        <v>0.44700000000000001</v>
      </c>
      <c r="D419" s="27" t="s">
        <v>1270</v>
      </c>
    </row>
    <row r="420" spans="1:4">
      <c r="A420" s="28">
        <v>0.44700000000000001</v>
      </c>
      <c r="B420" s="28">
        <v>0.44700000000000001</v>
      </c>
      <c r="C420" s="28">
        <v>0.44700000000000001</v>
      </c>
      <c r="D420" s="27" t="s">
        <v>1270</v>
      </c>
    </row>
    <row r="421" spans="1:4">
      <c r="A421" s="28">
        <v>0.44700000000000001</v>
      </c>
      <c r="B421" s="28">
        <v>0.44700000000000001</v>
      </c>
      <c r="C421" s="28">
        <v>0.44700000000000001</v>
      </c>
      <c r="D421" s="27" t="s">
        <v>1270</v>
      </c>
    </row>
    <row r="422" spans="1:4">
      <c r="A422" s="28">
        <v>0.44700000000000001</v>
      </c>
      <c r="B422" s="28">
        <v>0.44700000000000001</v>
      </c>
      <c r="C422" s="28">
        <v>0.44700000000000001</v>
      </c>
      <c r="D422" s="27" t="s">
        <v>1270</v>
      </c>
    </row>
    <row r="423" spans="1:4">
      <c r="A423" s="28">
        <v>0.44700000000000001</v>
      </c>
      <c r="B423" s="28">
        <v>0.44700000000000001</v>
      </c>
      <c r="C423" s="28">
        <v>0.44700000000000001</v>
      </c>
      <c r="D423" s="27" t="s">
        <v>1270</v>
      </c>
    </row>
    <row r="424" spans="1:4">
      <c r="A424" s="28">
        <v>0.44700000000000001</v>
      </c>
      <c r="B424" s="28">
        <v>0.44700000000000001</v>
      </c>
      <c r="C424" s="28">
        <v>0.44700000000000001</v>
      </c>
      <c r="D424" s="27" t="s">
        <v>1270</v>
      </c>
    </row>
    <row r="425" spans="1:4">
      <c r="A425" s="28">
        <v>0.44700000000000001</v>
      </c>
      <c r="B425" s="28">
        <v>0.44700000000000001</v>
      </c>
      <c r="C425" s="28">
        <v>0.44700000000000001</v>
      </c>
      <c r="D425" s="27" t="s">
        <v>1270</v>
      </c>
    </row>
    <row r="426" spans="1:4">
      <c r="A426" s="28">
        <v>9.0760000000000005</v>
      </c>
      <c r="B426" s="28">
        <v>9.0760000000000005</v>
      </c>
      <c r="C426" s="28">
        <v>9.0760000000000005</v>
      </c>
      <c r="D426" s="27" t="s">
        <v>1271</v>
      </c>
    </row>
    <row r="427" spans="1:4">
      <c r="A427" s="28">
        <v>9.0760000000000005</v>
      </c>
      <c r="B427" s="28">
        <v>9.0760000000000005</v>
      </c>
      <c r="C427" s="28">
        <v>9.0760000000000005</v>
      </c>
      <c r="D427" s="27" t="s">
        <v>1271</v>
      </c>
    </row>
    <row r="428" spans="1:4">
      <c r="A428" s="28">
        <v>9.0760000000000005</v>
      </c>
      <c r="B428" s="28">
        <v>9.0760000000000005</v>
      </c>
      <c r="C428" s="28">
        <v>9.0760000000000005</v>
      </c>
      <c r="D428" s="27" t="s">
        <v>1271</v>
      </c>
    </row>
    <row r="429" spans="1:4">
      <c r="A429" s="28">
        <v>9.0760000000000005</v>
      </c>
      <c r="B429" s="28">
        <v>9.0760000000000005</v>
      </c>
      <c r="C429" s="28">
        <v>9.0760000000000005</v>
      </c>
      <c r="D429" s="27" t="s">
        <v>1271</v>
      </c>
    </row>
    <row r="430" spans="1:4">
      <c r="A430" s="28">
        <v>9.0760000000000005</v>
      </c>
      <c r="B430" s="28">
        <v>9.0760000000000005</v>
      </c>
      <c r="C430" s="28">
        <v>9.0760000000000005</v>
      </c>
      <c r="D430" s="27" t="s">
        <v>1271</v>
      </c>
    </row>
    <row r="431" spans="1:4">
      <c r="A431" s="28">
        <v>9.0760000000000005</v>
      </c>
      <c r="B431" s="28">
        <v>9.0760000000000005</v>
      </c>
      <c r="C431" s="28">
        <v>9.0760000000000005</v>
      </c>
      <c r="D431" s="27" t="s">
        <v>1271</v>
      </c>
    </row>
    <row r="432" spans="1:4">
      <c r="A432" s="28">
        <v>9.0760000000000005</v>
      </c>
      <c r="B432" s="28">
        <v>9.0760000000000005</v>
      </c>
      <c r="C432" s="28">
        <v>9.0760000000000005</v>
      </c>
      <c r="D432" s="27" t="s">
        <v>1271</v>
      </c>
    </row>
    <row r="433" spans="1:4">
      <c r="A433" s="28">
        <v>9.0760000000000005</v>
      </c>
      <c r="B433" s="28">
        <v>9.0760000000000005</v>
      </c>
      <c r="C433" s="28">
        <v>9.0760000000000005</v>
      </c>
      <c r="D433" s="27" t="s">
        <v>1271</v>
      </c>
    </row>
    <row r="434" spans="1:4">
      <c r="A434" s="28">
        <v>9.0760000000000005</v>
      </c>
      <c r="B434" s="28">
        <v>9.0760000000000005</v>
      </c>
      <c r="C434" s="28">
        <v>9.0760000000000005</v>
      </c>
      <c r="D434" s="27" t="s">
        <v>1271</v>
      </c>
    </row>
    <row r="435" spans="1:4">
      <c r="A435" s="28">
        <v>0.153</v>
      </c>
      <c r="B435" s="28">
        <v>0.153</v>
      </c>
      <c r="C435" s="28">
        <v>0.153</v>
      </c>
      <c r="D435" s="27" t="s">
        <v>1272</v>
      </c>
    </row>
    <row r="436" spans="1:4">
      <c r="A436" s="28">
        <v>0.153</v>
      </c>
      <c r="B436" s="28">
        <v>0.153</v>
      </c>
      <c r="C436" s="28">
        <v>0.153</v>
      </c>
      <c r="D436" s="27" t="s">
        <v>1272</v>
      </c>
    </row>
    <row r="437" spans="1:4">
      <c r="A437" s="28">
        <v>0.153</v>
      </c>
      <c r="B437" s="28">
        <v>0.153</v>
      </c>
      <c r="C437" s="28">
        <v>0.153</v>
      </c>
      <c r="D437" s="27" t="s">
        <v>1272</v>
      </c>
    </row>
    <row r="438" spans="1:4">
      <c r="A438" s="28">
        <v>0.153</v>
      </c>
      <c r="B438" s="28">
        <v>0.153</v>
      </c>
      <c r="C438" s="28">
        <v>0.153</v>
      </c>
      <c r="D438" s="27" t="s">
        <v>1272</v>
      </c>
    </row>
    <row r="439" spans="1:4">
      <c r="A439" s="28">
        <v>0.153</v>
      </c>
      <c r="B439" s="28">
        <v>0.153</v>
      </c>
      <c r="C439" s="28">
        <v>0.153</v>
      </c>
      <c r="D439" s="27" t="s">
        <v>1272</v>
      </c>
    </row>
    <row r="440" spans="1:4">
      <c r="A440" s="28">
        <v>0.153</v>
      </c>
      <c r="B440" s="28">
        <v>0.153</v>
      </c>
      <c r="C440" s="28">
        <v>0.153</v>
      </c>
      <c r="D440" s="27" t="s">
        <v>1272</v>
      </c>
    </row>
    <row r="441" spans="1:4">
      <c r="A441" s="28">
        <v>0.153</v>
      </c>
      <c r="B441" s="28">
        <v>0.153</v>
      </c>
      <c r="C441" s="28">
        <v>0.153</v>
      </c>
      <c r="D441" s="27" t="s">
        <v>1272</v>
      </c>
    </row>
    <row r="442" spans="1:4">
      <c r="A442" s="28">
        <v>0.153</v>
      </c>
      <c r="B442" s="28">
        <v>0.153</v>
      </c>
      <c r="C442" s="28">
        <v>0.153</v>
      </c>
      <c r="D442" s="27" t="s">
        <v>1272</v>
      </c>
    </row>
    <row r="443" spans="1:4">
      <c r="A443" s="28">
        <v>0.153</v>
      </c>
      <c r="B443" s="28">
        <v>0.153</v>
      </c>
      <c r="C443" s="28">
        <v>0.153</v>
      </c>
      <c r="D443" s="27" t="s">
        <v>1272</v>
      </c>
    </row>
    <row r="444" spans="1:4">
      <c r="A444" s="28">
        <v>6.9429999999999996</v>
      </c>
      <c r="B444" s="28">
        <v>6.9429999999999996</v>
      </c>
      <c r="C444" s="28">
        <v>6.9429999999999996</v>
      </c>
      <c r="D444" s="27" t="s">
        <v>1273</v>
      </c>
    </row>
    <row r="445" spans="1:4">
      <c r="A445" s="28">
        <v>6.9429999999999996</v>
      </c>
      <c r="B445" s="28">
        <v>6.9429999999999996</v>
      </c>
      <c r="C445" s="28">
        <v>6.9429999999999996</v>
      </c>
      <c r="D445" s="27" t="s">
        <v>1273</v>
      </c>
    </row>
    <row r="446" spans="1:4">
      <c r="A446" s="28">
        <v>6.9429999999999996</v>
      </c>
      <c r="B446" s="28">
        <v>6.9429999999999996</v>
      </c>
      <c r="C446" s="28">
        <v>6.9429999999999996</v>
      </c>
      <c r="D446" s="27" t="s">
        <v>1273</v>
      </c>
    </row>
    <row r="447" spans="1:4">
      <c r="A447" s="28">
        <v>6.9429999999999996</v>
      </c>
      <c r="B447" s="28">
        <v>6.9429999999999996</v>
      </c>
      <c r="C447" s="28">
        <v>6.9429999999999996</v>
      </c>
      <c r="D447" s="27" t="s">
        <v>1273</v>
      </c>
    </row>
    <row r="448" spans="1:4">
      <c r="A448" s="28">
        <v>6.9429999999999996</v>
      </c>
      <c r="B448" s="28">
        <v>6.9429999999999996</v>
      </c>
      <c r="C448" s="28">
        <v>6.9429999999999996</v>
      </c>
      <c r="D448" s="27" t="s">
        <v>1273</v>
      </c>
    </row>
    <row r="449" spans="1:4">
      <c r="A449" s="28">
        <v>6.9429999999999996</v>
      </c>
      <c r="B449" s="28">
        <v>6.9429999999999996</v>
      </c>
      <c r="C449" s="28">
        <v>6.9429999999999996</v>
      </c>
      <c r="D449" s="27" t="s">
        <v>1273</v>
      </c>
    </row>
    <row r="450" spans="1:4">
      <c r="A450" s="28">
        <v>6.9429999999999996</v>
      </c>
      <c r="B450" s="28">
        <v>6.9429999999999996</v>
      </c>
      <c r="C450" s="28">
        <v>6.9429999999999996</v>
      </c>
      <c r="D450" s="27" t="s">
        <v>1273</v>
      </c>
    </row>
    <row r="451" spans="1:4">
      <c r="A451" s="28">
        <v>6.9429999999999996</v>
      </c>
      <c r="B451" s="28">
        <v>6.9429999999999996</v>
      </c>
      <c r="C451" s="28">
        <v>6.9429999999999996</v>
      </c>
      <c r="D451" s="27" t="s">
        <v>1273</v>
      </c>
    </row>
    <row r="452" spans="1:4">
      <c r="A452" s="28">
        <v>6.9429999999999996</v>
      </c>
      <c r="B452" s="28">
        <v>6.9429999999999996</v>
      </c>
      <c r="C452" s="28">
        <v>6.9429999999999996</v>
      </c>
      <c r="D452" s="27" t="s">
        <v>1273</v>
      </c>
    </row>
    <row r="453" spans="1:4">
      <c r="A453" s="28">
        <v>1.0620000000000001</v>
      </c>
      <c r="B453" s="28">
        <v>0.42299999999999999</v>
      </c>
      <c r="C453" s="28">
        <v>0.69099999999999995</v>
      </c>
      <c r="D453" s="27" t="s">
        <v>1274</v>
      </c>
    </row>
    <row r="454" spans="1:4">
      <c r="A454" s="28">
        <v>1.8540000000000001</v>
      </c>
      <c r="B454" s="28">
        <v>1.903</v>
      </c>
      <c r="C454" s="28">
        <v>4.8070000000000004</v>
      </c>
      <c r="D454" s="27" t="s">
        <v>1274</v>
      </c>
    </row>
    <row r="455" spans="1:4">
      <c r="A455" s="28">
        <v>4.5289999999999999</v>
      </c>
      <c r="B455" s="28">
        <v>3.4910000000000001</v>
      </c>
      <c r="C455" s="28">
        <v>9.6120000000000001</v>
      </c>
      <c r="D455" s="27" t="s">
        <v>1274</v>
      </c>
    </row>
    <row r="456" spans="1:4">
      <c r="A456" s="28">
        <v>5.0620000000000003</v>
      </c>
      <c r="B456" s="28">
        <v>1.105</v>
      </c>
      <c r="C456" s="28">
        <v>9.0079999999999991</v>
      </c>
      <c r="D456" s="27" t="s">
        <v>1274</v>
      </c>
    </row>
    <row r="457" spans="1:4">
      <c r="A457" s="28">
        <v>5.9470000000000001</v>
      </c>
      <c r="B457" s="28">
        <v>1.363</v>
      </c>
      <c r="C457" s="28">
        <v>9.3130000000000006</v>
      </c>
      <c r="D457" s="27" t="s">
        <v>1274</v>
      </c>
    </row>
    <row r="458" spans="1:4">
      <c r="A458" s="28">
        <v>7.1509999999999998</v>
      </c>
      <c r="B458" s="28">
        <v>2.153</v>
      </c>
      <c r="C458" s="28">
        <v>9.3480000000000008</v>
      </c>
      <c r="D458" s="27" t="s">
        <v>1274</v>
      </c>
    </row>
    <row r="459" spans="1:4">
      <c r="A459" s="28">
        <v>6.859</v>
      </c>
      <c r="B459" s="28">
        <v>3.3410000000000002</v>
      </c>
      <c r="C459" s="28">
        <v>12.992000000000001</v>
      </c>
      <c r="D459" s="27" t="s">
        <v>1274</v>
      </c>
    </row>
    <row r="460" spans="1:4">
      <c r="A460" s="28">
        <v>2.5179999999999998</v>
      </c>
      <c r="B460" s="28">
        <v>0.92600000000000005</v>
      </c>
      <c r="C460" s="28">
        <v>7.08</v>
      </c>
      <c r="D460" s="27" t="s">
        <v>1274</v>
      </c>
    </row>
    <row r="461" spans="1:4">
      <c r="A461" s="28">
        <v>2.895</v>
      </c>
      <c r="B461" s="28">
        <v>0.41399999999999998</v>
      </c>
      <c r="C461" s="28">
        <v>6.9550000000000001</v>
      </c>
      <c r="D461" s="27" t="s">
        <v>1274</v>
      </c>
    </row>
    <row r="462" spans="1:4">
      <c r="A462" s="28">
        <v>31.507000000000001</v>
      </c>
      <c r="B462" s="28">
        <v>11.884</v>
      </c>
      <c r="C462" s="28">
        <v>0</v>
      </c>
      <c r="D462" s="27" t="s">
        <v>1275</v>
      </c>
    </row>
    <row r="463" spans="1:4">
      <c r="A463" s="28">
        <v>22.381</v>
      </c>
      <c r="B463" s="28">
        <v>16.826000000000001</v>
      </c>
      <c r="C463" s="28">
        <v>0</v>
      </c>
      <c r="D463" s="27" t="s">
        <v>1275</v>
      </c>
    </row>
    <row r="464" spans="1:4">
      <c r="A464" s="28">
        <v>25.881</v>
      </c>
      <c r="B464" s="28">
        <v>21.210999999999999</v>
      </c>
      <c r="C464" s="28">
        <v>0</v>
      </c>
      <c r="D464" s="27" t="s">
        <v>1275</v>
      </c>
    </row>
    <row r="465" spans="1:4">
      <c r="A465" s="28">
        <v>23.26</v>
      </c>
      <c r="B465" s="28">
        <v>0</v>
      </c>
      <c r="C465" s="28">
        <v>31.117000000000001</v>
      </c>
      <c r="D465" s="27" t="s">
        <v>1275</v>
      </c>
    </row>
    <row r="466" spans="1:4">
      <c r="A466" s="28">
        <v>19.061</v>
      </c>
      <c r="B466" s="28">
        <v>14.814</v>
      </c>
      <c r="C466" s="28">
        <v>11.824999999999999</v>
      </c>
      <c r="D466" s="27" t="s">
        <v>1275</v>
      </c>
    </row>
    <row r="467" spans="1:4">
      <c r="A467" s="28">
        <v>17.524999999999999</v>
      </c>
      <c r="B467" s="28">
        <v>15.99</v>
      </c>
      <c r="C467" s="28">
        <v>0</v>
      </c>
      <c r="D467" s="27" t="s">
        <v>1275</v>
      </c>
    </row>
    <row r="468" spans="1:4">
      <c r="A468" s="28">
        <v>12.832000000000001</v>
      </c>
      <c r="B468" s="28">
        <v>3.6749999999999998</v>
      </c>
      <c r="C468" s="28">
        <v>11.051</v>
      </c>
      <c r="D468" s="27" t="s">
        <v>1275</v>
      </c>
    </row>
    <row r="469" spans="1:4">
      <c r="A469" s="28">
        <v>21.626999999999999</v>
      </c>
      <c r="B469" s="28">
        <v>11.010999999999999</v>
      </c>
      <c r="C469" s="28">
        <v>0</v>
      </c>
      <c r="D469" s="27" t="s">
        <v>1275</v>
      </c>
    </row>
    <row r="470" spans="1:4">
      <c r="A470" s="28">
        <v>14.468</v>
      </c>
      <c r="B470" s="28">
        <v>9.2230000000000008</v>
      </c>
      <c r="C470" s="28">
        <v>10.42</v>
      </c>
      <c r="D470" s="27" t="s">
        <v>1275</v>
      </c>
    </row>
    <row r="471" spans="1:4">
      <c r="A471" s="28">
        <v>2.1779999999999999</v>
      </c>
      <c r="B471" s="28">
        <v>2.3959999999999999</v>
      </c>
      <c r="C471" s="28">
        <v>2.5409999999999999</v>
      </c>
      <c r="D471" s="27" t="s">
        <v>1276</v>
      </c>
    </row>
    <row r="472" spans="1:4">
      <c r="A472" s="28">
        <v>1.9450000000000001</v>
      </c>
      <c r="B472" s="28">
        <v>2.16</v>
      </c>
      <c r="C472" s="28">
        <v>2.59</v>
      </c>
      <c r="D472" s="27" t="s">
        <v>1276</v>
      </c>
    </row>
    <row r="473" spans="1:4">
      <c r="A473" s="28">
        <v>2.581</v>
      </c>
      <c r="B473" s="28">
        <v>2.9529999999999998</v>
      </c>
      <c r="C473" s="28">
        <v>4.2060000000000004</v>
      </c>
      <c r="D473" s="27" t="s">
        <v>1276</v>
      </c>
    </row>
    <row r="474" spans="1:4">
      <c r="A474" s="28">
        <v>2.6419999999999999</v>
      </c>
      <c r="B474" s="28">
        <v>2.4510000000000001</v>
      </c>
      <c r="C474" s="28">
        <v>2.6179999999999999</v>
      </c>
      <c r="D474" s="27" t="s">
        <v>1276</v>
      </c>
    </row>
    <row r="475" spans="1:4">
      <c r="A475" s="28">
        <v>1.8979999999999999</v>
      </c>
      <c r="B475" s="28">
        <v>2.0089999999999999</v>
      </c>
      <c r="C475" s="28">
        <v>1.716</v>
      </c>
      <c r="D475" s="27" t="s">
        <v>1276</v>
      </c>
    </row>
    <row r="476" spans="1:4">
      <c r="A476" s="28">
        <v>2.073</v>
      </c>
      <c r="B476" s="28">
        <v>1.7370000000000001</v>
      </c>
      <c r="C476" s="28">
        <v>1.9610000000000001</v>
      </c>
      <c r="D476" s="27" t="s">
        <v>1276</v>
      </c>
    </row>
    <row r="477" spans="1:4">
      <c r="A477" s="28">
        <v>1.8009999999999999</v>
      </c>
      <c r="B477" s="28">
        <v>1.7649999999999999</v>
      </c>
      <c r="C477" s="28">
        <v>2.782</v>
      </c>
      <c r="D477" s="27" t="s">
        <v>1276</v>
      </c>
    </row>
    <row r="478" spans="1:4">
      <c r="A478" s="28">
        <v>2.0779999999999998</v>
      </c>
      <c r="B478" s="28">
        <v>1.224</v>
      </c>
      <c r="C478" s="28">
        <v>2.4969999999999999</v>
      </c>
      <c r="D478" s="27" t="s">
        <v>1276</v>
      </c>
    </row>
    <row r="479" spans="1:4">
      <c r="A479" s="28">
        <v>1.7350000000000001</v>
      </c>
      <c r="B479" s="28">
        <v>1.64</v>
      </c>
      <c r="C479" s="28">
        <v>2.738</v>
      </c>
      <c r="D479" s="27" t="s">
        <v>1276</v>
      </c>
    </row>
    <row r="480" spans="1:4">
      <c r="A480" s="28">
        <v>49.786999999999999</v>
      </c>
      <c r="B480" s="28">
        <v>67.126000000000005</v>
      </c>
      <c r="C480" s="28">
        <v>0</v>
      </c>
      <c r="D480" s="27" t="s">
        <v>1277</v>
      </c>
    </row>
    <row r="481" spans="1:4">
      <c r="A481" s="28">
        <v>34.878</v>
      </c>
      <c r="B481" s="28">
        <v>28.457000000000001</v>
      </c>
      <c r="C481" s="28">
        <v>36.488999999999997</v>
      </c>
      <c r="D481" s="27" t="s">
        <v>1277</v>
      </c>
    </row>
    <row r="482" spans="1:4">
      <c r="A482" s="28">
        <v>78.494</v>
      </c>
      <c r="B482" s="28">
        <v>0</v>
      </c>
      <c r="C482" s="28">
        <v>0</v>
      </c>
      <c r="D482" s="27" t="s">
        <v>1277</v>
      </c>
    </row>
    <row r="483" spans="1:4">
      <c r="A483" s="28">
        <v>73.09</v>
      </c>
      <c r="B483" s="28">
        <v>0</v>
      </c>
      <c r="C483" s="28">
        <v>0</v>
      </c>
      <c r="D483" s="27" t="s">
        <v>1277</v>
      </c>
    </row>
    <row r="484" spans="1:4">
      <c r="A484" s="28">
        <v>37.576000000000001</v>
      </c>
      <c r="B484" s="28">
        <v>0</v>
      </c>
      <c r="C484" s="28">
        <v>17.335000000000001</v>
      </c>
      <c r="D484" s="27" t="s">
        <v>1277</v>
      </c>
    </row>
    <row r="485" spans="1:4">
      <c r="A485" s="28">
        <v>0</v>
      </c>
      <c r="B485" s="28">
        <v>0</v>
      </c>
      <c r="C485" s="28">
        <v>0</v>
      </c>
      <c r="D485" s="27" t="s">
        <v>1277</v>
      </c>
    </row>
    <row r="486" spans="1:4">
      <c r="A486" s="28">
        <v>0</v>
      </c>
      <c r="B486" s="28">
        <v>0</v>
      </c>
      <c r="C486" s="28">
        <v>0</v>
      </c>
      <c r="D486" s="27" t="s">
        <v>1277</v>
      </c>
    </row>
    <row r="487" spans="1:4">
      <c r="A487" s="28">
        <v>33.731999999999999</v>
      </c>
      <c r="B487" s="28">
        <v>0</v>
      </c>
      <c r="C487" s="28">
        <v>0</v>
      </c>
      <c r="D487" s="27" t="s">
        <v>1277</v>
      </c>
    </row>
    <row r="488" spans="1:4">
      <c r="A488" s="28">
        <v>44.527999999999999</v>
      </c>
      <c r="B488" s="28">
        <v>0</v>
      </c>
      <c r="C488" s="28">
        <v>0</v>
      </c>
      <c r="D488" s="27" t="s">
        <v>1277</v>
      </c>
    </row>
    <row r="489" spans="1:4">
      <c r="A489" s="28">
        <v>18.552</v>
      </c>
      <c r="B489" s="28">
        <v>22.285</v>
      </c>
      <c r="C489" s="28">
        <v>21.324999999999999</v>
      </c>
      <c r="D489" s="27" t="s">
        <v>1278</v>
      </c>
    </row>
    <row r="490" spans="1:4">
      <c r="A490" s="28">
        <v>20.462</v>
      </c>
      <c r="B490" s="28">
        <v>0</v>
      </c>
      <c r="C490" s="28">
        <v>0</v>
      </c>
      <c r="D490" s="27" t="s">
        <v>1278</v>
      </c>
    </row>
    <row r="491" spans="1:4">
      <c r="A491" s="28">
        <v>27.975999999999999</v>
      </c>
      <c r="B491" s="28">
        <v>0</v>
      </c>
      <c r="C491" s="28">
        <v>18.164999999999999</v>
      </c>
      <c r="D491" s="27" t="s">
        <v>1278</v>
      </c>
    </row>
    <row r="492" spans="1:4">
      <c r="A492" s="28">
        <v>19.376999999999999</v>
      </c>
      <c r="B492" s="28">
        <v>0</v>
      </c>
      <c r="C492" s="28">
        <v>19.36</v>
      </c>
      <c r="D492" s="27" t="s">
        <v>1278</v>
      </c>
    </row>
    <row r="493" spans="1:4">
      <c r="A493" s="28">
        <v>19.114000000000001</v>
      </c>
      <c r="B493" s="28">
        <v>0</v>
      </c>
      <c r="C493" s="28">
        <v>14.263999999999999</v>
      </c>
      <c r="D493" s="27" t="s">
        <v>1278</v>
      </c>
    </row>
    <row r="494" spans="1:4">
      <c r="A494" s="28">
        <v>16.329000000000001</v>
      </c>
      <c r="B494" s="28">
        <v>0</v>
      </c>
      <c r="C494" s="28">
        <v>16.933</v>
      </c>
      <c r="D494" s="27" t="s">
        <v>1278</v>
      </c>
    </row>
    <row r="495" spans="1:4">
      <c r="A495" s="28">
        <v>12.869</v>
      </c>
      <c r="B495" s="28">
        <v>0</v>
      </c>
      <c r="C495" s="28">
        <v>8.7149999999999999</v>
      </c>
      <c r="D495" s="27" t="s">
        <v>1278</v>
      </c>
    </row>
    <row r="496" spans="1:4">
      <c r="A496" s="28">
        <v>21.117999999999999</v>
      </c>
      <c r="B496" s="28">
        <v>0</v>
      </c>
      <c r="C496" s="28">
        <v>13.02</v>
      </c>
      <c r="D496" s="27" t="s">
        <v>1278</v>
      </c>
    </row>
    <row r="497" spans="1:4">
      <c r="A497" s="28">
        <v>22.207000000000001</v>
      </c>
      <c r="B497" s="28">
        <v>0</v>
      </c>
      <c r="C497" s="28">
        <v>13.35</v>
      </c>
      <c r="D497" s="27" t="s">
        <v>1278</v>
      </c>
    </row>
    <row r="498" spans="1:4">
      <c r="A498" s="28">
        <v>4.968</v>
      </c>
      <c r="B498" s="28">
        <v>0</v>
      </c>
      <c r="C498" s="28">
        <v>0</v>
      </c>
      <c r="D498" s="27" t="s">
        <v>1279</v>
      </c>
    </row>
    <row r="499" spans="1:4">
      <c r="A499" s="28">
        <v>3.8260000000000001</v>
      </c>
      <c r="B499" s="28">
        <v>0</v>
      </c>
      <c r="C499" s="28">
        <v>7.17</v>
      </c>
      <c r="D499" s="27" t="s">
        <v>1279</v>
      </c>
    </row>
    <row r="500" spans="1:4">
      <c r="A500" s="28">
        <v>4.5979999999999999</v>
      </c>
      <c r="B500" s="28">
        <v>3.911</v>
      </c>
      <c r="C500" s="28">
        <v>0.52900000000000003</v>
      </c>
      <c r="D500" s="27" t="s">
        <v>1279</v>
      </c>
    </row>
    <row r="501" spans="1:4">
      <c r="A501" s="28">
        <v>2.7549999999999999</v>
      </c>
      <c r="B501" s="28">
        <v>3.782</v>
      </c>
      <c r="C501" s="28">
        <v>10.8</v>
      </c>
      <c r="D501" s="27" t="s">
        <v>1279</v>
      </c>
    </row>
    <row r="502" spans="1:4">
      <c r="A502" s="28">
        <v>4.6029999999999998</v>
      </c>
      <c r="B502" s="28">
        <v>2.8759999999999999</v>
      </c>
      <c r="C502" s="28">
        <v>4.2039999999999997</v>
      </c>
      <c r="D502" s="27" t="s">
        <v>1279</v>
      </c>
    </row>
    <row r="503" spans="1:4">
      <c r="A503" s="28">
        <v>3.87</v>
      </c>
      <c r="B503" s="28">
        <v>0</v>
      </c>
      <c r="C503" s="28">
        <v>1.35</v>
      </c>
      <c r="D503" s="27" t="s">
        <v>1279</v>
      </c>
    </row>
    <row r="504" spans="1:4">
      <c r="A504" s="28">
        <v>2.7839999999999998</v>
      </c>
      <c r="B504" s="28">
        <v>0</v>
      </c>
      <c r="C504" s="28">
        <v>0</v>
      </c>
      <c r="D504" s="27" t="s">
        <v>1279</v>
      </c>
    </row>
    <row r="505" spans="1:4">
      <c r="A505" s="28">
        <v>12.15</v>
      </c>
      <c r="B505" s="28">
        <v>0</v>
      </c>
      <c r="C505" s="28">
        <v>3.448</v>
      </c>
      <c r="D505" s="27" t="s">
        <v>1279</v>
      </c>
    </row>
    <row r="506" spans="1:4">
      <c r="A506" s="28">
        <v>2.4420000000000002</v>
      </c>
      <c r="B506" s="28">
        <v>2.17</v>
      </c>
      <c r="C506" s="28">
        <v>0</v>
      </c>
      <c r="D506" s="27" t="s">
        <v>1279</v>
      </c>
    </row>
    <row r="507" spans="1:4">
      <c r="A507" s="28">
        <v>3.7999999999999999E-2</v>
      </c>
      <c r="B507" s="28">
        <v>3.7999999999999999E-2</v>
      </c>
      <c r="C507" s="28">
        <v>3.7999999999999999E-2</v>
      </c>
      <c r="D507" s="27" t="s">
        <v>1280</v>
      </c>
    </row>
    <row r="508" spans="1:4">
      <c r="A508" s="28">
        <v>0.19600000000000001</v>
      </c>
      <c r="B508" s="28">
        <v>0.19600000000000001</v>
      </c>
      <c r="C508" s="28">
        <v>0.19600000000000001</v>
      </c>
      <c r="D508" s="27" t="s">
        <v>1280</v>
      </c>
    </row>
    <row r="509" spans="1:4">
      <c r="A509" s="28">
        <v>0.2</v>
      </c>
      <c r="B509" s="28">
        <v>0.2</v>
      </c>
      <c r="C509" s="28">
        <v>0.2</v>
      </c>
      <c r="D509" s="27" t="s">
        <v>1280</v>
      </c>
    </row>
    <row r="510" spans="1:4">
      <c r="A510" s="28">
        <v>0.26500000000000001</v>
      </c>
      <c r="B510" s="28">
        <v>0.26500000000000001</v>
      </c>
      <c r="C510" s="28">
        <v>0.26500000000000001</v>
      </c>
      <c r="D510" s="27" t="s">
        <v>1280</v>
      </c>
    </row>
    <row r="511" spans="1:4">
      <c r="A511" s="28">
        <v>7.0999999999999994E-2</v>
      </c>
      <c r="B511" s="28">
        <v>7.0999999999999994E-2</v>
      </c>
      <c r="C511" s="28">
        <v>7.0999999999999994E-2</v>
      </c>
      <c r="D511" s="27" t="s">
        <v>1280</v>
      </c>
    </row>
    <row r="512" spans="1:4">
      <c r="A512" s="28">
        <v>0.14099999999999999</v>
      </c>
      <c r="B512" s="28">
        <v>0.14099999999999999</v>
      </c>
      <c r="C512" s="28">
        <v>0.14099999999999999</v>
      </c>
      <c r="D512" s="27" t="s">
        <v>1280</v>
      </c>
    </row>
    <row r="513" spans="1:4">
      <c r="A513" s="28">
        <v>4.0000000000000001E-3</v>
      </c>
      <c r="B513" s="28">
        <v>4.0000000000000001E-3</v>
      </c>
      <c r="C513" s="28">
        <v>4.0000000000000001E-3</v>
      </c>
      <c r="D513" s="27" t="s">
        <v>1280</v>
      </c>
    </row>
    <row r="514" spans="1:4">
      <c r="A514" s="28">
        <v>0.14099999999999999</v>
      </c>
      <c r="B514" s="28">
        <v>0.14099999999999999</v>
      </c>
      <c r="C514" s="28">
        <v>0.14099999999999999</v>
      </c>
      <c r="D514" s="27" t="s">
        <v>1280</v>
      </c>
    </row>
    <row r="515" spans="1:4">
      <c r="A515" s="28">
        <v>6.8000000000000005E-2</v>
      </c>
      <c r="B515" s="28">
        <v>6.8000000000000005E-2</v>
      </c>
      <c r="C515" s="28">
        <v>6.8000000000000005E-2</v>
      </c>
      <c r="D515" s="27" t="s">
        <v>1280</v>
      </c>
    </row>
    <row r="516" spans="1:4">
      <c r="A516" s="28">
        <v>18.364999999999998</v>
      </c>
      <c r="B516" s="28">
        <v>27.02</v>
      </c>
      <c r="C516" s="28">
        <v>120.899</v>
      </c>
      <c r="D516" s="27" t="s">
        <v>1281</v>
      </c>
    </row>
    <row r="517" spans="1:4">
      <c r="A517" s="28">
        <v>15.304</v>
      </c>
      <c r="B517" s="28">
        <v>60.756</v>
      </c>
      <c r="C517" s="28">
        <v>20.747</v>
      </c>
      <c r="D517" s="27" t="s">
        <v>1281</v>
      </c>
    </row>
    <row r="518" spans="1:4">
      <c r="A518" s="28">
        <v>23.324999999999999</v>
      </c>
      <c r="B518" s="28">
        <v>20.245999999999999</v>
      </c>
      <c r="C518" s="28">
        <v>13.698</v>
      </c>
      <c r="D518" s="27" t="s">
        <v>1281</v>
      </c>
    </row>
    <row r="519" spans="1:4">
      <c r="A519" s="28">
        <v>22.79</v>
      </c>
      <c r="B519" s="28">
        <v>10</v>
      </c>
      <c r="C519" s="28">
        <v>31.405000000000001</v>
      </c>
      <c r="D519" s="27" t="s">
        <v>1281</v>
      </c>
    </row>
    <row r="520" spans="1:4">
      <c r="A520" s="28">
        <v>20.433</v>
      </c>
      <c r="B520" s="28">
        <v>24.77</v>
      </c>
      <c r="C520" s="28">
        <v>37.515999999999998</v>
      </c>
      <c r="D520" s="27" t="s">
        <v>1281</v>
      </c>
    </row>
    <row r="521" spans="1:4">
      <c r="A521" s="28">
        <v>17.027000000000001</v>
      </c>
      <c r="B521" s="28">
        <v>40</v>
      </c>
      <c r="C521" s="28">
        <v>12.57</v>
      </c>
      <c r="D521" s="27" t="s">
        <v>1281</v>
      </c>
    </row>
    <row r="522" spans="1:4">
      <c r="A522" s="28">
        <v>16.591000000000001</v>
      </c>
      <c r="B522" s="28">
        <v>20.317</v>
      </c>
      <c r="C522" s="28">
        <v>12.731</v>
      </c>
      <c r="D522" s="27" t="s">
        <v>1281</v>
      </c>
    </row>
    <row r="523" spans="1:4">
      <c r="A523" s="28">
        <v>13.821999999999999</v>
      </c>
      <c r="B523" s="28">
        <v>23.294</v>
      </c>
      <c r="C523" s="28">
        <v>13.47</v>
      </c>
      <c r="D523" s="27" t="s">
        <v>1281</v>
      </c>
    </row>
    <row r="524" spans="1:4">
      <c r="A524" s="28">
        <v>12.847</v>
      </c>
      <c r="B524" s="28">
        <v>11.52</v>
      </c>
      <c r="C524" s="28">
        <v>11.516</v>
      </c>
      <c r="D524" s="27" t="s">
        <v>1281</v>
      </c>
    </row>
    <row r="525" spans="1:4">
      <c r="A525" s="28">
        <v>53.155000000000001</v>
      </c>
      <c r="B525" s="28">
        <v>168.12799999999999</v>
      </c>
      <c r="C525" s="28">
        <v>12.975</v>
      </c>
      <c r="D525" s="27" t="s">
        <v>1282</v>
      </c>
    </row>
    <row r="526" spans="1:4">
      <c r="A526" s="28">
        <v>37.869</v>
      </c>
      <c r="B526" s="28">
        <v>438.923</v>
      </c>
      <c r="C526" s="28">
        <v>0.92400000000000004</v>
      </c>
      <c r="D526" s="27" t="s">
        <v>1282</v>
      </c>
    </row>
    <row r="527" spans="1:4">
      <c r="A527" s="28">
        <v>40.103999999999999</v>
      </c>
      <c r="B527" s="28">
        <v>182.47800000000001</v>
      </c>
      <c r="C527" s="28">
        <v>15.602</v>
      </c>
      <c r="D527" s="27" t="s">
        <v>1282</v>
      </c>
    </row>
    <row r="528" spans="1:4">
      <c r="A528" s="28">
        <v>30.864000000000001</v>
      </c>
      <c r="B528" s="28">
        <v>186.78399999999999</v>
      </c>
      <c r="C528" s="28">
        <v>27.773</v>
      </c>
      <c r="D528" s="27" t="s">
        <v>1282</v>
      </c>
    </row>
    <row r="529" spans="1:4">
      <c r="A529" s="28">
        <v>14.955</v>
      </c>
      <c r="B529" s="28">
        <v>0.56599999999999995</v>
      </c>
      <c r="C529" s="28">
        <v>14.577</v>
      </c>
      <c r="D529" s="27" t="s">
        <v>1282</v>
      </c>
    </row>
    <row r="530" spans="1:4">
      <c r="A530" s="28">
        <v>3.61</v>
      </c>
      <c r="B530" s="28">
        <v>88.777000000000001</v>
      </c>
      <c r="C530" s="28">
        <v>1.74</v>
      </c>
      <c r="D530" s="27" t="s">
        <v>1282</v>
      </c>
    </row>
    <row r="531" spans="1:4">
      <c r="A531" s="28">
        <v>20.911999999999999</v>
      </c>
      <c r="B531" s="28">
        <v>25.628</v>
      </c>
      <c r="C531" s="28">
        <v>23.914000000000001</v>
      </c>
      <c r="D531" s="27" t="s">
        <v>1282</v>
      </c>
    </row>
    <row r="532" spans="1:4">
      <c r="A532" s="28">
        <v>14.629</v>
      </c>
      <c r="B532" s="28">
        <v>34.72</v>
      </c>
      <c r="C532" s="28">
        <v>9.766</v>
      </c>
      <c r="D532" s="27" t="s">
        <v>1282</v>
      </c>
    </row>
    <row r="533" spans="1:4">
      <c r="A533" s="28">
        <v>24.518999999999998</v>
      </c>
      <c r="B533" s="28">
        <v>44.521999999999998</v>
      </c>
      <c r="C533" s="28">
        <v>64.748000000000005</v>
      </c>
      <c r="D533" s="27" t="s">
        <v>1282</v>
      </c>
    </row>
    <row r="534" spans="1:4">
      <c r="A534" s="28">
        <v>35.756</v>
      </c>
      <c r="B534" s="28">
        <v>0.109</v>
      </c>
      <c r="C534" s="28">
        <v>1.3320000000000001</v>
      </c>
      <c r="D534" s="27" t="s">
        <v>1283</v>
      </c>
    </row>
    <row r="535" spans="1:4">
      <c r="A535" s="28">
        <v>26.765999999999998</v>
      </c>
      <c r="B535" s="28">
        <v>42.393999999999998</v>
      </c>
      <c r="C535" s="28">
        <v>0.1</v>
      </c>
      <c r="D535" s="27" t="s">
        <v>1283</v>
      </c>
    </row>
    <row r="536" spans="1:4">
      <c r="A536" s="28">
        <v>15.634</v>
      </c>
      <c r="B536" s="28">
        <v>2.9340000000000002</v>
      </c>
      <c r="C536" s="28">
        <v>0.33400000000000002</v>
      </c>
      <c r="D536" s="27" t="s">
        <v>1283</v>
      </c>
    </row>
    <row r="537" spans="1:4">
      <c r="A537" s="28">
        <v>19.007000000000001</v>
      </c>
      <c r="B537" s="28">
        <v>0</v>
      </c>
      <c r="C537" s="28">
        <v>28.212</v>
      </c>
      <c r="D537" s="27" t="s">
        <v>1283</v>
      </c>
    </row>
    <row r="538" spans="1:4">
      <c r="A538" s="28">
        <v>22.405000000000001</v>
      </c>
      <c r="B538" s="28">
        <v>7.7389999999999999</v>
      </c>
      <c r="C538" s="28">
        <v>18.472000000000001</v>
      </c>
      <c r="D538" s="27" t="s">
        <v>1283</v>
      </c>
    </row>
    <row r="539" spans="1:4">
      <c r="A539" s="28">
        <v>23.864000000000001</v>
      </c>
      <c r="B539" s="28">
        <v>0</v>
      </c>
      <c r="C539" s="28">
        <v>0.14099999999999999</v>
      </c>
      <c r="D539" s="27" t="s">
        <v>1283</v>
      </c>
    </row>
    <row r="540" spans="1:4">
      <c r="A540" s="28">
        <v>25.591000000000001</v>
      </c>
      <c r="B540" s="28">
        <v>0</v>
      </c>
      <c r="C540" s="28">
        <v>31.922000000000001</v>
      </c>
      <c r="D540" s="27" t="s">
        <v>1283</v>
      </c>
    </row>
    <row r="541" spans="1:4">
      <c r="A541" s="28">
        <v>15.978999999999999</v>
      </c>
      <c r="B541" s="28">
        <v>15.028</v>
      </c>
      <c r="C541" s="28">
        <v>70.805999999999997</v>
      </c>
      <c r="D541" s="27" t="s">
        <v>1283</v>
      </c>
    </row>
    <row r="542" spans="1:4">
      <c r="A542" s="28">
        <v>16.419</v>
      </c>
      <c r="B542" s="28">
        <v>3.1859999999999999</v>
      </c>
      <c r="C542" s="28">
        <v>11.682</v>
      </c>
      <c r="D542" s="27" t="s">
        <v>1283</v>
      </c>
    </row>
    <row r="543" spans="1:4">
      <c r="A543" s="28">
        <v>62.008000000000003</v>
      </c>
      <c r="B543" s="28">
        <v>0</v>
      </c>
      <c r="C543" s="28">
        <v>1E-3</v>
      </c>
      <c r="D543" s="27" t="s">
        <v>1284</v>
      </c>
    </row>
    <row r="544" spans="1:4">
      <c r="A544" s="28">
        <v>40.780999999999999</v>
      </c>
      <c r="B544" s="28">
        <v>31.486000000000001</v>
      </c>
      <c r="C544" s="28">
        <v>17.064</v>
      </c>
      <c r="D544" s="27" t="s">
        <v>1284</v>
      </c>
    </row>
    <row r="545" spans="1:4">
      <c r="A545" s="28">
        <v>49.521999999999998</v>
      </c>
      <c r="B545" s="28">
        <v>21.834</v>
      </c>
      <c r="C545" s="28">
        <v>0</v>
      </c>
      <c r="D545" s="27" t="s">
        <v>1284</v>
      </c>
    </row>
    <row r="546" spans="1:4">
      <c r="A546" s="28">
        <v>44.256</v>
      </c>
      <c r="B546" s="28">
        <v>0</v>
      </c>
      <c r="C546" s="28">
        <v>0</v>
      </c>
      <c r="D546" s="27" t="s">
        <v>1284</v>
      </c>
    </row>
    <row r="547" spans="1:4">
      <c r="A547" s="28">
        <v>23.413</v>
      </c>
      <c r="B547" s="28">
        <v>30.443000000000001</v>
      </c>
      <c r="C547" s="28">
        <v>3.0000000000000001E-3</v>
      </c>
      <c r="D547" s="27" t="s">
        <v>1284</v>
      </c>
    </row>
    <row r="548" spans="1:4">
      <c r="A548" s="28">
        <v>0</v>
      </c>
      <c r="B548" s="28">
        <v>0</v>
      </c>
      <c r="C548" s="28">
        <v>0</v>
      </c>
      <c r="D548" s="27" t="s">
        <v>1284</v>
      </c>
    </row>
    <row r="549" spans="1:4">
      <c r="A549" s="28">
        <v>0</v>
      </c>
      <c r="B549" s="28">
        <v>0</v>
      </c>
      <c r="C549" s="28">
        <v>0</v>
      </c>
      <c r="D549" s="27" t="s">
        <v>1284</v>
      </c>
    </row>
    <row r="550" spans="1:4">
      <c r="A550" s="28">
        <v>17.14</v>
      </c>
      <c r="B550" s="28">
        <v>0</v>
      </c>
      <c r="C550" s="28">
        <v>0</v>
      </c>
      <c r="D550" s="27" t="s">
        <v>1284</v>
      </c>
    </row>
    <row r="551" spans="1:4">
      <c r="A551" s="28">
        <v>18.152000000000001</v>
      </c>
      <c r="B551" s="28">
        <v>0</v>
      </c>
      <c r="C551" s="28">
        <v>0</v>
      </c>
      <c r="D551" s="27" t="s">
        <v>1284</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551"/>
  <sheetViews>
    <sheetView topLeftCell="A200" workbookViewId="0">
      <selection activeCell="R107" sqref="R107"/>
    </sheetView>
  </sheetViews>
  <sheetFormatPr defaultColWidth="9.28515625" defaultRowHeight="12.75"/>
  <cols>
    <col min="1" max="1" width="10" style="27" bestFit="1" customWidth="1"/>
    <col min="2" max="3" width="9.28515625" style="27" bestFit="1" customWidth="1"/>
    <col min="4" max="4" width="30.28515625" style="27" bestFit="1" customWidth="1"/>
    <col min="5" max="6" width="9.28515625" style="27"/>
    <col min="7" max="9" width="9.28515625" style="27" bestFit="1" customWidth="1"/>
    <col min="10" max="10" width="9.28515625" style="27"/>
    <col min="11" max="11" width="9.28515625" style="27" bestFit="1" customWidth="1"/>
    <col min="12" max="16384" width="9.28515625" style="27"/>
  </cols>
  <sheetData>
    <row r="1" spans="1:1">
      <c r="A1" s="27" t="s">
        <v>1504</v>
      </c>
    </row>
    <row r="2" spans="1:1">
      <c r="A2" s="27" t="s">
        <v>1213</v>
      </c>
    </row>
    <row r="3" spans="1:1">
      <c r="A3" s="27" t="s">
        <v>1505</v>
      </c>
    </row>
    <row r="4" spans="1:1">
      <c r="A4" s="27" t="s">
        <v>1215</v>
      </c>
    </row>
    <row r="5" spans="1:1">
      <c r="A5" s="27" t="s">
        <v>1506</v>
      </c>
    </row>
    <row r="6" spans="1:1">
      <c r="A6" s="27" t="s">
        <v>1507</v>
      </c>
    </row>
    <row r="7" spans="1:1">
      <c r="A7" s="27" t="s">
        <v>1508</v>
      </c>
    </row>
    <row r="8" spans="1:1">
      <c r="A8" s="27" t="s">
        <v>1509</v>
      </c>
    </row>
    <row r="9" spans="1:1">
      <c r="A9" s="27" t="s">
        <v>1510</v>
      </c>
    </row>
    <row r="10" spans="1:1">
      <c r="A10" s="27" t="s">
        <v>1511</v>
      </c>
    </row>
    <row r="11" spans="1:1">
      <c r="A11" s="27" t="s">
        <v>1512</v>
      </c>
    </row>
    <row r="12" spans="1:1">
      <c r="A12" s="27" t="s">
        <v>1513</v>
      </c>
    </row>
    <row r="18" spans="1:4">
      <c r="A18" s="27" t="s">
        <v>1285</v>
      </c>
      <c r="B18" s="27" t="s">
        <v>1516</v>
      </c>
      <c r="C18" s="27" t="s">
        <v>1287</v>
      </c>
    </row>
    <row r="19" spans="1:4">
      <c r="A19" s="27" t="s">
        <v>1288</v>
      </c>
      <c r="B19" s="27" t="s">
        <v>1288</v>
      </c>
      <c r="C19" s="27" t="s">
        <v>1289</v>
      </c>
      <c r="D19" s="27" t="s">
        <v>1290</v>
      </c>
    </row>
    <row r="20" spans="1:4">
      <c r="A20" s="27" t="s">
        <v>1514</v>
      </c>
    </row>
    <row r="21" spans="1:4">
      <c r="A21" s="27">
        <v>126206</v>
      </c>
      <c r="B21" s="27">
        <v>303433</v>
      </c>
      <c r="C21" s="27">
        <v>0</v>
      </c>
      <c r="D21" s="27" t="s">
        <v>1226</v>
      </c>
    </row>
    <row r="22" spans="1:4">
      <c r="A22" s="27">
        <v>668621</v>
      </c>
      <c r="B22" s="27">
        <v>853248</v>
      </c>
      <c r="C22" s="27">
        <v>51609</v>
      </c>
      <c r="D22" s="27" t="s">
        <v>1226</v>
      </c>
    </row>
    <row r="23" spans="1:4">
      <c r="A23" s="27">
        <v>1052760</v>
      </c>
      <c r="B23" s="27">
        <v>1319991</v>
      </c>
      <c r="C23" s="27">
        <v>62910</v>
      </c>
      <c r="D23" s="27" t="s">
        <v>1226</v>
      </c>
    </row>
    <row r="24" spans="1:4">
      <c r="A24" s="27">
        <v>760675</v>
      </c>
      <c r="B24" s="27">
        <v>655203</v>
      </c>
      <c r="C24" s="27">
        <v>89410</v>
      </c>
      <c r="D24" s="27" t="s">
        <v>1226</v>
      </c>
    </row>
    <row r="25" spans="1:4">
      <c r="A25" s="27">
        <v>4777770</v>
      </c>
      <c r="B25" s="27">
        <v>2741868</v>
      </c>
      <c r="C25" s="27">
        <v>1365483</v>
      </c>
      <c r="D25" s="27" t="s">
        <v>1226</v>
      </c>
    </row>
    <row r="26" spans="1:4">
      <c r="A26" s="27">
        <v>1496400</v>
      </c>
      <c r="B26" s="27">
        <v>651670</v>
      </c>
      <c r="C26" s="27">
        <v>390611</v>
      </c>
      <c r="D26" s="27" t="s">
        <v>1226</v>
      </c>
    </row>
    <row r="27" spans="1:4">
      <c r="A27" s="27">
        <v>3174458</v>
      </c>
      <c r="B27" s="27">
        <v>2137843</v>
      </c>
      <c r="C27" s="27">
        <v>570587</v>
      </c>
      <c r="D27" s="27" t="s">
        <v>1226</v>
      </c>
    </row>
    <row r="28" spans="1:4">
      <c r="A28" s="27">
        <v>767769</v>
      </c>
      <c r="B28" s="27">
        <v>557795</v>
      </c>
      <c r="C28" s="27">
        <v>170873</v>
      </c>
      <c r="D28" s="27" t="s">
        <v>1226</v>
      </c>
    </row>
    <row r="29" spans="1:4">
      <c r="A29" s="27">
        <v>1911212</v>
      </c>
      <c r="B29" s="27">
        <v>2580399</v>
      </c>
      <c r="C29" s="27">
        <v>387381</v>
      </c>
      <c r="D29" s="27" t="s">
        <v>1226</v>
      </c>
    </row>
    <row r="30" spans="1:4">
      <c r="A30" s="27">
        <v>2639</v>
      </c>
      <c r="B30" s="27">
        <v>4066</v>
      </c>
      <c r="C30" s="27">
        <v>0</v>
      </c>
      <c r="D30" s="27" t="s">
        <v>1227</v>
      </c>
    </row>
    <row r="31" spans="1:4">
      <c r="A31" s="27">
        <v>205579</v>
      </c>
      <c r="B31" s="27">
        <v>80453</v>
      </c>
      <c r="C31" s="27">
        <v>0</v>
      </c>
      <c r="D31" s="27" t="s">
        <v>1227</v>
      </c>
    </row>
    <row r="32" spans="1:4">
      <c r="A32" s="27">
        <v>198302</v>
      </c>
      <c r="B32" s="27">
        <v>17881</v>
      </c>
      <c r="C32" s="27">
        <v>0</v>
      </c>
      <c r="D32" s="27" t="s">
        <v>1227</v>
      </c>
    </row>
    <row r="33" spans="1:4">
      <c r="A33" s="27">
        <v>130032</v>
      </c>
      <c r="B33" s="27">
        <v>18511</v>
      </c>
      <c r="C33" s="27">
        <v>9306</v>
      </c>
      <c r="D33" s="27" t="s">
        <v>1227</v>
      </c>
    </row>
    <row r="34" spans="1:4">
      <c r="A34" s="27">
        <v>4138593</v>
      </c>
      <c r="B34" s="27">
        <v>749966</v>
      </c>
      <c r="C34" s="27">
        <v>626922</v>
      </c>
      <c r="D34" s="27" t="s">
        <v>1227</v>
      </c>
    </row>
    <row r="35" spans="1:4">
      <c r="A35" s="27">
        <v>1050730</v>
      </c>
      <c r="B35" s="27">
        <v>92223</v>
      </c>
      <c r="C35" s="27">
        <v>73812</v>
      </c>
      <c r="D35" s="27" t="s">
        <v>1227</v>
      </c>
    </row>
    <row r="36" spans="1:4">
      <c r="A36" s="27">
        <v>346201</v>
      </c>
      <c r="B36" s="27">
        <v>71729</v>
      </c>
      <c r="C36" s="27">
        <v>40129</v>
      </c>
      <c r="D36" s="27" t="s">
        <v>1227</v>
      </c>
    </row>
    <row r="37" spans="1:4">
      <c r="A37" s="27">
        <v>544498</v>
      </c>
      <c r="B37" s="27">
        <v>57183</v>
      </c>
      <c r="C37" s="27">
        <v>106797</v>
      </c>
      <c r="D37" s="27" t="s">
        <v>1227</v>
      </c>
    </row>
    <row r="38" spans="1:4">
      <c r="A38" s="27">
        <v>389067</v>
      </c>
      <c r="B38" s="27">
        <v>67779</v>
      </c>
      <c r="C38" s="27">
        <v>77440</v>
      </c>
      <c r="D38" s="27" t="s">
        <v>1227</v>
      </c>
    </row>
    <row r="39" spans="1:4">
      <c r="A39" s="27">
        <v>543051</v>
      </c>
      <c r="B39" s="27">
        <v>398627</v>
      </c>
      <c r="C39" s="27">
        <v>15782</v>
      </c>
      <c r="D39" s="27" t="s">
        <v>1228</v>
      </c>
    </row>
    <row r="40" spans="1:4">
      <c r="A40" s="27">
        <v>3969078</v>
      </c>
      <c r="B40" s="27">
        <v>1142480</v>
      </c>
      <c r="C40" s="27">
        <v>65568</v>
      </c>
      <c r="D40" s="27" t="s">
        <v>1228</v>
      </c>
    </row>
    <row r="41" spans="1:4">
      <c r="A41" s="27">
        <v>9457930</v>
      </c>
      <c r="B41" s="27">
        <v>1904950</v>
      </c>
      <c r="C41" s="27">
        <v>326361</v>
      </c>
      <c r="D41" s="27" t="s">
        <v>1228</v>
      </c>
    </row>
    <row r="42" spans="1:4">
      <c r="A42" s="27">
        <v>3602457</v>
      </c>
      <c r="B42" s="27">
        <v>378608</v>
      </c>
      <c r="C42" s="27">
        <v>216242</v>
      </c>
      <c r="D42" s="27" t="s">
        <v>1228</v>
      </c>
    </row>
    <row r="43" spans="1:4">
      <c r="A43" s="27">
        <v>3966313</v>
      </c>
      <c r="B43" s="27">
        <v>705876</v>
      </c>
      <c r="C43" s="27">
        <v>67720</v>
      </c>
      <c r="D43" s="27" t="s">
        <v>1228</v>
      </c>
    </row>
    <row r="44" spans="1:4">
      <c r="A44" s="27">
        <v>1754067</v>
      </c>
      <c r="B44" s="27">
        <v>168393</v>
      </c>
      <c r="C44" s="27">
        <v>40422</v>
      </c>
      <c r="D44" s="27" t="s">
        <v>1228</v>
      </c>
    </row>
    <row r="45" spans="1:4">
      <c r="A45" s="27">
        <v>4022964</v>
      </c>
      <c r="B45" s="27">
        <v>483727</v>
      </c>
      <c r="C45" s="27">
        <v>119192</v>
      </c>
      <c r="D45" s="27" t="s">
        <v>1228</v>
      </c>
    </row>
    <row r="46" spans="1:4">
      <c r="A46" s="27">
        <v>3542600</v>
      </c>
      <c r="B46" s="27">
        <v>556608</v>
      </c>
      <c r="C46" s="27">
        <v>275044</v>
      </c>
      <c r="D46" s="27" t="s">
        <v>1228</v>
      </c>
    </row>
    <row r="47" spans="1:4">
      <c r="A47" s="27">
        <v>5956738</v>
      </c>
      <c r="B47" s="27">
        <v>979652</v>
      </c>
      <c r="C47" s="27">
        <v>136942</v>
      </c>
      <c r="D47" s="27" t="s">
        <v>1228</v>
      </c>
    </row>
    <row r="48" spans="1:4">
      <c r="A48" s="27">
        <v>417465</v>
      </c>
      <c r="B48" s="27">
        <v>857599</v>
      </c>
      <c r="C48" s="27">
        <v>3631</v>
      </c>
      <c r="D48" s="27" t="s">
        <v>1229</v>
      </c>
    </row>
    <row r="49" spans="1:4">
      <c r="A49" s="27">
        <v>1421102</v>
      </c>
      <c r="B49" s="27">
        <v>1915210</v>
      </c>
      <c r="C49" s="27">
        <v>0</v>
      </c>
      <c r="D49" s="27" t="s">
        <v>1229</v>
      </c>
    </row>
    <row r="50" spans="1:4">
      <c r="A50" s="27">
        <v>597684</v>
      </c>
      <c r="B50" s="27">
        <v>820300</v>
      </c>
      <c r="C50" s="27">
        <v>0</v>
      </c>
      <c r="D50" s="27" t="s">
        <v>1229</v>
      </c>
    </row>
    <row r="51" spans="1:4">
      <c r="A51" s="27">
        <v>243539</v>
      </c>
      <c r="B51" s="27">
        <v>289475</v>
      </c>
      <c r="C51" s="27">
        <v>16907</v>
      </c>
      <c r="D51" s="27" t="s">
        <v>1229</v>
      </c>
    </row>
    <row r="52" spans="1:4">
      <c r="A52" s="27">
        <v>405084</v>
      </c>
      <c r="B52" s="27">
        <v>244174</v>
      </c>
      <c r="C52" s="27">
        <v>63301</v>
      </c>
      <c r="D52" s="27" t="s">
        <v>1229</v>
      </c>
    </row>
    <row r="53" spans="1:4">
      <c r="A53" s="27">
        <v>170426</v>
      </c>
      <c r="B53" s="27">
        <v>10602</v>
      </c>
      <c r="C53" s="27">
        <v>15637</v>
      </c>
      <c r="D53" s="27" t="s">
        <v>1229</v>
      </c>
    </row>
    <row r="54" spans="1:4">
      <c r="A54" s="27">
        <v>808047</v>
      </c>
      <c r="B54" s="27">
        <v>129049</v>
      </c>
      <c r="C54" s="27">
        <v>0</v>
      </c>
      <c r="D54" s="27" t="s">
        <v>1229</v>
      </c>
    </row>
    <row r="55" spans="1:4">
      <c r="A55" s="27">
        <v>419747</v>
      </c>
      <c r="B55" s="27">
        <v>25489</v>
      </c>
      <c r="C55" s="27">
        <v>0</v>
      </c>
      <c r="D55" s="27" t="s">
        <v>1229</v>
      </c>
    </row>
    <row r="56" spans="1:4">
      <c r="A56" s="27">
        <v>1315433</v>
      </c>
      <c r="B56" s="27">
        <v>1190373</v>
      </c>
      <c r="C56" s="27">
        <v>16255</v>
      </c>
      <c r="D56" s="27" t="s">
        <v>1229</v>
      </c>
    </row>
    <row r="57" spans="1:4">
      <c r="A57" s="27">
        <v>46922</v>
      </c>
      <c r="B57" s="27">
        <v>8834</v>
      </c>
      <c r="C57" s="27">
        <v>24904</v>
      </c>
      <c r="D57" s="27" t="s">
        <v>1230</v>
      </c>
    </row>
    <row r="58" spans="1:4">
      <c r="A58" s="27">
        <v>63233</v>
      </c>
      <c r="B58" s="27">
        <v>10807</v>
      </c>
      <c r="C58" s="27">
        <v>159559</v>
      </c>
      <c r="D58" s="27" t="s">
        <v>1230</v>
      </c>
    </row>
    <row r="59" spans="1:4">
      <c r="A59" s="27">
        <v>0</v>
      </c>
      <c r="B59" s="27">
        <v>0</v>
      </c>
      <c r="C59" s="27">
        <v>0</v>
      </c>
      <c r="D59" s="27" t="s">
        <v>1230</v>
      </c>
    </row>
    <row r="60" spans="1:4">
      <c r="A60" s="27">
        <v>0</v>
      </c>
      <c r="B60" s="27">
        <v>0</v>
      </c>
      <c r="C60" s="27">
        <v>0</v>
      </c>
      <c r="D60" s="27" t="s">
        <v>1230</v>
      </c>
    </row>
    <row r="61" spans="1:4">
      <c r="A61" s="27">
        <v>107310</v>
      </c>
      <c r="B61" s="27">
        <v>0</v>
      </c>
      <c r="C61" s="27">
        <v>32712</v>
      </c>
      <c r="D61" s="27" t="s">
        <v>1230</v>
      </c>
    </row>
    <row r="62" spans="1:4">
      <c r="A62" s="27">
        <v>12110</v>
      </c>
      <c r="B62" s="27">
        <v>0</v>
      </c>
      <c r="C62" s="27">
        <v>0</v>
      </c>
      <c r="D62" s="27" t="s">
        <v>1230</v>
      </c>
    </row>
    <row r="63" spans="1:4">
      <c r="A63" s="27">
        <v>0</v>
      </c>
      <c r="B63" s="27">
        <v>0</v>
      </c>
      <c r="C63" s="27">
        <v>0</v>
      </c>
      <c r="D63" s="27" t="s">
        <v>1230</v>
      </c>
    </row>
    <row r="64" spans="1:4">
      <c r="A64" s="27">
        <v>0</v>
      </c>
      <c r="B64" s="27">
        <v>0</v>
      </c>
      <c r="C64" s="27">
        <v>0</v>
      </c>
      <c r="D64" s="27" t="s">
        <v>1230</v>
      </c>
    </row>
    <row r="65" spans="1:4">
      <c r="A65" s="27">
        <v>7131</v>
      </c>
      <c r="B65" s="27">
        <v>8913</v>
      </c>
      <c r="C65" s="27">
        <v>15042</v>
      </c>
      <c r="D65" s="27" t="s">
        <v>1230</v>
      </c>
    </row>
    <row r="66" spans="1:4">
      <c r="A66" s="27">
        <v>96490</v>
      </c>
      <c r="B66" s="27">
        <v>66306</v>
      </c>
      <c r="C66" s="27">
        <v>4266</v>
      </c>
      <c r="D66" s="27" t="s">
        <v>1231</v>
      </c>
    </row>
    <row r="67" spans="1:4">
      <c r="A67" s="27">
        <v>446500</v>
      </c>
      <c r="B67" s="27">
        <v>10551</v>
      </c>
      <c r="C67" s="27">
        <v>120438</v>
      </c>
      <c r="D67" s="27" t="s">
        <v>1231</v>
      </c>
    </row>
    <row r="68" spans="1:4">
      <c r="A68" s="27">
        <v>913336</v>
      </c>
      <c r="B68" s="27">
        <v>61015</v>
      </c>
      <c r="C68" s="27">
        <v>112202</v>
      </c>
      <c r="D68" s="27" t="s">
        <v>1231</v>
      </c>
    </row>
    <row r="69" spans="1:4">
      <c r="A69" s="27">
        <v>875643</v>
      </c>
      <c r="B69" s="27">
        <v>8317</v>
      </c>
      <c r="C69" s="27">
        <v>143019</v>
      </c>
      <c r="D69" s="27" t="s">
        <v>1231</v>
      </c>
    </row>
    <row r="70" spans="1:4">
      <c r="A70" s="27">
        <v>496301</v>
      </c>
      <c r="B70" s="27">
        <v>14467</v>
      </c>
      <c r="C70" s="27">
        <v>163043</v>
      </c>
      <c r="D70" s="27" t="s">
        <v>1231</v>
      </c>
    </row>
    <row r="71" spans="1:4">
      <c r="A71" s="27">
        <v>602041</v>
      </c>
      <c r="B71" s="27">
        <v>0</v>
      </c>
      <c r="C71" s="27">
        <v>117901</v>
      </c>
      <c r="D71" s="27" t="s">
        <v>1231</v>
      </c>
    </row>
    <row r="72" spans="1:4">
      <c r="A72" s="27">
        <v>455740</v>
      </c>
      <c r="B72" s="27">
        <v>0</v>
      </c>
      <c r="C72" s="27">
        <v>48138</v>
      </c>
      <c r="D72" s="27" t="s">
        <v>1231</v>
      </c>
    </row>
    <row r="73" spans="1:4">
      <c r="A73" s="27">
        <v>387981</v>
      </c>
      <c r="B73" s="27">
        <v>53483</v>
      </c>
      <c r="C73" s="27">
        <v>81131</v>
      </c>
      <c r="D73" s="27" t="s">
        <v>1231</v>
      </c>
    </row>
    <row r="74" spans="1:4">
      <c r="A74" s="27">
        <v>272256</v>
      </c>
      <c r="B74" s="27">
        <v>21753</v>
      </c>
      <c r="C74" s="27">
        <v>40246</v>
      </c>
      <c r="D74" s="27" t="s">
        <v>1231</v>
      </c>
    </row>
    <row r="75" spans="1:4">
      <c r="A75" s="27">
        <v>690802</v>
      </c>
      <c r="B75" s="27">
        <v>88159</v>
      </c>
      <c r="C75" s="27">
        <v>29687</v>
      </c>
      <c r="D75" s="27" t="s">
        <v>1232</v>
      </c>
    </row>
    <row r="76" spans="1:4">
      <c r="A76" s="27">
        <v>786526</v>
      </c>
      <c r="B76" s="27">
        <v>203501</v>
      </c>
      <c r="C76" s="27">
        <v>16064</v>
      </c>
      <c r="D76" s="27" t="s">
        <v>1232</v>
      </c>
    </row>
    <row r="77" spans="1:4">
      <c r="A77" s="27">
        <v>252267</v>
      </c>
      <c r="B77" s="27">
        <v>10574</v>
      </c>
      <c r="C77" s="27">
        <v>0</v>
      </c>
      <c r="D77" s="27" t="s">
        <v>1232</v>
      </c>
    </row>
    <row r="78" spans="1:4">
      <c r="A78" s="27">
        <v>100113</v>
      </c>
      <c r="B78" s="27">
        <v>0</v>
      </c>
      <c r="C78" s="27">
        <v>0</v>
      </c>
      <c r="D78" s="27" t="s">
        <v>1232</v>
      </c>
    </row>
    <row r="79" spans="1:4">
      <c r="A79" s="27">
        <v>387196</v>
      </c>
      <c r="B79" s="27">
        <v>0</v>
      </c>
      <c r="C79" s="27">
        <v>0</v>
      </c>
      <c r="D79" s="27" t="s">
        <v>1232</v>
      </c>
    </row>
    <row r="80" spans="1:4">
      <c r="A80" s="27">
        <v>0</v>
      </c>
      <c r="B80" s="27">
        <v>0</v>
      </c>
      <c r="C80" s="27">
        <v>0</v>
      </c>
      <c r="D80" s="27" t="s">
        <v>1232</v>
      </c>
    </row>
    <row r="81" spans="1:4">
      <c r="A81" s="27">
        <v>0</v>
      </c>
      <c r="B81" s="27">
        <v>0</v>
      </c>
      <c r="C81" s="27">
        <v>0</v>
      </c>
      <c r="D81" s="27" t="s">
        <v>1232</v>
      </c>
    </row>
    <row r="82" spans="1:4">
      <c r="A82" s="27">
        <v>26365</v>
      </c>
      <c r="B82" s="27">
        <v>0</v>
      </c>
      <c r="C82" s="27">
        <v>0</v>
      </c>
      <c r="D82" s="27" t="s">
        <v>1232</v>
      </c>
    </row>
    <row r="83" spans="1:4">
      <c r="A83" s="27">
        <v>84370</v>
      </c>
      <c r="B83" s="27">
        <v>0</v>
      </c>
      <c r="C83" s="27">
        <v>0</v>
      </c>
      <c r="D83" s="27" t="s">
        <v>1232</v>
      </c>
    </row>
    <row r="84" spans="1:4">
      <c r="A84" s="27">
        <v>1160522</v>
      </c>
      <c r="B84" s="27">
        <v>318220</v>
      </c>
      <c r="C84" s="27">
        <v>6166</v>
      </c>
      <c r="D84" s="27" t="s">
        <v>1233</v>
      </c>
    </row>
    <row r="85" spans="1:4">
      <c r="A85" s="27">
        <v>1271386</v>
      </c>
      <c r="B85" s="27">
        <v>1142580</v>
      </c>
      <c r="C85" s="27">
        <v>0</v>
      </c>
      <c r="D85" s="27" t="s">
        <v>1233</v>
      </c>
    </row>
    <row r="86" spans="1:4">
      <c r="A86" s="27">
        <v>49947</v>
      </c>
      <c r="B86" s="27">
        <v>0</v>
      </c>
      <c r="C86" s="27">
        <v>0</v>
      </c>
      <c r="D86" s="27" t="s">
        <v>1233</v>
      </c>
    </row>
    <row r="87" spans="1:4">
      <c r="A87" s="27">
        <v>41616</v>
      </c>
      <c r="B87" s="27">
        <v>20347</v>
      </c>
      <c r="C87" s="27">
        <v>0</v>
      </c>
      <c r="D87" s="27" t="s">
        <v>1233</v>
      </c>
    </row>
    <row r="88" spans="1:4">
      <c r="A88" s="27">
        <v>206185</v>
      </c>
      <c r="B88" s="27">
        <v>15361</v>
      </c>
      <c r="C88" s="27">
        <v>0</v>
      </c>
      <c r="D88" s="27" t="s">
        <v>1233</v>
      </c>
    </row>
    <row r="89" spans="1:4">
      <c r="A89" s="27">
        <v>0</v>
      </c>
      <c r="B89" s="27">
        <v>0</v>
      </c>
      <c r="C89" s="27">
        <v>0</v>
      </c>
      <c r="D89" s="27" t="s">
        <v>1233</v>
      </c>
    </row>
    <row r="90" spans="1:4">
      <c r="A90" s="27">
        <v>0</v>
      </c>
      <c r="B90" s="27">
        <v>0</v>
      </c>
      <c r="C90" s="27">
        <v>0</v>
      </c>
      <c r="D90" s="27" t="s">
        <v>1233</v>
      </c>
    </row>
    <row r="91" spans="1:4">
      <c r="A91" s="27">
        <v>0</v>
      </c>
      <c r="B91" s="27">
        <v>0</v>
      </c>
      <c r="C91" s="27">
        <v>0</v>
      </c>
      <c r="D91" s="27" t="s">
        <v>1233</v>
      </c>
    </row>
    <row r="92" spans="1:4">
      <c r="A92" s="27">
        <v>17720</v>
      </c>
      <c r="B92" s="27">
        <v>0</v>
      </c>
      <c r="C92" s="27">
        <v>0</v>
      </c>
      <c r="D92" s="27" t="s">
        <v>1233</v>
      </c>
    </row>
    <row r="93" spans="1:4">
      <c r="A93" s="27">
        <v>267558</v>
      </c>
      <c r="B93" s="27">
        <v>0</v>
      </c>
      <c r="C93" s="27">
        <v>0</v>
      </c>
      <c r="D93" s="27" t="s">
        <v>1234</v>
      </c>
    </row>
    <row r="94" spans="1:4">
      <c r="A94" s="27">
        <v>334264</v>
      </c>
      <c r="B94" s="27">
        <v>0</v>
      </c>
      <c r="C94" s="27">
        <v>22106</v>
      </c>
      <c r="D94" s="27" t="s">
        <v>1234</v>
      </c>
    </row>
    <row r="95" spans="1:4">
      <c r="A95" s="27">
        <v>321984</v>
      </c>
      <c r="B95" s="27">
        <v>11026</v>
      </c>
      <c r="C95" s="27">
        <v>57328</v>
      </c>
      <c r="D95" s="27" t="s">
        <v>1234</v>
      </c>
    </row>
    <row r="96" spans="1:4">
      <c r="A96" s="27">
        <v>221229</v>
      </c>
      <c r="B96" s="27">
        <v>0</v>
      </c>
      <c r="C96" s="27">
        <v>14142</v>
      </c>
      <c r="D96" s="27" t="s">
        <v>1234</v>
      </c>
    </row>
    <row r="97" spans="1:4">
      <c r="A97" s="27">
        <v>330342</v>
      </c>
      <c r="B97" s="27">
        <v>6344</v>
      </c>
      <c r="C97" s="27">
        <v>49289</v>
      </c>
      <c r="D97" s="27" t="s">
        <v>1234</v>
      </c>
    </row>
    <row r="98" spans="1:4">
      <c r="A98" s="27">
        <v>221769</v>
      </c>
      <c r="B98" s="27">
        <v>0</v>
      </c>
      <c r="C98" s="27">
        <v>20088</v>
      </c>
      <c r="D98" s="27" t="s">
        <v>1234</v>
      </c>
    </row>
    <row r="99" spans="1:4">
      <c r="A99" s="27">
        <v>127955</v>
      </c>
      <c r="B99" s="27">
        <v>0</v>
      </c>
      <c r="C99" s="27">
        <v>51285</v>
      </c>
      <c r="D99" s="27" t="s">
        <v>1234</v>
      </c>
    </row>
    <row r="100" spans="1:4">
      <c r="A100" s="27">
        <v>189761</v>
      </c>
      <c r="B100" s="27">
        <v>0</v>
      </c>
      <c r="C100" s="27">
        <v>7421</v>
      </c>
      <c r="D100" s="27" t="s">
        <v>1234</v>
      </c>
    </row>
    <row r="101" spans="1:4">
      <c r="A101" s="27">
        <v>535473</v>
      </c>
      <c r="B101" s="27">
        <v>0</v>
      </c>
      <c r="C101" s="27">
        <v>65171</v>
      </c>
      <c r="D101" s="27" t="s">
        <v>1234</v>
      </c>
    </row>
    <row r="102" spans="1:4">
      <c r="A102" s="27">
        <v>6603</v>
      </c>
      <c r="B102" s="27">
        <v>0</v>
      </c>
      <c r="C102" s="27">
        <v>0</v>
      </c>
      <c r="D102" s="27" t="s">
        <v>1235</v>
      </c>
    </row>
    <row r="103" spans="1:4">
      <c r="A103" s="27">
        <v>99423</v>
      </c>
      <c r="B103" s="27">
        <v>0</v>
      </c>
      <c r="C103" s="27">
        <v>0</v>
      </c>
      <c r="D103" s="27" t="s">
        <v>1235</v>
      </c>
    </row>
    <row r="104" spans="1:4">
      <c r="A104" s="27">
        <v>112580</v>
      </c>
      <c r="B104" s="27">
        <v>0</v>
      </c>
      <c r="C104" s="27">
        <v>0</v>
      </c>
      <c r="D104" s="27" t="s">
        <v>1235</v>
      </c>
    </row>
    <row r="105" spans="1:4">
      <c r="A105" s="27">
        <v>127509</v>
      </c>
      <c r="B105" s="27">
        <v>0</v>
      </c>
      <c r="C105" s="27">
        <v>0</v>
      </c>
      <c r="D105" s="27" t="s">
        <v>1235</v>
      </c>
    </row>
    <row r="106" spans="1:4">
      <c r="A106" s="27">
        <v>92917</v>
      </c>
      <c r="B106" s="27">
        <v>0</v>
      </c>
      <c r="C106" s="27">
        <v>0</v>
      </c>
      <c r="D106" s="27" t="s">
        <v>1235</v>
      </c>
    </row>
    <row r="107" spans="1:4">
      <c r="A107" s="27">
        <v>108807</v>
      </c>
      <c r="B107" s="27">
        <v>0</v>
      </c>
      <c r="C107" s="27">
        <v>0</v>
      </c>
      <c r="D107" s="27" t="s">
        <v>1235</v>
      </c>
    </row>
    <row r="108" spans="1:4">
      <c r="A108" s="27">
        <v>75853</v>
      </c>
      <c r="B108" s="27">
        <v>0</v>
      </c>
      <c r="C108" s="27">
        <v>0</v>
      </c>
      <c r="D108" s="27" t="s">
        <v>1235</v>
      </c>
    </row>
    <row r="109" spans="1:4">
      <c r="A109" s="27">
        <v>48037</v>
      </c>
      <c r="B109" s="27">
        <v>0</v>
      </c>
      <c r="C109" s="27">
        <v>0</v>
      </c>
      <c r="D109" s="27" t="s">
        <v>1235</v>
      </c>
    </row>
    <row r="110" spans="1:4">
      <c r="A110" s="27">
        <v>27439</v>
      </c>
      <c r="B110" s="27">
        <v>0</v>
      </c>
      <c r="C110" s="27">
        <v>0</v>
      </c>
      <c r="D110" s="27" t="s">
        <v>1235</v>
      </c>
    </row>
    <row r="111" spans="1:4">
      <c r="A111" s="27">
        <v>0</v>
      </c>
      <c r="B111" s="27">
        <v>0</v>
      </c>
      <c r="C111" s="27">
        <v>0</v>
      </c>
      <c r="D111" s="27" t="s">
        <v>1236</v>
      </c>
    </row>
    <row r="112" spans="1:4">
      <c r="A112" s="27">
        <v>0</v>
      </c>
      <c r="B112" s="27">
        <v>44245</v>
      </c>
      <c r="C112" s="27">
        <v>0</v>
      </c>
      <c r="D112" s="27" t="s">
        <v>1236</v>
      </c>
    </row>
    <row r="113" spans="1:4">
      <c r="A113" s="27">
        <v>10845</v>
      </c>
      <c r="B113" s="27">
        <v>0</v>
      </c>
      <c r="C113" s="27">
        <v>0</v>
      </c>
      <c r="D113" s="27" t="s">
        <v>1236</v>
      </c>
    </row>
    <row r="114" spans="1:4">
      <c r="A114" s="27">
        <v>30994</v>
      </c>
      <c r="B114" s="27">
        <v>8657</v>
      </c>
      <c r="C114" s="27">
        <v>0</v>
      </c>
      <c r="D114" s="27" t="s">
        <v>1236</v>
      </c>
    </row>
    <row r="115" spans="1:4">
      <c r="A115" s="27">
        <v>112498</v>
      </c>
      <c r="B115" s="27">
        <v>41617</v>
      </c>
      <c r="C115" s="27">
        <v>0</v>
      </c>
      <c r="D115" s="27" t="s">
        <v>1236</v>
      </c>
    </row>
    <row r="116" spans="1:4">
      <c r="A116" s="27">
        <v>43852</v>
      </c>
      <c r="B116" s="27">
        <v>0</v>
      </c>
      <c r="C116" s="27">
        <v>0</v>
      </c>
      <c r="D116" s="27" t="s">
        <v>1236</v>
      </c>
    </row>
    <row r="117" spans="1:4">
      <c r="A117" s="27">
        <v>21446</v>
      </c>
      <c r="B117" s="27">
        <v>0</v>
      </c>
      <c r="C117" s="27">
        <v>0</v>
      </c>
      <c r="D117" s="27" t="s">
        <v>1236</v>
      </c>
    </row>
    <row r="118" spans="1:4">
      <c r="A118" s="27">
        <v>52831</v>
      </c>
      <c r="B118" s="27">
        <v>7959</v>
      </c>
      <c r="C118" s="27">
        <v>0</v>
      </c>
      <c r="D118" s="27" t="s">
        <v>1236</v>
      </c>
    </row>
    <row r="119" spans="1:4">
      <c r="A119" s="27">
        <v>26174</v>
      </c>
      <c r="B119" s="27">
        <v>8277</v>
      </c>
      <c r="C119" s="27">
        <v>0</v>
      </c>
      <c r="D119" s="27" t="s">
        <v>1236</v>
      </c>
    </row>
    <row r="120" spans="1:4">
      <c r="A120" s="27">
        <v>4061292</v>
      </c>
      <c r="B120" s="27">
        <v>1978166</v>
      </c>
      <c r="C120" s="27">
        <v>55834</v>
      </c>
      <c r="D120" s="27" t="s">
        <v>1237</v>
      </c>
    </row>
    <row r="121" spans="1:4">
      <c r="A121" s="27">
        <v>7855170</v>
      </c>
      <c r="B121" s="27">
        <v>6229371</v>
      </c>
      <c r="C121" s="27">
        <v>153356</v>
      </c>
      <c r="D121" s="27" t="s">
        <v>1237</v>
      </c>
    </row>
    <row r="122" spans="1:4">
      <c r="A122" s="27">
        <v>4531746</v>
      </c>
      <c r="B122" s="27">
        <v>2263033</v>
      </c>
      <c r="C122" s="27">
        <v>259113</v>
      </c>
      <c r="D122" s="27" t="s">
        <v>1237</v>
      </c>
    </row>
    <row r="123" spans="1:4">
      <c r="A123" s="27">
        <v>1194293</v>
      </c>
      <c r="B123" s="27">
        <v>748666</v>
      </c>
      <c r="C123" s="27">
        <v>227387</v>
      </c>
      <c r="D123" s="27" t="s">
        <v>1237</v>
      </c>
    </row>
    <row r="124" spans="1:4">
      <c r="A124" s="27">
        <v>3804690</v>
      </c>
      <c r="B124" s="27">
        <v>1004505</v>
      </c>
      <c r="C124" s="27">
        <v>1753141</v>
      </c>
      <c r="D124" s="27" t="s">
        <v>1237</v>
      </c>
    </row>
    <row r="125" spans="1:4">
      <c r="A125" s="27">
        <v>1439829</v>
      </c>
      <c r="B125" s="27">
        <v>254277</v>
      </c>
      <c r="C125" s="27">
        <v>316827</v>
      </c>
      <c r="D125" s="27" t="s">
        <v>1237</v>
      </c>
    </row>
    <row r="126" spans="1:4">
      <c r="A126" s="27">
        <v>3921136</v>
      </c>
      <c r="B126" s="27">
        <v>291388</v>
      </c>
      <c r="C126" s="27">
        <v>573802</v>
      </c>
      <c r="D126" s="27" t="s">
        <v>1237</v>
      </c>
    </row>
    <row r="127" spans="1:4">
      <c r="A127" s="27">
        <v>955549</v>
      </c>
      <c r="B127" s="27">
        <v>106461</v>
      </c>
      <c r="C127" s="27">
        <v>248321</v>
      </c>
      <c r="D127" s="27" t="s">
        <v>1237</v>
      </c>
    </row>
    <row r="128" spans="1:4">
      <c r="A128" s="27">
        <v>2852758</v>
      </c>
      <c r="B128" s="27">
        <v>1691961</v>
      </c>
      <c r="C128" s="27">
        <v>329610</v>
      </c>
      <c r="D128" s="27" t="s">
        <v>1237</v>
      </c>
    </row>
    <row r="129" spans="1:4">
      <c r="A129" s="27">
        <v>792691</v>
      </c>
      <c r="B129" s="27">
        <v>234504</v>
      </c>
      <c r="C129" s="27">
        <v>25230</v>
      </c>
      <c r="D129" s="27" t="s">
        <v>1238</v>
      </c>
    </row>
    <row r="130" spans="1:4">
      <c r="A130" s="27">
        <v>4832816</v>
      </c>
      <c r="B130" s="27">
        <v>906252</v>
      </c>
      <c r="C130" s="27">
        <v>288262</v>
      </c>
      <c r="D130" s="27" t="s">
        <v>1238</v>
      </c>
    </row>
    <row r="131" spans="1:4">
      <c r="A131" s="27">
        <v>9138965</v>
      </c>
      <c r="B131" s="27">
        <v>1826705</v>
      </c>
      <c r="C131" s="27">
        <v>250039</v>
      </c>
      <c r="D131" s="27" t="s">
        <v>1238</v>
      </c>
    </row>
    <row r="132" spans="1:4">
      <c r="A132" s="27">
        <v>4856560</v>
      </c>
      <c r="B132" s="27">
        <v>707991</v>
      </c>
      <c r="C132" s="27">
        <v>305023</v>
      </c>
      <c r="D132" s="27" t="s">
        <v>1238</v>
      </c>
    </row>
    <row r="133" spans="1:4">
      <c r="A133" s="27">
        <v>8868932</v>
      </c>
      <c r="B133" s="27">
        <v>3086512</v>
      </c>
      <c r="C133" s="27">
        <v>946882</v>
      </c>
      <c r="D133" s="27" t="s">
        <v>1238</v>
      </c>
    </row>
    <row r="134" spans="1:4">
      <c r="A134" s="27">
        <v>3468554</v>
      </c>
      <c r="B134" s="27">
        <v>626822</v>
      </c>
      <c r="C134" s="27">
        <v>369044</v>
      </c>
      <c r="D134" s="27" t="s">
        <v>1238</v>
      </c>
    </row>
    <row r="135" spans="1:4">
      <c r="A135" s="27">
        <v>7028829</v>
      </c>
      <c r="B135" s="27">
        <v>2501729</v>
      </c>
      <c r="C135" s="27">
        <v>495562</v>
      </c>
      <c r="D135" s="27" t="s">
        <v>1238</v>
      </c>
    </row>
    <row r="136" spans="1:4">
      <c r="A136" s="27">
        <v>3201886</v>
      </c>
      <c r="B136" s="27">
        <v>873254</v>
      </c>
      <c r="C136" s="27">
        <v>165065</v>
      </c>
      <c r="D136" s="27" t="s">
        <v>1238</v>
      </c>
    </row>
    <row r="137" spans="1:4">
      <c r="A137" s="27">
        <v>4557845</v>
      </c>
      <c r="B137" s="27">
        <v>1131196</v>
      </c>
      <c r="C137" s="27">
        <v>220037</v>
      </c>
      <c r="D137" s="27" t="s">
        <v>1238</v>
      </c>
    </row>
    <row r="138" spans="1:4">
      <c r="A138" s="27">
        <v>2639</v>
      </c>
      <c r="B138" s="27">
        <v>4066</v>
      </c>
      <c r="C138" s="27">
        <v>0</v>
      </c>
      <c r="D138" s="27" t="s">
        <v>1239</v>
      </c>
    </row>
    <row r="139" spans="1:4">
      <c r="A139" s="27">
        <v>205579</v>
      </c>
      <c r="B139" s="27">
        <v>80453</v>
      </c>
      <c r="C139" s="27">
        <v>0</v>
      </c>
      <c r="D139" s="27" t="s">
        <v>1239</v>
      </c>
    </row>
    <row r="140" spans="1:4">
      <c r="A140" s="27">
        <v>198302</v>
      </c>
      <c r="B140" s="27">
        <v>17881</v>
      </c>
      <c r="C140" s="27">
        <v>0</v>
      </c>
      <c r="D140" s="27" t="s">
        <v>1239</v>
      </c>
    </row>
    <row r="141" spans="1:4">
      <c r="A141" s="27">
        <v>130032</v>
      </c>
      <c r="B141" s="27">
        <v>18511</v>
      </c>
      <c r="C141" s="27">
        <v>9306</v>
      </c>
      <c r="D141" s="27" t="s">
        <v>1239</v>
      </c>
    </row>
    <row r="142" spans="1:4">
      <c r="A142" s="27">
        <v>4138593</v>
      </c>
      <c r="B142" s="27">
        <v>749966</v>
      </c>
      <c r="C142" s="27">
        <v>626922</v>
      </c>
      <c r="D142" s="27" t="s">
        <v>1239</v>
      </c>
    </row>
    <row r="143" spans="1:4">
      <c r="A143" s="27">
        <v>1050730</v>
      </c>
      <c r="B143" s="27">
        <v>92223</v>
      </c>
      <c r="C143" s="27">
        <v>73812</v>
      </c>
      <c r="D143" s="27" t="s">
        <v>1239</v>
      </c>
    </row>
    <row r="144" spans="1:4">
      <c r="A144" s="27">
        <v>346201</v>
      </c>
      <c r="B144" s="27">
        <v>71729</v>
      </c>
      <c r="C144" s="27">
        <v>40129</v>
      </c>
      <c r="D144" s="27" t="s">
        <v>1239</v>
      </c>
    </row>
    <row r="145" spans="1:4">
      <c r="A145" s="27">
        <v>544498</v>
      </c>
      <c r="B145" s="27">
        <v>57183</v>
      </c>
      <c r="C145" s="27">
        <v>106797</v>
      </c>
      <c r="D145" s="27" t="s">
        <v>1239</v>
      </c>
    </row>
    <row r="146" spans="1:4">
      <c r="A146" s="27">
        <v>389067</v>
      </c>
      <c r="B146" s="27">
        <v>67779</v>
      </c>
      <c r="C146" s="27">
        <v>77440</v>
      </c>
      <c r="D146" s="27" t="s">
        <v>1239</v>
      </c>
    </row>
    <row r="147" spans="1:4">
      <c r="A147" s="27">
        <v>6603</v>
      </c>
      <c r="B147" s="27">
        <v>0</v>
      </c>
      <c r="C147" s="27">
        <v>0</v>
      </c>
      <c r="D147" s="27" t="s">
        <v>1240</v>
      </c>
    </row>
    <row r="148" spans="1:4">
      <c r="A148" s="27">
        <v>99423</v>
      </c>
      <c r="B148" s="27">
        <v>0</v>
      </c>
      <c r="C148" s="27">
        <v>0</v>
      </c>
      <c r="D148" s="27" t="s">
        <v>1240</v>
      </c>
    </row>
    <row r="149" spans="1:4">
      <c r="A149" s="27">
        <v>112580</v>
      </c>
      <c r="B149" s="27">
        <v>0</v>
      </c>
      <c r="C149" s="27">
        <v>0</v>
      </c>
      <c r="D149" s="27" t="s">
        <v>1240</v>
      </c>
    </row>
    <row r="150" spans="1:4">
      <c r="A150" s="27">
        <v>127509</v>
      </c>
      <c r="B150" s="27">
        <v>0</v>
      </c>
      <c r="C150" s="27">
        <v>0</v>
      </c>
      <c r="D150" s="27" t="s">
        <v>1240</v>
      </c>
    </row>
    <row r="151" spans="1:4">
      <c r="A151" s="27">
        <v>92917</v>
      </c>
      <c r="B151" s="27">
        <v>0</v>
      </c>
      <c r="C151" s="27">
        <v>0</v>
      </c>
      <c r="D151" s="27" t="s">
        <v>1240</v>
      </c>
    </row>
    <row r="152" spans="1:4">
      <c r="A152" s="27">
        <v>108807</v>
      </c>
      <c r="B152" s="27">
        <v>0</v>
      </c>
      <c r="C152" s="27">
        <v>0</v>
      </c>
      <c r="D152" s="27" t="s">
        <v>1240</v>
      </c>
    </row>
    <row r="153" spans="1:4">
      <c r="A153" s="27">
        <v>75853</v>
      </c>
      <c r="B153" s="27">
        <v>0</v>
      </c>
      <c r="C153" s="27">
        <v>0</v>
      </c>
      <c r="D153" s="27" t="s">
        <v>1240</v>
      </c>
    </row>
    <row r="154" spans="1:4">
      <c r="A154" s="27">
        <v>48037</v>
      </c>
      <c r="B154" s="27">
        <v>0</v>
      </c>
      <c r="C154" s="27">
        <v>0</v>
      </c>
      <c r="D154" s="27" t="s">
        <v>1240</v>
      </c>
    </row>
    <row r="155" spans="1:4">
      <c r="A155" s="27">
        <v>27439</v>
      </c>
      <c r="B155" s="27">
        <v>0</v>
      </c>
      <c r="C155" s="27">
        <v>0</v>
      </c>
      <c r="D155" s="27" t="s">
        <v>1240</v>
      </c>
    </row>
    <row r="156" spans="1:4">
      <c r="A156" s="27">
        <v>0</v>
      </c>
      <c r="B156" s="27">
        <v>0</v>
      </c>
      <c r="C156" s="27">
        <v>0</v>
      </c>
      <c r="D156" s="27" t="s">
        <v>1241</v>
      </c>
    </row>
    <row r="157" spans="1:4">
      <c r="A157" s="27">
        <v>0</v>
      </c>
      <c r="B157" s="27">
        <v>44245</v>
      </c>
      <c r="C157" s="27">
        <v>0</v>
      </c>
      <c r="D157" s="27" t="s">
        <v>1241</v>
      </c>
    </row>
    <row r="158" spans="1:4">
      <c r="A158" s="27">
        <v>10845</v>
      </c>
      <c r="B158" s="27">
        <v>0</v>
      </c>
      <c r="C158" s="27">
        <v>0</v>
      </c>
      <c r="D158" s="27" t="s">
        <v>1241</v>
      </c>
    </row>
    <row r="159" spans="1:4">
      <c r="A159" s="27">
        <v>30994</v>
      </c>
      <c r="B159" s="27">
        <v>8657</v>
      </c>
      <c r="C159" s="27">
        <v>0</v>
      </c>
      <c r="D159" s="27" t="s">
        <v>1241</v>
      </c>
    </row>
    <row r="160" spans="1:4">
      <c r="A160" s="27">
        <v>112498</v>
      </c>
      <c r="B160" s="27">
        <v>41617</v>
      </c>
      <c r="C160" s="27">
        <v>0</v>
      </c>
      <c r="D160" s="27" t="s">
        <v>1241</v>
      </c>
    </row>
    <row r="161" spans="1:4">
      <c r="A161" s="27">
        <v>43852</v>
      </c>
      <c r="B161" s="27">
        <v>0</v>
      </c>
      <c r="C161" s="27">
        <v>0</v>
      </c>
      <c r="D161" s="27" t="s">
        <v>1241</v>
      </c>
    </row>
    <row r="162" spans="1:4">
      <c r="A162" s="27">
        <v>21446</v>
      </c>
      <c r="B162" s="27">
        <v>0</v>
      </c>
      <c r="C162" s="27">
        <v>0</v>
      </c>
      <c r="D162" s="27" t="s">
        <v>1241</v>
      </c>
    </row>
    <row r="163" spans="1:4">
      <c r="A163" s="27">
        <v>52831</v>
      </c>
      <c r="B163" s="27">
        <v>7959</v>
      </c>
      <c r="C163" s="27">
        <v>0</v>
      </c>
      <c r="D163" s="27" t="s">
        <v>1241</v>
      </c>
    </row>
    <row r="164" spans="1:4">
      <c r="A164" s="27">
        <v>26174</v>
      </c>
      <c r="B164" s="27">
        <v>8277</v>
      </c>
      <c r="C164" s="27">
        <v>0</v>
      </c>
      <c r="D164" s="27" t="s">
        <v>1241</v>
      </c>
    </row>
    <row r="165" spans="1:4">
      <c r="A165" s="27">
        <v>3258680</v>
      </c>
      <c r="B165" s="27">
        <v>758573</v>
      </c>
      <c r="C165" s="27">
        <v>68655</v>
      </c>
      <c r="D165" s="27" t="s">
        <v>1242</v>
      </c>
    </row>
    <row r="166" spans="1:4">
      <c r="A166" s="27">
        <v>8643594</v>
      </c>
      <c r="B166" s="27">
        <v>1783492</v>
      </c>
      <c r="C166" s="27">
        <v>411400</v>
      </c>
      <c r="D166" s="27" t="s">
        <v>1242</v>
      </c>
    </row>
    <row r="167" spans="1:4">
      <c r="A167" s="27">
        <v>12600778</v>
      </c>
      <c r="B167" s="27">
        <v>1525818</v>
      </c>
      <c r="C167" s="27">
        <v>558801</v>
      </c>
      <c r="D167" s="27" t="s">
        <v>1242</v>
      </c>
    </row>
    <row r="168" spans="1:4">
      <c r="A168" s="27">
        <v>5979177</v>
      </c>
      <c r="B168" s="27">
        <v>507356</v>
      </c>
      <c r="C168" s="27">
        <v>456320</v>
      </c>
      <c r="D168" s="27" t="s">
        <v>1242</v>
      </c>
    </row>
    <row r="169" spans="1:4">
      <c r="A169" s="27">
        <v>14517792</v>
      </c>
      <c r="B169" s="27">
        <v>2703336</v>
      </c>
      <c r="C169" s="27">
        <v>2176889</v>
      </c>
      <c r="D169" s="27" t="s">
        <v>1242</v>
      </c>
    </row>
    <row r="170" spans="1:4">
      <c r="A170" s="27">
        <v>5276951</v>
      </c>
      <c r="B170" s="27">
        <v>500029</v>
      </c>
      <c r="C170" s="27">
        <v>562723</v>
      </c>
      <c r="D170" s="27" t="s">
        <v>1242</v>
      </c>
    </row>
    <row r="171" spans="1:4">
      <c r="A171" s="27">
        <v>8757011</v>
      </c>
      <c r="B171" s="27">
        <v>1237115</v>
      </c>
      <c r="C171" s="27">
        <v>756238</v>
      </c>
      <c r="D171" s="27" t="s">
        <v>1242</v>
      </c>
    </row>
    <row r="172" spans="1:4">
      <c r="A172" s="27">
        <v>5784364</v>
      </c>
      <c r="B172" s="27">
        <v>788019</v>
      </c>
      <c r="C172" s="27">
        <v>541722</v>
      </c>
      <c r="D172" s="27" t="s">
        <v>1242</v>
      </c>
    </row>
    <row r="173" spans="1:4">
      <c r="A173" s="27">
        <v>10560902</v>
      </c>
      <c r="B173" s="27">
        <v>1815177</v>
      </c>
      <c r="C173" s="27">
        <v>677586</v>
      </c>
      <c r="D173" s="27" t="s">
        <v>1242</v>
      </c>
    </row>
    <row r="174" spans="1:4">
      <c r="A174" s="27">
        <v>2436154</v>
      </c>
      <c r="B174" s="27">
        <v>680410</v>
      </c>
      <c r="C174" s="27">
        <v>16661</v>
      </c>
      <c r="D174" s="27" t="s">
        <v>1243</v>
      </c>
    </row>
    <row r="175" spans="1:4">
      <c r="A175" s="27">
        <v>6395520</v>
      </c>
      <c r="B175" s="27">
        <v>1678607</v>
      </c>
      <c r="C175" s="27">
        <v>218045</v>
      </c>
      <c r="D175" s="27" t="s">
        <v>1243</v>
      </c>
    </row>
    <row r="176" spans="1:4">
      <c r="A176" s="27">
        <v>7937800</v>
      </c>
      <c r="B176" s="27">
        <v>1476260</v>
      </c>
      <c r="C176" s="27">
        <v>116678</v>
      </c>
      <c r="D176" s="27" t="s">
        <v>1243</v>
      </c>
    </row>
    <row r="177" spans="1:4">
      <c r="A177" s="27">
        <v>4250125</v>
      </c>
      <c r="B177" s="27">
        <v>678632</v>
      </c>
      <c r="C177" s="27">
        <v>208450</v>
      </c>
      <c r="D177" s="27" t="s">
        <v>1243</v>
      </c>
    </row>
    <row r="178" spans="1:4">
      <c r="A178" s="27">
        <v>10880792</v>
      </c>
      <c r="B178" s="27">
        <v>2687747</v>
      </c>
      <c r="C178" s="27">
        <v>714968</v>
      </c>
      <c r="D178" s="27" t="s">
        <v>1243</v>
      </c>
    </row>
    <row r="179" spans="1:4">
      <c r="A179" s="27">
        <v>3548494</v>
      </c>
      <c r="B179" s="27">
        <v>564736</v>
      </c>
      <c r="C179" s="27">
        <v>203349</v>
      </c>
      <c r="D179" s="27" t="s">
        <v>1243</v>
      </c>
    </row>
    <row r="180" spans="1:4">
      <c r="A180" s="27">
        <v>5561009</v>
      </c>
      <c r="B180" s="27">
        <v>1539099</v>
      </c>
      <c r="C180" s="27">
        <v>311222</v>
      </c>
      <c r="D180" s="27" t="s">
        <v>1243</v>
      </c>
    </row>
    <row r="181" spans="1:4">
      <c r="A181" s="27">
        <v>4489917</v>
      </c>
      <c r="B181" s="27">
        <v>955917</v>
      </c>
      <c r="C181" s="27">
        <v>204897</v>
      </c>
      <c r="D181" s="27" t="s">
        <v>1243</v>
      </c>
    </row>
    <row r="182" spans="1:4">
      <c r="A182" s="27">
        <v>7226053</v>
      </c>
      <c r="B182" s="27">
        <v>2141547</v>
      </c>
      <c r="C182" s="27">
        <v>300428</v>
      </c>
      <c r="D182" s="27" t="s">
        <v>1243</v>
      </c>
    </row>
    <row r="183" spans="1:4">
      <c r="A183" s="27">
        <v>1024484</v>
      </c>
      <c r="B183" s="27">
        <v>1280168</v>
      </c>
      <c r="C183" s="27">
        <v>14153</v>
      </c>
      <c r="D183" s="27" t="s">
        <v>1244</v>
      </c>
    </row>
    <row r="184" spans="1:4">
      <c r="A184" s="27">
        <v>5437710</v>
      </c>
      <c r="B184" s="27">
        <v>3587206</v>
      </c>
      <c r="C184" s="27">
        <v>65568</v>
      </c>
      <c r="D184" s="27" t="s">
        <v>1244</v>
      </c>
    </row>
    <row r="185" spans="1:4">
      <c r="A185" s="27">
        <v>9173904</v>
      </c>
      <c r="B185" s="27">
        <v>2703876</v>
      </c>
      <c r="C185" s="27">
        <v>222822</v>
      </c>
      <c r="D185" s="27" t="s">
        <v>1244</v>
      </c>
    </row>
    <row r="186" spans="1:4">
      <c r="A186" s="27">
        <v>3746899</v>
      </c>
      <c r="B186" s="27">
        <v>777920</v>
      </c>
      <c r="C186" s="27">
        <v>178956</v>
      </c>
      <c r="D186" s="27" t="s">
        <v>1244</v>
      </c>
    </row>
    <row r="187" spans="1:4">
      <c r="A187" s="27">
        <v>4426263</v>
      </c>
      <c r="B187" s="27">
        <v>1048247</v>
      </c>
      <c r="C187" s="27">
        <v>37074</v>
      </c>
      <c r="D187" s="27" t="s">
        <v>1244</v>
      </c>
    </row>
    <row r="188" spans="1:4">
      <c r="A188" s="27">
        <v>1774705</v>
      </c>
      <c r="B188" s="27">
        <v>196013</v>
      </c>
      <c r="C188" s="27">
        <v>34045</v>
      </c>
      <c r="D188" s="27" t="s">
        <v>1244</v>
      </c>
    </row>
    <row r="189" spans="1:4">
      <c r="A189" s="27">
        <v>5186040</v>
      </c>
      <c r="B189" s="27">
        <v>758853</v>
      </c>
      <c r="C189" s="27">
        <v>107058</v>
      </c>
      <c r="D189" s="27" t="s">
        <v>1244</v>
      </c>
    </row>
    <row r="190" spans="1:4">
      <c r="A190" s="27">
        <v>3902415</v>
      </c>
      <c r="B190" s="27">
        <v>674330</v>
      </c>
      <c r="C190" s="27">
        <v>252519</v>
      </c>
      <c r="D190" s="27" t="s">
        <v>1244</v>
      </c>
    </row>
    <row r="191" spans="1:4">
      <c r="A191" s="27">
        <v>8141091</v>
      </c>
      <c r="B191" s="27">
        <v>3347512</v>
      </c>
      <c r="C191" s="27">
        <v>215603</v>
      </c>
      <c r="D191" s="27" t="s">
        <v>1244</v>
      </c>
    </row>
    <row r="192" spans="1:4">
      <c r="A192" s="27">
        <v>858403</v>
      </c>
      <c r="B192" s="27">
        <v>485270</v>
      </c>
      <c r="C192" s="27">
        <v>62809</v>
      </c>
      <c r="D192" s="27" t="s">
        <v>1245</v>
      </c>
    </row>
    <row r="193" spans="1:4">
      <c r="A193" s="27">
        <v>2156116</v>
      </c>
      <c r="B193" s="27">
        <v>1197216</v>
      </c>
      <c r="C193" s="27">
        <v>295020</v>
      </c>
      <c r="D193" s="27" t="s">
        <v>1245</v>
      </c>
    </row>
    <row r="194" spans="1:4">
      <c r="A194" s="27">
        <v>3265406</v>
      </c>
      <c r="B194" s="27">
        <v>1272458</v>
      </c>
      <c r="C194" s="27">
        <v>279246</v>
      </c>
      <c r="D194" s="27" t="s">
        <v>1245</v>
      </c>
    </row>
    <row r="195" spans="1:4">
      <c r="A195" s="27">
        <v>1897521</v>
      </c>
      <c r="B195" s="27">
        <v>605618</v>
      </c>
      <c r="C195" s="27">
        <v>274357</v>
      </c>
      <c r="D195" s="27" t="s">
        <v>1245</v>
      </c>
    </row>
    <row r="196" spans="1:4">
      <c r="A196" s="27">
        <v>10195786</v>
      </c>
      <c r="B196" s="27">
        <v>3577258</v>
      </c>
      <c r="C196" s="27">
        <v>2334755</v>
      </c>
      <c r="D196" s="27" t="s">
        <v>1245</v>
      </c>
    </row>
    <row r="197" spans="1:4">
      <c r="A197" s="27">
        <v>3527777</v>
      </c>
      <c r="B197" s="27">
        <v>749832</v>
      </c>
      <c r="C197" s="27">
        <v>624426</v>
      </c>
      <c r="D197" s="27" t="s">
        <v>1245</v>
      </c>
    </row>
    <row r="198" spans="1:4">
      <c r="A198" s="27">
        <v>3473770</v>
      </c>
      <c r="B198" s="27">
        <v>2043530</v>
      </c>
      <c r="C198" s="27">
        <v>692490</v>
      </c>
      <c r="D198" s="27" t="s">
        <v>1245</v>
      </c>
    </row>
    <row r="199" spans="1:4">
      <c r="A199" s="27">
        <v>1702092</v>
      </c>
      <c r="B199" s="27">
        <v>523871</v>
      </c>
      <c r="C199" s="27">
        <v>273758</v>
      </c>
      <c r="D199" s="27" t="s">
        <v>1245</v>
      </c>
    </row>
    <row r="200" spans="1:4">
      <c r="A200" s="27">
        <v>2410976</v>
      </c>
      <c r="B200" s="27">
        <v>1575711</v>
      </c>
      <c r="C200" s="27">
        <v>408221</v>
      </c>
      <c r="D200" s="27" t="s">
        <v>1245</v>
      </c>
    </row>
    <row r="201" spans="1:4">
      <c r="A201" s="27">
        <v>1312131</v>
      </c>
      <c r="B201" s="27">
        <v>233459</v>
      </c>
      <c r="C201" s="27">
        <v>0</v>
      </c>
      <c r="D201" s="27" t="s">
        <v>1246</v>
      </c>
    </row>
    <row r="202" spans="1:4">
      <c r="A202" s="27">
        <v>1262916</v>
      </c>
      <c r="B202" s="27">
        <v>679214</v>
      </c>
      <c r="C202" s="27">
        <v>7659</v>
      </c>
      <c r="D202" s="27" t="s">
        <v>1246</v>
      </c>
    </row>
    <row r="203" spans="1:4">
      <c r="A203" s="27">
        <v>12582</v>
      </c>
      <c r="B203" s="27">
        <v>0</v>
      </c>
      <c r="C203" s="27">
        <v>0</v>
      </c>
      <c r="D203" s="27" t="s">
        <v>1246</v>
      </c>
    </row>
    <row r="204" spans="1:4">
      <c r="A204" s="27">
        <v>0</v>
      </c>
      <c r="B204" s="27">
        <v>0</v>
      </c>
      <c r="C204" s="27">
        <v>0</v>
      </c>
      <c r="D204" s="27" t="s">
        <v>1246</v>
      </c>
    </row>
    <row r="205" spans="1:4">
      <c r="A205" s="27">
        <v>65447</v>
      </c>
      <c r="B205" s="27">
        <v>0</v>
      </c>
      <c r="C205" s="27">
        <v>0</v>
      </c>
      <c r="D205" s="27" t="s">
        <v>1246</v>
      </c>
    </row>
    <row r="206" spans="1:4">
      <c r="A206" s="27">
        <v>0</v>
      </c>
      <c r="B206" s="27">
        <v>0</v>
      </c>
      <c r="C206" s="27">
        <v>0</v>
      </c>
      <c r="D206" s="27" t="s">
        <v>1246</v>
      </c>
    </row>
    <row r="207" spans="1:4">
      <c r="A207" s="27">
        <v>0</v>
      </c>
      <c r="B207" s="27">
        <v>0</v>
      </c>
      <c r="C207" s="27">
        <v>0</v>
      </c>
      <c r="D207" s="27" t="s">
        <v>1246</v>
      </c>
    </row>
    <row r="208" spans="1:4">
      <c r="A208" s="27">
        <v>0</v>
      </c>
      <c r="B208" s="27">
        <v>0</v>
      </c>
      <c r="C208" s="27">
        <v>0</v>
      </c>
      <c r="D208" s="27" t="s">
        <v>1246</v>
      </c>
    </row>
    <row r="209" spans="1:11">
      <c r="A209" s="27">
        <v>8017</v>
      </c>
      <c r="B209" s="27">
        <v>0</v>
      </c>
      <c r="C209" s="27">
        <v>0</v>
      </c>
      <c r="D209" s="27" t="s">
        <v>1246</v>
      </c>
    </row>
    <row r="210" spans="1:11">
      <c r="A210" s="27">
        <v>139395</v>
      </c>
      <c r="B210" s="27">
        <v>53166</v>
      </c>
      <c r="C210" s="27">
        <v>7475</v>
      </c>
      <c r="D210" s="27" t="s">
        <v>1247</v>
      </c>
    </row>
    <row r="211" spans="1:11">
      <c r="A211" s="27">
        <v>380341</v>
      </c>
      <c r="B211" s="27">
        <v>50703</v>
      </c>
      <c r="C211" s="27">
        <v>57803</v>
      </c>
      <c r="D211" s="27" t="s">
        <v>1247</v>
      </c>
    </row>
    <row r="212" spans="1:11">
      <c r="A212" s="27">
        <v>556587</v>
      </c>
      <c r="B212" s="27">
        <v>98176</v>
      </c>
      <c r="C212" s="27">
        <v>44858</v>
      </c>
      <c r="D212" s="27" t="s">
        <v>1247</v>
      </c>
    </row>
    <row r="213" spans="1:11">
      <c r="A213" s="27">
        <v>488005</v>
      </c>
      <c r="B213" s="27">
        <v>13829</v>
      </c>
      <c r="C213" s="27">
        <v>50504</v>
      </c>
      <c r="D213" s="27" t="s">
        <v>1247</v>
      </c>
    </row>
    <row r="214" spans="1:11">
      <c r="A214" s="27">
        <v>400789</v>
      </c>
      <c r="B214" s="27">
        <v>14467</v>
      </c>
      <c r="C214" s="27">
        <v>20056</v>
      </c>
      <c r="D214" s="27" t="s">
        <v>1247</v>
      </c>
    </row>
    <row r="215" spans="1:11">
      <c r="A215" s="27">
        <v>177542</v>
      </c>
      <c r="B215" s="27">
        <v>0</v>
      </c>
      <c r="C215" s="27">
        <v>0</v>
      </c>
      <c r="D215" s="27" t="s">
        <v>1247</v>
      </c>
    </row>
    <row r="216" spans="1:11">
      <c r="A216" s="27">
        <v>382770</v>
      </c>
      <c r="B216" s="27">
        <v>0</v>
      </c>
      <c r="C216" s="27">
        <v>32829</v>
      </c>
      <c r="D216" s="27" t="s">
        <v>1247</v>
      </c>
    </row>
    <row r="217" spans="1:11">
      <c r="A217" s="27">
        <v>369899</v>
      </c>
      <c r="B217" s="27">
        <v>60317</v>
      </c>
      <c r="C217" s="27">
        <v>104512</v>
      </c>
      <c r="D217" s="27" t="s">
        <v>1247</v>
      </c>
    </row>
    <row r="218" spans="1:11">
      <c r="A218" s="27">
        <v>337683</v>
      </c>
      <c r="B218" s="27">
        <v>191859</v>
      </c>
      <c r="C218" s="27">
        <v>144889</v>
      </c>
      <c r="D218" s="27" t="s">
        <v>1247</v>
      </c>
    </row>
    <row r="219" spans="1:11">
      <c r="A219" s="27">
        <v>5863</v>
      </c>
      <c r="B219" s="27">
        <v>0</v>
      </c>
      <c r="C219" s="27">
        <v>0</v>
      </c>
      <c r="D219" s="27" t="s">
        <v>1248</v>
      </c>
      <c r="G219" s="27">
        <v>5863</v>
      </c>
      <c r="H219" s="27">
        <v>0</v>
      </c>
      <c r="I219" s="27">
        <v>0</v>
      </c>
      <c r="K219" s="130">
        <f>SUM(G219:I219)/$K$228</f>
        <v>3.3415404256289256E-2</v>
      </c>
    </row>
    <row r="220" spans="1:11">
      <c r="A220" s="27">
        <v>0</v>
      </c>
      <c r="B220" s="27">
        <v>0</v>
      </c>
      <c r="C220" s="27">
        <v>0</v>
      </c>
      <c r="D220" s="27" t="s">
        <v>1248</v>
      </c>
      <c r="G220" s="27">
        <v>0</v>
      </c>
      <c r="H220" s="27">
        <v>0</v>
      </c>
      <c r="I220" s="27">
        <v>0</v>
      </c>
      <c r="K220" s="130">
        <f t="shared" ref="K220:K227" si="0">SUM(G220:I220)/$K$228</f>
        <v>0</v>
      </c>
    </row>
    <row r="221" spans="1:11">
      <c r="A221" s="27">
        <v>0</v>
      </c>
      <c r="B221" s="27">
        <v>42609</v>
      </c>
      <c r="C221" s="27">
        <v>0</v>
      </c>
      <c r="D221" s="27" t="s">
        <v>1248</v>
      </c>
      <c r="G221" s="27">
        <v>0</v>
      </c>
      <c r="H221" s="27">
        <v>42609</v>
      </c>
      <c r="I221" s="27">
        <v>0</v>
      </c>
      <c r="K221" s="130">
        <f t="shared" si="0"/>
        <v>0.24284444140478062</v>
      </c>
    </row>
    <row r="222" spans="1:11">
      <c r="A222" s="27">
        <v>0</v>
      </c>
      <c r="B222" s="27">
        <v>0</v>
      </c>
      <c r="C222" s="27">
        <v>0</v>
      </c>
      <c r="D222" s="27" t="s">
        <v>1248</v>
      </c>
      <c r="G222" s="27">
        <v>0</v>
      </c>
      <c r="H222" s="27">
        <v>0</v>
      </c>
      <c r="I222" s="27">
        <v>0</v>
      </c>
      <c r="K222" s="130">
        <f t="shared" si="0"/>
        <v>0</v>
      </c>
    </row>
    <row r="223" spans="1:11">
      <c r="A223" s="27">
        <v>27998</v>
      </c>
      <c r="B223" s="27">
        <v>0</v>
      </c>
      <c r="C223" s="27">
        <v>0</v>
      </c>
      <c r="D223" s="27" t="s">
        <v>1248</v>
      </c>
      <c r="G223" s="27">
        <v>27998</v>
      </c>
      <c r="H223" s="27">
        <v>0</v>
      </c>
      <c r="I223" s="27">
        <v>0</v>
      </c>
      <c r="K223" s="130">
        <f t="shared" si="0"/>
        <v>0.15957095145276931</v>
      </c>
    </row>
    <row r="224" spans="1:11">
      <c r="A224" s="27">
        <v>0</v>
      </c>
      <c r="B224" s="27">
        <v>0</v>
      </c>
      <c r="C224" s="27">
        <v>0</v>
      </c>
      <c r="D224" s="27" t="s">
        <v>1248</v>
      </c>
      <c r="G224" s="27">
        <v>0</v>
      </c>
      <c r="H224" s="27">
        <v>0</v>
      </c>
      <c r="I224" s="27">
        <v>0</v>
      </c>
      <c r="K224" s="130">
        <f t="shared" si="0"/>
        <v>0</v>
      </c>
    </row>
    <row r="225" spans="1:11">
      <c r="A225" s="27">
        <v>0</v>
      </c>
      <c r="B225" s="27">
        <v>0</v>
      </c>
      <c r="C225" s="27">
        <v>0</v>
      </c>
      <c r="D225" s="27" t="s">
        <v>1248</v>
      </c>
      <c r="G225" s="27">
        <v>0</v>
      </c>
      <c r="H225" s="27">
        <v>0</v>
      </c>
      <c r="I225" s="27">
        <v>0</v>
      </c>
      <c r="K225" s="130">
        <f t="shared" si="0"/>
        <v>0</v>
      </c>
    </row>
    <row r="226" spans="1:11">
      <c r="A226" s="27">
        <v>32975</v>
      </c>
      <c r="B226" s="27">
        <v>0</v>
      </c>
      <c r="C226" s="27">
        <v>0</v>
      </c>
      <c r="D226" s="27" t="s">
        <v>1248</v>
      </c>
      <c r="G226" s="27">
        <v>32975</v>
      </c>
      <c r="H226" s="27">
        <v>0</v>
      </c>
      <c r="I226" s="27">
        <v>0</v>
      </c>
      <c r="K226" s="130">
        <f t="shared" si="0"/>
        <v>0.18793671419940955</v>
      </c>
    </row>
    <row r="227" spans="1:11">
      <c r="A227" s="27">
        <v>54377</v>
      </c>
      <c r="B227" s="27">
        <v>11636</v>
      </c>
      <c r="C227" s="27">
        <v>0</v>
      </c>
      <c r="D227" s="27" t="s">
        <v>1248</v>
      </c>
      <c r="G227" s="27">
        <v>54377</v>
      </c>
      <c r="H227" s="27">
        <v>11636</v>
      </c>
      <c r="I227" s="27">
        <v>0</v>
      </c>
      <c r="K227" s="130">
        <f t="shared" si="0"/>
        <v>0.37623248868675124</v>
      </c>
    </row>
    <row r="228" spans="1:11">
      <c r="A228" s="27">
        <v>802788</v>
      </c>
      <c r="B228" s="27">
        <v>785190</v>
      </c>
      <c r="C228" s="27">
        <v>19413</v>
      </c>
      <c r="D228" s="27" t="s">
        <v>1249</v>
      </c>
      <c r="K228" s="27">
        <f>SUM(G219:I227)</f>
        <v>175458</v>
      </c>
    </row>
    <row r="229" spans="1:11">
      <c r="A229" s="27">
        <v>4331119</v>
      </c>
      <c r="B229" s="27">
        <v>3614911</v>
      </c>
      <c r="C229" s="27">
        <v>67556</v>
      </c>
      <c r="D229" s="27" t="s">
        <v>1249</v>
      </c>
    </row>
    <row r="230" spans="1:11">
      <c r="A230" s="27">
        <v>5553171</v>
      </c>
      <c r="B230" s="27">
        <v>1595529</v>
      </c>
      <c r="C230" s="27">
        <v>264569</v>
      </c>
      <c r="D230" s="27" t="s">
        <v>1249</v>
      </c>
    </row>
    <row r="231" spans="1:11">
      <c r="A231" s="27">
        <v>1537025</v>
      </c>
      <c r="B231" s="27">
        <v>238168</v>
      </c>
      <c r="C231" s="27">
        <v>193688</v>
      </c>
      <c r="D231" s="27" t="s">
        <v>1249</v>
      </c>
    </row>
    <row r="232" spans="1:11">
      <c r="A232" s="27">
        <v>2585200</v>
      </c>
      <c r="B232" s="27">
        <v>846274</v>
      </c>
      <c r="C232" s="27">
        <v>140230</v>
      </c>
      <c r="D232" s="27" t="s">
        <v>1249</v>
      </c>
    </row>
    <row r="233" spans="1:11">
      <c r="A233" s="27">
        <v>712586</v>
      </c>
      <c r="B233" s="27">
        <v>113138</v>
      </c>
      <c r="C233" s="27">
        <v>38789</v>
      </c>
      <c r="D233" s="27" t="s">
        <v>1249</v>
      </c>
    </row>
    <row r="234" spans="1:11">
      <c r="A234" s="27">
        <v>3716008</v>
      </c>
      <c r="B234" s="27">
        <v>464774</v>
      </c>
      <c r="C234" s="27">
        <v>102029</v>
      </c>
      <c r="D234" s="27" t="s">
        <v>1249</v>
      </c>
    </row>
    <row r="235" spans="1:11">
      <c r="A235" s="27">
        <v>1807468</v>
      </c>
      <c r="B235" s="27">
        <v>251274</v>
      </c>
      <c r="C235" s="27">
        <v>263002</v>
      </c>
      <c r="D235" s="27" t="s">
        <v>1249</v>
      </c>
    </row>
    <row r="236" spans="1:11">
      <c r="A236" s="27">
        <v>5818344</v>
      </c>
      <c r="B236" s="27">
        <v>2215696</v>
      </c>
      <c r="C236" s="27">
        <v>235554</v>
      </c>
      <c r="D236" s="27" t="s">
        <v>1249</v>
      </c>
    </row>
    <row r="237" spans="1:11">
      <c r="A237" s="27">
        <v>322510</v>
      </c>
      <c r="B237" s="27">
        <v>17217</v>
      </c>
      <c r="C237" s="27">
        <v>13111</v>
      </c>
      <c r="D237" s="27" t="s">
        <v>1250</v>
      </c>
    </row>
    <row r="238" spans="1:11">
      <c r="A238" s="27">
        <v>608863</v>
      </c>
      <c r="B238" s="27">
        <v>32743</v>
      </c>
      <c r="C238" s="27">
        <v>134718</v>
      </c>
      <c r="D238" s="27" t="s">
        <v>1250</v>
      </c>
    </row>
    <row r="239" spans="1:11">
      <c r="A239" s="27">
        <v>519679</v>
      </c>
      <c r="B239" s="27">
        <v>12468</v>
      </c>
      <c r="C239" s="27">
        <v>150421</v>
      </c>
      <c r="D239" s="27" t="s">
        <v>1250</v>
      </c>
    </row>
    <row r="240" spans="1:11">
      <c r="A240" s="27">
        <v>363691</v>
      </c>
      <c r="B240" s="27">
        <v>0</v>
      </c>
      <c r="C240" s="27">
        <v>136867</v>
      </c>
      <c r="D240" s="27" t="s">
        <v>1250</v>
      </c>
    </row>
    <row r="241" spans="1:4">
      <c r="A241" s="27">
        <v>639193</v>
      </c>
      <c r="B241" s="27">
        <v>21050</v>
      </c>
      <c r="C241" s="27">
        <v>289480</v>
      </c>
      <c r="D241" s="27" t="s">
        <v>1250</v>
      </c>
    </row>
    <row r="242" spans="1:4">
      <c r="A242" s="27">
        <v>391976</v>
      </c>
      <c r="B242" s="27">
        <v>0</v>
      </c>
      <c r="C242" s="27">
        <v>91894</v>
      </c>
      <c r="D242" s="27" t="s">
        <v>1250</v>
      </c>
    </row>
    <row r="243" spans="1:4">
      <c r="A243" s="27">
        <v>556842</v>
      </c>
      <c r="B243" s="27">
        <v>0</v>
      </c>
      <c r="C243" s="27">
        <v>160879</v>
      </c>
      <c r="D243" s="27" t="s">
        <v>1250</v>
      </c>
    </row>
    <row r="244" spans="1:4">
      <c r="A244" s="27">
        <v>306038</v>
      </c>
      <c r="B244" s="27">
        <v>53483</v>
      </c>
      <c r="C244" s="27">
        <v>195037</v>
      </c>
      <c r="D244" s="27" t="s">
        <v>1250</v>
      </c>
    </row>
    <row r="245" spans="1:4">
      <c r="A245" s="27">
        <v>217781</v>
      </c>
      <c r="B245" s="27">
        <v>21753</v>
      </c>
      <c r="C245" s="27">
        <v>183928</v>
      </c>
      <c r="D245" s="27" t="s">
        <v>1250</v>
      </c>
    </row>
    <row r="246" spans="1:4">
      <c r="A246" s="27">
        <v>2205621</v>
      </c>
      <c r="B246" s="27">
        <v>1216718</v>
      </c>
      <c r="C246" s="27">
        <v>43139</v>
      </c>
      <c r="D246" s="27" t="s">
        <v>1251</v>
      </c>
    </row>
    <row r="247" spans="1:4">
      <c r="A247" s="27">
        <v>4227745</v>
      </c>
      <c r="B247" s="27">
        <v>1776602</v>
      </c>
      <c r="C247" s="27">
        <v>163782</v>
      </c>
      <c r="D247" s="27" t="s">
        <v>1251</v>
      </c>
    </row>
    <row r="248" spans="1:4">
      <c r="A248" s="27">
        <v>6902311</v>
      </c>
      <c r="B248" s="27">
        <v>2375467</v>
      </c>
      <c r="C248" s="27">
        <v>143811</v>
      </c>
      <c r="D248" s="27" t="s">
        <v>1251</v>
      </c>
    </row>
    <row r="249" spans="1:4">
      <c r="A249" s="27">
        <v>4224257</v>
      </c>
      <c r="B249" s="27">
        <v>1134069</v>
      </c>
      <c r="C249" s="27">
        <v>165807</v>
      </c>
      <c r="D249" s="27" t="s">
        <v>1251</v>
      </c>
    </row>
    <row r="250" spans="1:4">
      <c r="A250" s="27">
        <v>11836865</v>
      </c>
      <c r="B250" s="27">
        <v>3714562</v>
      </c>
      <c r="C250" s="27">
        <v>1953393</v>
      </c>
      <c r="D250" s="27" t="s">
        <v>1251</v>
      </c>
    </row>
    <row r="251" spans="1:4">
      <c r="A251" s="27">
        <v>4320787</v>
      </c>
      <c r="B251" s="27">
        <v>778615</v>
      </c>
      <c r="C251" s="27">
        <v>491749</v>
      </c>
      <c r="D251" s="27" t="s">
        <v>1251</v>
      </c>
    </row>
    <row r="252" spans="1:4">
      <c r="A252" s="27">
        <v>4728653</v>
      </c>
      <c r="B252" s="27">
        <v>2314494</v>
      </c>
      <c r="C252" s="27">
        <v>580526</v>
      </c>
      <c r="D252" s="27" t="s">
        <v>1251</v>
      </c>
    </row>
    <row r="253" spans="1:4">
      <c r="A253" s="27">
        <v>3818386</v>
      </c>
      <c r="B253" s="27">
        <v>942978</v>
      </c>
      <c r="C253" s="27">
        <v>172750</v>
      </c>
      <c r="D253" s="27" t="s">
        <v>1251</v>
      </c>
    </row>
    <row r="254" spans="1:4">
      <c r="A254" s="27">
        <v>4781835</v>
      </c>
      <c r="B254" s="27">
        <v>2798909</v>
      </c>
      <c r="C254" s="27">
        <v>323798</v>
      </c>
      <c r="D254" s="27" t="s">
        <v>1251</v>
      </c>
    </row>
    <row r="255" spans="1:4">
      <c r="A255" s="27">
        <v>339761</v>
      </c>
      <c r="B255" s="27">
        <v>79594</v>
      </c>
      <c r="C255" s="27">
        <v>0</v>
      </c>
      <c r="D255" s="27" t="s">
        <v>1252</v>
      </c>
    </row>
    <row r="256" spans="1:4">
      <c r="A256" s="27">
        <v>2922106</v>
      </c>
      <c r="B256" s="27">
        <v>347753</v>
      </c>
      <c r="C256" s="27">
        <v>7659</v>
      </c>
      <c r="D256" s="27" t="s">
        <v>1252</v>
      </c>
    </row>
    <row r="257" spans="1:4">
      <c r="A257" s="27">
        <v>4143968</v>
      </c>
      <c r="B257" s="27">
        <v>483207</v>
      </c>
      <c r="C257" s="27">
        <v>100449</v>
      </c>
      <c r="D257" s="27" t="s">
        <v>1252</v>
      </c>
    </row>
    <row r="258" spans="1:4">
      <c r="A258" s="27">
        <v>901146</v>
      </c>
      <c r="B258" s="27">
        <v>27135</v>
      </c>
      <c r="C258" s="27">
        <v>0</v>
      </c>
      <c r="D258" s="27" t="s">
        <v>1252</v>
      </c>
    </row>
    <row r="259" spans="1:4">
      <c r="A259" s="27">
        <v>766767</v>
      </c>
      <c r="B259" s="27">
        <v>49929</v>
      </c>
      <c r="C259" s="27">
        <v>13872</v>
      </c>
      <c r="D259" s="27" t="s">
        <v>1252</v>
      </c>
    </row>
    <row r="260" spans="1:4">
      <c r="A260" s="27">
        <v>191335</v>
      </c>
      <c r="B260" s="27">
        <v>9206</v>
      </c>
      <c r="C260" s="27">
        <v>18409</v>
      </c>
      <c r="D260" s="27" t="s">
        <v>1252</v>
      </c>
    </row>
    <row r="261" spans="1:4">
      <c r="A261" s="27">
        <v>1186933</v>
      </c>
      <c r="B261" s="27">
        <v>7266</v>
      </c>
      <c r="C261" s="27">
        <v>0</v>
      </c>
      <c r="D261" s="27" t="s">
        <v>1252</v>
      </c>
    </row>
    <row r="262" spans="1:4">
      <c r="A262" s="27">
        <v>900174</v>
      </c>
      <c r="B262" s="27">
        <v>105478</v>
      </c>
      <c r="C262" s="27">
        <v>63306</v>
      </c>
      <c r="D262" s="27" t="s">
        <v>1252</v>
      </c>
    </row>
    <row r="263" spans="1:4">
      <c r="A263" s="27">
        <v>4321051</v>
      </c>
      <c r="B263" s="27">
        <v>353654</v>
      </c>
      <c r="C263" s="27">
        <v>105118</v>
      </c>
      <c r="D263" s="27" t="s">
        <v>1252</v>
      </c>
    </row>
    <row r="264" spans="1:4">
      <c r="A264" s="27">
        <v>2798811</v>
      </c>
      <c r="B264" s="27">
        <v>613894</v>
      </c>
      <c r="C264" s="27">
        <v>55013</v>
      </c>
      <c r="D264" s="27" t="s">
        <v>1253</v>
      </c>
    </row>
    <row r="265" spans="1:4">
      <c r="A265" s="27">
        <v>5239937</v>
      </c>
      <c r="B265" s="27">
        <v>1025066</v>
      </c>
      <c r="C265" s="27">
        <v>368791</v>
      </c>
      <c r="D265" s="27" t="s">
        <v>1253</v>
      </c>
    </row>
    <row r="266" spans="1:4">
      <c r="A266" s="27">
        <v>8157503</v>
      </c>
      <c r="B266" s="27">
        <v>948083</v>
      </c>
      <c r="C266" s="27">
        <v>423065</v>
      </c>
      <c r="D266" s="27" t="s">
        <v>1253</v>
      </c>
    </row>
    <row r="267" spans="1:4">
      <c r="A267" s="27">
        <v>4858109</v>
      </c>
      <c r="B267" s="27">
        <v>479669</v>
      </c>
      <c r="C267" s="27">
        <v>442114</v>
      </c>
      <c r="D267" s="27" t="s">
        <v>1253</v>
      </c>
    </row>
    <row r="268" spans="1:4">
      <c r="A268" s="27">
        <v>13409526</v>
      </c>
      <c r="B268" s="27">
        <v>2556125</v>
      </c>
      <c r="C268" s="27">
        <v>1981930</v>
      </c>
      <c r="D268" s="27" t="s">
        <v>1253</v>
      </c>
    </row>
    <row r="269" spans="1:4">
      <c r="A269" s="27">
        <v>4926064</v>
      </c>
      <c r="B269" s="27">
        <v>481546</v>
      </c>
      <c r="C269" s="27">
        <v>465597</v>
      </c>
      <c r="D269" s="27" t="s">
        <v>1253</v>
      </c>
    </row>
    <row r="270" spans="1:4">
      <c r="A270" s="27">
        <v>7309528</v>
      </c>
      <c r="B270" s="27">
        <v>1108113</v>
      </c>
      <c r="C270" s="27">
        <v>692206</v>
      </c>
      <c r="D270" s="27" t="s">
        <v>1253</v>
      </c>
    </row>
    <row r="271" spans="1:4">
      <c r="A271" s="27">
        <v>4632186</v>
      </c>
      <c r="B271" s="27">
        <v>675686</v>
      </c>
      <c r="C271" s="27">
        <v>343690</v>
      </c>
      <c r="D271" s="27" t="s">
        <v>1253</v>
      </c>
    </row>
    <row r="272" spans="1:4">
      <c r="A272" s="27">
        <v>5898798</v>
      </c>
      <c r="B272" s="27">
        <v>1370648</v>
      </c>
      <c r="C272" s="27">
        <v>511904</v>
      </c>
      <c r="D272" s="27" t="s">
        <v>1253</v>
      </c>
    </row>
    <row r="273" spans="1:4">
      <c r="A273" s="27">
        <v>4456483</v>
      </c>
      <c r="B273" s="27">
        <v>2187557</v>
      </c>
      <c r="C273" s="27">
        <v>89697</v>
      </c>
      <c r="D273" s="27" t="s">
        <v>1254</v>
      </c>
    </row>
    <row r="274" spans="1:4">
      <c r="A274" s="27">
        <v>12765512</v>
      </c>
      <c r="B274" s="27">
        <v>5776336</v>
      </c>
      <c r="C274" s="27">
        <v>435344</v>
      </c>
      <c r="D274" s="27" t="s">
        <v>1254</v>
      </c>
    </row>
    <row r="275" spans="1:4">
      <c r="A275" s="27">
        <v>18197060</v>
      </c>
      <c r="B275" s="27">
        <v>4393145</v>
      </c>
      <c r="C275" s="27">
        <v>659115</v>
      </c>
      <c r="D275" s="27" t="s">
        <v>1254</v>
      </c>
    </row>
    <row r="276" spans="1:4">
      <c r="A276" s="27">
        <v>8721857</v>
      </c>
      <c r="B276" s="27">
        <v>1485641</v>
      </c>
      <c r="C276" s="27">
        <v>570133</v>
      </c>
      <c r="D276" s="27" t="s">
        <v>1254</v>
      </c>
    </row>
    <row r="277" spans="1:4">
      <c r="A277" s="27">
        <v>19767133</v>
      </c>
      <c r="B277" s="27">
        <v>4727945</v>
      </c>
      <c r="C277" s="27">
        <v>2666652</v>
      </c>
      <c r="D277" s="27" t="s">
        <v>1254</v>
      </c>
    </row>
    <row r="278" spans="1:4">
      <c r="A278" s="27">
        <v>6961762</v>
      </c>
      <c r="B278" s="27">
        <v>973706</v>
      </c>
      <c r="C278" s="27">
        <v>699098</v>
      </c>
      <c r="D278" s="27" t="s">
        <v>1254</v>
      </c>
    </row>
    <row r="279" spans="1:4">
      <c r="A279" s="27">
        <v>11558796</v>
      </c>
      <c r="B279" s="27">
        <v>2911332</v>
      </c>
      <c r="C279" s="27">
        <v>937296</v>
      </c>
      <c r="D279" s="27" t="s">
        <v>1254</v>
      </c>
    </row>
    <row r="280" spans="1:4">
      <c r="A280" s="27">
        <v>8403554</v>
      </c>
      <c r="B280" s="27">
        <v>1286747</v>
      </c>
      <c r="C280" s="27">
        <v>723386</v>
      </c>
      <c r="D280" s="27" t="s">
        <v>1254</v>
      </c>
    </row>
    <row r="281" spans="1:4">
      <c r="A281" s="27">
        <v>14781782</v>
      </c>
      <c r="B281" s="27">
        <v>5533570</v>
      </c>
      <c r="C281" s="27">
        <v>801194</v>
      </c>
      <c r="D281" s="27" t="s">
        <v>1254</v>
      </c>
    </row>
    <row r="282" spans="1:4">
      <c r="A282" s="27">
        <v>1051656</v>
      </c>
      <c r="B282" s="27">
        <v>116735</v>
      </c>
      <c r="C282" s="27">
        <v>8671</v>
      </c>
      <c r="D282" s="27" t="s">
        <v>1255</v>
      </c>
    </row>
    <row r="283" spans="1:4">
      <c r="A283" s="27">
        <v>3381161</v>
      </c>
      <c r="B283" s="27">
        <v>342758</v>
      </c>
      <c r="C283" s="27">
        <v>135372</v>
      </c>
      <c r="D283" s="27" t="s">
        <v>1255</v>
      </c>
    </row>
    <row r="284" spans="1:4">
      <c r="A284" s="27">
        <v>6454917</v>
      </c>
      <c r="B284" s="27">
        <v>492607</v>
      </c>
      <c r="C284" s="27">
        <v>255203</v>
      </c>
      <c r="D284" s="27" t="s">
        <v>1255</v>
      </c>
    </row>
    <row r="285" spans="1:4">
      <c r="A285" s="27">
        <v>3900344</v>
      </c>
      <c r="B285" s="27">
        <v>103309</v>
      </c>
      <c r="C285" s="27">
        <v>255192</v>
      </c>
      <c r="D285" s="27" t="s">
        <v>1255</v>
      </c>
    </row>
    <row r="286" spans="1:4">
      <c r="A286" s="27">
        <v>5856616</v>
      </c>
      <c r="B286" s="27">
        <v>294434</v>
      </c>
      <c r="C286" s="27">
        <v>833365</v>
      </c>
      <c r="D286" s="27" t="s">
        <v>1255</v>
      </c>
    </row>
    <row r="287" spans="1:4">
      <c r="A287" s="27">
        <v>3095034</v>
      </c>
      <c r="B287" s="27">
        <v>61194</v>
      </c>
      <c r="C287" s="27">
        <v>289746</v>
      </c>
      <c r="D287" s="27" t="s">
        <v>1255</v>
      </c>
    </row>
    <row r="288" spans="1:4">
      <c r="A288" s="27">
        <v>4033079</v>
      </c>
      <c r="B288" s="27">
        <v>139637</v>
      </c>
      <c r="C288" s="27">
        <v>215639</v>
      </c>
      <c r="D288" s="27" t="s">
        <v>1255</v>
      </c>
    </row>
    <row r="289" spans="1:4">
      <c r="A289" s="27">
        <v>2737095</v>
      </c>
      <c r="B289" s="27">
        <v>47233</v>
      </c>
      <c r="C289" s="27">
        <v>267505</v>
      </c>
      <c r="D289" s="27" t="s">
        <v>1255</v>
      </c>
    </row>
    <row r="290" spans="1:4">
      <c r="A290" s="27">
        <v>3189090</v>
      </c>
      <c r="B290" s="27">
        <v>158662</v>
      </c>
      <c r="C290" s="27">
        <v>239466</v>
      </c>
      <c r="D290" s="27" t="s">
        <v>1255</v>
      </c>
    </row>
    <row r="291" spans="1:4">
      <c r="A291" s="27">
        <v>1372182</v>
      </c>
      <c r="B291" s="27">
        <v>505297</v>
      </c>
      <c r="C291" s="27">
        <v>74639</v>
      </c>
      <c r="D291" s="27" t="s">
        <v>1256</v>
      </c>
    </row>
    <row r="292" spans="1:4">
      <c r="A292" s="27">
        <v>5248186</v>
      </c>
      <c r="B292" s="27">
        <v>1488730</v>
      </c>
      <c r="C292" s="27">
        <v>253543</v>
      </c>
      <c r="D292" s="27" t="s">
        <v>1256</v>
      </c>
    </row>
    <row r="293" spans="1:4">
      <c r="A293" s="27">
        <v>11106011</v>
      </c>
      <c r="B293" s="27">
        <v>2497675</v>
      </c>
      <c r="C293" s="27">
        <v>480503</v>
      </c>
      <c r="D293" s="27" t="s">
        <v>1256</v>
      </c>
    </row>
    <row r="294" spans="1:4">
      <c r="A294" s="27">
        <v>5108686</v>
      </c>
      <c r="B294" s="27">
        <v>775436</v>
      </c>
      <c r="C294" s="27">
        <v>440669</v>
      </c>
      <c r="D294" s="27" t="s">
        <v>1256</v>
      </c>
    </row>
    <row r="295" spans="1:4">
      <c r="A295" s="27">
        <v>8671260</v>
      </c>
      <c r="B295" s="27">
        <v>2806058</v>
      </c>
      <c r="C295" s="27">
        <v>1073342</v>
      </c>
      <c r="D295" s="27" t="s">
        <v>1256</v>
      </c>
    </row>
    <row r="296" spans="1:4">
      <c r="A296" s="27">
        <v>3261396</v>
      </c>
      <c r="B296" s="27">
        <v>673968</v>
      </c>
      <c r="C296" s="27">
        <v>453681</v>
      </c>
      <c r="D296" s="27" t="s">
        <v>1256</v>
      </c>
    </row>
    <row r="297" spans="1:4">
      <c r="A297" s="27">
        <v>7082335</v>
      </c>
      <c r="B297" s="27">
        <v>2425733</v>
      </c>
      <c r="C297" s="27">
        <v>574691</v>
      </c>
      <c r="D297" s="27" t="s">
        <v>1256</v>
      </c>
    </row>
    <row r="298" spans="1:4">
      <c r="A298" s="27">
        <v>4239671</v>
      </c>
      <c r="B298" s="27">
        <v>1053446</v>
      </c>
      <c r="C298" s="27">
        <v>437302</v>
      </c>
      <c r="D298" s="27" t="s">
        <v>1256</v>
      </c>
    </row>
    <row r="299" spans="1:4">
      <c r="A299" s="27">
        <v>7355193</v>
      </c>
      <c r="B299" s="27">
        <v>1696211</v>
      </c>
      <c r="C299" s="27">
        <v>413637</v>
      </c>
      <c r="D299" s="27" t="s">
        <v>1256</v>
      </c>
    </row>
    <row r="300" spans="1:4">
      <c r="A300" s="27">
        <v>9607446</v>
      </c>
      <c r="B300" s="27">
        <v>3790336</v>
      </c>
      <c r="C300" s="27">
        <v>152710</v>
      </c>
      <c r="D300" s="27" t="s">
        <v>1257</v>
      </c>
    </row>
    <row r="301" spans="1:4">
      <c r="A301" s="27">
        <v>27541535</v>
      </c>
      <c r="B301" s="27">
        <v>10461956</v>
      </c>
      <c r="C301" s="27">
        <v>819091</v>
      </c>
      <c r="D301" s="27" t="s">
        <v>1257</v>
      </c>
    </row>
    <row r="302" spans="1:4">
      <c r="A302" s="27">
        <v>38656512</v>
      </c>
      <c r="B302" s="27">
        <v>7816385</v>
      </c>
      <c r="C302" s="27">
        <v>1268189</v>
      </c>
      <c r="D302" s="27" t="s">
        <v>1257</v>
      </c>
    </row>
    <row r="303" spans="1:4">
      <c r="A303" s="27">
        <v>17340561</v>
      </c>
      <c r="B303" s="27">
        <v>2398501</v>
      </c>
      <c r="C303" s="27">
        <v>1198113</v>
      </c>
      <c r="D303" s="27" t="s">
        <v>1257</v>
      </c>
    </row>
    <row r="304" spans="1:4">
      <c r="A304" s="27">
        <v>44097972</v>
      </c>
      <c r="B304" s="27">
        <v>9220327</v>
      </c>
      <c r="C304" s="27">
        <v>5798234</v>
      </c>
      <c r="D304" s="27" t="s">
        <v>1257</v>
      </c>
    </row>
    <row r="305" spans="1:4">
      <c r="A305" s="27">
        <v>14898831</v>
      </c>
      <c r="B305" s="27">
        <v>1832625</v>
      </c>
      <c r="C305" s="27">
        <v>1300312</v>
      </c>
      <c r="D305" s="27" t="s">
        <v>1257</v>
      </c>
    </row>
    <row r="306" spans="1:4">
      <c r="A306" s="27">
        <v>25158652</v>
      </c>
      <c r="B306" s="27">
        <v>5000001</v>
      </c>
      <c r="C306" s="27">
        <v>1883055</v>
      </c>
      <c r="D306" s="27" t="s">
        <v>1257</v>
      </c>
    </row>
    <row r="307" spans="1:4">
      <c r="A307" s="27">
        <v>15750275</v>
      </c>
      <c r="B307" s="27">
        <v>2245395</v>
      </c>
      <c r="C307" s="27">
        <v>1486592</v>
      </c>
      <c r="D307" s="27" t="s">
        <v>1257</v>
      </c>
    </row>
    <row r="308" spans="1:4">
      <c r="A308" s="27">
        <v>28786267</v>
      </c>
      <c r="B308" s="27">
        <v>9190573</v>
      </c>
      <c r="C308" s="27">
        <v>1683048</v>
      </c>
      <c r="D308" s="27" t="s">
        <v>1257</v>
      </c>
    </row>
    <row r="309" spans="1:4">
      <c r="A309" s="27">
        <v>6287491</v>
      </c>
      <c r="B309" s="27">
        <v>2547771</v>
      </c>
      <c r="C309" s="27">
        <v>104942</v>
      </c>
      <c r="D309" s="27" t="s">
        <v>1258</v>
      </c>
    </row>
    <row r="310" spans="1:4">
      <c r="A310" s="27">
        <v>19139628</v>
      </c>
      <c r="B310" s="27">
        <v>7963871</v>
      </c>
      <c r="C310" s="27">
        <v>549326</v>
      </c>
      <c r="D310" s="27" t="s">
        <v>1258</v>
      </c>
    </row>
    <row r="311" spans="1:4">
      <c r="A311" s="27">
        <v>24097196</v>
      </c>
      <c r="B311" s="27">
        <v>4688945</v>
      </c>
      <c r="C311" s="27">
        <v>794029</v>
      </c>
      <c r="D311" s="27" t="s">
        <v>1258</v>
      </c>
    </row>
    <row r="312" spans="1:4">
      <c r="A312" s="27">
        <v>10440192</v>
      </c>
      <c r="B312" s="27">
        <v>1426650</v>
      </c>
      <c r="C312" s="27">
        <v>687557</v>
      </c>
      <c r="D312" s="27" t="s">
        <v>1258</v>
      </c>
    </row>
    <row r="313" spans="1:4">
      <c r="A313" s="27">
        <v>28425383</v>
      </c>
      <c r="B313" s="27">
        <v>6162591</v>
      </c>
      <c r="C313" s="27">
        <v>3566593</v>
      </c>
      <c r="D313" s="27" t="s">
        <v>1258</v>
      </c>
    </row>
    <row r="314" spans="1:4">
      <c r="A314" s="27">
        <v>10055278</v>
      </c>
      <c r="B314" s="27">
        <v>1210078</v>
      </c>
      <c r="C314" s="27">
        <v>815062</v>
      </c>
      <c r="D314" s="27" t="s">
        <v>1258</v>
      </c>
    </row>
    <row r="315" spans="1:4">
      <c r="A315" s="27">
        <v>16072594</v>
      </c>
      <c r="B315" s="27">
        <v>2361769</v>
      </c>
      <c r="C315" s="27">
        <v>941582</v>
      </c>
      <c r="D315" s="27" t="s">
        <v>1258</v>
      </c>
    </row>
    <row r="316" spans="1:4">
      <c r="A316" s="27">
        <v>9701872</v>
      </c>
      <c r="B316" s="27">
        <v>1146088</v>
      </c>
      <c r="C316" s="27">
        <v>842680</v>
      </c>
      <c r="D316" s="27" t="s">
        <v>1258</v>
      </c>
    </row>
    <row r="317" spans="1:4">
      <c r="A317" s="27">
        <v>19360729</v>
      </c>
      <c r="B317" s="27">
        <v>5976296</v>
      </c>
      <c r="C317" s="27">
        <v>1062235</v>
      </c>
      <c r="D317" s="27" t="s">
        <v>1258</v>
      </c>
    </row>
    <row r="318" spans="1:4">
      <c r="A318" s="27">
        <v>890996</v>
      </c>
      <c r="B318" s="27">
        <v>203078</v>
      </c>
      <c r="C318" s="27">
        <v>15605</v>
      </c>
      <c r="D318" s="27" t="s">
        <v>1259</v>
      </c>
    </row>
    <row r="319" spans="1:4">
      <c r="A319" s="27">
        <v>2170110</v>
      </c>
      <c r="B319" s="27">
        <v>719596</v>
      </c>
      <c r="C319" s="27">
        <v>81521</v>
      </c>
      <c r="D319" s="27" t="s">
        <v>1259</v>
      </c>
    </row>
    <row r="320" spans="1:4">
      <c r="A320" s="27">
        <v>3578707</v>
      </c>
      <c r="B320" s="27">
        <v>479773</v>
      </c>
      <c r="C320" s="27">
        <v>95698</v>
      </c>
      <c r="D320" s="27" t="s">
        <v>1259</v>
      </c>
    </row>
    <row r="321" spans="1:4">
      <c r="A321" s="27">
        <v>1745673</v>
      </c>
      <c r="B321" s="27">
        <v>256821</v>
      </c>
      <c r="C321" s="27">
        <v>93318</v>
      </c>
      <c r="D321" s="27" t="s">
        <v>1259</v>
      </c>
    </row>
    <row r="322" spans="1:4">
      <c r="A322" s="27">
        <v>4016969</v>
      </c>
      <c r="B322" s="27">
        <v>706287</v>
      </c>
      <c r="C322" s="27">
        <v>387784</v>
      </c>
      <c r="D322" s="27" t="s">
        <v>1259</v>
      </c>
    </row>
    <row r="323" spans="1:4">
      <c r="A323" s="27">
        <v>1072508</v>
      </c>
      <c r="B323" s="27">
        <v>122602</v>
      </c>
      <c r="C323" s="27">
        <v>11145</v>
      </c>
      <c r="D323" s="27" t="s">
        <v>1259</v>
      </c>
    </row>
    <row r="324" spans="1:4">
      <c r="A324" s="27">
        <v>2904019</v>
      </c>
      <c r="B324" s="27">
        <v>444677</v>
      </c>
      <c r="C324" s="27">
        <v>103719</v>
      </c>
      <c r="D324" s="27" t="s">
        <v>1259</v>
      </c>
    </row>
    <row r="325" spans="1:4">
      <c r="A325" s="27">
        <v>1853850</v>
      </c>
      <c r="B325" s="27">
        <v>182518</v>
      </c>
      <c r="C325" s="27">
        <v>134610</v>
      </c>
      <c r="D325" s="27" t="s">
        <v>1259</v>
      </c>
    </row>
    <row r="326" spans="1:4">
      <c r="A326" s="27">
        <v>3213387</v>
      </c>
      <c r="B326" s="27">
        <v>893326</v>
      </c>
      <c r="C326" s="27">
        <v>164464</v>
      </c>
      <c r="D326" s="27" t="s">
        <v>1259</v>
      </c>
    </row>
    <row r="327" spans="1:4">
      <c r="A327" s="27">
        <v>5689886</v>
      </c>
      <c r="B327" s="27">
        <v>2356424</v>
      </c>
      <c r="C327" s="27">
        <v>107133</v>
      </c>
      <c r="D327" s="27" t="s">
        <v>1260</v>
      </c>
    </row>
    <row r="328" spans="1:4">
      <c r="A328" s="27">
        <v>14936164</v>
      </c>
      <c r="B328" s="27">
        <v>6466083</v>
      </c>
      <c r="C328" s="27">
        <v>634565</v>
      </c>
      <c r="D328" s="27" t="s">
        <v>1260</v>
      </c>
    </row>
    <row r="329" spans="1:4">
      <c r="A329" s="27">
        <v>21831777</v>
      </c>
      <c r="B329" s="27">
        <v>5364489</v>
      </c>
      <c r="C329" s="27">
        <v>897634</v>
      </c>
      <c r="D329" s="27" t="s">
        <v>1260</v>
      </c>
    </row>
    <row r="330" spans="1:4">
      <c r="A330" s="27">
        <v>10863578</v>
      </c>
      <c r="B330" s="27">
        <v>1616814</v>
      </c>
      <c r="C330" s="27">
        <v>931587</v>
      </c>
      <c r="D330" s="27" t="s">
        <v>1260</v>
      </c>
    </row>
    <row r="331" spans="1:4">
      <c r="A331" s="27">
        <v>25288128</v>
      </c>
      <c r="B331" s="27">
        <v>5797570</v>
      </c>
      <c r="C331" s="27">
        <v>3710071</v>
      </c>
      <c r="D331" s="27" t="s">
        <v>1260</v>
      </c>
    </row>
    <row r="332" spans="1:4">
      <c r="A332" s="27">
        <v>9348998</v>
      </c>
      <c r="B332" s="27">
        <v>1070503</v>
      </c>
      <c r="C332" s="27">
        <v>705949</v>
      </c>
      <c r="D332" s="27" t="s">
        <v>1260</v>
      </c>
    </row>
    <row r="333" spans="1:4">
      <c r="A333" s="27">
        <v>15404810</v>
      </c>
      <c r="B333" s="27">
        <v>3361924</v>
      </c>
      <c r="C333" s="27">
        <v>1334615</v>
      </c>
      <c r="D333" s="27" t="s">
        <v>1260</v>
      </c>
    </row>
    <row r="334" spans="1:4">
      <c r="A334" s="27">
        <v>10613439</v>
      </c>
      <c r="B334" s="27">
        <v>1717382</v>
      </c>
      <c r="C334" s="27">
        <v>937020</v>
      </c>
      <c r="D334" s="27" t="s">
        <v>1260</v>
      </c>
    </row>
    <row r="335" spans="1:4">
      <c r="A335" s="27">
        <v>18822774</v>
      </c>
      <c r="B335" s="27">
        <v>6224002</v>
      </c>
      <c r="C335" s="27">
        <v>1185200</v>
      </c>
      <c r="D335" s="27" t="s">
        <v>1260</v>
      </c>
    </row>
    <row r="336" spans="1:4">
      <c r="A336" s="27">
        <v>1608679</v>
      </c>
      <c r="B336" s="27">
        <v>645685</v>
      </c>
      <c r="C336" s="27">
        <v>17941</v>
      </c>
      <c r="D336" s="27" t="s">
        <v>1261</v>
      </c>
    </row>
    <row r="337" spans="1:4">
      <c r="A337" s="27">
        <v>4297333</v>
      </c>
      <c r="B337" s="27">
        <v>1980913</v>
      </c>
      <c r="C337" s="27">
        <v>152628</v>
      </c>
      <c r="D337" s="27" t="s">
        <v>1261</v>
      </c>
    </row>
    <row r="338" spans="1:4">
      <c r="A338" s="27">
        <v>6203737</v>
      </c>
      <c r="B338" s="27">
        <v>1843396</v>
      </c>
      <c r="C338" s="27">
        <v>289677</v>
      </c>
      <c r="D338" s="27" t="s">
        <v>1261</v>
      </c>
    </row>
    <row r="339" spans="1:4">
      <c r="A339" s="27">
        <v>3099305</v>
      </c>
      <c r="B339" s="27">
        <v>536471</v>
      </c>
      <c r="C339" s="27">
        <v>278702</v>
      </c>
      <c r="D339" s="27" t="s">
        <v>1261</v>
      </c>
    </row>
    <row r="340" spans="1:4">
      <c r="A340" s="27">
        <v>7521547</v>
      </c>
      <c r="B340" s="27">
        <v>1752704</v>
      </c>
      <c r="C340" s="27">
        <v>1015253</v>
      </c>
      <c r="D340" s="27" t="s">
        <v>1261</v>
      </c>
    </row>
    <row r="341" spans="1:4">
      <c r="A341" s="27">
        <v>2230782</v>
      </c>
      <c r="B341" s="27">
        <v>382363</v>
      </c>
      <c r="C341" s="27">
        <v>243605</v>
      </c>
      <c r="D341" s="27" t="s">
        <v>1261</v>
      </c>
    </row>
    <row r="342" spans="1:4">
      <c r="A342" s="27">
        <v>4006177</v>
      </c>
      <c r="B342" s="27">
        <v>1042043</v>
      </c>
      <c r="C342" s="27">
        <v>478837</v>
      </c>
      <c r="D342" s="27" t="s">
        <v>1261</v>
      </c>
    </row>
    <row r="343" spans="1:4">
      <c r="A343" s="27">
        <v>3091925</v>
      </c>
      <c r="B343" s="27">
        <v>605868</v>
      </c>
      <c r="C343" s="27">
        <v>216296</v>
      </c>
      <c r="D343" s="27" t="s">
        <v>1261</v>
      </c>
    </row>
    <row r="344" spans="1:4">
      <c r="A344" s="27">
        <v>5043669</v>
      </c>
      <c r="B344" s="27">
        <v>1970564</v>
      </c>
      <c r="C344" s="27">
        <v>233891</v>
      </c>
      <c r="D344" s="27" t="s">
        <v>1261</v>
      </c>
    </row>
    <row r="345" spans="1:4">
      <c r="A345" s="27">
        <v>2577628</v>
      </c>
      <c r="B345" s="27">
        <v>778469</v>
      </c>
      <c r="C345" s="27">
        <v>40789</v>
      </c>
      <c r="D345" s="27" t="s">
        <v>1262</v>
      </c>
    </row>
    <row r="346" spans="1:4">
      <c r="A346" s="27">
        <v>6489328</v>
      </c>
      <c r="B346" s="27">
        <v>2116489</v>
      </c>
      <c r="C346" s="27">
        <v>211006</v>
      </c>
      <c r="D346" s="27" t="s">
        <v>1262</v>
      </c>
    </row>
    <row r="347" spans="1:4">
      <c r="A347" s="27">
        <v>8560519</v>
      </c>
      <c r="B347" s="27">
        <v>1606516</v>
      </c>
      <c r="C347" s="27">
        <v>185666</v>
      </c>
      <c r="D347" s="27" t="s">
        <v>1262</v>
      </c>
    </row>
    <row r="348" spans="1:4">
      <c r="A348" s="27">
        <v>4160744</v>
      </c>
      <c r="B348" s="27">
        <v>404385</v>
      </c>
      <c r="C348" s="27">
        <v>203231</v>
      </c>
      <c r="D348" s="27" t="s">
        <v>1262</v>
      </c>
    </row>
    <row r="349" spans="1:4">
      <c r="A349" s="27">
        <v>9644781</v>
      </c>
      <c r="B349" s="27">
        <v>1632602</v>
      </c>
      <c r="C349" s="27">
        <v>876505</v>
      </c>
      <c r="D349" s="27" t="s">
        <v>1262</v>
      </c>
    </row>
    <row r="350" spans="1:4">
      <c r="A350" s="27">
        <v>3059283</v>
      </c>
      <c r="B350" s="27">
        <v>285472</v>
      </c>
      <c r="C350" s="27">
        <v>211004</v>
      </c>
      <c r="D350" s="27" t="s">
        <v>1262</v>
      </c>
    </row>
    <row r="351" spans="1:4">
      <c r="A351" s="27">
        <v>5621767</v>
      </c>
      <c r="B351" s="27">
        <v>849953</v>
      </c>
      <c r="C351" s="27">
        <v>402866</v>
      </c>
      <c r="D351" s="27" t="s">
        <v>1262</v>
      </c>
    </row>
    <row r="352" spans="1:4">
      <c r="A352" s="27">
        <v>4268280</v>
      </c>
      <c r="B352" s="27">
        <v>336826</v>
      </c>
      <c r="C352" s="27">
        <v>271714</v>
      </c>
      <c r="D352" s="27" t="s">
        <v>1262</v>
      </c>
    </row>
    <row r="353" spans="1:4">
      <c r="A353" s="27">
        <v>8329569</v>
      </c>
      <c r="B353" s="27">
        <v>2271753</v>
      </c>
      <c r="C353" s="27">
        <v>379414</v>
      </c>
      <c r="D353" s="27" t="s">
        <v>1262</v>
      </c>
    </row>
    <row r="354" spans="1:4">
      <c r="A354" s="27">
        <v>3554043</v>
      </c>
      <c r="B354" s="27">
        <v>1379389</v>
      </c>
      <c r="C354" s="27">
        <v>24108</v>
      </c>
      <c r="D354" s="27" t="s">
        <v>1263</v>
      </c>
    </row>
    <row r="355" spans="1:4">
      <c r="A355" s="27">
        <v>7517526</v>
      </c>
      <c r="B355" s="27">
        <v>3452051</v>
      </c>
      <c r="C355" s="27">
        <v>53578</v>
      </c>
      <c r="D355" s="27" t="s">
        <v>1263</v>
      </c>
    </row>
    <row r="356" spans="1:4">
      <c r="A356" s="27">
        <v>9287464</v>
      </c>
      <c r="B356" s="27">
        <v>2183997</v>
      </c>
      <c r="C356" s="27">
        <v>185220</v>
      </c>
      <c r="D356" s="27" t="s">
        <v>1263</v>
      </c>
    </row>
    <row r="357" spans="1:4">
      <c r="A357" s="27">
        <v>4589644</v>
      </c>
      <c r="B357" s="27">
        <v>676902</v>
      </c>
      <c r="C357" s="27">
        <v>305597</v>
      </c>
      <c r="D357" s="27" t="s">
        <v>1263</v>
      </c>
    </row>
    <row r="358" spans="1:4">
      <c r="A358" s="27">
        <v>13329947</v>
      </c>
      <c r="B358" s="27">
        <v>3387929</v>
      </c>
      <c r="C358" s="27">
        <v>917686</v>
      </c>
      <c r="D358" s="27" t="s">
        <v>1263</v>
      </c>
    </row>
    <row r="359" spans="1:4">
      <c r="A359" s="27">
        <v>3245438</v>
      </c>
      <c r="B359" s="27">
        <v>566983</v>
      </c>
      <c r="C359" s="27">
        <v>99788</v>
      </c>
      <c r="D359" s="27" t="s">
        <v>1263</v>
      </c>
    </row>
    <row r="360" spans="1:4">
      <c r="A360" s="27">
        <v>6720710</v>
      </c>
      <c r="B360" s="27">
        <v>1608966</v>
      </c>
      <c r="C360" s="27">
        <v>286795</v>
      </c>
      <c r="D360" s="27" t="s">
        <v>1263</v>
      </c>
    </row>
    <row r="361" spans="1:4">
      <c r="A361" s="27">
        <v>4919325</v>
      </c>
      <c r="B361" s="27">
        <v>959842</v>
      </c>
      <c r="C361" s="27">
        <v>209815</v>
      </c>
      <c r="D361" s="27" t="s">
        <v>1263</v>
      </c>
    </row>
    <row r="362" spans="1:4">
      <c r="A362" s="27">
        <v>10126825</v>
      </c>
      <c r="B362" s="27">
        <v>3953544</v>
      </c>
      <c r="C362" s="27">
        <v>321999</v>
      </c>
      <c r="D362" s="27" t="s">
        <v>1263</v>
      </c>
    </row>
    <row r="363" spans="1:4">
      <c r="A363" s="27">
        <v>3415357</v>
      </c>
      <c r="B363" s="27">
        <v>1031471</v>
      </c>
      <c r="C363" s="27">
        <v>54045</v>
      </c>
      <c r="D363" s="27" t="s">
        <v>1264</v>
      </c>
    </row>
    <row r="364" spans="1:4">
      <c r="A364" s="27">
        <v>8598359</v>
      </c>
      <c r="B364" s="27">
        <v>2804348</v>
      </c>
      <c r="C364" s="27">
        <v>279583</v>
      </c>
      <c r="D364" s="27" t="s">
        <v>1264</v>
      </c>
    </row>
    <row r="365" spans="1:4">
      <c r="A365" s="27">
        <v>11342688</v>
      </c>
      <c r="B365" s="27">
        <v>2128633</v>
      </c>
      <c r="C365" s="27">
        <v>246007</v>
      </c>
      <c r="D365" s="27" t="s">
        <v>1264</v>
      </c>
    </row>
    <row r="366" spans="1:4">
      <c r="A366" s="27">
        <v>5512986</v>
      </c>
      <c r="B366" s="27">
        <v>535809</v>
      </c>
      <c r="C366" s="27">
        <v>269281</v>
      </c>
      <c r="D366" s="27" t="s">
        <v>1264</v>
      </c>
    </row>
    <row r="367" spans="1:4">
      <c r="A367" s="27">
        <v>12779335</v>
      </c>
      <c r="B367" s="27">
        <v>2163198</v>
      </c>
      <c r="C367" s="27">
        <v>1161370</v>
      </c>
      <c r="D367" s="27" t="s">
        <v>1264</v>
      </c>
    </row>
    <row r="368" spans="1:4">
      <c r="A368" s="27">
        <v>4053550</v>
      </c>
      <c r="B368" s="27">
        <v>378250</v>
      </c>
      <c r="C368" s="27">
        <v>279580</v>
      </c>
      <c r="D368" s="27" t="s">
        <v>1264</v>
      </c>
    </row>
    <row r="369" spans="1:4">
      <c r="A369" s="27">
        <v>7448842</v>
      </c>
      <c r="B369" s="27">
        <v>1126188</v>
      </c>
      <c r="C369" s="27">
        <v>533797</v>
      </c>
      <c r="D369" s="27" t="s">
        <v>1264</v>
      </c>
    </row>
    <row r="370" spans="1:4">
      <c r="A370" s="27">
        <v>5655471</v>
      </c>
      <c r="B370" s="27">
        <v>446294</v>
      </c>
      <c r="C370" s="27">
        <v>360021</v>
      </c>
      <c r="D370" s="27" t="s">
        <v>1264</v>
      </c>
    </row>
    <row r="371" spans="1:4">
      <c r="A371" s="27">
        <v>11036678</v>
      </c>
      <c r="B371" s="27">
        <v>3010073</v>
      </c>
      <c r="C371" s="27">
        <v>502724</v>
      </c>
      <c r="D371" s="27" t="s">
        <v>1264</v>
      </c>
    </row>
    <row r="372" spans="1:4">
      <c r="A372" s="27">
        <v>5314750</v>
      </c>
      <c r="B372" s="27">
        <v>2352703</v>
      </c>
      <c r="C372" s="27">
        <v>88222</v>
      </c>
      <c r="D372" s="27" t="s">
        <v>1265</v>
      </c>
    </row>
    <row r="373" spans="1:4">
      <c r="A373" s="27">
        <v>13200188</v>
      </c>
      <c r="B373" s="27">
        <v>6280160</v>
      </c>
      <c r="C373" s="27">
        <v>415442</v>
      </c>
      <c r="D373" s="27" t="s">
        <v>1265</v>
      </c>
    </row>
    <row r="374" spans="1:4">
      <c r="A374" s="27">
        <v>18026703</v>
      </c>
      <c r="B374" s="27">
        <v>4061557</v>
      </c>
      <c r="C374" s="27">
        <v>333303</v>
      </c>
      <c r="D374" s="27" t="s">
        <v>1265</v>
      </c>
    </row>
    <row r="375" spans="1:4">
      <c r="A375" s="27">
        <v>8622824</v>
      </c>
      <c r="B375" s="27">
        <v>1185800</v>
      </c>
      <c r="C375" s="27">
        <v>462571</v>
      </c>
      <c r="D375" s="27" t="s">
        <v>1265</v>
      </c>
    </row>
    <row r="376" spans="1:4">
      <c r="A376" s="27">
        <v>21342325</v>
      </c>
      <c r="B376" s="27">
        <v>5551675</v>
      </c>
      <c r="C376" s="27">
        <v>1926716</v>
      </c>
      <c r="D376" s="27" t="s">
        <v>1265</v>
      </c>
    </row>
    <row r="377" spans="1:4">
      <c r="A377" s="27">
        <v>6877171</v>
      </c>
      <c r="B377" s="27">
        <v>873912</v>
      </c>
      <c r="C377" s="27">
        <v>379570</v>
      </c>
      <c r="D377" s="27" t="s">
        <v>1265</v>
      </c>
    </row>
    <row r="378" spans="1:4">
      <c r="A378" s="27">
        <v>12057900</v>
      </c>
      <c r="B378" s="27">
        <v>2781756</v>
      </c>
      <c r="C378" s="27">
        <v>696108</v>
      </c>
      <c r="D378" s="27" t="s">
        <v>1265</v>
      </c>
    </row>
    <row r="379" spans="1:4">
      <c r="A379" s="27">
        <v>8582707</v>
      </c>
      <c r="B379" s="27">
        <v>1462994</v>
      </c>
      <c r="C379" s="27">
        <v>495388</v>
      </c>
      <c r="D379" s="27" t="s">
        <v>1265</v>
      </c>
    </row>
    <row r="380" spans="1:4">
      <c r="A380" s="27">
        <v>16376825</v>
      </c>
      <c r="B380" s="27">
        <v>6545149</v>
      </c>
      <c r="C380" s="27">
        <v>705581</v>
      </c>
      <c r="D380" s="27" t="s">
        <v>1265</v>
      </c>
    </row>
    <row r="381" spans="1:4">
      <c r="A381" s="27">
        <v>40863299</v>
      </c>
      <c r="B381" s="27">
        <v>15255943</v>
      </c>
      <c r="C381" s="27">
        <v>749791</v>
      </c>
      <c r="D381" s="27" t="s">
        <v>1266</v>
      </c>
    </row>
    <row r="382" spans="1:4">
      <c r="A382" s="27">
        <v>102353850</v>
      </c>
      <c r="B382" s="27">
        <v>36301951</v>
      </c>
      <c r="C382" s="27">
        <v>3335956</v>
      </c>
      <c r="D382" s="27" t="s">
        <v>1266</v>
      </c>
    </row>
    <row r="383" spans="1:4">
      <c r="A383" s="27">
        <v>137957129</v>
      </c>
      <c r="B383" s="27">
        <v>28380355</v>
      </c>
      <c r="C383" s="27">
        <v>4473255</v>
      </c>
      <c r="D383" s="27" t="s">
        <v>1266</v>
      </c>
    </row>
    <row r="384" spans="1:4">
      <c r="A384" s="27">
        <v>72338734</v>
      </c>
      <c r="B384" s="27">
        <v>8601235</v>
      </c>
      <c r="C384" s="27">
        <v>4615471</v>
      </c>
      <c r="D384" s="27" t="s">
        <v>1266</v>
      </c>
    </row>
    <row r="385" spans="1:4">
      <c r="A385" s="27">
        <v>169806106</v>
      </c>
      <c r="B385" s="27">
        <v>29853070</v>
      </c>
      <c r="C385" s="27">
        <v>20496887</v>
      </c>
      <c r="D385" s="27" t="s">
        <v>1266</v>
      </c>
    </row>
    <row r="386" spans="1:4">
      <c r="A386" s="27">
        <v>57988366</v>
      </c>
      <c r="B386" s="27">
        <v>6794208</v>
      </c>
      <c r="C386" s="27">
        <v>5727191</v>
      </c>
      <c r="D386" s="27" t="s">
        <v>1266</v>
      </c>
    </row>
    <row r="387" spans="1:4">
      <c r="A387" s="27">
        <v>96195087</v>
      </c>
      <c r="B387" s="27">
        <v>16679977</v>
      </c>
      <c r="C387" s="27">
        <v>7053515</v>
      </c>
      <c r="D387" s="27" t="s">
        <v>1266</v>
      </c>
    </row>
    <row r="388" spans="1:4">
      <c r="A388" s="27">
        <v>70904065</v>
      </c>
      <c r="B388" s="27">
        <v>8160897</v>
      </c>
      <c r="C388" s="27">
        <v>5412721</v>
      </c>
      <c r="D388" s="27" t="s">
        <v>1266</v>
      </c>
    </row>
    <row r="389" spans="1:4">
      <c r="A389" s="27">
        <v>128814530</v>
      </c>
      <c r="B389" s="27">
        <v>40088883</v>
      </c>
      <c r="C389" s="27">
        <v>5797525</v>
      </c>
      <c r="D389" s="27" t="s">
        <v>1266</v>
      </c>
    </row>
    <row r="390" spans="1:4">
      <c r="A390" s="27">
        <v>6382353</v>
      </c>
      <c r="B390" s="27">
        <v>1534568</v>
      </c>
      <c r="C390" s="27">
        <v>68855</v>
      </c>
      <c r="D390" s="27" t="s">
        <v>1267</v>
      </c>
    </row>
    <row r="391" spans="1:4">
      <c r="A391" s="27">
        <v>20372028</v>
      </c>
      <c r="B391" s="27">
        <v>3141473</v>
      </c>
      <c r="C391" s="27">
        <v>704234</v>
      </c>
      <c r="D391" s="27" t="s">
        <v>1267</v>
      </c>
    </row>
    <row r="392" spans="1:4">
      <c r="A392" s="27">
        <v>30786531</v>
      </c>
      <c r="B392" s="27">
        <v>3397894</v>
      </c>
      <c r="C392" s="27">
        <v>949344</v>
      </c>
      <c r="D392" s="27" t="s">
        <v>1267</v>
      </c>
    </row>
    <row r="393" spans="1:4">
      <c r="A393" s="27">
        <v>15330720</v>
      </c>
      <c r="B393" s="27">
        <v>1225862</v>
      </c>
      <c r="C393" s="27">
        <v>798769</v>
      </c>
      <c r="D393" s="27" t="s">
        <v>1267</v>
      </c>
    </row>
    <row r="394" spans="1:4">
      <c r="A394" s="27">
        <v>48499908</v>
      </c>
      <c r="B394" s="27">
        <v>5509101</v>
      </c>
      <c r="C394" s="27">
        <v>4745456</v>
      </c>
      <c r="D394" s="27" t="s">
        <v>1267</v>
      </c>
    </row>
    <row r="395" spans="1:4">
      <c r="A395" s="27">
        <v>18197252</v>
      </c>
      <c r="B395" s="27">
        <v>1100312</v>
      </c>
      <c r="C395" s="27">
        <v>986638</v>
      </c>
      <c r="D395" s="27" t="s">
        <v>1267</v>
      </c>
    </row>
    <row r="396" spans="1:4">
      <c r="A396" s="27">
        <v>31020079</v>
      </c>
      <c r="B396" s="27">
        <v>3617154</v>
      </c>
      <c r="C396" s="27">
        <v>1570593</v>
      </c>
      <c r="D396" s="27" t="s">
        <v>1267</v>
      </c>
    </row>
    <row r="397" spans="1:4">
      <c r="A397" s="27">
        <v>14968531</v>
      </c>
      <c r="B397" s="27">
        <v>1202993</v>
      </c>
      <c r="C397" s="27">
        <v>1023787</v>
      </c>
      <c r="D397" s="27" t="s">
        <v>1267</v>
      </c>
    </row>
    <row r="398" spans="1:4">
      <c r="A398" s="27">
        <v>18597828</v>
      </c>
      <c r="B398" s="27">
        <v>3023413</v>
      </c>
      <c r="C398" s="27">
        <v>572384</v>
      </c>
      <c r="D398" s="27" t="s">
        <v>1267</v>
      </c>
    </row>
    <row r="399" spans="1:4">
      <c r="A399" s="27">
        <v>2512016</v>
      </c>
      <c r="B399" s="27">
        <v>1165957</v>
      </c>
      <c r="C399" s="27">
        <v>54272</v>
      </c>
      <c r="D399" s="27" t="s">
        <v>1268</v>
      </c>
    </row>
    <row r="400" spans="1:4">
      <c r="A400" s="27">
        <v>6506801</v>
      </c>
      <c r="B400" s="27">
        <v>2501668</v>
      </c>
      <c r="C400" s="27">
        <v>312261</v>
      </c>
      <c r="D400" s="27" t="s">
        <v>1268</v>
      </c>
    </row>
    <row r="401" spans="1:4">
      <c r="A401" s="27">
        <v>9039722</v>
      </c>
      <c r="B401" s="27">
        <v>2099517</v>
      </c>
      <c r="C401" s="27">
        <v>437304</v>
      </c>
      <c r="D401" s="27" t="s">
        <v>1268</v>
      </c>
    </row>
    <row r="402" spans="1:4">
      <c r="A402" s="27">
        <v>4300105</v>
      </c>
      <c r="B402" s="27">
        <v>740826</v>
      </c>
      <c r="C402" s="27">
        <v>386464</v>
      </c>
      <c r="D402" s="27" t="s">
        <v>1268</v>
      </c>
    </row>
    <row r="403" spans="1:4">
      <c r="A403" s="27">
        <v>10231979</v>
      </c>
      <c r="B403" s="27">
        <v>2268138</v>
      </c>
      <c r="C403" s="27">
        <v>1784086</v>
      </c>
      <c r="D403" s="27" t="s">
        <v>1268</v>
      </c>
    </row>
    <row r="404" spans="1:4">
      <c r="A404" s="27">
        <v>4157583</v>
      </c>
      <c r="B404" s="27">
        <v>505688</v>
      </c>
      <c r="C404" s="27">
        <v>420548</v>
      </c>
      <c r="D404" s="27" t="s">
        <v>1268</v>
      </c>
    </row>
    <row r="405" spans="1:4">
      <c r="A405" s="27">
        <v>6061977</v>
      </c>
      <c r="B405" s="27">
        <v>1226467</v>
      </c>
      <c r="C405" s="27">
        <v>580668</v>
      </c>
      <c r="D405" s="27" t="s">
        <v>1268</v>
      </c>
    </row>
    <row r="406" spans="1:4">
      <c r="A406" s="27">
        <v>4082301</v>
      </c>
      <c r="B406" s="27">
        <v>677273</v>
      </c>
      <c r="C406" s="27">
        <v>372102</v>
      </c>
      <c r="D406" s="27" t="s">
        <v>1268</v>
      </c>
    </row>
    <row r="407" spans="1:4">
      <c r="A407" s="27">
        <v>6866006</v>
      </c>
      <c r="B407" s="27">
        <v>2272389</v>
      </c>
      <c r="C407" s="27">
        <v>454833</v>
      </c>
      <c r="D407" s="27" t="s">
        <v>1268</v>
      </c>
    </row>
    <row r="408" spans="1:4">
      <c r="A408" s="27">
        <v>1362585</v>
      </c>
      <c r="B408" s="27">
        <v>155162</v>
      </c>
      <c r="C408" s="27">
        <v>4251</v>
      </c>
      <c r="D408" s="27" t="s">
        <v>1269</v>
      </c>
    </row>
    <row r="409" spans="1:4">
      <c r="A409" s="27">
        <v>3212455</v>
      </c>
      <c r="B409" s="27">
        <v>290570</v>
      </c>
      <c r="C409" s="27">
        <v>72945</v>
      </c>
      <c r="D409" s="27" t="s">
        <v>1269</v>
      </c>
    </row>
    <row r="410" spans="1:4">
      <c r="A410" s="27">
        <v>4221823</v>
      </c>
      <c r="B410" s="27">
        <v>265242</v>
      </c>
      <c r="C410" s="27">
        <v>0</v>
      </c>
      <c r="D410" s="27" t="s">
        <v>1269</v>
      </c>
    </row>
    <row r="411" spans="1:4">
      <c r="A411" s="27">
        <v>1894974</v>
      </c>
      <c r="B411" s="27">
        <v>48208</v>
      </c>
      <c r="C411" s="27">
        <v>33482</v>
      </c>
      <c r="D411" s="27" t="s">
        <v>1269</v>
      </c>
    </row>
    <row r="412" spans="1:4">
      <c r="A412" s="27">
        <v>1768156</v>
      </c>
      <c r="B412" s="27">
        <v>195696</v>
      </c>
      <c r="C412" s="27">
        <v>58835</v>
      </c>
      <c r="D412" s="27" t="s">
        <v>1269</v>
      </c>
    </row>
    <row r="413" spans="1:4">
      <c r="A413" s="27">
        <v>475179</v>
      </c>
      <c r="B413" s="27">
        <v>30977</v>
      </c>
      <c r="C413" s="27">
        <v>13117</v>
      </c>
      <c r="D413" s="27" t="s">
        <v>1269</v>
      </c>
    </row>
    <row r="414" spans="1:4">
      <c r="A414" s="27">
        <v>302156</v>
      </c>
      <c r="B414" s="27">
        <v>14042</v>
      </c>
      <c r="C414" s="27">
        <v>12133</v>
      </c>
      <c r="D414" s="27" t="s">
        <v>1269</v>
      </c>
    </row>
    <row r="415" spans="1:4">
      <c r="A415" s="27">
        <v>100776</v>
      </c>
      <c r="B415" s="27">
        <v>5866</v>
      </c>
      <c r="C415" s="27">
        <v>14019</v>
      </c>
      <c r="D415" s="27" t="s">
        <v>1269</v>
      </c>
    </row>
    <row r="416" spans="1:4">
      <c r="A416" s="27">
        <v>327948</v>
      </c>
      <c r="B416" s="27">
        <v>114287</v>
      </c>
      <c r="C416" s="27">
        <v>9718</v>
      </c>
      <c r="D416" s="27" t="s">
        <v>1269</v>
      </c>
    </row>
    <row r="417" spans="1:4">
      <c r="A417" s="27">
        <v>3279482</v>
      </c>
      <c r="B417" s="27">
        <v>1901828</v>
      </c>
      <c r="C417" s="27">
        <v>80805</v>
      </c>
      <c r="D417" s="27" t="s">
        <v>1270</v>
      </c>
    </row>
    <row r="418" spans="1:4">
      <c r="A418" s="27">
        <v>8930644</v>
      </c>
      <c r="B418" s="27">
        <v>4783270</v>
      </c>
      <c r="C418" s="27">
        <v>382289</v>
      </c>
      <c r="D418" s="27" t="s">
        <v>1270</v>
      </c>
    </row>
    <row r="419" spans="1:4">
      <c r="A419" s="27">
        <v>12804497</v>
      </c>
      <c r="B419" s="27">
        <v>3921391</v>
      </c>
      <c r="C419" s="27">
        <v>539692</v>
      </c>
      <c r="D419" s="27" t="s">
        <v>1270</v>
      </c>
    </row>
    <row r="420" spans="1:4">
      <c r="A420" s="27">
        <v>6041642</v>
      </c>
      <c r="B420" s="27">
        <v>1324723</v>
      </c>
      <c r="C420" s="27">
        <v>503817</v>
      </c>
      <c r="D420" s="27" t="s">
        <v>1270</v>
      </c>
    </row>
    <row r="421" spans="1:4">
      <c r="A421" s="27">
        <v>14828469</v>
      </c>
      <c r="B421" s="27">
        <v>4304956</v>
      </c>
      <c r="C421" s="27">
        <v>2334281</v>
      </c>
      <c r="D421" s="27" t="s">
        <v>1270</v>
      </c>
    </row>
    <row r="422" spans="1:4">
      <c r="A422" s="27">
        <v>5357320</v>
      </c>
      <c r="B422" s="27">
        <v>901170</v>
      </c>
      <c r="C422" s="27">
        <v>592883</v>
      </c>
      <c r="D422" s="27" t="s">
        <v>1270</v>
      </c>
    </row>
    <row r="423" spans="1:4">
      <c r="A423" s="27">
        <v>8955260</v>
      </c>
      <c r="B423" s="27">
        <v>2636899</v>
      </c>
      <c r="C423" s="27">
        <v>843434</v>
      </c>
      <c r="D423" s="27" t="s">
        <v>1270</v>
      </c>
    </row>
    <row r="424" spans="1:4">
      <c r="A424" s="27">
        <v>5795781</v>
      </c>
      <c r="B424" s="27">
        <v>1183610</v>
      </c>
      <c r="C424" s="27">
        <v>621169</v>
      </c>
      <c r="D424" s="27" t="s">
        <v>1270</v>
      </c>
    </row>
    <row r="425" spans="1:4">
      <c r="A425" s="27">
        <v>10606564</v>
      </c>
      <c r="B425" s="27">
        <v>4780397</v>
      </c>
      <c r="C425" s="27">
        <v>759337</v>
      </c>
      <c r="D425" s="27" t="s">
        <v>1270</v>
      </c>
    </row>
    <row r="426" spans="1:4">
      <c r="A426" s="27">
        <v>432349</v>
      </c>
      <c r="B426" s="27">
        <v>0</v>
      </c>
      <c r="C426" s="27">
        <v>0</v>
      </c>
      <c r="D426" s="27" t="s">
        <v>1271</v>
      </c>
    </row>
    <row r="427" spans="1:4">
      <c r="A427" s="27">
        <v>1731640</v>
      </c>
      <c r="B427" s="27">
        <v>0</v>
      </c>
      <c r="C427" s="27">
        <v>0</v>
      </c>
      <c r="D427" s="27" t="s">
        <v>1271</v>
      </c>
    </row>
    <row r="428" spans="1:4">
      <c r="A428" s="27">
        <v>1289653</v>
      </c>
      <c r="B428" s="27">
        <v>0</v>
      </c>
      <c r="C428" s="27">
        <v>0</v>
      </c>
      <c r="D428" s="27" t="s">
        <v>1271</v>
      </c>
    </row>
    <row r="429" spans="1:4">
      <c r="A429" s="27">
        <v>387031</v>
      </c>
      <c r="B429" s="27">
        <v>0</v>
      </c>
      <c r="C429" s="27">
        <v>0</v>
      </c>
      <c r="D429" s="27" t="s">
        <v>1271</v>
      </c>
    </row>
    <row r="430" spans="1:4">
      <c r="A430" s="27">
        <v>2284793</v>
      </c>
      <c r="B430" s="27">
        <v>0</v>
      </c>
      <c r="C430" s="27">
        <v>0</v>
      </c>
      <c r="D430" s="27" t="s">
        <v>1271</v>
      </c>
    </row>
    <row r="431" spans="1:4">
      <c r="A431" s="27">
        <v>509250</v>
      </c>
      <c r="B431" s="27">
        <v>0</v>
      </c>
      <c r="C431" s="27">
        <v>0</v>
      </c>
      <c r="D431" s="27" t="s">
        <v>1271</v>
      </c>
    </row>
    <row r="432" spans="1:4">
      <c r="A432" s="27">
        <v>927282</v>
      </c>
      <c r="B432" s="27">
        <v>0</v>
      </c>
      <c r="C432" s="27">
        <v>0</v>
      </c>
      <c r="D432" s="27" t="s">
        <v>1271</v>
      </c>
    </row>
    <row r="433" spans="1:4">
      <c r="A433" s="27">
        <v>799429</v>
      </c>
      <c r="B433" s="27">
        <v>0</v>
      </c>
      <c r="C433" s="27">
        <v>0</v>
      </c>
      <c r="D433" s="27" t="s">
        <v>1271</v>
      </c>
    </row>
    <row r="434" spans="1:4">
      <c r="A434" s="27">
        <v>1688574</v>
      </c>
      <c r="B434" s="27">
        <v>0</v>
      </c>
      <c r="C434" s="27">
        <v>0</v>
      </c>
      <c r="D434" s="27" t="s">
        <v>1271</v>
      </c>
    </row>
    <row r="435" spans="1:4">
      <c r="A435" s="27">
        <v>1367535</v>
      </c>
      <c r="B435" s="27">
        <v>185680</v>
      </c>
      <c r="C435" s="27">
        <v>3602</v>
      </c>
      <c r="D435" s="27" t="s">
        <v>1272</v>
      </c>
    </row>
    <row r="436" spans="1:4">
      <c r="A436" s="27">
        <v>3478657</v>
      </c>
      <c r="B436" s="27">
        <v>636372</v>
      </c>
      <c r="C436" s="27">
        <v>0</v>
      </c>
      <c r="D436" s="27" t="s">
        <v>1272</v>
      </c>
    </row>
    <row r="437" spans="1:4">
      <c r="A437" s="27">
        <v>3134058</v>
      </c>
      <c r="B437" s="27">
        <v>191207</v>
      </c>
      <c r="C437" s="27">
        <v>0</v>
      </c>
      <c r="D437" s="27" t="s">
        <v>1272</v>
      </c>
    </row>
    <row r="438" spans="1:4">
      <c r="A438" s="27">
        <v>1527480</v>
      </c>
      <c r="B438" s="27">
        <v>46457</v>
      </c>
      <c r="C438" s="27">
        <v>31486</v>
      </c>
      <c r="D438" s="27" t="s">
        <v>1272</v>
      </c>
    </row>
    <row r="439" spans="1:4">
      <c r="A439" s="27">
        <v>3964594</v>
      </c>
      <c r="B439" s="27">
        <v>297190</v>
      </c>
      <c r="C439" s="27">
        <v>92391</v>
      </c>
      <c r="D439" s="27" t="s">
        <v>1272</v>
      </c>
    </row>
    <row r="440" spans="1:4">
      <c r="A440" s="27">
        <v>1051752</v>
      </c>
      <c r="B440" s="27">
        <v>51980</v>
      </c>
      <c r="C440" s="27">
        <v>0</v>
      </c>
      <c r="D440" s="27" t="s">
        <v>1272</v>
      </c>
    </row>
    <row r="441" spans="1:4">
      <c r="A441" s="27">
        <v>2154873</v>
      </c>
      <c r="B441" s="27">
        <v>101290</v>
      </c>
      <c r="C441" s="27">
        <v>53087</v>
      </c>
      <c r="D441" s="27" t="s">
        <v>1272</v>
      </c>
    </row>
    <row r="442" spans="1:4">
      <c r="A442" s="27">
        <v>1444860</v>
      </c>
      <c r="B442" s="27">
        <v>106493</v>
      </c>
      <c r="C442" s="27">
        <v>0</v>
      </c>
      <c r="D442" s="27" t="s">
        <v>1272</v>
      </c>
    </row>
    <row r="443" spans="1:4">
      <c r="A443" s="27">
        <v>3807454</v>
      </c>
      <c r="B443" s="27">
        <v>724940</v>
      </c>
      <c r="C443" s="27">
        <v>46561</v>
      </c>
      <c r="D443" s="27" t="s">
        <v>1272</v>
      </c>
    </row>
    <row r="444" spans="1:4">
      <c r="A444" s="27">
        <v>198434</v>
      </c>
      <c r="B444" s="27">
        <v>16674</v>
      </c>
      <c r="C444" s="27">
        <v>0</v>
      </c>
      <c r="D444" s="27" t="s">
        <v>1273</v>
      </c>
    </row>
    <row r="445" spans="1:4">
      <c r="A445" s="27">
        <v>600556</v>
      </c>
      <c r="B445" s="27">
        <v>26060</v>
      </c>
      <c r="C445" s="27">
        <v>0</v>
      </c>
      <c r="D445" s="27" t="s">
        <v>1273</v>
      </c>
    </row>
    <row r="446" spans="1:4">
      <c r="A446" s="27">
        <v>654172</v>
      </c>
      <c r="B446" s="27">
        <v>0</v>
      </c>
      <c r="C446" s="27">
        <v>22705</v>
      </c>
      <c r="D446" s="27" t="s">
        <v>1273</v>
      </c>
    </row>
    <row r="447" spans="1:4">
      <c r="A447" s="27">
        <v>299375</v>
      </c>
      <c r="B447" s="27">
        <v>0</v>
      </c>
      <c r="C447" s="27">
        <v>12557</v>
      </c>
      <c r="D447" s="27" t="s">
        <v>1273</v>
      </c>
    </row>
    <row r="448" spans="1:4">
      <c r="A448" s="27">
        <v>804777</v>
      </c>
      <c r="B448" s="27">
        <v>89762</v>
      </c>
      <c r="C448" s="27">
        <v>26541</v>
      </c>
      <c r="D448" s="27" t="s">
        <v>1273</v>
      </c>
    </row>
    <row r="449" spans="1:4">
      <c r="A449" s="27">
        <v>236826</v>
      </c>
      <c r="B449" s="27">
        <v>0</v>
      </c>
      <c r="C449" s="27">
        <v>0</v>
      </c>
      <c r="D449" s="27" t="s">
        <v>1273</v>
      </c>
    </row>
    <row r="450" spans="1:4">
      <c r="A450" s="27">
        <v>310437</v>
      </c>
      <c r="B450" s="27">
        <v>12438</v>
      </c>
      <c r="C450" s="27">
        <v>10383</v>
      </c>
      <c r="D450" s="27" t="s">
        <v>1273</v>
      </c>
    </row>
    <row r="451" spans="1:4">
      <c r="A451" s="27">
        <v>399931</v>
      </c>
      <c r="B451" s="27">
        <v>0</v>
      </c>
      <c r="C451" s="27">
        <v>0</v>
      </c>
      <c r="D451" s="27" t="s">
        <v>1273</v>
      </c>
    </row>
    <row r="452" spans="1:4">
      <c r="A452" s="27">
        <v>722974</v>
      </c>
      <c r="B452" s="27">
        <v>22377</v>
      </c>
      <c r="C452" s="27">
        <v>39614</v>
      </c>
      <c r="D452" s="27" t="s">
        <v>1273</v>
      </c>
    </row>
    <row r="453" spans="1:4">
      <c r="A453" s="27">
        <v>3374597</v>
      </c>
      <c r="B453" s="27">
        <v>2052063</v>
      </c>
      <c r="C453" s="27">
        <v>84437</v>
      </c>
      <c r="D453" s="27" t="s">
        <v>1515</v>
      </c>
    </row>
    <row r="454" spans="1:4">
      <c r="A454" s="27">
        <v>9287267</v>
      </c>
      <c r="B454" s="27">
        <v>5536739</v>
      </c>
      <c r="C454" s="27">
        <v>435344</v>
      </c>
      <c r="D454" s="27" t="s">
        <v>1515</v>
      </c>
    </row>
    <row r="455" spans="1:4">
      <c r="A455" s="27">
        <v>13077414</v>
      </c>
      <c r="B455" s="27">
        <v>4217199</v>
      </c>
      <c r="C455" s="27">
        <v>558802</v>
      </c>
      <c r="D455" s="27" t="s">
        <v>1515</v>
      </c>
    </row>
    <row r="456" spans="1:4">
      <c r="A456" s="27">
        <v>6153386</v>
      </c>
      <c r="B456" s="27">
        <v>1406903</v>
      </c>
      <c r="C456" s="27">
        <v>503817</v>
      </c>
      <c r="D456" s="27" t="s">
        <v>1515</v>
      </c>
    </row>
    <row r="457" spans="1:4">
      <c r="A457" s="27">
        <v>15162865</v>
      </c>
      <c r="B457" s="27">
        <v>4656262</v>
      </c>
      <c r="C457" s="27">
        <v>2405757</v>
      </c>
      <c r="D457" s="27" t="s">
        <v>1515</v>
      </c>
    </row>
    <row r="458" spans="1:4">
      <c r="A458" s="27">
        <v>5480023</v>
      </c>
      <c r="B458" s="27">
        <v>945846</v>
      </c>
      <c r="C458" s="27">
        <v>658471</v>
      </c>
      <c r="D458" s="27" t="s">
        <v>1515</v>
      </c>
    </row>
    <row r="459" spans="1:4">
      <c r="A459" s="27">
        <v>9095440</v>
      </c>
      <c r="B459" s="27">
        <v>2822348</v>
      </c>
      <c r="C459" s="27">
        <v>853143</v>
      </c>
      <c r="D459" s="27" t="s">
        <v>1515</v>
      </c>
    </row>
    <row r="460" spans="1:4">
      <c r="A460" s="27">
        <v>5983945</v>
      </c>
      <c r="B460" s="27">
        <v>1258517</v>
      </c>
      <c r="C460" s="27">
        <v>662813</v>
      </c>
      <c r="D460" s="27" t="s">
        <v>1515</v>
      </c>
    </row>
    <row r="461" spans="1:4">
      <c r="A461" s="27">
        <v>10937616</v>
      </c>
      <c r="B461" s="27">
        <v>5226838</v>
      </c>
      <c r="C461" s="27">
        <v>778377</v>
      </c>
      <c r="D461" s="27" t="s">
        <v>1515</v>
      </c>
    </row>
    <row r="462" spans="1:4">
      <c r="A462" s="27">
        <v>120874</v>
      </c>
      <c r="B462" s="27">
        <v>16739</v>
      </c>
      <c r="C462" s="27">
        <v>0</v>
      </c>
      <c r="D462" s="27" t="s">
        <v>1275</v>
      </c>
    </row>
    <row r="463" spans="1:4">
      <c r="A463" s="27">
        <v>674787</v>
      </c>
      <c r="B463" s="27">
        <v>151276</v>
      </c>
      <c r="C463" s="27">
        <v>0</v>
      </c>
      <c r="D463" s="27" t="s">
        <v>1275</v>
      </c>
    </row>
    <row r="464" spans="1:4">
      <c r="A464" s="27">
        <v>1128234</v>
      </c>
      <c r="B464" s="27">
        <v>70868</v>
      </c>
      <c r="C464" s="27">
        <v>0</v>
      </c>
      <c r="D464" s="27" t="s">
        <v>1275</v>
      </c>
    </row>
    <row r="465" spans="1:4">
      <c r="A465" s="27">
        <v>754715</v>
      </c>
      <c r="B465" s="27">
        <v>0</v>
      </c>
      <c r="C465" s="27">
        <v>21104</v>
      </c>
      <c r="D465" s="27" t="s">
        <v>1275</v>
      </c>
    </row>
    <row r="466" spans="1:4">
      <c r="A466" s="27">
        <v>1161752</v>
      </c>
      <c r="B466" s="27">
        <v>62887</v>
      </c>
      <c r="C466" s="27">
        <v>44217</v>
      </c>
      <c r="D466" s="27" t="s">
        <v>1275</v>
      </c>
    </row>
    <row r="467" spans="1:4">
      <c r="A467" s="27">
        <v>338520</v>
      </c>
      <c r="B467" s="27">
        <v>9191</v>
      </c>
      <c r="C467" s="27">
        <v>0</v>
      </c>
      <c r="D467" s="27" t="s">
        <v>1275</v>
      </c>
    </row>
    <row r="468" spans="1:4">
      <c r="A468" s="27">
        <v>872451</v>
      </c>
      <c r="B468" s="27">
        <v>25351</v>
      </c>
      <c r="C468" s="27">
        <v>26894</v>
      </c>
      <c r="D468" s="27" t="s">
        <v>1275</v>
      </c>
    </row>
    <row r="469" spans="1:4">
      <c r="A469" s="27">
        <v>513878</v>
      </c>
      <c r="B469" s="27">
        <v>24290</v>
      </c>
      <c r="C469" s="27">
        <v>0</v>
      </c>
      <c r="D469" s="27" t="s">
        <v>1275</v>
      </c>
    </row>
    <row r="470" spans="1:4">
      <c r="A470" s="27">
        <v>1135395</v>
      </c>
      <c r="B470" s="27">
        <v>199624</v>
      </c>
      <c r="C470" s="27">
        <v>18439</v>
      </c>
      <c r="D470" s="27" t="s">
        <v>1275</v>
      </c>
    </row>
    <row r="471" spans="1:4">
      <c r="A471" s="27">
        <v>945123</v>
      </c>
      <c r="B471" s="27">
        <v>411423</v>
      </c>
      <c r="C471" s="27">
        <v>22767</v>
      </c>
      <c r="D471" s="27" t="s">
        <v>1276</v>
      </c>
    </row>
    <row r="472" spans="1:4">
      <c r="A472" s="27">
        <v>2456787</v>
      </c>
      <c r="B472" s="27">
        <v>569272</v>
      </c>
      <c r="C472" s="27">
        <v>124060</v>
      </c>
      <c r="D472" s="27" t="s">
        <v>1276</v>
      </c>
    </row>
    <row r="473" spans="1:4">
      <c r="A473" s="27">
        <v>4263156</v>
      </c>
      <c r="B473" s="27">
        <v>652224</v>
      </c>
      <c r="C473" s="27">
        <v>85396</v>
      </c>
      <c r="D473" s="27" t="s">
        <v>1276</v>
      </c>
    </row>
    <row r="474" spans="1:4">
      <c r="A474" s="27">
        <v>2375323</v>
      </c>
      <c r="B474" s="27">
        <v>277010</v>
      </c>
      <c r="C474" s="27">
        <v>216513</v>
      </c>
      <c r="D474" s="27" t="s">
        <v>1276</v>
      </c>
    </row>
    <row r="475" spans="1:4">
      <c r="A475" s="27">
        <v>4253844</v>
      </c>
      <c r="B475" s="27">
        <v>728267</v>
      </c>
      <c r="C475" s="27">
        <v>507606</v>
      </c>
      <c r="D475" s="27" t="s">
        <v>1276</v>
      </c>
    </row>
    <row r="476" spans="1:4">
      <c r="A476" s="27">
        <v>1545233</v>
      </c>
      <c r="B476" s="27">
        <v>105950</v>
      </c>
      <c r="C476" s="27">
        <v>247419</v>
      </c>
      <c r="D476" s="27" t="s">
        <v>1276</v>
      </c>
    </row>
    <row r="477" spans="1:4">
      <c r="A477" s="27">
        <v>2283397</v>
      </c>
      <c r="B477" s="27">
        <v>325826</v>
      </c>
      <c r="C477" s="27">
        <v>208839</v>
      </c>
      <c r="D477" s="27" t="s">
        <v>1276</v>
      </c>
    </row>
    <row r="478" spans="1:4">
      <c r="A478" s="27">
        <v>1615292</v>
      </c>
      <c r="B478" s="27">
        <v>106891</v>
      </c>
      <c r="C478" s="27">
        <v>109976</v>
      </c>
      <c r="D478" s="27" t="s">
        <v>1276</v>
      </c>
    </row>
    <row r="479" spans="1:4">
      <c r="A479" s="27">
        <v>2888760</v>
      </c>
      <c r="B479" s="27">
        <v>725434</v>
      </c>
      <c r="C479" s="27">
        <v>260250</v>
      </c>
      <c r="D479" s="27" t="s">
        <v>1276</v>
      </c>
    </row>
    <row r="480" spans="1:4">
      <c r="A480" s="27">
        <v>191326</v>
      </c>
      <c r="B480" s="27">
        <v>6356</v>
      </c>
      <c r="C480" s="27">
        <v>0</v>
      </c>
      <c r="D480" s="27" t="s">
        <v>1277</v>
      </c>
    </row>
    <row r="481" spans="1:4">
      <c r="A481" s="27">
        <v>87780</v>
      </c>
      <c r="B481" s="27">
        <v>9910</v>
      </c>
      <c r="C481" s="27">
        <v>15699</v>
      </c>
      <c r="D481" s="27" t="s">
        <v>1277</v>
      </c>
    </row>
    <row r="482" spans="1:4">
      <c r="A482" s="27">
        <v>10651</v>
      </c>
      <c r="B482" s="27">
        <v>0</v>
      </c>
      <c r="C482" s="27">
        <v>0</v>
      </c>
      <c r="D482" s="27" t="s">
        <v>1277</v>
      </c>
    </row>
    <row r="483" spans="1:4">
      <c r="A483" s="27">
        <v>26134</v>
      </c>
      <c r="B483" s="27">
        <v>0</v>
      </c>
      <c r="C483" s="27">
        <v>0</v>
      </c>
      <c r="D483" s="27" t="s">
        <v>1277</v>
      </c>
    </row>
    <row r="484" spans="1:4">
      <c r="A484" s="27">
        <v>19348</v>
      </c>
      <c r="B484" s="27">
        <v>0</v>
      </c>
      <c r="C484" s="27">
        <v>9296</v>
      </c>
      <c r="D484" s="27" t="s">
        <v>1277</v>
      </c>
    </row>
    <row r="485" spans="1:4">
      <c r="A485" s="27">
        <v>0</v>
      </c>
      <c r="B485" s="27">
        <v>0</v>
      </c>
      <c r="C485" s="27">
        <v>0</v>
      </c>
      <c r="D485" s="27" t="s">
        <v>1277</v>
      </c>
    </row>
    <row r="486" spans="1:4">
      <c r="A486" s="27">
        <v>0</v>
      </c>
      <c r="B486" s="27">
        <v>0</v>
      </c>
      <c r="C486" s="27">
        <v>0</v>
      </c>
      <c r="D486" s="27" t="s">
        <v>1277</v>
      </c>
    </row>
    <row r="487" spans="1:4">
      <c r="A487" s="27">
        <v>8788</v>
      </c>
      <c r="B487" s="27">
        <v>0</v>
      </c>
      <c r="C487" s="27">
        <v>0</v>
      </c>
      <c r="D487" s="27" t="s">
        <v>1277</v>
      </c>
    </row>
    <row r="488" spans="1:4">
      <c r="A488" s="27">
        <v>20804</v>
      </c>
      <c r="B488" s="27">
        <v>0</v>
      </c>
      <c r="C488" s="27">
        <v>0</v>
      </c>
      <c r="D488" s="27" t="s">
        <v>1277</v>
      </c>
    </row>
    <row r="489" spans="1:4">
      <c r="A489" s="27">
        <v>151374</v>
      </c>
      <c r="B489" s="27">
        <v>8161</v>
      </c>
      <c r="C489" s="27">
        <v>4251</v>
      </c>
      <c r="D489" s="27" t="s">
        <v>1278</v>
      </c>
    </row>
    <row r="490" spans="1:4">
      <c r="A490" s="27">
        <v>306392</v>
      </c>
      <c r="B490" s="27">
        <v>0</v>
      </c>
      <c r="C490" s="27">
        <v>0</v>
      </c>
      <c r="D490" s="27" t="s">
        <v>1278</v>
      </c>
    </row>
    <row r="491" spans="1:4">
      <c r="A491" s="27">
        <v>349284</v>
      </c>
      <c r="B491" s="27">
        <v>0</v>
      </c>
      <c r="C491" s="27">
        <v>19109</v>
      </c>
      <c r="D491" s="27" t="s">
        <v>1278</v>
      </c>
    </row>
    <row r="492" spans="1:4">
      <c r="A492" s="27">
        <v>196562</v>
      </c>
      <c r="B492" s="27">
        <v>0</v>
      </c>
      <c r="C492" s="27">
        <v>19708</v>
      </c>
      <c r="D492" s="27" t="s">
        <v>1278</v>
      </c>
    </row>
    <row r="493" spans="1:4">
      <c r="A493" s="27">
        <v>1001149</v>
      </c>
      <c r="B493" s="27">
        <v>0</v>
      </c>
      <c r="C493" s="27">
        <v>100179</v>
      </c>
      <c r="D493" s="27" t="s">
        <v>1278</v>
      </c>
    </row>
    <row r="494" spans="1:4">
      <c r="A494" s="27">
        <v>244956</v>
      </c>
      <c r="B494" s="27">
        <v>0</v>
      </c>
      <c r="C494" s="27">
        <v>69299</v>
      </c>
      <c r="D494" s="27" t="s">
        <v>1278</v>
      </c>
    </row>
    <row r="495" spans="1:4">
      <c r="A495" s="27">
        <v>116793</v>
      </c>
      <c r="B495" s="27">
        <v>0</v>
      </c>
      <c r="C495" s="27">
        <v>9709</v>
      </c>
      <c r="D495" s="27" t="s">
        <v>1278</v>
      </c>
    </row>
    <row r="496" spans="1:4">
      <c r="A496" s="27">
        <v>97910</v>
      </c>
      <c r="B496" s="27">
        <v>0</v>
      </c>
      <c r="C496" s="27">
        <v>9620</v>
      </c>
      <c r="D496" s="27" t="s">
        <v>1278</v>
      </c>
    </row>
    <row r="497" spans="1:4">
      <c r="A497" s="27">
        <v>180545</v>
      </c>
      <c r="B497" s="27">
        <v>0</v>
      </c>
      <c r="C497" s="27">
        <v>17606</v>
      </c>
      <c r="D497" s="27" t="s">
        <v>1278</v>
      </c>
    </row>
    <row r="498" spans="1:4">
      <c r="A498" s="27">
        <v>26370</v>
      </c>
      <c r="B498" s="27">
        <v>0</v>
      </c>
      <c r="C498" s="27">
        <v>0</v>
      </c>
      <c r="D498" s="27" t="s">
        <v>1279</v>
      </c>
    </row>
    <row r="499" spans="1:4">
      <c r="A499" s="27">
        <v>91900</v>
      </c>
      <c r="B499" s="27">
        <v>0</v>
      </c>
      <c r="C499" s="27">
        <v>19232</v>
      </c>
      <c r="D499" s="27" t="s">
        <v>1279</v>
      </c>
    </row>
    <row r="500" spans="1:4">
      <c r="A500" s="27">
        <v>153652</v>
      </c>
      <c r="B500" s="27">
        <v>23066</v>
      </c>
      <c r="C500" s="27">
        <v>35288</v>
      </c>
      <c r="D500" s="27" t="s">
        <v>1279</v>
      </c>
    </row>
    <row r="501" spans="1:4">
      <c r="A501" s="27">
        <v>68120</v>
      </c>
      <c r="B501" s="27">
        <v>6852</v>
      </c>
      <c r="C501" s="27">
        <v>11555</v>
      </c>
      <c r="D501" s="27" t="s">
        <v>1279</v>
      </c>
    </row>
    <row r="502" spans="1:4">
      <c r="A502" s="27">
        <v>183849</v>
      </c>
      <c r="B502" s="27">
        <v>9247</v>
      </c>
      <c r="C502" s="27">
        <v>119545</v>
      </c>
      <c r="D502" s="27" t="s">
        <v>1279</v>
      </c>
    </row>
    <row r="503" spans="1:4">
      <c r="A503" s="27">
        <v>52574</v>
      </c>
      <c r="B503" s="27">
        <v>0</v>
      </c>
      <c r="C503" s="27">
        <v>15142</v>
      </c>
      <c r="D503" s="27" t="s">
        <v>1279</v>
      </c>
    </row>
    <row r="504" spans="1:4">
      <c r="A504" s="27">
        <v>9230</v>
      </c>
      <c r="B504" s="27">
        <v>0</v>
      </c>
      <c r="C504" s="27">
        <v>0</v>
      </c>
      <c r="D504" s="27" t="s">
        <v>1279</v>
      </c>
    </row>
    <row r="505" spans="1:4">
      <c r="A505" s="27">
        <v>8788</v>
      </c>
      <c r="B505" s="27">
        <v>0</v>
      </c>
      <c r="C505" s="27">
        <v>10228</v>
      </c>
      <c r="D505" s="27" t="s">
        <v>1279</v>
      </c>
    </row>
    <row r="506" spans="1:4">
      <c r="A506" s="27">
        <v>16283</v>
      </c>
      <c r="B506" s="27">
        <v>8946</v>
      </c>
      <c r="C506" s="27">
        <v>0</v>
      </c>
      <c r="D506" s="27" t="s">
        <v>1279</v>
      </c>
    </row>
    <row r="507" spans="1:4">
      <c r="A507" s="27">
        <v>8110</v>
      </c>
      <c r="B507" s="27">
        <v>0</v>
      </c>
      <c r="C507" s="27">
        <v>0</v>
      </c>
      <c r="D507" s="27" t="s">
        <v>1280</v>
      </c>
    </row>
    <row r="508" spans="1:4">
      <c r="A508" s="27">
        <v>20242</v>
      </c>
      <c r="B508" s="27">
        <v>0</v>
      </c>
      <c r="C508" s="27">
        <v>0</v>
      </c>
      <c r="D508" s="27" t="s">
        <v>1280</v>
      </c>
    </row>
    <row r="509" spans="1:4">
      <c r="A509" s="27">
        <v>15914</v>
      </c>
      <c r="B509" s="27">
        <v>0</v>
      </c>
      <c r="C509" s="27">
        <v>0</v>
      </c>
      <c r="D509" s="27" t="s">
        <v>1280</v>
      </c>
    </row>
    <row r="510" spans="1:4">
      <c r="A510" s="27">
        <v>9504</v>
      </c>
      <c r="B510" s="27">
        <v>0</v>
      </c>
      <c r="C510" s="27">
        <v>7089</v>
      </c>
      <c r="D510" s="27" t="s">
        <v>1280</v>
      </c>
    </row>
    <row r="511" spans="1:4">
      <c r="A511" s="27">
        <v>32170</v>
      </c>
      <c r="B511" s="27">
        <v>0</v>
      </c>
      <c r="C511" s="27">
        <v>18040</v>
      </c>
      <c r="D511" s="27" t="s">
        <v>1280</v>
      </c>
    </row>
    <row r="512" spans="1:4">
      <c r="A512" s="27">
        <v>1</v>
      </c>
      <c r="B512" s="27">
        <v>0</v>
      </c>
      <c r="C512" s="27">
        <v>0</v>
      </c>
      <c r="D512" s="27" t="s">
        <v>1280</v>
      </c>
    </row>
    <row r="513" spans="1:4">
      <c r="A513" s="27">
        <v>7937</v>
      </c>
      <c r="B513" s="27">
        <v>0</v>
      </c>
      <c r="C513" s="27">
        <v>0</v>
      </c>
      <c r="D513" s="27" t="s">
        <v>1280</v>
      </c>
    </row>
    <row r="514" spans="1:4">
      <c r="A514" s="27">
        <v>1</v>
      </c>
      <c r="B514" s="27">
        <v>0</v>
      </c>
      <c r="C514" s="27">
        <v>0</v>
      </c>
      <c r="D514" s="27" t="s">
        <v>1280</v>
      </c>
    </row>
    <row r="515" spans="1:4">
      <c r="A515" s="27">
        <v>19713</v>
      </c>
      <c r="B515" s="27">
        <v>0</v>
      </c>
      <c r="C515" s="27">
        <v>0</v>
      </c>
      <c r="D515" s="27" t="s">
        <v>1280</v>
      </c>
    </row>
    <row r="516" spans="1:4">
      <c r="A516" s="27">
        <v>706538</v>
      </c>
      <c r="B516" s="27">
        <v>39011</v>
      </c>
      <c r="C516" s="27">
        <v>13873</v>
      </c>
      <c r="D516" s="27" t="s">
        <v>1281</v>
      </c>
    </row>
    <row r="517" spans="1:4">
      <c r="A517" s="27">
        <v>964341</v>
      </c>
      <c r="B517" s="27">
        <v>23551</v>
      </c>
      <c r="C517" s="27">
        <v>44289</v>
      </c>
      <c r="D517" s="27" t="s">
        <v>1281</v>
      </c>
    </row>
    <row r="518" spans="1:4">
      <c r="A518" s="27">
        <v>1228114</v>
      </c>
      <c r="B518" s="27">
        <v>18065</v>
      </c>
      <c r="C518" s="27">
        <v>25748</v>
      </c>
      <c r="D518" s="27" t="s">
        <v>1281</v>
      </c>
    </row>
    <row r="519" spans="1:4">
      <c r="A519" s="27">
        <v>768979</v>
      </c>
      <c r="B519" s="27">
        <v>8853</v>
      </c>
      <c r="C519" s="27">
        <v>18482</v>
      </c>
      <c r="D519" s="27" t="s">
        <v>1281</v>
      </c>
    </row>
    <row r="520" spans="1:4">
      <c r="A520" s="27">
        <v>1458685</v>
      </c>
      <c r="B520" s="27">
        <v>75874</v>
      </c>
      <c r="C520" s="27">
        <v>68691</v>
      </c>
      <c r="D520" s="27" t="s">
        <v>1281</v>
      </c>
    </row>
    <row r="521" spans="1:4">
      <c r="A521" s="27">
        <v>370201</v>
      </c>
      <c r="B521" s="27">
        <v>11407</v>
      </c>
      <c r="C521" s="27">
        <v>11145</v>
      </c>
      <c r="D521" s="27" t="s">
        <v>1281</v>
      </c>
    </row>
    <row r="522" spans="1:4">
      <c r="A522" s="27">
        <v>574135</v>
      </c>
      <c r="B522" s="27">
        <v>54742</v>
      </c>
      <c r="C522" s="27">
        <v>34356</v>
      </c>
      <c r="D522" s="27" t="s">
        <v>1281</v>
      </c>
    </row>
    <row r="523" spans="1:4">
      <c r="A523" s="27">
        <v>612107</v>
      </c>
      <c r="B523" s="27">
        <v>124970</v>
      </c>
      <c r="C523" s="27">
        <v>37261</v>
      </c>
      <c r="D523" s="27" t="s">
        <v>1281</v>
      </c>
    </row>
    <row r="524" spans="1:4">
      <c r="A524" s="27">
        <v>1497340</v>
      </c>
      <c r="B524" s="27">
        <v>235019</v>
      </c>
      <c r="C524" s="27">
        <v>19669</v>
      </c>
      <c r="D524" s="27" t="s">
        <v>1281</v>
      </c>
    </row>
    <row r="525" spans="1:4">
      <c r="A525" s="27">
        <v>130230</v>
      </c>
      <c r="B525" s="27">
        <v>29867</v>
      </c>
      <c r="C525" s="27">
        <v>5436</v>
      </c>
      <c r="D525" s="27" t="s">
        <v>1282</v>
      </c>
    </row>
    <row r="526" spans="1:4">
      <c r="A526" s="27">
        <v>1206215</v>
      </c>
      <c r="B526" s="27">
        <v>27542</v>
      </c>
      <c r="C526" s="27">
        <v>12072</v>
      </c>
      <c r="D526" s="27" t="s">
        <v>1282</v>
      </c>
    </row>
    <row r="527" spans="1:4">
      <c r="A527" s="27">
        <v>1543727</v>
      </c>
      <c r="B527" s="27">
        <v>44364</v>
      </c>
      <c r="C527" s="27">
        <v>66272</v>
      </c>
      <c r="D527" s="27" t="s">
        <v>1282</v>
      </c>
    </row>
    <row r="528" spans="1:4">
      <c r="A528" s="27">
        <v>353415</v>
      </c>
      <c r="B528" s="27">
        <v>5382</v>
      </c>
      <c r="C528" s="27">
        <v>65761</v>
      </c>
      <c r="D528" s="27" t="s">
        <v>1282</v>
      </c>
    </row>
    <row r="529" spans="1:4">
      <c r="A529" s="27">
        <v>929726</v>
      </c>
      <c r="B529" s="27">
        <v>124072</v>
      </c>
      <c r="C529" s="27">
        <v>31127</v>
      </c>
      <c r="D529" s="27" t="s">
        <v>1282</v>
      </c>
    </row>
    <row r="530" spans="1:4">
      <c r="A530" s="27">
        <v>336185</v>
      </c>
      <c r="B530" s="27">
        <v>8290</v>
      </c>
      <c r="C530" s="27">
        <v>5636</v>
      </c>
      <c r="D530" s="27" t="s">
        <v>1282</v>
      </c>
    </row>
    <row r="531" spans="1:4">
      <c r="A531" s="27">
        <v>779633</v>
      </c>
      <c r="B531" s="27">
        <v>16468</v>
      </c>
      <c r="C531" s="27">
        <v>17477</v>
      </c>
      <c r="D531" s="27" t="s">
        <v>1282</v>
      </c>
    </row>
    <row r="532" spans="1:4">
      <c r="A532" s="27">
        <v>777041</v>
      </c>
      <c r="B532" s="27">
        <v>17955</v>
      </c>
      <c r="C532" s="27">
        <v>58893</v>
      </c>
      <c r="D532" s="27" t="s">
        <v>1282</v>
      </c>
    </row>
    <row r="533" spans="1:4">
      <c r="A533" s="27">
        <v>1639011</v>
      </c>
      <c r="B533" s="27">
        <v>74405</v>
      </c>
      <c r="C533" s="27">
        <v>23388</v>
      </c>
      <c r="D533" s="27" t="s">
        <v>1282</v>
      </c>
    </row>
    <row r="534" spans="1:4">
      <c r="A534" s="27">
        <v>122928.8</v>
      </c>
      <c r="B534" s="27">
        <v>29883</v>
      </c>
      <c r="C534" s="27">
        <v>7475.2</v>
      </c>
      <c r="D534" s="27" t="s">
        <v>1283</v>
      </c>
    </row>
    <row r="535" spans="1:4">
      <c r="A535" s="27">
        <v>264413.7</v>
      </c>
      <c r="B535" s="27">
        <v>15997.1</v>
      </c>
      <c r="C535" s="27">
        <v>36249</v>
      </c>
      <c r="D535" s="27" t="s">
        <v>1283</v>
      </c>
    </row>
    <row r="536" spans="1:4">
      <c r="A536" s="27">
        <v>217164.1</v>
      </c>
      <c r="B536" s="27">
        <v>12467.9</v>
      </c>
      <c r="C536" s="27">
        <v>38459</v>
      </c>
      <c r="D536" s="27" t="s">
        <v>1283</v>
      </c>
    </row>
    <row r="537" spans="1:4">
      <c r="A537" s="27">
        <v>190670.3</v>
      </c>
      <c r="B537" s="27">
        <v>5144</v>
      </c>
      <c r="C537" s="27">
        <v>8925.2000000000007</v>
      </c>
      <c r="D537" s="27" t="s">
        <v>1283</v>
      </c>
    </row>
    <row r="538" spans="1:4">
      <c r="A538" s="27">
        <v>349223.2</v>
      </c>
      <c r="B538" s="27">
        <v>8738</v>
      </c>
      <c r="C538" s="27">
        <v>8678.2999999999993</v>
      </c>
      <c r="D538" s="27" t="s">
        <v>1283</v>
      </c>
    </row>
    <row r="539" spans="1:4">
      <c r="A539" s="27">
        <v>104031.2</v>
      </c>
      <c r="B539" s="27">
        <v>0</v>
      </c>
      <c r="C539" s="27">
        <v>14339.6</v>
      </c>
      <c r="D539" s="27" t="s">
        <v>1283</v>
      </c>
    </row>
    <row r="540" spans="1:4">
      <c r="A540" s="27">
        <v>57973</v>
      </c>
      <c r="B540" s="27">
        <v>0</v>
      </c>
      <c r="C540" s="27">
        <v>14904</v>
      </c>
      <c r="D540" s="27" t="s">
        <v>1283</v>
      </c>
    </row>
    <row r="541" spans="1:4">
      <c r="A541" s="27">
        <v>82657.399999999994</v>
      </c>
      <c r="B541" s="27">
        <v>53483.199999999997</v>
      </c>
      <c r="C541" s="27">
        <v>9620.4</v>
      </c>
      <c r="D541" s="27" t="s">
        <v>1283</v>
      </c>
    </row>
    <row r="542" spans="1:4">
      <c r="A542" s="27">
        <v>201322.7</v>
      </c>
      <c r="B542" s="27">
        <v>29177</v>
      </c>
      <c r="C542" s="27">
        <v>41097.9</v>
      </c>
      <c r="D542" s="27" t="s">
        <v>1283</v>
      </c>
    </row>
    <row r="543" spans="1:4">
      <c r="A543" s="27">
        <v>51384</v>
      </c>
      <c r="B543" s="27">
        <v>252672</v>
      </c>
      <c r="C543" s="27">
        <v>24767</v>
      </c>
      <c r="D543" s="27" t="s">
        <v>1284</v>
      </c>
    </row>
    <row r="544" spans="1:4">
      <c r="A544" s="27">
        <v>22316</v>
      </c>
      <c r="B544" s="27">
        <v>7720</v>
      </c>
      <c r="C544" s="27">
        <v>25524</v>
      </c>
      <c r="D544" s="27" t="s">
        <v>1284</v>
      </c>
    </row>
    <row r="545" spans="1:4">
      <c r="A545" s="27">
        <v>22414</v>
      </c>
      <c r="B545" s="27">
        <v>12468</v>
      </c>
      <c r="C545" s="27">
        <v>0</v>
      </c>
      <c r="D545" s="27" t="s">
        <v>1284</v>
      </c>
    </row>
    <row r="546" spans="1:4">
      <c r="A546" s="27">
        <v>8298</v>
      </c>
      <c r="B546" s="27">
        <v>10079</v>
      </c>
      <c r="C546" s="27">
        <v>0</v>
      </c>
      <c r="D546" s="27" t="s">
        <v>1284</v>
      </c>
    </row>
    <row r="547" spans="1:4">
      <c r="A547" s="27">
        <v>9397</v>
      </c>
      <c r="B547" s="27">
        <v>13389</v>
      </c>
      <c r="C547" s="27">
        <v>2253</v>
      </c>
      <c r="D547" s="27" t="s">
        <v>1284</v>
      </c>
    </row>
    <row r="548" spans="1:4">
      <c r="A548" s="27">
        <v>0</v>
      </c>
      <c r="B548" s="27">
        <v>0</v>
      </c>
      <c r="C548" s="27">
        <v>0</v>
      </c>
      <c r="D548" s="27" t="s">
        <v>1284</v>
      </c>
    </row>
    <row r="549" spans="1:4">
      <c r="A549" s="27">
        <v>0</v>
      </c>
      <c r="B549" s="27">
        <v>0</v>
      </c>
      <c r="C549" s="27">
        <v>0</v>
      </c>
      <c r="D549" s="27" t="s">
        <v>1284</v>
      </c>
    </row>
    <row r="550" spans="1:4">
      <c r="A550" s="27">
        <v>9539</v>
      </c>
      <c r="B550" s="27">
        <v>0</v>
      </c>
      <c r="C550" s="27">
        <v>0</v>
      </c>
      <c r="D550" s="27" t="s">
        <v>1284</v>
      </c>
    </row>
    <row r="551" spans="1:4">
      <c r="A551" s="27">
        <v>6207</v>
      </c>
      <c r="B551" s="27">
        <v>0</v>
      </c>
      <c r="C551" s="27">
        <v>0</v>
      </c>
      <c r="D551" s="27" t="s">
        <v>1284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199"/>
  <sheetViews>
    <sheetView topLeftCell="A129" workbookViewId="0">
      <selection activeCell="R107" sqref="R107"/>
    </sheetView>
  </sheetViews>
  <sheetFormatPr defaultColWidth="9.28515625" defaultRowHeight="12.75"/>
  <cols>
    <col min="1" max="1" width="12.7109375" style="17" customWidth="1"/>
    <col min="2" max="3" width="9.28515625" style="17"/>
    <col min="4" max="4" width="12.5703125" style="17" customWidth="1"/>
    <col min="5" max="10" width="9.28515625" style="17"/>
    <col min="11" max="11" width="13" style="17" customWidth="1"/>
    <col min="12" max="16384" width="9.28515625" style="17"/>
  </cols>
  <sheetData>
    <row r="1" spans="1:3">
      <c r="A1" s="17" t="s">
        <v>1317</v>
      </c>
    </row>
    <row r="2" spans="1:3">
      <c r="A2" s="17" t="s">
        <v>1318</v>
      </c>
      <c r="C2" s="145">
        <v>41540</v>
      </c>
    </row>
    <row r="3" spans="1:3">
      <c r="A3" s="17" t="s">
        <v>1291</v>
      </c>
      <c r="B3" s="17" t="s">
        <v>1319</v>
      </c>
    </row>
    <row r="4" spans="1:3">
      <c r="A4" s="17" t="s">
        <v>1292</v>
      </c>
      <c r="B4" s="17" t="s">
        <v>1320</v>
      </c>
    </row>
    <row r="5" spans="1:3">
      <c r="A5" s="17" t="s">
        <v>1293</v>
      </c>
      <c r="B5" s="17" t="s">
        <v>1321</v>
      </c>
    </row>
    <row r="6" spans="1:3">
      <c r="B6" s="17" t="s">
        <v>1294</v>
      </c>
      <c r="C6" s="17" t="s">
        <v>1322</v>
      </c>
    </row>
    <row r="7" spans="1:3">
      <c r="B7" s="17" t="s">
        <v>1323</v>
      </c>
    </row>
    <row r="8" spans="1:3">
      <c r="B8" s="17" t="s">
        <v>1324</v>
      </c>
    </row>
    <row r="9" spans="1:3">
      <c r="B9" s="17" t="s">
        <v>1325</v>
      </c>
    </row>
    <row r="10" spans="1:3">
      <c r="B10" s="17" t="s">
        <v>1326</v>
      </c>
    </row>
    <row r="11" spans="1:3">
      <c r="A11" s="17" t="s">
        <v>1295</v>
      </c>
      <c r="B11" s="17" t="s">
        <v>1327</v>
      </c>
    </row>
    <row r="12" spans="1:3">
      <c r="A12" s="17" t="s">
        <v>1296</v>
      </c>
      <c r="B12" s="17" t="s">
        <v>1328</v>
      </c>
    </row>
    <row r="13" spans="1:3">
      <c r="B13" s="17" t="s">
        <v>1329</v>
      </c>
    </row>
    <row r="14" spans="1:3">
      <c r="B14" s="17" t="s">
        <v>1330</v>
      </c>
    </row>
    <row r="20" spans="1:5">
      <c r="A20" s="17" t="s">
        <v>1331</v>
      </c>
    </row>
    <row r="21" spans="1:5">
      <c r="A21" s="17">
        <v>4</v>
      </c>
    </row>
    <row r="24" spans="1:5">
      <c r="A24" s="17" t="s">
        <v>1332</v>
      </c>
    </row>
    <row r="25" spans="1:5">
      <c r="A25" s="17" t="s">
        <v>1299</v>
      </c>
      <c r="B25" s="17" t="s">
        <v>1300</v>
      </c>
      <c r="C25" s="17" t="s">
        <v>1297</v>
      </c>
      <c r="D25" s="17" t="s">
        <v>1301</v>
      </c>
    </row>
    <row r="26" spans="1:5">
      <c r="A26" s="17">
        <v>1</v>
      </c>
      <c r="B26" s="17">
        <v>2</v>
      </c>
      <c r="C26" s="17">
        <v>3</v>
      </c>
      <c r="D26" s="17">
        <v>4</v>
      </c>
    </row>
    <row r="28" spans="1:5">
      <c r="A28" s="17" t="s">
        <v>1333</v>
      </c>
    </row>
    <row r="29" spans="1:5">
      <c r="A29" s="17" t="s">
        <v>1299</v>
      </c>
      <c r="B29" s="17" t="s">
        <v>1300</v>
      </c>
      <c r="C29" s="17" t="s">
        <v>1297</v>
      </c>
      <c r="D29" s="17" t="s">
        <v>1301</v>
      </c>
      <c r="E29" s="146" t="s">
        <v>1334</v>
      </c>
    </row>
    <row r="30" spans="1:5">
      <c r="A30" s="17">
        <v>3</v>
      </c>
      <c r="B30" s="17">
        <v>4</v>
      </c>
      <c r="C30" s="17">
        <v>3</v>
      </c>
      <c r="D30" s="17">
        <v>4</v>
      </c>
    </row>
    <row r="31" spans="1:5">
      <c r="A31" s="17">
        <v>6</v>
      </c>
      <c r="B31" s="17">
        <v>1</v>
      </c>
      <c r="C31" s="17">
        <v>1</v>
      </c>
      <c r="D31" s="17">
        <v>1</v>
      </c>
    </row>
    <row r="33" spans="1:12">
      <c r="A33" s="17" t="s">
        <v>1335</v>
      </c>
    </row>
    <row r="34" spans="1:12">
      <c r="A34" s="17" t="s">
        <v>1336</v>
      </c>
    </row>
    <row r="35" spans="1:12">
      <c r="A35" s="17" t="s">
        <v>1303</v>
      </c>
      <c r="B35" s="17" t="s">
        <v>1304</v>
      </c>
      <c r="C35" s="17" t="s">
        <v>1302</v>
      </c>
      <c r="D35" s="17" t="s">
        <v>1305</v>
      </c>
      <c r="E35" s="17" t="s">
        <v>1306</v>
      </c>
      <c r="F35" s="17" t="s">
        <v>1307</v>
      </c>
      <c r="G35" s="17" t="s">
        <v>631</v>
      </c>
      <c r="H35" s="17" t="s">
        <v>1298</v>
      </c>
      <c r="I35" s="17" t="s">
        <v>1308</v>
      </c>
    </row>
    <row r="36" spans="1:12">
      <c r="A36" s="17">
        <v>2005</v>
      </c>
      <c r="B36" s="17">
        <v>2012</v>
      </c>
      <c r="C36" s="17">
        <v>0.33</v>
      </c>
      <c r="D36" s="17">
        <v>14.5</v>
      </c>
      <c r="E36" s="17">
        <v>57</v>
      </c>
      <c r="F36" s="17">
        <v>850</v>
      </c>
      <c r="G36" s="17">
        <v>100</v>
      </c>
      <c r="H36" s="17" t="s">
        <v>1299</v>
      </c>
      <c r="I36" s="17" t="s">
        <v>1337</v>
      </c>
      <c r="K36" s="17" t="s">
        <v>1362</v>
      </c>
      <c r="L36" s="17" t="s">
        <v>1369</v>
      </c>
    </row>
    <row r="37" spans="1:12">
      <c r="A37" s="17">
        <v>2013</v>
      </c>
      <c r="B37" s="17">
        <v>2013</v>
      </c>
      <c r="C37" s="17">
        <v>0.74</v>
      </c>
      <c r="D37" s="17">
        <v>16.100000000000001</v>
      </c>
      <c r="E37" s="17">
        <v>52.5</v>
      </c>
      <c r="F37" s="17">
        <v>895</v>
      </c>
      <c r="G37" s="17">
        <v>100</v>
      </c>
      <c r="H37" s="17" t="s">
        <v>1299</v>
      </c>
      <c r="I37" s="17" t="s">
        <v>1337</v>
      </c>
    </row>
    <row r="38" spans="1:12">
      <c r="A38" s="17">
        <v>2014</v>
      </c>
      <c r="B38" s="17">
        <v>2019</v>
      </c>
      <c r="C38" s="17">
        <v>1.71</v>
      </c>
      <c r="D38" s="17">
        <v>19.8</v>
      </c>
      <c r="E38" s="17">
        <v>42</v>
      </c>
      <c r="F38" s="17">
        <v>1000</v>
      </c>
      <c r="G38" s="17">
        <v>100</v>
      </c>
      <c r="H38" s="17" t="s">
        <v>1299</v>
      </c>
      <c r="I38" s="17" t="s">
        <v>1337</v>
      </c>
      <c r="K38" s="17" t="s">
        <v>1363</v>
      </c>
      <c r="L38" s="17" t="s">
        <v>1370</v>
      </c>
    </row>
    <row r="39" spans="1:12">
      <c r="A39" s="17">
        <v>2020</v>
      </c>
      <c r="B39" s="17">
        <v>2050</v>
      </c>
      <c r="C39" s="17">
        <v>99</v>
      </c>
      <c r="D39" s="17">
        <v>99</v>
      </c>
      <c r="E39" s="17">
        <v>99</v>
      </c>
      <c r="F39" s="17">
        <v>9999</v>
      </c>
      <c r="G39" s="17">
        <v>100</v>
      </c>
      <c r="H39" s="17" t="s">
        <v>1299</v>
      </c>
      <c r="I39" s="17" t="s">
        <v>1337</v>
      </c>
    </row>
    <row r="40" spans="1:12">
      <c r="A40" s="17" t="s">
        <v>1310</v>
      </c>
    </row>
    <row r="41" spans="1:12">
      <c r="A41" s="17">
        <v>2009</v>
      </c>
      <c r="B41" s="17">
        <v>2010</v>
      </c>
      <c r="C41" s="17">
        <v>3.07</v>
      </c>
      <c r="D41" s="17">
        <v>67.2</v>
      </c>
      <c r="E41" s="17">
        <v>13</v>
      </c>
      <c r="F41" s="17">
        <v>10000</v>
      </c>
      <c r="G41" s="17">
        <v>82</v>
      </c>
      <c r="H41" s="17" t="s">
        <v>1299</v>
      </c>
      <c r="I41" s="17" t="s">
        <v>498</v>
      </c>
      <c r="K41" s="17" t="s">
        <v>1364</v>
      </c>
      <c r="L41" s="17" t="s">
        <v>1368</v>
      </c>
    </row>
    <row r="42" spans="1:12">
      <c r="A42" s="17">
        <v>2011</v>
      </c>
      <c r="B42" s="17">
        <v>2019</v>
      </c>
      <c r="C42" s="17">
        <v>2.33</v>
      </c>
      <c r="D42" s="17">
        <v>67.2</v>
      </c>
      <c r="E42" s="17">
        <v>13</v>
      </c>
      <c r="F42" s="17">
        <v>10000</v>
      </c>
      <c r="G42" s="17">
        <v>82</v>
      </c>
      <c r="H42" s="17" t="s">
        <v>1299</v>
      </c>
      <c r="I42" s="17" t="s">
        <v>498</v>
      </c>
      <c r="K42" s="17" t="s">
        <v>1365</v>
      </c>
      <c r="L42" s="17" t="s">
        <v>1371</v>
      </c>
    </row>
    <row r="43" spans="1:12">
      <c r="A43" s="17">
        <v>2020</v>
      </c>
      <c r="B43" s="17">
        <v>2029</v>
      </c>
      <c r="C43" s="17">
        <v>2.27</v>
      </c>
      <c r="D43" s="17">
        <v>69</v>
      </c>
      <c r="E43" s="17">
        <v>13</v>
      </c>
      <c r="F43" s="17">
        <v>10000</v>
      </c>
      <c r="G43" s="17">
        <v>82</v>
      </c>
      <c r="H43" s="17" t="s">
        <v>1299</v>
      </c>
      <c r="I43" s="17" t="s">
        <v>498</v>
      </c>
      <c r="K43" s="17" t="s">
        <v>1366</v>
      </c>
      <c r="L43" s="17" t="s">
        <v>1372</v>
      </c>
    </row>
    <row r="44" spans="1:12">
      <c r="A44" s="17">
        <v>2030</v>
      </c>
      <c r="B44" s="17">
        <v>2039</v>
      </c>
      <c r="C44" s="17">
        <v>2.21</v>
      </c>
      <c r="D44" s="17">
        <v>70.7</v>
      </c>
      <c r="E44" s="17">
        <v>13</v>
      </c>
      <c r="F44" s="17">
        <v>10000</v>
      </c>
      <c r="G44" s="17">
        <v>82</v>
      </c>
      <c r="H44" s="17" t="s">
        <v>1299</v>
      </c>
      <c r="I44" s="17" t="s">
        <v>498</v>
      </c>
      <c r="K44" s="17" t="s">
        <v>1375</v>
      </c>
      <c r="L44" s="17" t="s">
        <v>1373</v>
      </c>
    </row>
    <row r="45" spans="1:12">
      <c r="A45" s="17">
        <v>2040</v>
      </c>
      <c r="B45" s="17">
        <v>2050</v>
      </c>
      <c r="C45" s="17">
        <v>2.16</v>
      </c>
      <c r="D45" s="17">
        <v>72.5</v>
      </c>
      <c r="E45" s="17">
        <v>13</v>
      </c>
      <c r="F45" s="17">
        <v>10000</v>
      </c>
      <c r="G45" s="17">
        <v>82</v>
      </c>
      <c r="H45" s="17" t="s">
        <v>1299</v>
      </c>
      <c r="I45" s="17" t="s">
        <v>498</v>
      </c>
      <c r="K45" s="17" t="s">
        <v>1367</v>
      </c>
      <c r="L45" s="17" t="s">
        <v>1374</v>
      </c>
    </row>
    <row r="46" spans="1:12">
      <c r="A46" s="17" t="s">
        <v>1310</v>
      </c>
    </row>
    <row r="47" spans="1:12">
      <c r="A47" s="17">
        <v>2005</v>
      </c>
      <c r="B47" s="17">
        <v>2010</v>
      </c>
      <c r="C47" s="17">
        <v>66.58</v>
      </c>
      <c r="D47" s="17">
        <v>44</v>
      </c>
      <c r="E47" s="17">
        <v>18</v>
      </c>
      <c r="F47" s="17">
        <v>20000</v>
      </c>
      <c r="G47" s="17">
        <v>92</v>
      </c>
      <c r="H47" s="17" t="s">
        <v>1299</v>
      </c>
      <c r="I47" s="17" t="s">
        <v>496</v>
      </c>
    </row>
    <row r="48" spans="1:12">
      <c r="A48" s="17">
        <v>2011</v>
      </c>
      <c r="B48" s="17">
        <v>2011</v>
      </c>
      <c r="C48" s="17">
        <v>25.85</v>
      </c>
      <c r="D48" s="17">
        <v>60</v>
      </c>
      <c r="E48" s="17">
        <v>13</v>
      </c>
      <c r="F48" s="17">
        <v>25000</v>
      </c>
      <c r="G48" s="17">
        <v>92</v>
      </c>
      <c r="H48" s="17" t="s">
        <v>1299</v>
      </c>
      <c r="I48" s="17" t="s">
        <v>496</v>
      </c>
      <c r="K48" s="17" t="s">
        <v>1376</v>
      </c>
      <c r="L48" s="17" t="s">
        <v>1382</v>
      </c>
    </row>
    <row r="49" spans="1:12">
      <c r="A49" s="17">
        <v>2012</v>
      </c>
      <c r="B49" s="17">
        <v>2012</v>
      </c>
      <c r="C49" s="17">
        <v>19.07</v>
      </c>
      <c r="D49" s="17">
        <v>66.8</v>
      </c>
      <c r="E49" s="17">
        <v>11.7</v>
      </c>
      <c r="F49" s="17">
        <v>27001</v>
      </c>
      <c r="G49" s="17">
        <v>92</v>
      </c>
      <c r="H49" s="17" t="s">
        <v>1299</v>
      </c>
      <c r="I49" s="17" t="s">
        <v>496</v>
      </c>
    </row>
    <row r="50" spans="1:12">
      <c r="A50" s="17">
        <v>2013</v>
      </c>
      <c r="B50" s="17">
        <v>2013</v>
      </c>
      <c r="C50" s="17">
        <v>14.07</v>
      </c>
      <c r="D50" s="17">
        <v>74.3</v>
      </c>
      <c r="E50" s="17">
        <v>10.5</v>
      </c>
      <c r="F50" s="17">
        <v>29163</v>
      </c>
      <c r="G50" s="17">
        <v>92</v>
      </c>
      <c r="H50" s="17" t="s">
        <v>1299</v>
      </c>
      <c r="I50" s="17" t="s">
        <v>496</v>
      </c>
    </row>
    <row r="51" spans="1:12">
      <c r="A51" s="17">
        <v>2014</v>
      </c>
      <c r="B51" s="17">
        <v>2014</v>
      </c>
      <c r="C51" s="17">
        <v>10.38</v>
      </c>
      <c r="D51" s="17">
        <v>82.7</v>
      </c>
      <c r="E51" s="17">
        <v>9.5</v>
      </c>
      <c r="F51" s="17">
        <v>31498</v>
      </c>
      <c r="G51" s="17">
        <v>92</v>
      </c>
      <c r="H51" s="17" t="s">
        <v>1299</v>
      </c>
      <c r="I51" s="17" t="s">
        <v>496</v>
      </c>
    </row>
    <row r="52" spans="1:12">
      <c r="A52" s="17">
        <v>2015</v>
      </c>
      <c r="B52" s="17">
        <v>2015</v>
      </c>
      <c r="C52" s="17">
        <v>7.66</v>
      </c>
      <c r="D52" s="17">
        <v>92</v>
      </c>
      <c r="E52" s="17">
        <v>8.5</v>
      </c>
      <c r="F52" s="17">
        <v>34020</v>
      </c>
      <c r="G52" s="17">
        <v>92</v>
      </c>
      <c r="H52" s="17" t="s">
        <v>1299</v>
      </c>
      <c r="I52" s="17" t="s">
        <v>496</v>
      </c>
      <c r="K52" s="17" t="s">
        <v>1377</v>
      </c>
      <c r="L52" s="17" t="s">
        <v>1383</v>
      </c>
    </row>
    <row r="53" spans="1:12">
      <c r="A53" s="17">
        <v>2016</v>
      </c>
      <c r="B53" s="17">
        <v>2016</v>
      </c>
      <c r="C53" s="17">
        <v>6.7</v>
      </c>
      <c r="D53" s="17">
        <v>102.4</v>
      </c>
      <c r="E53" s="17">
        <v>7.6</v>
      </c>
      <c r="F53" s="17">
        <v>36743</v>
      </c>
      <c r="G53" s="17">
        <v>92</v>
      </c>
      <c r="H53" s="17" t="s">
        <v>1299</v>
      </c>
      <c r="I53" s="17" t="s">
        <v>496</v>
      </c>
    </row>
    <row r="54" spans="1:12">
      <c r="A54" s="17">
        <v>2017</v>
      </c>
      <c r="B54" s="17">
        <v>2017</v>
      </c>
      <c r="C54" s="17">
        <v>5.86</v>
      </c>
      <c r="D54" s="17">
        <v>113.9</v>
      </c>
      <c r="E54" s="17">
        <v>6.9</v>
      </c>
      <c r="F54" s="17">
        <v>39685</v>
      </c>
      <c r="G54" s="17">
        <v>92</v>
      </c>
      <c r="H54" s="17" t="s">
        <v>1299</v>
      </c>
      <c r="I54" s="17" t="s">
        <v>496</v>
      </c>
    </row>
    <row r="55" spans="1:12">
      <c r="A55" s="17">
        <v>2018</v>
      </c>
      <c r="B55" s="17">
        <v>2018</v>
      </c>
      <c r="C55" s="17">
        <v>5.12</v>
      </c>
      <c r="D55" s="17">
        <v>126.8</v>
      </c>
      <c r="E55" s="17">
        <v>6.2</v>
      </c>
      <c r="F55" s="17">
        <v>42862</v>
      </c>
      <c r="G55" s="17">
        <v>92</v>
      </c>
      <c r="H55" s="17" t="s">
        <v>1299</v>
      </c>
      <c r="I55" s="17" t="s">
        <v>496</v>
      </c>
    </row>
    <row r="56" spans="1:12">
      <c r="A56" s="17">
        <v>2019</v>
      </c>
      <c r="B56" s="17">
        <v>2019</v>
      </c>
      <c r="C56" s="17">
        <v>4.47</v>
      </c>
      <c r="D56" s="17">
        <v>141.1</v>
      </c>
      <c r="E56" s="17">
        <v>5.6</v>
      </c>
      <c r="F56" s="17">
        <v>46294</v>
      </c>
      <c r="G56" s="17">
        <v>92</v>
      </c>
      <c r="H56" s="17" t="s">
        <v>1299</v>
      </c>
      <c r="I56" s="17" t="s">
        <v>496</v>
      </c>
    </row>
    <row r="57" spans="1:12">
      <c r="A57" s="17">
        <v>2020</v>
      </c>
      <c r="B57" s="17">
        <v>2024</v>
      </c>
      <c r="C57" s="17">
        <v>3.92</v>
      </c>
      <c r="D57" s="17">
        <v>157</v>
      </c>
      <c r="E57" s="17">
        <v>5</v>
      </c>
      <c r="F57" s="17">
        <v>50000</v>
      </c>
      <c r="G57" s="17">
        <v>95</v>
      </c>
      <c r="H57" s="17" t="s">
        <v>1299</v>
      </c>
      <c r="I57" s="17" t="s">
        <v>496</v>
      </c>
      <c r="K57" s="17" t="s">
        <v>1378</v>
      </c>
      <c r="L57" s="17" t="s">
        <v>1384</v>
      </c>
    </row>
    <row r="58" spans="1:12">
      <c r="A58" s="17">
        <v>2025</v>
      </c>
      <c r="B58" s="17">
        <v>2029</v>
      </c>
      <c r="C58" s="17">
        <v>2.79</v>
      </c>
      <c r="D58" s="17">
        <v>179.5</v>
      </c>
      <c r="E58" s="17">
        <v>4.5</v>
      </c>
      <c r="F58" s="17">
        <v>50000</v>
      </c>
      <c r="G58" s="17">
        <v>97</v>
      </c>
      <c r="H58" s="17" t="s">
        <v>1299</v>
      </c>
      <c r="I58" s="17" t="s">
        <v>496</v>
      </c>
      <c r="K58" s="17" t="s">
        <v>1379</v>
      </c>
      <c r="L58" s="17" t="s">
        <v>1385</v>
      </c>
    </row>
    <row r="59" spans="1:12">
      <c r="A59" s="17">
        <v>2030</v>
      </c>
      <c r="B59" s="17">
        <v>2039</v>
      </c>
      <c r="C59" s="17">
        <v>2.35</v>
      </c>
      <c r="D59" s="17">
        <v>202</v>
      </c>
      <c r="E59" s="17">
        <v>4</v>
      </c>
      <c r="F59" s="17">
        <v>50000</v>
      </c>
      <c r="G59" s="17">
        <v>98</v>
      </c>
      <c r="H59" s="17" t="s">
        <v>1299</v>
      </c>
      <c r="I59" s="17" t="s">
        <v>496</v>
      </c>
      <c r="K59" s="17" t="s">
        <v>1380</v>
      </c>
      <c r="L59" s="17" t="s">
        <v>1386</v>
      </c>
    </row>
    <row r="60" spans="1:12">
      <c r="A60" s="17">
        <v>2040</v>
      </c>
      <c r="B60" s="17">
        <v>2050</v>
      </c>
      <c r="C60" s="17">
        <v>2.35</v>
      </c>
      <c r="D60" s="17">
        <v>202</v>
      </c>
      <c r="E60" s="17">
        <v>4</v>
      </c>
      <c r="F60" s="17">
        <v>50000</v>
      </c>
      <c r="G60" s="17">
        <v>99</v>
      </c>
      <c r="H60" s="17" t="s">
        <v>1299</v>
      </c>
      <c r="I60" s="17" t="s">
        <v>496</v>
      </c>
      <c r="K60" s="17" t="s">
        <v>1381</v>
      </c>
      <c r="L60" s="17" t="s">
        <v>1387</v>
      </c>
    </row>
    <row r="62" spans="1:12">
      <c r="A62" s="17">
        <v>2005</v>
      </c>
      <c r="B62" s="17">
        <v>2019</v>
      </c>
      <c r="C62" s="17">
        <v>3.31</v>
      </c>
      <c r="D62" s="17">
        <v>9.6999999999999993</v>
      </c>
      <c r="E62" s="17">
        <v>65</v>
      </c>
      <c r="F62" s="17">
        <v>850</v>
      </c>
      <c r="G62" s="17">
        <v>100</v>
      </c>
      <c r="H62" s="17" t="s">
        <v>1300</v>
      </c>
      <c r="I62" s="17" t="s">
        <v>1337</v>
      </c>
      <c r="K62" s="17" t="s">
        <v>1394</v>
      </c>
      <c r="L62" s="17" t="s">
        <v>1398</v>
      </c>
    </row>
    <row r="63" spans="1:12">
      <c r="A63" s="17">
        <v>2020</v>
      </c>
      <c r="B63" s="17">
        <v>2029</v>
      </c>
      <c r="C63" s="17">
        <v>3.23</v>
      </c>
      <c r="D63" s="17">
        <v>9.8000000000000007</v>
      </c>
      <c r="E63" s="17">
        <v>65</v>
      </c>
      <c r="F63" s="17">
        <v>850</v>
      </c>
      <c r="G63" s="17">
        <v>100</v>
      </c>
      <c r="H63" s="17" t="s">
        <v>1300</v>
      </c>
      <c r="I63" s="17" t="s">
        <v>1337</v>
      </c>
      <c r="K63" s="17" t="s">
        <v>1396</v>
      </c>
      <c r="L63" s="17" t="s">
        <v>1399</v>
      </c>
    </row>
    <row r="64" spans="1:12">
      <c r="A64" s="17">
        <v>2030</v>
      </c>
      <c r="B64" s="17">
        <v>2039</v>
      </c>
      <c r="C64" s="17">
        <v>3.14</v>
      </c>
      <c r="D64" s="17">
        <v>9.9</v>
      </c>
      <c r="E64" s="17">
        <v>65</v>
      </c>
      <c r="F64" s="17">
        <v>850</v>
      </c>
      <c r="G64" s="17">
        <v>100</v>
      </c>
      <c r="H64" s="17" t="s">
        <v>1300</v>
      </c>
      <c r="I64" s="17" t="s">
        <v>1337</v>
      </c>
      <c r="K64" s="17" t="s">
        <v>1395</v>
      </c>
      <c r="L64" s="17" t="s">
        <v>1400</v>
      </c>
    </row>
    <row r="65" spans="1:12">
      <c r="A65" s="17">
        <v>2040</v>
      </c>
      <c r="B65" s="17">
        <v>2050</v>
      </c>
      <c r="C65" s="17">
        <v>3.06</v>
      </c>
      <c r="D65" s="17">
        <v>10</v>
      </c>
      <c r="E65" s="17">
        <v>65</v>
      </c>
      <c r="F65" s="17">
        <v>850</v>
      </c>
      <c r="G65" s="17">
        <v>100</v>
      </c>
      <c r="H65" s="17" t="s">
        <v>1300</v>
      </c>
      <c r="I65" s="17" t="s">
        <v>1337</v>
      </c>
      <c r="K65" s="17" t="s">
        <v>1397</v>
      </c>
      <c r="L65" s="17" t="s">
        <v>1401</v>
      </c>
    </row>
    <row r="66" spans="1:12">
      <c r="A66" s="17" t="s">
        <v>1310</v>
      </c>
    </row>
    <row r="67" spans="1:12">
      <c r="A67" s="17">
        <v>2005</v>
      </c>
      <c r="B67" s="17">
        <v>2019</v>
      </c>
      <c r="C67" s="17">
        <v>6.23</v>
      </c>
      <c r="D67" s="17">
        <v>48</v>
      </c>
      <c r="E67" s="17">
        <v>15</v>
      </c>
      <c r="F67" s="17">
        <v>8000</v>
      </c>
      <c r="G67" s="17">
        <v>82</v>
      </c>
      <c r="H67" s="17" t="s">
        <v>1300</v>
      </c>
      <c r="I67" s="17" t="s">
        <v>498</v>
      </c>
      <c r="K67" s="17" t="s">
        <v>1402</v>
      </c>
      <c r="L67" s="17" t="s">
        <v>1403</v>
      </c>
    </row>
    <row r="68" spans="1:12">
      <c r="A68" s="17">
        <v>2020</v>
      </c>
      <c r="B68" s="17">
        <v>2029</v>
      </c>
      <c r="C68" s="17">
        <v>6.07</v>
      </c>
      <c r="D68" s="17">
        <v>50.4</v>
      </c>
      <c r="E68" s="17">
        <v>15</v>
      </c>
      <c r="F68" s="17">
        <v>8000</v>
      </c>
      <c r="G68" s="17">
        <v>83</v>
      </c>
      <c r="H68" s="17" t="s">
        <v>1300</v>
      </c>
      <c r="I68" s="17" t="s">
        <v>498</v>
      </c>
      <c r="K68" s="17" t="s">
        <v>1404</v>
      </c>
      <c r="L68" s="17" t="s">
        <v>1405</v>
      </c>
    </row>
    <row r="69" spans="1:12">
      <c r="A69" s="17">
        <v>2030</v>
      </c>
      <c r="B69" s="17">
        <v>2039</v>
      </c>
      <c r="C69" s="17">
        <v>5.92</v>
      </c>
      <c r="D69" s="17">
        <v>42.9</v>
      </c>
      <c r="E69" s="17">
        <v>15</v>
      </c>
      <c r="F69" s="17">
        <v>8000</v>
      </c>
      <c r="G69" s="17">
        <v>84</v>
      </c>
      <c r="H69" s="17" t="s">
        <v>1300</v>
      </c>
      <c r="I69" s="17" t="s">
        <v>498</v>
      </c>
      <c r="K69" s="17" t="s">
        <v>1406</v>
      </c>
      <c r="L69" s="17" t="s">
        <v>1407</v>
      </c>
    </row>
    <row r="70" spans="1:12">
      <c r="A70" s="17">
        <v>2040</v>
      </c>
      <c r="B70" s="17">
        <v>2050</v>
      </c>
      <c r="C70" s="17">
        <v>5.77</v>
      </c>
      <c r="D70" s="17">
        <v>55.6</v>
      </c>
      <c r="E70" s="17">
        <v>15</v>
      </c>
      <c r="F70" s="17">
        <v>9000</v>
      </c>
      <c r="G70" s="17">
        <v>85</v>
      </c>
      <c r="H70" s="17" t="s">
        <v>1300</v>
      </c>
      <c r="I70" s="17" t="s">
        <v>498</v>
      </c>
      <c r="K70" s="17" t="s">
        <v>1408</v>
      </c>
      <c r="L70" s="17" t="s">
        <v>1409</v>
      </c>
    </row>
    <row r="71" spans="1:12">
      <c r="A71" s="17" t="s">
        <v>1310</v>
      </c>
    </row>
    <row r="72" spans="1:12">
      <c r="A72" s="17">
        <v>2005</v>
      </c>
      <c r="B72" s="17">
        <v>2019</v>
      </c>
      <c r="C72" s="17">
        <v>5.99</v>
      </c>
      <c r="D72" s="17">
        <v>12.6</v>
      </c>
      <c r="E72" s="17">
        <v>50</v>
      </c>
      <c r="F72" s="17">
        <v>3000</v>
      </c>
      <c r="G72" s="17">
        <v>100</v>
      </c>
      <c r="H72" s="17" t="s">
        <v>1300</v>
      </c>
      <c r="I72" s="17" t="s">
        <v>1338</v>
      </c>
      <c r="K72" s="17" t="s">
        <v>1410</v>
      </c>
      <c r="L72" s="17" t="s">
        <v>1411</v>
      </c>
    </row>
    <row r="73" spans="1:12">
      <c r="A73" s="17">
        <v>2020</v>
      </c>
      <c r="B73" s="17">
        <v>2029</v>
      </c>
      <c r="C73" s="17">
        <v>5.85</v>
      </c>
      <c r="D73" s="17">
        <v>13.2</v>
      </c>
      <c r="E73" s="17">
        <v>50</v>
      </c>
      <c r="F73" s="17">
        <v>3000</v>
      </c>
      <c r="G73" s="17">
        <v>100</v>
      </c>
      <c r="H73" s="17" t="s">
        <v>1300</v>
      </c>
      <c r="I73" s="17" t="s">
        <v>1338</v>
      </c>
      <c r="K73" s="17" t="s">
        <v>1412</v>
      </c>
      <c r="L73" s="17" t="s">
        <v>1413</v>
      </c>
    </row>
    <row r="74" spans="1:12">
      <c r="A74" s="17">
        <v>2030</v>
      </c>
      <c r="B74" s="17">
        <v>2039</v>
      </c>
      <c r="C74" s="17">
        <v>5.7</v>
      </c>
      <c r="D74" s="17">
        <v>13.9</v>
      </c>
      <c r="E74" s="17">
        <v>50</v>
      </c>
      <c r="F74" s="17">
        <v>3000</v>
      </c>
      <c r="G74" s="17">
        <v>100</v>
      </c>
      <c r="H74" s="17" t="s">
        <v>1300</v>
      </c>
      <c r="I74" s="17" t="s">
        <v>1338</v>
      </c>
      <c r="K74" s="17" t="s">
        <v>1414</v>
      </c>
      <c r="L74" s="17" t="s">
        <v>1415</v>
      </c>
    </row>
    <row r="75" spans="1:12">
      <c r="A75" s="17">
        <v>2040</v>
      </c>
      <c r="B75" s="17">
        <v>2050</v>
      </c>
      <c r="C75" s="17">
        <v>5.55</v>
      </c>
      <c r="D75" s="17">
        <v>14.6</v>
      </c>
      <c r="E75" s="17">
        <v>50</v>
      </c>
      <c r="F75" s="17">
        <v>3000</v>
      </c>
      <c r="G75" s="17">
        <v>100</v>
      </c>
      <c r="H75" s="17" t="s">
        <v>1300</v>
      </c>
      <c r="I75" s="17" t="s">
        <v>1338</v>
      </c>
      <c r="K75" s="17" t="s">
        <v>1416</v>
      </c>
      <c r="L75" s="17" t="s">
        <v>1417</v>
      </c>
    </row>
    <row r="76" spans="1:12">
      <c r="A76" s="17" t="s">
        <v>1310</v>
      </c>
    </row>
    <row r="77" spans="1:12">
      <c r="A77" s="17">
        <v>2005</v>
      </c>
      <c r="B77" s="17">
        <v>2010</v>
      </c>
      <c r="C77" s="17">
        <v>160.58000000000001</v>
      </c>
      <c r="D77" s="17">
        <v>36</v>
      </c>
      <c r="E77" s="17">
        <v>28</v>
      </c>
      <c r="F77" s="17">
        <v>10000</v>
      </c>
      <c r="G77" s="17">
        <v>92</v>
      </c>
      <c r="H77" s="17" t="s">
        <v>1300</v>
      </c>
      <c r="I77" s="17" t="s">
        <v>496</v>
      </c>
    </row>
    <row r="78" spans="1:12">
      <c r="A78" s="17">
        <v>2011</v>
      </c>
      <c r="B78" s="17">
        <v>2011</v>
      </c>
      <c r="C78" s="17">
        <v>49.93</v>
      </c>
      <c r="D78" s="17">
        <v>50</v>
      </c>
      <c r="E78" s="17">
        <v>20</v>
      </c>
      <c r="F78" s="17">
        <v>25000</v>
      </c>
      <c r="G78" s="17">
        <v>92</v>
      </c>
      <c r="H78" s="17" t="s">
        <v>1300</v>
      </c>
      <c r="I78" s="17" t="s">
        <v>496</v>
      </c>
      <c r="K78" s="17" t="s">
        <v>1418</v>
      </c>
      <c r="L78" s="17" t="s">
        <v>1423</v>
      </c>
    </row>
    <row r="79" spans="1:12">
      <c r="A79" s="17">
        <v>2012</v>
      </c>
      <c r="B79" s="17">
        <v>2012</v>
      </c>
      <c r="C79" s="17">
        <v>40.049999999999997</v>
      </c>
      <c r="D79" s="17">
        <v>56.8</v>
      </c>
      <c r="E79" s="17">
        <v>17.5</v>
      </c>
      <c r="F79" s="17">
        <v>27001</v>
      </c>
      <c r="G79" s="17">
        <v>92</v>
      </c>
      <c r="H79" s="17" t="s">
        <v>1300</v>
      </c>
      <c r="I79" s="17" t="s">
        <v>496</v>
      </c>
    </row>
    <row r="80" spans="1:12">
      <c r="A80" s="17">
        <v>2013</v>
      </c>
      <c r="B80" s="17">
        <v>2013</v>
      </c>
      <c r="C80" s="17">
        <v>32.119999999999997</v>
      </c>
      <c r="D80" s="17">
        <v>64.5</v>
      </c>
      <c r="E80" s="17">
        <v>15.3</v>
      </c>
      <c r="F80" s="17">
        <v>29163</v>
      </c>
      <c r="G80" s="17">
        <v>92</v>
      </c>
      <c r="H80" s="17" t="s">
        <v>1300</v>
      </c>
      <c r="I80" s="17" t="s">
        <v>496</v>
      </c>
    </row>
    <row r="81" spans="1:12">
      <c r="A81" s="17">
        <v>2014</v>
      </c>
      <c r="B81" s="17">
        <v>2014</v>
      </c>
      <c r="C81" s="17">
        <v>25.76</v>
      </c>
      <c r="D81" s="17">
        <v>73.2</v>
      </c>
      <c r="E81" s="17">
        <v>13.4</v>
      </c>
      <c r="F81" s="17">
        <v>31498</v>
      </c>
      <c r="G81" s="17">
        <v>92</v>
      </c>
      <c r="H81" s="17" t="s">
        <v>1300</v>
      </c>
      <c r="I81" s="17" t="s">
        <v>496</v>
      </c>
    </row>
    <row r="82" spans="1:12">
      <c r="A82" s="17">
        <v>2015</v>
      </c>
      <c r="B82" s="17">
        <v>2015</v>
      </c>
      <c r="C82" s="17">
        <v>20.66</v>
      </c>
      <c r="D82" s="17">
        <v>83.1</v>
      </c>
      <c r="E82" s="17">
        <v>11.7</v>
      </c>
      <c r="F82" s="17">
        <v>34020</v>
      </c>
      <c r="G82" s="17">
        <v>92</v>
      </c>
      <c r="H82" s="17" t="s">
        <v>1300</v>
      </c>
      <c r="I82" s="17" t="s">
        <v>496</v>
      </c>
      <c r="K82" s="17" t="s">
        <v>1419</v>
      </c>
      <c r="L82" s="17" t="s">
        <v>1424</v>
      </c>
    </row>
    <row r="83" spans="1:12">
      <c r="A83" s="17">
        <v>2016</v>
      </c>
      <c r="B83" s="17">
        <v>2016</v>
      </c>
      <c r="C83" s="17">
        <v>16.57</v>
      </c>
      <c r="D83" s="17">
        <v>94.4</v>
      </c>
      <c r="E83" s="17">
        <v>10.199999999999999</v>
      </c>
      <c r="F83" s="17">
        <v>36743</v>
      </c>
      <c r="G83" s="17">
        <v>92</v>
      </c>
      <c r="H83" s="17" t="s">
        <v>1300</v>
      </c>
      <c r="I83" s="17" t="s">
        <v>496</v>
      </c>
    </row>
    <row r="84" spans="1:12">
      <c r="A84" s="17">
        <v>2017</v>
      </c>
      <c r="B84" s="17">
        <v>2017</v>
      </c>
      <c r="C84" s="17">
        <v>13.29</v>
      </c>
      <c r="D84" s="17">
        <v>107.2</v>
      </c>
      <c r="E84" s="17">
        <v>9</v>
      </c>
      <c r="F84" s="17">
        <v>39685</v>
      </c>
      <c r="G84" s="17">
        <v>92</v>
      </c>
      <c r="H84" s="17" t="s">
        <v>1300</v>
      </c>
      <c r="I84" s="17" t="s">
        <v>496</v>
      </c>
    </row>
    <row r="85" spans="1:12">
      <c r="A85" s="17">
        <v>2018</v>
      </c>
      <c r="B85" s="17">
        <v>2018</v>
      </c>
      <c r="C85" s="17">
        <v>10.65</v>
      </c>
      <c r="D85" s="17">
        <v>121.8</v>
      </c>
      <c r="E85" s="17">
        <v>7.8</v>
      </c>
      <c r="F85" s="17">
        <v>42862</v>
      </c>
      <c r="G85" s="17">
        <v>92</v>
      </c>
      <c r="H85" s="17" t="s">
        <v>1300</v>
      </c>
      <c r="I85" s="17" t="s">
        <v>496</v>
      </c>
    </row>
    <row r="86" spans="1:12">
      <c r="A86" s="17">
        <v>2019</v>
      </c>
      <c r="B86" s="17">
        <v>2019</v>
      </c>
      <c r="C86" s="17">
        <v>8.5500000000000007</v>
      </c>
      <c r="D86" s="17">
        <v>138.30000000000001</v>
      </c>
      <c r="E86" s="17">
        <v>6.9</v>
      </c>
      <c r="F86" s="17">
        <v>46294</v>
      </c>
      <c r="G86" s="17">
        <v>92</v>
      </c>
      <c r="H86" s="17" t="s">
        <v>1300</v>
      </c>
      <c r="I86" s="17" t="s">
        <v>496</v>
      </c>
    </row>
    <row r="87" spans="1:12">
      <c r="A87" s="17">
        <v>2020</v>
      </c>
      <c r="B87" s="17">
        <v>2024</v>
      </c>
      <c r="C87" s="17">
        <v>6.85</v>
      </c>
      <c r="D87" s="17">
        <v>157</v>
      </c>
      <c r="E87" s="17">
        <v>6</v>
      </c>
      <c r="F87" s="17">
        <v>50000</v>
      </c>
      <c r="G87" s="17">
        <v>95</v>
      </c>
      <c r="H87" s="17" t="s">
        <v>1300</v>
      </c>
      <c r="I87" s="17" t="s">
        <v>496</v>
      </c>
      <c r="K87" s="17" t="s">
        <v>1420</v>
      </c>
      <c r="L87" s="17" t="s">
        <v>1425</v>
      </c>
    </row>
    <row r="88" spans="1:12">
      <c r="A88" s="17">
        <v>2025</v>
      </c>
      <c r="B88" s="17">
        <v>2029</v>
      </c>
      <c r="C88" s="17">
        <v>5.87</v>
      </c>
      <c r="D88" s="17">
        <v>180</v>
      </c>
      <c r="E88" s="17">
        <v>5.5</v>
      </c>
      <c r="F88" s="17">
        <v>50000</v>
      </c>
      <c r="G88" s="17">
        <v>97</v>
      </c>
      <c r="H88" s="17" t="s">
        <v>1300</v>
      </c>
      <c r="I88" s="17" t="s">
        <v>496</v>
      </c>
      <c r="K88" s="17" t="s">
        <v>1421</v>
      </c>
      <c r="L88" s="17" t="s">
        <v>1426</v>
      </c>
    </row>
    <row r="89" spans="1:12">
      <c r="A89" s="17">
        <v>2030</v>
      </c>
      <c r="B89" s="17">
        <v>2039</v>
      </c>
      <c r="C89" s="17">
        <v>4.9000000000000004</v>
      </c>
      <c r="D89" s="17">
        <v>202</v>
      </c>
      <c r="E89" s="17">
        <v>5</v>
      </c>
      <c r="F89" s="17">
        <v>50000</v>
      </c>
      <c r="G89" s="17">
        <v>98</v>
      </c>
      <c r="H89" s="17" t="s">
        <v>1300</v>
      </c>
      <c r="I89" s="17" t="s">
        <v>496</v>
      </c>
      <c r="K89" s="17" t="s">
        <v>1422</v>
      </c>
      <c r="L89" s="17" t="s">
        <v>1427</v>
      </c>
    </row>
    <row r="90" spans="1:12">
      <c r="A90" s="17">
        <v>2040</v>
      </c>
      <c r="B90" s="17">
        <v>2050</v>
      </c>
      <c r="C90" s="17">
        <v>4.9000000000000004</v>
      </c>
      <c r="D90" s="17">
        <v>202</v>
      </c>
      <c r="E90" s="17">
        <v>5</v>
      </c>
      <c r="F90" s="17">
        <v>50000</v>
      </c>
      <c r="G90" s="17">
        <v>98</v>
      </c>
      <c r="H90" s="17" t="s">
        <v>1300</v>
      </c>
      <c r="I90" s="17" t="s">
        <v>496</v>
      </c>
    </row>
    <row r="91" spans="1:12">
      <c r="A91" s="17" t="s">
        <v>1310</v>
      </c>
    </row>
    <row r="92" spans="1:12">
      <c r="A92" s="17">
        <v>2005</v>
      </c>
      <c r="B92" s="17">
        <v>2019</v>
      </c>
      <c r="C92" s="17">
        <v>5.79</v>
      </c>
      <c r="D92" s="17">
        <v>63.1</v>
      </c>
      <c r="E92" s="17">
        <v>35</v>
      </c>
      <c r="F92" s="17">
        <v>24000</v>
      </c>
      <c r="G92" s="17">
        <v>82</v>
      </c>
      <c r="H92" s="17" t="s">
        <v>1297</v>
      </c>
      <c r="I92" s="17" t="s">
        <v>1339</v>
      </c>
      <c r="K92" s="17" t="s">
        <v>1428</v>
      </c>
      <c r="L92" s="17" t="s">
        <v>1429</v>
      </c>
    </row>
    <row r="93" spans="1:12">
      <c r="A93" s="17">
        <v>2020</v>
      </c>
      <c r="B93" s="17">
        <v>2050</v>
      </c>
      <c r="C93" s="17">
        <v>96.9</v>
      </c>
      <c r="D93" s="17">
        <v>99</v>
      </c>
      <c r="E93" s="17">
        <v>99</v>
      </c>
      <c r="F93" s="17">
        <v>9999</v>
      </c>
      <c r="G93" s="17">
        <v>82</v>
      </c>
      <c r="H93" s="17" t="s">
        <v>1297</v>
      </c>
      <c r="I93" s="17" t="s">
        <v>1339</v>
      </c>
    </row>
    <row r="94" spans="1:12">
      <c r="A94" s="17" t="s">
        <v>1310</v>
      </c>
    </row>
    <row r="95" spans="1:12">
      <c r="A95" s="17">
        <v>2005</v>
      </c>
      <c r="B95" s="17">
        <v>2019</v>
      </c>
      <c r="C95" s="17">
        <v>2.61</v>
      </c>
      <c r="D95" s="17">
        <v>73.8</v>
      </c>
      <c r="E95" s="17">
        <v>33</v>
      </c>
      <c r="F95" s="17">
        <v>24000</v>
      </c>
      <c r="G95" s="17">
        <v>82</v>
      </c>
      <c r="H95" s="17" t="s">
        <v>1297</v>
      </c>
      <c r="I95" s="17" t="s">
        <v>1340</v>
      </c>
      <c r="K95" s="17" t="s">
        <v>1430</v>
      </c>
      <c r="L95" s="17" t="s">
        <v>1432</v>
      </c>
    </row>
    <row r="96" spans="1:12">
      <c r="A96" s="17">
        <v>2020</v>
      </c>
      <c r="B96" s="17">
        <v>2029</v>
      </c>
      <c r="C96" s="17">
        <v>2.7</v>
      </c>
      <c r="D96" s="17">
        <v>77</v>
      </c>
      <c r="E96" s="17">
        <v>33</v>
      </c>
      <c r="F96" s="17">
        <v>25000</v>
      </c>
      <c r="G96" s="17">
        <v>82</v>
      </c>
      <c r="H96" s="17" t="s">
        <v>1297</v>
      </c>
      <c r="I96" s="17" t="s">
        <v>1340</v>
      </c>
    </row>
    <row r="97" spans="1:12">
      <c r="A97" s="17">
        <v>2030</v>
      </c>
      <c r="B97" s="17">
        <v>2039</v>
      </c>
      <c r="C97" s="17">
        <v>2.65</v>
      </c>
      <c r="D97" s="17">
        <v>77.7</v>
      </c>
      <c r="E97" s="17">
        <v>33</v>
      </c>
      <c r="F97" s="17">
        <v>26000</v>
      </c>
      <c r="G97" s="17">
        <v>82</v>
      </c>
      <c r="H97" s="17" t="s">
        <v>1297</v>
      </c>
      <c r="I97" s="17" t="s">
        <v>1340</v>
      </c>
      <c r="K97" s="17" t="s">
        <v>1431</v>
      </c>
      <c r="L97" s="17" t="s">
        <v>1433</v>
      </c>
    </row>
    <row r="98" spans="1:12">
      <c r="A98" s="17">
        <v>2040</v>
      </c>
      <c r="B98" s="17">
        <v>2050</v>
      </c>
      <c r="C98" s="17">
        <v>2.61</v>
      </c>
      <c r="D98" s="17">
        <v>77.7</v>
      </c>
      <c r="E98" s="17">
        <v>33</v>
      </c>
      <c r="F98" s="17">
        <v>26000</v>
      </c>
      <c r="G98" s="17">
        <v>82</v>
      </c>
      <c r="H98" s="17" t="s">
        <v>1297</v>
      </c>
      <c r="I98" s="17" t="s">
        <v>1340</v>
      </c>
    </row>
    <row r="99" spans="1:12">
      <c r="A99" s="17" t="s">
        <v>1310</v>
      </c>
    </row>
    <row r="100" spans="1:12">
      <c r="A100" s="17">
        <v>2005</v>
      </c>
      <c r="B100" s="17">
        <v>2012</v>
      </c>
      <c r="C100" s="17">
        <v>99</v>
      </c>
      <c r="D100" s="17">
        <v>50</v>
      </c>
      <c r="E100" s="17">
        <v>25</v>
      </c>
      <c r="F100" s="17">
        <v>50000</v>
      </c>
      <c r="G100" s="17">
        <v>72</v>
      </c>
      <c r="H100" s="17" t="s">
        <v>1297</v>
      </c>
      <c r="I100" s="17" t="s">
        <v>496</v>
      </c>
      <c r="K100" s="17" t="s">
        <v>1435</v>
      </c>
      <c r="L100" s="17" t="s">
        <v>1434</v>
      </c>
    </row>
    <row r="101" spans="1:12">
      <c r="A101" s="17">
        <v>2013</v>
      </c>
      <c r="B101" s="17">
        <v>2019</v>
      </c>
      <c r="C101" s="17">
        <v>60</v>
      </c>
      <c r="D101" s="17">
        <v>107</v>
      </c>
      <c r="E101" s="17">
        <v>19</v>
      </c>
      <c r="F101" s="17">
        <v>50000</v>
      </c>
      <c r="G101" s="17">
        <v>72</v>
      </c>
      <c r="H101" s="17" t="s">
        <v>1297</v>
      </c>
      <c r="I101" s="17" t="s">
        <v>496</v>
      </c>
      <c r="K101" s="17" t="s">
        <v>1436</v>
      </c>
      <c r="L101" s="17" t="s">
        <v>1439</v>
      </c>
    </row>
    <row r="102" spans="1:12">
      <c r="A102" s="17">
        <v>2020</v>
      </c>
      <c r="B102" s="17">
        <v>2029</v>
      </c>
      <c r="C102" s="17">
        <v>15</v>
      </c>
      <c r="D102" s="17">
        <v>157</v>
      </c>
      <c r="E102" s="17">
        <v>15</v>
      </c>
      <c r="F102" s="17">
        <v>50000</v>
      </c>
      <c r="G102" s="17">
        <v>92</v>
      </c>
      <c r="H102" s="17" t="s">
        <v>1297</v>
      </c>
      <c r="I102" s="17" t="s">
        <v>496</v>
      </c>
      <c r="K102" s="17" t="s">
        <v>1437</v>
      </c>
      <c r="L102" s="17" t="s">
        <v>1440</v>
      </c>
    </row>
    <row r="103" spans="1:12">
      <c r="A103" s="17">
        <v>2030</v>
      </c>
      <c r="B103" s="17">
        <v>2050</v>
      </c>
      <c r="C103" s="17">
        <v>12</v>
      </c>
      <c r="D103" s="17">
        <v>157</v>
      </c>
      <c r="E103" s="17">
        <v>15</v>
      </c>
      <c r="F103" s="17">
        <v>50000</v>
      </c>
      <c r="G103" s="17">
        <v>92</v>
      </c>
      <c r="H103" s="17" t="s">
        <v>1297</v>
      </c>
      <c r="I103" s="17" t="s">
        <v>496</v>
      </c>
      <c r="K103" s="17" t="s">
        <v>1438</v>
      </c>
      <c r="L103" s="17" t="s">
        <v>1441</v>
      </c>
    </row>
    <row r="104" spans="1:12">
      <c r="A104" s="17" t="s">
        <v>1310</v>
      </c>
    </row>
    <row r="105" spans="1:12">
      <c r="A105" s="17">
        <v>2005</v>
      </c>
      <c r="B105" s="17">
        <v>2012</v>
      </c>
      <c r="C105" s="17">
        <v>3.21</v>
      </c>
      <c r="D105" s="17">
        <v>12.27</v>
      </c>
      <c r="E105" s="17">
        <v>57.3</v>
      </c>
      <c r="F105" s="17">
        <v>1567</v>
      </c>
      <c r="G105" s="17">
        <v>100</v>
      </c>
      <c r="H105" s="17" t="s">
        <v>1301</v>
      </c>
      <c r="I105" s="17" t="s">
        <v>1337</v>
      </c>
      <c r="K105" s="17" t="s">
        <v>1442</v>
      </c>
      <c r="L105" s="17" t="s">
        <v>1447</v>
      </c>
    </row>
    <row r="106" spans="1:12">
      <c r="A106" s="17">
        <v>2013</v>
      </c>
      <c r="B106" s="17">
        <v>2013</v>
      </c>
      <c r="C106" s="17">
        <v>3.35</v>
      </c>
      <c r="D106" s="17">
        <v>12.8</v>
      </c>
      <c r="E106" s="17">
        <v>55.8</v>
      </c>
      <c r="F106" s="17">
        <v>1582</v>
      </c>
      <c r="G106" s="17">
        <v>101</v>
      </c>
      <c r="H106" s="17" t="s">
        <v>1301</v>
      </c>
      <c r="I106" s="17" t="s">
        <v>1337</v>
      </c>
    </row>
    <row r="107" spans="1:12">
      <c r="A107" s="17">
        <v>2014</v>
      </c>
      <c r="B107" s="17">
        <v>2019</v>
      </c>
      <c r="C107" s="17">
        <v>3.67</v>
      </c>
      <c r="D107" s="17">
        <v>14.03</v>
      </c>
      <c r="E107" s="17">
        <v>52.3</v>
      </c>
      <c r="F107" s="17">
        <v>1617</v>
      </c>
      <c r="G107" s="17">
        <v>102</v>
      </c>
      <c r="H107" s="17" t="s">
        <v>1301</v>
      </c>
      <c r="I107" s="17" t="s">
        <v>1337</v>
      </c>
      <c r="K107" s="17" t="s">
        <v>1443</v>
      </c>
      <c r="L107" s="17" t="s">
        <v>1448</v>
      </c>
    </row>
    <row r="108" spans="1:12">
      <c r="A108" s="17">
        <v>2020</v>
      </c>
      <c r="B108" s="17">
        <v>2029</v>
      </c>
      <c r="C108" s="17">
        <v>4.54</v>
      </c>
      <c r="D108" s="17">
        <v>11.5</v>
      </c>
      <c r="E108" s="17">
        <v>57.5</v>
      </c>
      <c r="F108" s="17">
        <v>1925</v>
      </c>
      <c r="G108" s="17">
        <v>103</v>
      </c>
      <c r="H108" s="17" t="s">
        <v>1301</v>
      </c>
      <c r="I108" s="17" t="s">
        <v>1337</v>
      </c>
      <c r="K108" s="17" t="s">
        <v>1444</v>
      </c>
      <c r="L108" s="17" t="s">
        <v>1449</v>
      </c>
    </row>
    <row r="109" spans="1:12">
      <c r="A109" s="17">
        <v>2030</v>
      </c>
      <c r="B109" s="17">
        <v>2039</v>
      </c>
      <c r="C109" s="17">
        <v>4.43</v>
      </c>
      <c r="D109" s="17">
        <v>11.9</v>
      </c>
      <c r="E109" s="17">
        <v>57.5</v>
      </c>
      <c r="F109" s="17">
        <v>1925</v>
      </c>
      <c r="G109" s="17">
        <v>104</v>
      </c>
      <c r="H109" s="17" t="s">
        <v>1301</v>
      </c>
      <c r="I109" s="17" t="s">
        <v>1337</v>
      </c>
      <c r="K109" s="17" t="s">
        <v>1445</v>
      </c>
      <c r="L109" s="17" t="s">
        <v>1450</v>
      </c>
    </row>
    <row r="110" spans="1:12">
      <c r="A110" s="17">
        <v>2040</v>
      </c>
      <c r="B110" s="17">
        <v>2050</v>
      </c>
      <c r="C110" s="17">
        <v>4.3099999999999996</v>
      </c>
      <c r="D110" s="17">
        <v>12.3</v>
      </c>
      <c r="E110" s="17">
        <v>57.5</v>
      </c>
      <c r="F110" s="17">
        <v>1925</v>
      </c>
      <c r="G110" s="17">
        <v>105</v>
      </c>
      <c r="H110" s="17" t="s">
        <v>1301</v>
      </c>
      <c r="I110" s="17" t="s">
        <v>1337</v>
      </c>
      <c r="K110" s="17" t="s">
        <v>1446</v>
      </c>
      <c r="L110" s="17" t="s">
        <v>1451</v>
      </c>
    </row>
    <row r="111" spans="1:12">
      <c r="A111" s="17" t="s">
        <v>1310</v>
      </c>
    </row>
    <row r="112" spans="1:12">
      <c r="A112" s="17">
        <v>2005</v>
      </c>
      <c r="B112" s="17">
        <v>2019</v>
      </c>
      <c r="C112" s="17">
        <v>6.23</v>
      </c>
      <c r="D112" s="17">
        <v>48</v>
      </c>
      <c r="E112" s="17">
        <v>15</v>
      </c>
      <c r="F112" s="17">
        <v>8000</v>
      </c>
      <c r="G112" s="17">
        <v>82</v>
      </c>
      <c r="H112" s="17" t="s">
        <v>1301</v>
      </c>
      <c r="I112" s="17" t="s">
        <v>498</v>
      </c>
      <c r="K112" s="17" t="s">
        <v>1452</v>
      </c>
      <c r="L112" s="17" t="s">
        <v>1453</v>
      </c>
    </row>
    <row r="113" spans="1:12">
      <c r="A113" s="17">
        <v>2020</v>
      </c>
      <c r="B113" s="17">
        <v>2029</v>
      </c>
      <c r="C113" s="17">
        <v>6.07</v>
      </c>
      <c r="D113" s="17">
        <v>50.4</v>
      </c>
      <c r="E113" s="17">
        <v>15</v>
      </c>
      <c r="F113" s="17">
        <v>8000</v>
      </c>
      <c r="G113" s="17">
        <v>82</v>
      </c>
      <c r="H113" s="17" t="s">
        <v>1301</v>
      </c>
      <c r="I113" s="17" t="s">
        <v>498</v>
      </c>
      <c r="K113" s="17" t="s">
        <v>1454</v>
      </c>
      <c r="L113" s="17" t="s">
        <v>1455</v>
      </c>
    </row>
    <row r="114" spans="1:12">
      <c r="A114" s="17">
        <v>2030</v>
      </c>
      <c r="B114" s="17">
        <v>2039</v>
      </c>
      <c r="C114" s="17">
        <v>5.92</v>
      </c>
      <c r="D114" s="17">
        <v>52.9</v>
      </c>
      <c r="E114" s="17">
        <v>15</v>
      </c>
      <c r="F114" s="17">
        <v>8000</v>
      </c>
      <c r="G114" s="17">
        <v>82</v>
      </c>
      <c r="H114" s="17" t="s">
        <v>1301</v>
      </c>
      <c r="I114" s="17" t="s">
        <v>498</v>
      </c>
      <c r="K114" s="17" t="s">
        <v>1456</v>
      </c>
      <c r="L114" s="17" t="s">
        <v>1457</v>
      </c>
    </row>
    <row r="115" spans="1:12">
      <c r="A115" s="17">
        <v>2040</v>
      </c>
      <c r="B115" s="17">
        <v>2050</v>
      </c>
      <c r="C115" s="17">
        <v>5.77</v>
      </c>
      <c r="D115" s="17">
        <v>55.6</v>
      </c>
      <c r="E115" s="17">
        <v>15</v>
      </c>
      <c r="F115" s="17">
        <v>9000</v>
      </c>
      <c r="G115" s="17">
        <v>82</v>
      </c>
      <c r="H115" s="17" t="s">
        <v>1301</v>
      </c>
      <c r="I115" s="17" t="s">
        <v>498</v>
      </c>
      <c r="K115" s="17" t="s">
        <v>1458</v>
      </c>
      <c r="L115" s="17" t="s">
        <v>1459</v>
      </c>
    </row>
    <row r="116" spans="1:12">
      <c r="A116" s="17" t="s">
        <v>1310</v>
      </c>
    </row>
    <row r="117" spans="1:12">
      <c r="A117" s="17">
        <v>2005</v>
      </c>
      <c r="B117" s="17">
        <v>2019</v>
      </c>
      <c r="C117" s="17">
        <v>15</v>
      </c>
      <c r="D117" s="17">
        <v>92.8</v>
      </c>
      <c r="E117" s="17">
        <v>70</v>
      </c>
      <c r="F117" s="17">
        <v>24000</v>
      </c>
      <c r="G117" s="17">
        <v>100</v>
      </c>
      <c r="H117" s="17" t="s">
        <v>1301</v>
      </c>
      <c r="I117" s="17" t="s">
        <v>1341</v>
      </c>
      <c r="K117" s="17" t="s">
        <v>1460</v>
      </c>
      <c r="L117" s="17" t="s">
        <v>1461</v>
      </c>
    </row>
    <row r="118" spans="1:12">
      <c r="A118" s="17">
        <v>2020</v>
      </c>
      <c r="B118" s="17">
        <v>2029</v>
      </c>
      <c r="C118" s="17">
        <v>10</v>
      </c>
      <c r="D118" s="17">
        <v>92.8</v>
      </c>
      <c r="E118" s="17">
        <v>70</v>
      </c>
      <c r="F118" s="17">
        <v>24000</v>
      </c>
      <c r="G118" s="17">
        <v>100</v>
      </c>
      <c r="H118" s="17" t="s">
        <v>1301</v>
      </c>
      <c r="I118" s="17" t="s">
        <v>1341</v>
      </c>
      <c r="K118" s="17" t="s">
        <v>1462</v>
      </c>
      <c r="L118" s="17" t="s">
        <v>1463</v>
      </c>
    </row>
    <row r="119" spans="1:12">
      <c r="A119" s="17" t="s">
        <v>1310</v>
      </c>
    </row>
    <row r="120" spans="1:12">
      <c r="A120" s="17">
        <v>2005</v>
      </c>
      <c r="B120" s="17">
        <v>2010</v>
      </c>
      <c r="C120" s="17">
        <v>192.69</v>
      </c>
      <c r="D120" s="17">
        <v>36</v>
      </c>
      <c r="E120" s="17">
        <v>28</v>
      </c>
      <c r="F120" s="17">
        <v>10000</v>
      </c>
      <c r="G120" s="17">
        <v>92</v>
      </c>
      <c r="H120" s="17" t="s">
        <v>1301</v>
      </c>
      <c r="I120" s="17" t="s">
        <v>496</v>
      </c>
    </row>
    <row r="121" spans="1:12">
      <c r="A121" s="17">
        <v>2011</v>
      </c>
      <c r="B121" s="17">
        <v>2011</v>
      </c>
      <c r="C121" s="17">
        <v>59.92</v>
      </c>
      <c r="D121" s="17">
        <v>50</v>
      </c>
      <c r="E121" s="17">
        <v>20</v>
      </c>
      <c r="F121" s="17">
        <v>25000</v>
      </c>
      <c r="G121" s="17">
        <v>92</v>
      </c>
      <c r="H121" s="17" t="s">
        <v>1301</v>
      </c>
      <c r="I121" s="17" t="s">
        <v>496</v>
      </c>
      <c r="K121" s="17" t="s">
        <v>1464</v>
      </c>
      <c r="L121" s="17" t="s">
        <v>1470</v>
      </c>
    </row>
    <row r="122" spans="1:12">
      <c r="A122" s="17">
        <v>2012</v>
      </c>
      <c r="B122" s="17">
        <v>2012</v>
      </c>
      <c r="C122" s="17">
        <v>48.06</v>
      </c>
      <c r="D122" s="17">
        <v>56.8</v>
      </c>
      <c r="E122" s="17">
        <v>17.5</v>
      </c>
      <c r="F122" s="17">
        <v>27789</v>
      </c>
      <c r="G122" s="17">
        <v>92</v>
      </c>
      <c r="H122" s="17" t="s">
        <v>1301</v>
      </c>
      <c r="I122" s="17" t="s">
        <v>496</v>
      </c>
    </row>
    <row r="123" spans="1:12">
      <c r="A123" s="17">
        <v>2013</v>
      </c>
      <c r="B123" s="17">
        <v>2013</v>
      </c>
      <c r="C123" s="17">
        <v>38.54</v>
      </c>
      <c r="D123" s="17">
        <v>64.5</v>
      </c>
      <c r="E123" s="17">
        <v>15.3</v>
      </c>
      <c r="F123" s="17">
        <v>30556</v>
      </c>
      <c r="G123" s="17">
        <v>92</v>
      </c>
      <c r="H123" s="17" t="s">
        <v>1301</v>
      </c>
      <c r="I123" s="17" t="s">
        <v>496</v>
      </c>
    </row>
    <row r="124" spans="1:12">
      <c r="A124" s="17">
        <v>2014</v>
      </c>
      <c r="B124" s="17">
        <v>2014</v>
      </c>
      <c r="C124" s="17">
        <v>30.91</v>
      </c>
      <c r="D124" s="17">
        <v>73.2</v>
      </c>
      <c r="E124" s="17">
        <v>13.4</v>
      </c>
      <c r="F124" s="17">
        <v>33333</v>
      </c>
      <c r="G124" s="17">
        <v>92</v>
      </c>
      <c r="H124" s="17" t="s">
        <v>1301</v>
      </c>
      <c r="I124" s="17" t="s">
        <v>496</v>
      </c>
    </row>
    <row r="125" spans="1:12">
      <c r="A125" s="17">
        <v>2015</v>
      </c>
      <c r="B125" s="17">
        <v>2015</v>
      </c>
      <c r="C125" s="17">
        <v>24.79</v>
      </c>
      <c r="D125" s="17">
        <v>83.1</v>
      </c>
      <c r="E125" s="17">
        <v>11.7</v>
      </c>
      <c r="F125" s="17">
        <v>36111</v>
      </c>
      <c r="G125" s="17">
        <v>92</v>
      </c>
      <c r="H125" s="17" t="s">
        <v>1301</v>
      </c>
      <c r="I125" s="17" t="s">
        <v>496</v>
      </c>
      <c r="K125" s="17" t="s">
        <v>1465</v>
      </c>
      <c r="L125" s="17" t="s">
        <v>1471</v>
      </c>
    </row>
    <row r="126" spans="1:12">
      <c r="A126" s="17">
        <v>2016</v>
      </c>
      <c r="B126" s="17">
        <v>2016</v>
      </c>
      <c r="C126" s="17">
        <v>19.88</v>
      </c>
      <c r="D126" s="17">
        <v>94.4</v>
      </c>
      <c r="E126" s="17">
        <v>10.199999999999999</v>
      </c>
      <c r="F126" s="17">
        <v>38889</v>
      </c>
      <c r="G126" s="17">
        <v>92</v>
      </c>
      <c r="H126" s="17" t="s">
        <v>1301</v>
      </c>
      <c r="I126" s="17" t="s">
        <v>496</v>
      </c>
    </row>
    <row r="127" spans="1:12">
      <c r="A127" s="17">
        <v>2017</v>
      </c>
      <c r="B127" s="17">
        <v>2017</v>
      </c>
      <c r="C127" s="17">
        <v>15.94</v>
      </c>
      <c r="D127" s="17">
        <v>107.2</v>
      </c>
      <c r="E127" s="17">
        <v>9</v>
      </c>
      <c r="F127" s="17">
        <v>41667</v>
      </c>
      <c r="G127" s="17">
        <v>92</v>
      </c>
      <c r="H127" s="17" t="s">
        <v>1301</v>
      </c>
      <c r="I127" s="17" t="s">
        <v>496</v>
      </c>
    </row>
    <row r="128" spans="1:12">
      <c r="A128" s="17">
        <v>2018</v>
      </c>
      <c r="B128" s="17">
        <v>2018</v>
      </c>
      <c r="C128" s="17">
        <v>12.79</v>
      </c>
      <c r="D128" s="17">
        <v>121.8</v>
      </c>
      <c r="E128" s="17">
        <v>7.8</v>
      </c>
      <c r="F128" s="17">
        <v>44444</v>
      </c>
      <c r="G128" s="17">
        <v>92</v>
      </c>
      <c r="H128" s="17" t="s">
        <v>1301</v>
      </c>
      <c r="I128" s="17" t="s">
        <v>496</v>
      </c>
    </row>
    <row r="129" spans="1:12">
      <c r="A129" s="17">
        <v>2019</v>
      </c>
      <c r="B129" s="17">
        <v>2019</v>
      </c>
      <c r="C129" s="17">
        <v>10.25</v>
      </c>
      <c r="D129" s="17">
        <v>138.30000000000001</v>
      </c>
      <c r="E129" s="17">
        <v>6.9</v>
      </c>
      <c r="F129" s="17">
        <v>47222</v>
      </c>
      <c r="G129" s="17">
        <v>92</v>
      </c>
      <c r="H129" s="17" t="s">
        <v>1301</v>
      </c>
      <c r="I129" s="17" t="s">
        <v>496</v>
      </c>
    </row>
    <row r="130" spans="1:12">
      <c r="A130" s="17">
        <v>2020</v>
      </c>
      <c r="B130" s="17">
        <v>2024</v>
      </c>
      <c r="C130" s="17">
        <v>8.2200000000000006</v>
      </c>
      <c r="D130" s="17">
        <v>157</v>
      </c>
      <c r="E130" s="17">
        <v>6</v>
      </c>
      <c r="F130" s="17">
        <v>50000</v>
      </c>
      <c r="G130" s="17">
        <v>92</v>
      </c>
      <c r="H130" s="17" t="s">
        <v>1301</v>
      </c>
      <c r="I130" s="17" t="s">
        <v>496</v>
      </c>
      <c r="K130" s="17" t="s">
        <v>1466</v>
      </c>
      <c r="L130" s="17" t="s">
        <v>1472</v>
      </c>
    </row>
    <row r="131" spans="1:12">
      <c r="A131" s="17">
        <v>2025</v>
      </c>
      <c r="B131" s="17">
        <v>2029</v>
      </c>
      <c r="C131" s="17">
        <v>7.05</v>
      </c>
      <c r="D131" s="17">
        <v>180</v>
      </c>
      <c r="E131" s="17">
        <v>5.5</v>
      </c>
      <c r="F131" s="17">
        <v>50000</v>
      </c>
      <c r="G131" s="17">
        <v>92</v>
      </c>
      <c r="H131" s="17" t="s">
        <v>1301</v>
      </c>
      <c r="I131" s="17" t="s">
        <v>496</v>
      </c>
      <c r="K131" s="17" t="s">
        <v>1467</v>
      </c>
      <c r="L131" s="17" t="s">
        <v>1473</v>
      </c>
    </row>
    <row r="132" spans="1:12">
      <c r="A132" s="17">
        <v>2030</v>
      </c>
      <c r="B132" s="17">
        <v>2039</v>
      </c>
      <c r="C132" s="17">
        <v>5.87</v>
      </c>
      <c r="D132" s="17">
        <v>202</v>
      </c>
      <c r="E132" s="17">
        <v>5</v>
      </c>
      <c r="F132" s="17">
        <v>50000</v>
      </c>
      <c r="G132" s="17">
        <v>92</v>
      </c>
      <c r="H132" s="17" t="s">
        <v>1301</v>
      </c>
      <c r="I132" s="17" t="s">
        <v>496</v>
      </c>
      <c r="K132" s="17" t="s">
        <v>1468</v>
      </c>
      <c r="L132" s="17" t="s">
        <v>1474</v>
      </c>
    </row>
    <row r="133" spans="1:12">
      <c r="A133" s="17">
        <v>2040</v>
      </c>
      <c r="B133" s="17">
        <v>2050</v>
      </c>
      <c r="C133" s="17">
        <v>5.87</v>
      </c>
      <c r="D133" s="17">
        <v>202</v>
      </c>
      <c r="E133" s="17">
        <v>5</v>
      </c>
      <c r="F133" s="17">
        <v>50000</v>
      </c>
      <c r="G133" s="17">
        <v>92</v>
      </c>
      <c r="H133" s="17" t="s">
        <v>1301</v>
      </c>
      <c r="I133" s="17" t="s">
        <v>496</v>
      </c>
      <c r="K133" s="17" t="s">
        <v>1469</v>
      </c>
      <c r="L133" s="17" t="s">
        <v>1475</v>
      </c>
    </row>
    <row r="134" spans="1:12">
      <c r="A134" s="17" t="s">
        <v>1311</v>
      </c>
    </row>
    <row r="135" spans="1:12">
      <c r="A135" s="17" t="s">
        <v>1312</v>
      </c>
    </row>
    <row r="138" spans="1:12">
      <c r="A138" s="17" t="s">
        <v>1342</v>
      </c>
    </row>
    <row r="140" spans="1:12">
      <c r="A140" s="17" t="s">
        <v>1314</v>
      </c>
    </row>
    <row r="141" spans="1:12">
      <c r="B141" s="17">
        <v>7.5</v>
      </c>
      <c r="C141" s="17" t="s">
        <v>1309</v>
      </c>
      <c r="D141" s="17">
        <v>2.2999999999999998</v>
      </c>
      <c r="E141" s="17" t="s">
        <v>1309</v>
      </c>
      <c r="F141" s="17">
        <v>3.3</v>
      </c>
    </row>
    <row r="142" spans="1:12">
      <c r="A142" s="17" t="s">
        <v>1315</v>
      </c>
    </row>
    <row r="143" spans="1:12">
      <c r="B143" s="17">
        <v>4.2</v>
      </c>
      <c r="C143" s="17" t="s">
        <v>1309</v>
      </c>
      <c r="D143" s="17">
        <v>1.3</v>
      </c>
      <c r="E143" s="17" t="s">
        <v>1309</v>
      </c>
      <c r="F143" s="17">
        <v>1.8</v>
      </c>
    </row>
    <row r="144" spans="1:12">
      <c r="A144" s="17" t="s">
        <v>1316</v>
      </c>
    </row>
    <row r="145" spans="1:9">
      <c r="B145" s="17">
        <v>11.1</v>
      </c>
      <c r="C145" s="17" t="s">
        <v>1309</v>
      </c>
      <c r="D145" s="17">
        <v>2.1</v>
      </c>
      <c r="E145" s="17" t="s">
        <v>1309</v>
      </c>
      <c r="F145" s="17">
        <v>5.5</v>
      </c>
    </row>
    <row r="148" spans="1:9">
      <c r="A148" s="17" t="s">
        <v>1343</v>
      </c>
    </row>
    <row r="149" spans="1:9">
      <c r="B149" s="17">
        <v>0.5</v>
      </c>
      <c r="C149" s="17">
        <v>1.5</v>
      </c>
      <c r="D149" s="17">
        <v>2.5</v>
      </c>
      <c r="E149" s="17">
        <v>4.5</v>
      </c>
      <c r="F149" s="17">
        <v>8</v>
      </c>
      <c r="G149" s="17">
        <v>10</v>
      </c>
      <c r="I149" s="17" t="s">
        <v>1344</v>
      </c>
    </row>
    <row r="150" spans="1:9">
      <c r="A150" s="17" t="s">
        <v>1345</v>
      </c>
    </row>
    <row r="151" spans="1:9">
      <c r="B151" s="17">
        <v>0.65</v>
      </c>
      <c r="C151" s="17">
        <v>0.16</v>
      </c>
      <c r="D151" s="17">
        <v>0.08</v>
      </c>
      <c r="E151" s="17">
        <v>5.5E-2</v>
      </c>
      <c r="F151" s="17">
        <v>3.5000000000000003E-2</v>
      </c>
      <c r="G151" s="17">
        <v>0.02</v>
      </c>
      <c r="H151" s="17" t="s">
        <v>486</v>
      </c>
      <c r="I151" s="17" t="s">
        <v>1346</v>
      </c>
    </row>
    <row r="152" spans="1:9">
      <c r="A152" s="17" t="s">
        <v>1347</v>
      </c>
    </row>
    <row r="153" spans="1:9">
      <c r="B153" s="17">
        <v>0.8</v>
      </c>
      <c r="C153" s="17">
        <v>0.78</v>
      </c>
      <c r="D153" s="17">
        <v>0.76</v>
      </c>
      <c r="E153" s="17">
        <v>0.74</v>
      </c>
      <c r="F153" s="17">
        <v>0.72</v>
      </c>
      <c r="G153" s="17">
        <v>0.7</v>
      </c>
    </row>
    <row r="154" spans="1:9">
      <c r="B154" s="17">
        <v>0.19800000000000001</v>
      </c>
      <c r="C154" s="17">
        <v>0.218</v>
      </c>
      <c r="D154" s="17">
        <v>0.23799999999999999</v>
      </c>
      <c r="E154" s="17">
        <v>0.25800000000000001</v>
      </c>
      <c r="F154" s="17">
        <v>0.27800000000000002</v>
      </c>
      <c r="G154" s="17">
        <v>0.29799999999999999</v>
      </c>
    </row>
    <row r="155" spans="1:9">
      <c r="B155" s="17">
        <v>2E-3</v>
      </c>
      <c r="C155" s="17">
        <v>2E-3</v>
      </c>
      <c r="D155" s="17">
        <v>2E-3</v>
      </c>
      <c r="E155" s="17">
        <v>2E-3</v>
      </c>
      <c r="F155" s="17">
        <v>2E-3</v>
      </c>
      <c r="G155" s="17">
        <v>2E-3</v>
      </c>
    </row>
    <row r="156" spans="1:9">
      <c r="A156" s="17" t="s">
        <v>1348</v>
      </c>
    </row>
    <row r="157" spans="1:9">
      <c r="B157" s="17">
        <v>57</v>
      </c>
      <c r="C157" s="17">
        <v>13</v>
      </c>
      <c r="E157" s="17">
        <v>18</v>
      </c>
    </row>
    <row r="160" spans="1:9">
      <c r="A160" s="17" t="s">
        <v>1349</v>
      </c>
    </row>
    <row r="161" spans="1:4">
      <c r="A161" s="17">
        <v>1.4</v>
      </c>
    </row>
    <row r="162" spans="1:4">
      <c r="A162" s="17" t="s">
        <v>1350</v>
      </c>
    </row>
    <row r="163" spans="1:4">
      <c r="A163" s="17">
        <v>1</v>
      </c>
    </row>
    <row r="164" spans="1:4">
      <c r="A164" s="17" t="s">
        <v>1351</v>
      </c>
    </row>
    <row r="165" spans="1:4">
      <c r="B165" s="17">
        <v>0.6</v>
      </c>
    </row>
    <row r="166" spans="1:4">
      <c r="B166" s="17">
        <v>0.16</v>
      </c>
    </row>
    <row r="167" spans="1:4">
      <c r="B167" s="17">
        <v>0.24</v>
      </c>
    </row>
    <row r="168" spans="1:4">
      <c r="B168" s="17">
        <v>0</v>
      </c>
    </row>
    <row r="169" spans="1:4">
      <c r="A169" s="17" t="s">
        <v>1352</v>
      </c>
    </row>
    <row r="170" spans="1:4">
      <c r="A170" s="17">
        <v>65</v>
      </c>
      <c r="B170" s="17">
        <v>15</v>
      </c>
      <c r="C170" s="17">
        <v>50</v>
      </c>
    </row>
    <row r="172" spans="1:4">
      <c r="D172" s="17" t="s">
        <v>1313</v>
      </c>
    </row>
    <row r="173" spans="1:4">
      <c r="A173" s="17" t="s">
        <v>1353</v>
      </c>
    </row>
    <row r="174" spans="1:4">
      <c r="A174" s="17">
        <v>1.4</v>
      </c>
    </row>
    <row r="175" spans="1:4">
      <c r="A175" s="17" t="s">
        <v>1354</v>
      </c>
    </row>
    <row r="176" spans="1:4">
      <c r="A176" s="17">
        <v>1</v>
      </c>
    </row>
    <row r="177" spans="1:3">
      <c r="A177" s="17" t="s">
        <v>1355</v>
      </c>
    </row>
    <row r="178" spans="1:3">
      <c r="B178" s="17">
        <v>0.84</v>
      </c>
    </row>
    <row r="179" spans="1:3">
      <c r="B179" s="17">
        <v>0.16</v>
      </c>
    </row>
    <row r="180" spans="1:3">
      <c r="B180" s="17">
        <v>0</v>
      </c>
    </row>
    <row r="181" spans="1:3">
      <c r="A181" s="17" t="s">
        <v>1356</v>
      </c>
    </row>
    <row r="182" spans="1:3">
      <c r="A182" s="17">
        <v>35</v>
      </c>
      <c r="B182" s="17">
        <v>33</v>
      </c>
      <c r="C182" s="17">
        <v>25</v>
      </c>
    </row>
    <row r="185" spans="1:3">
      <c r="A185" s="17" t="s">
        <v>1357</v>
      </c>
    </row>
    <row r="186" spans="1:3">
      <c r="A186" s="17">
        <v>2</v>
      </c>
    </row>
    <row r="187" spans="1:3">
      <c r="A187" s="17" t="s">
        <v>1358</v>
      </c>
    </row>
    <row r="188" spans="1:3">
      <c r="A188" s="17">
        <v>1</v>
      </c>
    </row>
    <row r="189" spans="1:3">
      <c r="A189" s="17" t="s">
        <v>1359</v>
      </c>
    </row>
    <row r="190" spans="1:3">
      <c r="B190" s="17">
        <v>0.59</v>
      </c>
    </row>
    <row r="191" spans="1:3">
      <c r="B191" s="17">
        <v>0.18</v>
      </c>
    </row>
    <row r="192" spans="1:3">
      <c r="B192" s="17">
        <v>0.23</v>
      </c>
    </row>
    <row r="193" spans="1:4">
      <c r="B193" s="17">
        <v>0</v>
      </c>
    </row>
    <row r="194" spans="1:4">
      <c r="A194" s="17" t="s">
        <v>1360</v>
      </c>
    </row>
    <row r="195" spans="1:4">
      <c r="A195" s="17">
        <v>57</v>
      </c>
      <c r="B195" s="17">
        <v>15</v>
      </c>
      <c r="C195" s="17">
        <v>70</v>
      </c>
      <c r="D195" s="17">
        <v>25</v>
      </c>
    </row>
    <row r="198" spans="1:4">
      <c r="A198" s="17" t="s">
        <v>1361</v>
      </c>
    </row>
    <row r="199" spans="1:4">
      <c r="A199" s="17">
        <v>-0.95</v>
      </c>
      <c r="B199" s="17">
        <v>-0.1</v>
      </c>
    </row>
  </sheetData>
  <dataConsolidate/>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BB2036"/>
  <sheetViews>
    <sheetView zoomScale="70" workbookViewId="0">
      <selection activeCell="R107" sqref="R107"/>
    </sheetView>
  </sheetViews>
  <sheetFormatPr defaultColWidth="9.28515625" defaultRowHeight="12.75"/>
  <cols>
    <col min="1" max="5" width="13.42578125" style="27" customWidth="1"/>
    <col min="6" max="6" width="26.5703125" style="27" customWidth="1"/>
    <col min="7" max="7" width="9.28515625" style="27" customWidth="1"/>
    <col min="8" max="8" width="10.42578125" style="27" customWidth="1"/>
    <col min="9" max="9" width="6.5703125" style="27" customWidth="1"/>
    <col min="10" max="10" width="5.28515625" style="27" customWidth="1"/>
    <col min="11" max="11" width="14.42578125" style="27" customWidth="1"/>
    <col min="12" max="12" width="16" style="27" customWidth="1"/>
    <col min="13" max="15" width="17.7109375" style="27" customWidth="1"/>
    <col min="16" max="16" width="12.42578125" style="27" customWidth="1"/>
    <col min="17" max="17" width="11.42578125" style="27" customWidth="1"/>
    <col min="18" max="19" width="11.7109375" style="27" customWidth="1"/>
    <col min="20" max="20" width="10.5703125" style="27" customWidth="1"/>
    <col min="21" max="21" width="17.28515625" style="27" customWidth="1"/>
    <col min="22" max="23" width="9.28515625" style="27" customWidth="1"/>
    <col min="24" max="24" width="17.42578125" style="27" customWidth="1"/>
    <col min="25" max="25" width="11.28515625" style="27" customWidth="1"/>
    <col min="26" max="26" width="17.42578125" style="38" customWidth="1"/>
    <col min="27" max="29" width="9.28515625" style="27"/>
    <col min="30" max="30" width="10.5703125" style="27" bestFit="1" customWidth="1"/>
    <col min="31" max="16384" width="9.28515625" style="27"/>
  </cols>
  <sheetData>
    <row r="1" spans="1:54" ht="20.25">
      <c r="A1" s="157" t="s">
        <v>11</v>
      </c>
      <c r="D1" s="57"/>
      <c r="E1" s="57"/>
      <c r="F1" s="38"/>
      <c r="G1" s="38" t="s">
        <v>1183</v>
      </c>
      <c r="H1" s="38"/>
      <c r="I1" s="38"/>
      <c r="J1" s="38"/>
      <c r="K1" s="39"/>
      <c r="L1" s="39"/>
      <c r="M1" s="38"/>
      <c r="N1" s="38"/>
      <c r="O1" s="38"/>
      <c r="P1" s="38"/>
      <c r="Q1" s="38"/>
      <c r="R1" s="38"/>
      <c r="S1" s="38"/>
      <c r="T1" s="38"/>
      <c r="U1" s="38"/>
      <c r="V1" s="38"/>
      <c r="W1" s="38"/>
      <c r="X1" s="38"/>
    </row>
    <row r="2" spans="1:54" ht="15">
      <c r="D2" s="57"/>
      <c r="E2" s="57"/>
      <c r="F2" s="38"/>
      <c r="G2" s="38"/>
      <c r="H2" s="38"/>
      <c r="I2" s="38"/>
      <c r="J2" s="38"/>
      <c r="K2" s="39"/>
      <c r="L2" s="39"/>
      <c r="M2" s="38"/>
      <c r="N2" s="38"/>
      <c r="O2" s="38"/>
      <c r="P2" s="38"/>
      <c r="Q2" s="38"/>
      <c r="R2" s="38"/>
      <c r="S2" s="38"/>
      <c r="T2" s="38"/>
      <c r="U2" s="38"/>
      <c r="V2" s="38"/>
      <c r="W2" s="38"/>
      <c r="X2" s="38"/>
    </row>
    <row r="3" spans="1:54" ht="15">
      <c r="A3" s="27" t="s">
        <v>1184</v>
      </c>
      <c r="D3" s="57"/>
      <c r="E3" s="57"/>
      <c r="F3" s="38"/>
      <c r="G3" s="38"/>
      <c r="H3" s="38"/>
      <c r="I3" s="38"/>
      <c r="J3" s="38"/>
      <c r="K3" s="39"/>
      <c r="L3" s="39"/>
      <c r="M3" s="38"/>
      <c r="N3" s="38"/>
      <c r="O3" s="38"/>
      <c r="P3" s="38"/>
      <c r="Q3" s="38"/>
      <c r="R3" s="38"/>
      <c r="S3" s="38"/>
      <c r="T3" s="38"/>
      <c r="U3" s="38"/>
      <c r="V3" s="38"/>
      <c r="W3" s="38"/>
      <c r="X3" s="38"/>
    </row>
    <row r="4" spans="1:54" ht="15">
      <c r="A4" s="27" t="s">
        <v>933</v>
      </c>
      <c r="D4" s="57"/>
      <c r="E4" s="57"/>
      <c r="F4" s="38"/>
      <c r="G4" s="38"/>
      <c r="H4" s="38"/>
      <c r="I4" s="38"/>
      <c r="J4" s="38"/>
      <c r="K4" s="39"/>
      <c r="L4" s="39"/>
      <c r="M4" s="38"/>
      <c r="N4" s="38"/>
      <c r="O4" s="38"/>
      <c r="P4" s="38"/>
      <c r="Q4" s="38"/>
      <c r="R4" s="38"/>
      <c r="S4" s="38"/>
      <c r="T4" s="38"/>
      <c r="U4" s="38"/>
      <c r="V4" s="38"/>
      <c r="W4" s="38"/>
      <c r="X4" s="38"/>
    </row>
    <row r="5" spans="1:54">
      <c r="A5" s="38"/>
      <c r="B5" s="38"/>
      <c r="C5" s="38"/>
      <c r="D5" s="39"/>
      <c r="E5" s="39"/>
      <c r="F5" s="38"/>
      <c r="G5" s="38"/>
      <c r="H5" s="38"/>
      <c r="I5" s="38"/>
      <c r="J5" s="38"/>
      <c r="K5" s="39"/>
      <c r="L5" s="39"/>
      <c r="M5" s="38"/>
      <c r="N5" s="38"/>
      <c r="O5" s="38"/>
      <c r="P5" s="38"/>
      <c r="Q5" s="38"/>
      <c r="R5" s="38"/>
      <c r="S5" s="38"/>
      <c r="T5" s="38"/>
      <c r="U5" s="38"/>
      <c r="V5" s="38"/>
      <c r="W5" s="38"/>
      <c r="X5" s="38"/>
    </row>
    <row r="6" spans="1:54" ht="15">
      <c r="A6" s="27" t="s">
        <v>934</v>
      </c>
      <c r="D6" s="57"/>
      <c r="E6" s="57"/>
      <c r="K6" s="57"/>
      <c r="L6" s="57"/>
      <c r="Z6" s="27"/>
    </row>
    <row r="7" spans="1:54" ht="15">
      <c r="A7" s="27" t="s">
        <v>935</v>
      </c>
      <c r="B7" s="27" t="s">
        <v>936</v>
      </c>
      <c r="C7" s="27" t="s">
        <v>937</v>
      </c>
      <c r="D7" s="57" t="s">
        <v>938</v>
      </c>
      <c r="E7" s="57" t="s">
        <v>939</v>
      </c>
      <c r="F7" s="27" t="s">
        <v>940</v>
      </c>
      <c r="G7" s="27" t="s">
        <v>941</v>
      </c>
      <c r="H7" s="27" t="s">
        <v>942</v>
      </c>
      <c r="I7" s="27" t="s">
        <v>943</v>
      </c>
      <c r="J7" s="27" t="s">
        <v>944</v>
      </c>
      <c r="K7" s="57"/>
      <c r="L7" s="57" t="s">
        <v>1187</v>
      </c>
      <c r="M7" s="27" t="s">
        <v>1188</v>
      </c>
      <c r="Z7" s="27"/>
    </row>
    <row r="8" spans="1:54" ht="15">
      <c r="A8" s="27" t="s">
        <v>945</v>
      </c>
      <c r="B8" s="27" t="s">
        <v>946</v>
      </c>
      <c r="C8" s="27" t="s">
        <v>942</v>
      </c>
      <c r="D8" s="57" t="s">
        <v>947</v>
      </c>
      <c r="E8" s="57" t="s">
        <v>948</v>
      </c>
      <c r="G8" s="27" t="s">
        <v>949</v>
      </c>
      <c r="H8" s="27" t="s">
        <v>950</v>
      </c>
      <c r="I8" s="27" t="s">
        <v>951</v>
      </c>
      <c r="J8" s="27" t="s">
        <v>952</v>
      </c>
      <c r="K8" s="57" t="s">
        <v>953</v>
      </c>
      <c r="L8" s="57" t="s">
        <v>954</v>
      </c>
      <c r="M8" s="27" t="s">
        <v>955</v>
      </c>
      <c r="T8" s="27" t="s">
        <v>956</v>
      </c>
      <c r="U8" s="27" t="s">
        <v>957</v>
      </c>
      <c r="V8" s="27" t="s">
        <v>958</v>
      </c>
      <c r="W8" s="27" t="s">
        <v>959</v>
      </c>
      <c r="X8" s="27" t="s">
        <v>645</v>
      </c>
      <c r="Z8" s="27"/>
    </row>
    <row r="9" spans="1:54" ht="26.25">
      <c r="A9" s="42" t="s">
        <v>960</v>
      </c>
      <c r="B9" s="42" t="s">
        <v>961</v>
      </c>
      <c r="C9" s="42" t="s">
        <v>962</v>
      </c>
      <c r="D9" s="95" t="s">
        <v>963</v>
      </c>
      <c r="E9" s="95" t="s">
        <v>964</v>
      </c>
      <c r="F9" s="42" t="s">
        <v>664</v>
      </c>
      <c r="G9" s="42" t="s">
        <v>965</v>
      </c>
      <c r="H9" s="42"/>
      <c r="I9" s="42"/>
      <c r="J9" s="42"/>
      <c r="K9" s="95"/>
      <c r="L9" s="95"/>
      <c r="M9" s="42"/>
      <c r="N9" s="42"/>
      <c r="O9" s="42"/>
      <c r="P9" s="42"/>
      <c r="Q9" s="42"/>
      <c r="R9" s="42"/>
      <c r="S9" s="42"/>
      <c r="T9" s="42"/>
      <c r="U9" s="42"/>
      <c r="V9" s="42"/>
      <c r="W9" s="42"/>
      <c r="X9" s="42"/>
      <c r="Z9" s="42"/>
      <c r="AE9" s="42"/>
      <c r="AF9" s="42"/>
      <c r="AG9" s="42"/>
      <c r="AH9" s="42"/>
      <c r="AI9" s="42"/>
      <c r="AJ9" s="42"/>
      <c r="AK9" s="42"/>
      <c r="AL9" s="42"/>
      <c r="AM9" s="42"/>
      <c r="AN9" s="42"/>
      <c r="AO9" s="42"/>
      <c r="AP9" s="42"/>
      <c r="AQ9" s="42"/>
      <c r="AR9" s="42"/>
      <c r="AS9" s="42"/>
      <c r="AT9" s="42"/>
      <c r="AU9" s="42"/>
      <c r="AV9" s="42"/>
      <c r="AW9" s="42"/>
      <c r="AX9" s="42"/>
      <c r="AY9" s="42"/>
      <c r="AZ9" s="42"/>
      <c r="BA9" s="42"/>
      <c r="BB9" s="42"/>
    </row>
    <row r="10" spans="1:54" ht="15">
      <c r="B10" s="27" t="s">
        <v>966</v>
      </c>
      <c r="C10" s="27" t="s">
        <v>967</v>
      </c>
      <c r="D10" s="57" t="s">
        <v>968</v>
      </c>
      <c r="E10" s="57" t="s">
        <v>969</v>
      </c>
      <c r="F10" s="27" t="s">
        <v>970</v>
      </c>
      <c r="G10" s="27" t="s">
        <v>971</v>
      </c>
      <c r="H10" s="27" t="s">
        <v>972</v>
      </c>
      <c r="I10" s="27" t="s">
        <v>973</v>
      </c>
      <c r="J10" s="27" t="s">
        <v>845</v>
      </c>
      <c r="K10" s="57" t="s">
        <v>846</v>
      </c>
      <c r="L10" s="57" t="s">
        <v>974</v>
      </c>
      <c r="M10" s="27" t="s">
        <v>975</v>
      </c>
      <c r="P10" s="27" t="s">
        <v>976</v>
      </c>
      <c r="Q10" s="27" t="s">
        <v>977</v>
      </c>
      <c r="R10" s="27" t="s">
        <v>978</v>
      </c>
      <c r="S10" s="27" t="s">
        <v>979</v>
      </c>
      <c r="T10" s="27" t="s">
        <v>980</v>
      </c>
      <c r="U10" s="27" t="s">
        <v>981</v>
      </c>
      <c r="V10" s="27" t="s">
        <v>982</v>
      </c>
      <c r="W10" s="27" t="s">
        <v>983</v>
      </c>
      <c r="X10" s="27" t="s">
        <v>921</v>
      </c>
      <c r="Z10" s="27"/>
    </row>
    <row r="11" spans="1:54">
      <c r="A11" s="38">
        <v>1</v>
      </c>
      <c r="B11" s="38">
        <v>1</v>
      </c>
      <c r="C11" s="38">
        <v>1</v>
      </c>
      <c r="D11" s="39">
        <v>2010</v>
      </c>
      <c r="E11" s="39">
        <v>2050</v>
      </c>
      <c r="F11" s="38">
        <v>1</v>
      </c>
      <c r="G11" s="38">
        <v>1</v>
      </c>
      <c r="H11" s="38">
        <v>0</v>
      </c>
      <c r="I11" s="38">
        <v>0</v>
      </c>
      <c r="J11" s="38">
        <v>0</v>
      </c>
      <c r="K11" s="39">
        <v>1</v>
      </c>
      <c r="L11" s="39">
        <v>1900</v>
      </c>
      <c r="M11" s="38">
        <v>1620</v>
      </c>
      <c r="N11" s="38">
        <v>0</v>
      </c>
      <c r="O11" s="38">
        <v>0</v>
      </c>
      <c r="P11" s="38" t="s">
        <v>13</v>
      </c>
      <c r="Q11" s="38">
        <v>1993</v>
      </c>
      <c r="R11" s="38">
        <v>1</v>
      </c>
      <c r="S11" s="38">
        <v>0</v>
      </c>
      <c r="T11" s="38">
        <v>-1.8E-3</v>
      </c>
      <c r="U11" s="38">
        <v>-1.2E-2</v>
      </c>
      <c r="V11" s="38">
        <v>0</v>
      </c>
      <c r="W11" s="38">
        <v>0</v>
      </c>
      <c r="X11" s="38" t="s">
        <v>14</v>
      </c>
      <c r="Y11" s="154"/>
      <c r="AA11" s="38"/>
      <c r="AB11" s="38"/>
      <c r="AC11" s="38"/>
      <c r="AD11" s="38"/>
    </row>
    <row r="12" spans="1:54">
      <c r="A12" s="38">
        <v>1</v>
      </c>
      <c r="B12" s="38">
        <v>2</v>
      </c>
      <c r="C12" s="38">
        <v>2</v>
      </c>
      <c r="D12" s="39">
        <v>2010</v>
      </c>
      <c r="E12" s="39">
        <v>2014</v>
      </c>
      <c r="F12" s="38">
        <v>1</v>
      </c>
      <c r="G12" s="38">
        <v>2</v>
      </c>
      <c r="H12" s="38">
        <v>0</v>
      </c>
      <c r="I12" s="38">
        <v>0</v>
      </c>
      <c r="J12" s="38">
        <v>0</v>
      </c>
      <c r="K12" s="39">
        <v>2.2599999999999998</v>
      </c>
      <c r="L12" s="39">
        <v>2400</v>
      </c>
      <c r="M12" s="38">
        <v>3110</v>
      </c>
      <c r="N12" s="38">
        <v>0</v>
      </c>
      <c r="O12" s="38">
        <v>0</v>
      </c>
      <c r="P12" s="38" t="s">
        <v>13</v>
      </c>
      <c r="Q12" s="38">
        <v>1993</v>
      </c>
      <c r="R12" s="38">
        <v>1</v>
      </c>
      <c r="S12" s="38">
        <v>0</v>
      </c>
      <c r="T12" s="38">
        <v>-3.0000000000000001E-3</v>
      </c>
      <c r="U12" s="38">
        <v>-1.2E-2</v>
      </c>
      <c r="V12" s="38">
        <v>0</v>
      </c>
      <c r="W12" s="38">
        <v>0</v>
      </c>
      <c r="X12" s="38" t="s">
        <v>15</v>
      </c>
      <c r="Y12" s="154">
        <v>2010</v>
      </c>
      <c r="Z12" s="38" t="s">
        <v>344</v>
      </c>
      <c r="AA12" s="38"/>
      <c r="AB12" s="38">
        <v>4800</v>
      </c>
      <c r="AC12" s="38"/>
      <c r="AD12" s="38"/>
    </row>
    <row r="13" spans="1:54" ht="14.25">
      <c r="A13" s="151">
        <v>2</v>
      </c>
      <c r="B13" s="151">
        <v>3</v>
      </c>
      <c r="C13" s="151">
        <v>8</v>
      </c>
      <c r="D13" s="152">
        <v>2010</v>
      </c>
      <c r="E13" s="152">
        <v>2014</v>
      </c>
      <c r="F13" s="151">
        <v>1</v>
      </c>
      <c r="G13" s="151">
        <v>39</v>
      </c>
      <c r="H13" s="151">
        <v>2</v>
      </c>
      <c r="I13" s="151">
        <v>0</v>
      </c>
      <c r="J13" s="151">
        <v>0</v>
      </c>
      <c r="K13" s="152">
        <v>3.81</v>
      </c>
      <c r="L13" s="152">
        <v>2400</v>
      </c>
      <c r="M13" s="151">
        <v>0</v>
      </c>
      <c r="N13" s="151">
        <v>0</v>
      </c>
      <c r="O13" s="151">
        <v>0</v>
      </c>
      <c r="P13" s="151" t="s">
        <v>13</v>
      </c>
      <c r="Q13" s="151">
        <v>1993</v>
      </c>
      <c r="R13" s="151">
        <v>1</v>
      </c>
      <c r="S13" s="151">
        <v>0</v>
      </c>
      <c r="T13" s="151">
        <v>-1.8E-3</v>
      </c>
      <c r="U13" s="151">
        <v>-1.2E-2</v>
      </c>
      <c r="V13" s="151">
        <v>0</v>
      </c>
      <c r="W13" s="151">
        <v>0</v>
      </c>
      <c r="X13" s="151" t="s">
        <v>15</v>
      </c>
      <c r="Y13" s="154"/>
      <c r="AA13" s="38"/>
      <c r="AB13" s="38"/>
      <c r="AC13" s="38"/>
      <c r="AD13" s="158">
        <f>(K13*0.15)/(K12*0.16)</f>
        <v>1.5804756637168142</v>
      </c>
    </row>
    <row r="14" spans="1:54">
      <c r="A14" s="38">
        <v>1</v>
      </c>
      <c r="B14" s="38">
        <v>2</v>
      </c>
      <c r="C14" s="38">
        <v>2</v>
      </c>
      <c r="D14" s="39">
        <v>2015</v>
      </c>
      <c r="E14" s="39">
        <v>2019</v>
      </c>
      <c r="F14" s="38">
        <v>1</v>
      </c>
      <c r="G14" s="38">
        <v>2</v>
      </c>
      <c r="H14" s="38">
        <v>0</v>
      </c>
      <c r="I14" s="38">
        <v>0</v>
      </c>
      <c r="J14" s="38">
        <v>0</v>
      </c>
      <c r="K14" s="39">
        <v>2.4</v>
      </c>
      <c r="L14" s="39">
        <v>2475</v>
      </c>
      <c r="M14" s="38">
        <v>3185</v>
      </c>
      <c r="N14" s="38">
        <v>0</v>
      </c>
      <c r="O14" s="38">
        <v>0</v>
      </c>
      <c r="P14" s="38" t="s">
        <v>13</v>
      </c>
      <c r="Q14" s="38">
        <v>1993</v>
      </c>
      <c r="R14" s="38">
        <v>1</v>
      </c>
      <c r="S14" s="38">
        <v>0</v>
      </c>
      <c r="T14" s="38">
        <v>-3.0000000000000001E-3</v>
      </c>
      <c r="U14" s="38">
        <v>-1.2E-2</v>
      </c>
      <c r="V14" s="38">
        <v>0</v>
      </c>
      <c r="W14" s="38">
        <v>0</v>
      </c>
      <c r="X14" s="38" t="s">
        <v>15</v>
      </c>
      <c r="Y14" s="154">
        <v>2015</v>
      </c>
      <c r="Z14" s="38" t="s">
        <v>344</v>
      </c>
      <c r="AA14" s="38"/>
      <c r="AB14" s="38">
        <v>4950</v>
      </c>
      <c r="AC14" s="38"/>
      <c r="AD14" s="38"/>
    </row>
    <row r="15" spans="1:54" ht="14.25">
      <c r="A15" s="151">
        <v>2</v>
      </c>
      <c r="B15" s="151">
        <v>3</v>
      </c>
      <c r="C15" s="151">
        <v>8</v>
      </c>
      <c r="D15" s="152">
        <v>2015</v>
      </c>
      <c r="E15" s="152">
        <v>2019</v>
      </c>
      <c r="F15" s="151">
        <v>1</v>
      </c>
      <c r="G15" s="151">
        <v>39</v>
      </c>
      <c r="H15" s="151">
        <v>2</v>
      </c>
      <c r="I15" s="151">
        <v>0</v>
      </c>
      <c r="J15" s="151">
        <v>0</v>
      </c>
      <c r="K15" s="152">
        <v>4.0999999999999996</v>
      </c>
      <c r="L15" s="152">
        <v>2475</v>
      </c>
      <c r="M15" s="151">
        <v>0</v>
      </c>
      <c r="N15" s="151">
        <v>0</v>
      </c>
      <c r="O15" s="151">
        <v>0</v>
      </c>
      <c r="P15" s="151" t="s">
        <v>13</v>
      </c>
      <c r="Q15" s="151">
        <v>1993</v>
      </c>
      <c r="R15" s="151">
        <v>1</v>
      </c>
      <c r="S15" s="151">
        <v>0</v>
      </c>
      <c r="T15" s="151">
        <v>-1.8E-3</v>
      </c>
      <c r="U15" s="151">
        <v>-1.2E-2</v>
      </c>
      <c r="V15" s="151">
        <v>0</v>
      </c>
      <c r="W15" s="151">
        <v>0</v>
      </c>
      <c r="X15" s="151" t="s">
        <v>15</v>
      </c>
      <c r="Y15" s="154"/>
      <c r="AA15" s="38"/>
      <c r="AB15" s="38"/>
      <c r="AC15" s="38"/>
      <c r="AD15" s="158">
        <f>(K15*0.15)/(K14*0.16)</f>
        <v>1.6015624999999996</v>
      </c>
    </row>
    <row r="16" spans="1:54">
      <c r="A16" s="38">
        <v>1</v>
      </c>
      <c r="B16" s="38">
        <v>2</v>
      </c>
      <c r="C16" s="38">
        <v>2</v>
      </c>
      <c r="D16" s="39">
        <v>2020</v>
      </c>
      <c r="E16" s="39">
        <v>2050</v>
      </c>
      <c r="F16" s="38">
        <v>1</v>
      </c>
      <c r="G16" s="38">
        <v>2</v>
      </c>
      <c r="H16" s="38">
        <v>0</v>
      </c>
      <c r="I16" s="38">
        <v>0</v>
      </c>
      <c r="J16" s="38">
        <v>0</v>
      </c>
      <c r="K16" s="39">
        <v>2.4</v>
      </c>
      <c r="L16" s="39">
        <v>2475</v>
      </c>
      <c r="M16" s="38">
        <v>3185</v>
      </c>
      <c r="N16" s="38">
        <v>0</v>
      </c>
      <c r="O16" s="38">
        <v>0</v>
      </c>
      <c r="P16" s="38" t="s">
        <v>13</v>
      </c>
      <c r="Q16" s="38">
        <v>1993</v>
      </c>
      <c r="R16" s="38">
        <v>1</v>
      </c>
      <c r="S16" s="38">
        <v>0</v>
      </c>
      <c r="T16" s="38">
        <v>-3.0000000000000001E-3</v>
      </c>
      <c r="U16" s="38">
        <v>-1.2E-2</v>
      </c>
      <c r="V16" s="38">
        <v>0</v>
      </c>
      <c r="W16" s="38">
        <v>0</v>
      </c>
      <c r="X16" s="38" t="s">
        <v>15</v>
      </c>
      <c r="Y16" s="154" t="s">
        <v>984</v>
      </c>
      <c r="Z16" s="38" t="s">
        <v>985</v>
      </c>
      <c r="AA16" s="38"/>
      <c r="AB16" s="38">
        <v>4950</v>
      </c>
      <c r="AC16" s="38"/>
      <c r="AD16" s="38"/>
    </row>
    <row r="17" spans="1:30" ht="14.25">
      <c r="A17" s="151">
        <v>2</v>
      </c>
      <c r="B17" s="151">
        <v>3</v>
      </c>
      <c r="C17" s="151">
        <v>8</v>
      </c>
      <c r="D17" s="152">
        <v>2020</v>
      </c>
      <c r="E17" s="152">
        <v>2050</v>
      </c>
      <c r="F17" s="151">
        <v>1</v>
      </c>
      <c r="G17" s="151">
        <v>39</v>
      </c>
      <c r="H17" s="151">
        <v>2</v>
      </c>
      <c r="I17" s="151">
        <v>0</v>
      </c>
      <c r="J17" s="151">
        <v>0</v>
      </c>
      <c r="K17" s="152">
        <v>4.0999999999999996</v>
      </c>
      <c r="L17" s="152">
        <v>2475</v>
      </c>
      <c r="M17" s="151">
        <v>0</v>
      </c>
      <c r="N17" s="151">
        <v>0</v>
      </c>
      <c r="O17" s="151">
        <v>0</v>
      </c>
      <c r="P17" s="151" t="s">
        <v>13</v>
      </c>
      <c r="Q17" s="151">
        <v>1993</v>
      </c>
      <c r="R17" s="151">
        <v>1</v>
      </c>
      <c r="S17" s="151">
        <v>0</v>
      </c>
      <c r="T17" s="151">
        <v>-1.8E-3</v>
      </c>
      <c r="U17" s="151">
        <v>-1.2E-2</v>
      </c>
      <c r="V17" s="151">
        <v>0</v>
      </c>
      <c r="W17" s="151">
        <v>0</v>
      </c>
      <c r="X17" s="151" t="s">
        <v>15</v>
      </c>
      <c r="Y17" s="154"/>
      <c r="AA17" s="38"/>
      <c r="AB17" s="38"/>
      <c r="AC17" s="38"/>
      <c r="AD17" s="158">
        <f>(K17*0.15)/(K16*0.16)</f>
        <v>1.6015624999999996</v>
      </c>
    </row>
    <row r="18" spans="1:30">
      <c r="A18" s="38">
        <v>1</v>
      </c>
      <c r="B18" s="38">
        <v>2</v>
      </c>
      <c r="C18" s="38">
        <v>3</v>
      </c>
      <c r="D18" s="39">
        <v>2010</v>
      </c>
      <c r="E18" s="39">
        <v>2014</v>
      </c>
      <c r="F18" s="38">
        <v>1</v>
      </c>
      <c r="G18" s="38">
        <v>3</v>
      </c>
      <c r="H18" s="38">
        <v>0</v>
      </c>
      <c r="I18" s="38">
        <v>0</v>
      </c>
      <c r="J18" s="38">
        <v>0</v>
      </c>
      <c r="K18" s="39">
        <v>2.4</v>
      </c>
      <c r="L18" s="39">
        <v>3225</v>
      </c>
      <c r="M18" s="38">
        <v>4235</v>
      </c>
      <c r="N18" s="38">
        <v>0</v>
      </c>
      <c r="O18" s="38">
        <v>0</v>
      </c>
      <c r="P18" s="38" t="s">
        <v>13</v>
      </c>
      <c r="Q18" s="38">
        <v>1993</v>
      </c>
      <c r="R18" s="38">
        <v>1</v>
      </c>
      <c r="S18" s="38">
        <v>0</v>
      </c>
      <c r="T18" s="38">
        <v>-3.0000000000000001E-3</v>
      </c>
      <c r="U18" s="38">
        <v>-1.2E-2</v>
      </c>
      <c r="V18" s="38">
        <v>0</v>
      </c>
      <c r="W18" s="38">
        <v>0</v>
      </c>
      <c r="X18" s="38" t="s">
        <v>16</v>
      </c>
      <c r="Y18" s="154">
        <v>2010</v>
      </c>
      <c r="Z18" s="38" t="s">
        <v>344</v>
      </c>
      <c r="AA18" s="38"/>
      <c r="AB18" s="38">
        <v>6700</v>
      </c>
      <c r="AC18" s="38"/>
      <c r="AD18" s="38"/>
    </row>
    <row r="19" spans="1:30" ht="14.25">
      <c r="A19" s="151">
        <v>2</v>
      </c>
      <c r="B19" s="151">
        <v>3</v>
      </c>
      <c r="C19" s="151">
        <v>9</v>
      </c>
      <c r="D19" s="152">
        <v>2010</v>
      </c>
      <c r="E19" s="152">
        <v>2014</v>
      </c>
      <c r="F19" s="151">
        <v>1</v>
      </c>
      <c r="G19" s="151">
        <v>40</v>
      </c>
      <c r="H19" s="151">
        <v>3</v>
      </c>
      <c r="I19" s="151">
        <v>0</v>
      </c>
      <c r="J19" s="151">
        <v>0</v>
      </c>
      <c r="K19" s="152">
        <v>4.4000000000000004</v>
      </c>
      <c r="L19" s="152">
        <v>3475</v>
      </c>
      <c r="M19" s="151">
        <v>0</v>
      </c>
      <c r="N19" s="151">
        <v>0</v>
      </c>
      <c r="O19" s="151">
        <v>0</v>
      </c>
      <c r="P19" s="151" t="s">
        <v>13</v>
      </c>
      <c r="Q19" s="151">
        <v>1993</v>
      </c>
      <c r="R19" s="151">
        <v>1</v>
      </c>
      <c r="S19" s="151">
        <v>0</v>
      </c>
      <c r="T19" s="151">
        <v>-1.8E-3</v>
      </c>
      <c r="U19" s="151">
        <v>-1.2E-2</v>
      </c>
      <c r="V19" s="151">
        <v>0</v>
      </c>
      <c r="W19" s="151">
        <v>0</v>
      </c>
      <c r="X19" s="151" t="s">
        <v>16</v>
      </c>
      <c r="Y19" s="154"/>
      <c r="AA19" s="38"/>
      <c r="AB19" s="38"/>
      <c r="AC19" s="38"/>
      <c r="AD19" s="158">
        <f>(K19*0.15)/(K18*0.16)</f>
        <v>1.71875</v>
      </c>
    </row>
    <row r="20" spans="1:30">
      <c r="A20" s="38">
        <v>1</v>
      </c>
      <c r="B20" s="38">
        <v>2</v>
      </c>
      <c r="C20" s="38">
        <v>3</v>
      </c>
      <c r="D20" s="39">
        <v>2015</v>
      </c>
      <c r="E20" s="39">
        <v>2050</v>
      </c>
      <c r="F20" s="38">
        <v>1</v>
      </c>
      <c r="G20" s="38">
        <v>3</v>
      </c>
      <c r="H20" s="38">
        <v>0</v>
      </c>
      <c r="I20" s="38">
        <v>0</v>
      </c>
      <c r="J20" s="38">
        <v>0</v>
      </c>
      <c r="K20" s="39">
        <v>2.58</v>
      </c>
      <c r="L20" s="39">
        <v>3425</v>
      </c>
      <c r="M20" s="38">
        <v>4435</v>
      </c>
      <c r="N20" s="38">
        <v>0</v>
      </c>
      <c r="O20" s="38">
        <v>0</v>
      </c>
      <c r="P20" s="38" t="s">
        <v>13</v>
      </c>
      <c r="Q20" s="38">
        <v>1993</v>
      </c>
      <c r="R20" s="38">
        <v>1</v>
      </c>
      <c r="S20" s="38">
        <v>0</v>
      </c>
      <c r="T20" s="38">
        <v>-3.0000000000000001E-3</v>
      </c>
      <c r="U20" s="38">
        <v>-1.2E-2</v>
      </c>
      <c r="V20" s="38">
        <v>0</v>
      </c>
      <c r="W20" s="38">
        <v>0</v>
      </c>
      <c r="X20" s="38" t="s">
        <v>16</v>
      </c>
      <c r="Y20" s="154">
        <v>2015</v>
      </c>
      <c r="Z20" s="38" t="s">
        <v>344</v>
      </c>
      <c r="AA20" s="38"/>
      <c r="AB20" s="38">
        <v>6900</v>
      </c>
      <c r="AC20" s="38"/>
      <c r="AD20" s="38"/>
    </row>
    <row r="21" spans="1:30" ht="14.25">
      <c r="A21" s="151">
        <v>2</v>
      </c>
      <c r="B21" s="151">
        <v>3</v>
      </c>
      <c r="C21" s="151">
        <v>9</v>
      </c>
      <c r="D21" s="152">
        <v>2015</v>
      </c>
      <c r="E21" s="152">
        <v>2050</v>
      </c>
      <c r="F21" s="151">
        <v>1</v>
      </c>
      <c r="G21" s="151">
        <v>40</v>
      </c>
      <c r="H21" s="151">
        <v>3</v>
      </c>
      <c r="I21" s="151">
        <v>0</v>
      </c>
      <c r="J21" s="151">
        <v>0</v>
      </c>
      <c r="K21" s="152">
        <v>4.4000000000000004</v>
      </c>
      <c r="L21" s="152">
        <v>3475</v>
      </c>
      <c r="M21" s="151">
        <v>0</v>
      </c>
      <c r="N21" s="151">
        <v>0</v>
      </c>
      <c r="O21" s="151">
        <v>0</v>
      </c>
      <c r="P21" s="151" t="s">
        <v>13</v>
      </c>
      <c r="Q21" s="151">
        <v>1993</v>
      </c>
      <c r="R21" s="151">
        <v>1</v>
      </c>
      <c r="S21" s="151">
        <v>0</v>
      </c>
      <c r="T21" s="151">
        <v>-1.8E-3</v>
      </c>
      <c r="U21" s="151">
        <v>-1.2E-2</v>
      </c>
      <c r="V21" s="151">
        <v>0</v>
      </c>
      <c r="W21" s="151">
        <v>0</v>
      </c>
      <c r="X21" s="151" t="s">
        <v>16</v>
      </c>
      <c r="Y21" s="154"/>
      <c r="AA21" s="38"/>
      <c r="AB21" s="38"/>
      <c r="AC21" s="38"/>
      <c r="AD21" s="158">
        <f>(K21*0.15)/(K20*0.16)</f>
        <v>1.5988372093023258</v>
      </c>
    </row>
    <row r="22" spans="1:30">
      <c r="A22" s="38">
        <v>1</v>
      </c>
      <c r="B22" s="38">
        <v>2</v>
      </c>
      <c r="C22" s="38">
        <v>4</v>
      </c>
      <c r="D22" s="39">
        <v>2010</v>
      </c>
      <c r="E22" s="39">
        <v>2010</v>
      </c>
      <c r="F22" s="38">
        <v>1</v>
      </c>
      <c r="G22" s="38">
        <v>4</v>
      </c>
      <c r="H22" s="38">
        <v>0</v>
      </c>
      <c r="I22" s="38">
        <v>0</v>
      </c>
      <c r="J22" s="38">
        <v>0</v>
      </c>
      <c r="K22" s="39">
        <v>2.4900000000000002</v>
      </c>
      <c r="L22" s="39">
        <v>3575</v>
      </c>
      <c r="M22" s="38">
        <v>4725</v>
      </c>
      <c r="N22" s="38">
        <v>1075</v>
      </c>
      <c r="O22" s="38">
        <v>1419</v>
      </c>
      <c r="P22" s="38" t="s">
        <v>13</v>
      </c>
      <c r="Q22" s="38">
        <v>1993</v>
      </c>
      <c r="R22" s="38">
        <v>1</v>
      </c>
      <c r="S22" s="38">
        <v>0</v>
      </c>
      <c r="T22" s="38">
        <v>-3.0000000000000001E-3</v>
      </c>
      <c r="U22" s="38">
        <v>-1.2E-2</v>
      </c>
      <c r="V22" s="38">
        <v>0</v>
      </c>
      <c r="W22" s="38">
        <v>0</v>
      </c>
      <c r="X22" s="38" t="s">
        <v>17</v>
      </c>
      <c r="Y22" s="154" t="s">
        <v>984</v>
      </c>
      <c r="Z22" s="38" t="s">
        <v>986</v>
      </c>
      <c r="AA22" s="38"/>
      <c r="AB22" s="38">
        <v>7000</v>
      </c>
      <c r="AC22" s="38"/>
      <c r="AD22" s="38"/>
    </row>
    <row r="23" spans="1:30" ht="14.25">
      <c r="A23" s="151">
        <v>2</v>
      </c>
      <c r="B23" s="151">
        <v>3</v>
      </c>
      <c r="C23" s="151">
        <v>10</v>
      </c>
      <c r="D23" s="152">
        <v>2010</v>
      </c>
      <c r="E23" s="152">
        <v>2010</v>
      </c>
      <c r="F23" s="151">
        <v>1</v>
      </c>
      <c r="G23" s="151">
        <v>41</v>
      </c>
      <c r="H23" s="151">
        <v>4</v>
      </c>
      <c r="I23" s="151">
        <v>0</v>
      </c>
      <c r="J23" s="151">
        <v>0</v>
      </c>
      <c r="K23" s="152">
        <v>4.6900000000000004</v>
      </c>
      <c r="L23" s="152">
        <v>3600</v>
      </c>
      <c r="M23" s="151">
        <v>0</v>
      </c>
      <c r="N23" s="151">
        <v>1027</v>
      </c>
      <c r="O23" s="151">
        <v>0</v>
      </c>
      <c r="P23" s="151" t="s">
        <v>13</v>
      </c>
      <c r="Q23" s="151">
        <v>1993</v>
      </c>
      <c r="R23" s="151">
        <v>1</v>
      </c>
      <c r="S23" s="151">
        <v>0</v>
      </c>
      <c r="T23" s="151">
        <v>-1.8E-3</v>
      </c>
      <c r="U23" s="151">
        <v>-1.2E-2</v>
      </c>
      <c r="V23" s="151">
        <v>0</v>
      </c>
      <c r="W23" s="151">
        <v>0</v>
      </c>
      <c r="X23" s="151" t="s">
        <v>17</v>
      </c>
      <c r="Y23" s="154"/>
      <c r="AA23" s="38"/>
      <c r="AB23" s="38"/>
      <c r="AC23" s="38"/>
      <c r="AD23" s="158">
        <f>(K23*0.15)/(K22*0.16)</f>
        <v>1.7658132530120481</v>
      </c>
    </row>
    <row r="24" spans="1:30">
      <c r="A24" s="38">
        <v>1</v>
      </c>
      <c r="B24" s="38">
        <v>2</v>
      </c>
      <c r="C24" s="38">
        <v>4</v>
      </c>
      <c r="D24" s="39">
        <v>2011</v>
      </c>
      <c r="E24" s="39">
        <v>2011</v>
      </c>
      <c r="F24" s="38">
        <v>1</v>
      </c>
      <c r="G24" s="38">
        <v>4</v>
      </c>
      <c r="H24" s="38">
        <v>0</v>
      </c>
      <c r="I24" s="38">
        <v>0</v>
      </c>
      <c r="J24" s="38">
        <v>0</v>
      </c>
      <c r="K24" s="39">
        <v>2.4900000000000002</v>
      </c>
      <c r="L24" s="39">
        <v>3575</v>
      </c>
      <c r="M24" s="38">
        <v>4725</v>
      </c>
      <c r="N24" s="38">
        <v>75</v>
      </c>
      <c r="O24" s="38">
        <v>125</v>
      </c>
      <c r="P24" s="38" t="s">
        <v>13</v>
      </c>
      <c r="Q24" s="38">
        <v>1993</v>
      </c>
      <c r="R24" s="38">
        <v>1</v>
      </c>
      <c r="S24" s="38">
        <v>0</v>
      </c>
      <c r="T24" s="38">
        <v>-3.0000000000000001E-3</v>
      </c>
      <c r="U24" s="38">
        <v>-1.2E-2</v>
      </c>
      <c r="V24" s="38">
        <v>0</v>
      </c>
      <c r="W24" s="38">
        <v>0</v>
      </c>
      <c r="X24" s="38" t="s">
        <v>17</v>
      </c>
      <c r="Y24" s="154">
        <v>2010</v>
      </c>
      <c r="Z24" s="38" t="s">
        <v>344</v>
      </c>
      <c r="AA24" s="38"/>
      <c r="AB24" s="39">
        <f>L24+L25</f>
        <v>7175</v>
      </c>
      <c r="AC24" s="39"/>
      <c r="AD24" s="38"/>
    </row>
    <row r="25" spans="1:30" ht="14.25">
      <c r="A25" s="151">
        <v>2</v>
      </c>
      <c r="B25" s="151">
        <v>3</v>
      </c>
      <c r="C25" s="151">
        <v>10</v>
      </c>
      <c r="D25" s="152">
        <v>2011</v>
      </c>
      <c r="E25" s="152">
        <v>2011</v>
      </c>
      <c r="F25" s="151">
        <v>1</v>
      </c>
      <c r="G25" s="151">
        <v>41</v>
      </c>
      <c r="H25" s="151">
        <v>4</v>
      </c>
      <c r="I25" s="151">
        <v>0</v>
      </c>
      <c r="J25" s="151">
        <v>0</v>
      </c>
      <c r="K25" s="152">
        <v>4.6900000000000004</v>
      </c>
      <c r="L25" s="152">
        <v>3600</v>
      </c>
      <c r="M25" s="151">
        <v>0</v>
      </c>
      <c r="N25" s="151">
        <v>0</v>
      </c>
      <c r="O25" s="151">
        <v>0</v>
      </c>
      <c r="P25" s="151" t="s">
        <v>13</v>
      </c>
      <c r="Q25" s="151">
        <v>1993</v>
      </c>
      <c r="R25" s="151">
        <v>1</v>
      </c>
      <c r="S25" s="151">
        <v>0</v>
      </c>
      <c r="T25" s="151">
        <v>-1.8E-3</v>
      </c>
      <c r="U25" s="151">
        <v>-1.2E-2</v>
      </c>
      <c r="V25" s="151">
        <v>0</v>
      </c>
      <c r="W25" s="151">
        <v>0</v>
      </c>
      <c r="X25" s="151" t="s">
        <v>17</v>
      </c>
      <c r="Y25" s="154"/>
      <c r="AA25" s="38"/>
      <c r="AB25" s="39"/>
      <c r="AC25" s="39"/>
      <c r="AD25" s="158">
        <f>(K25*0.15)/(K24*0.16)</f>
        <v>1.7658132530120481</v>
      </c>
    </row>
    <row r="26" spans="1:30">
      <c r="A26" s="38">
        <v>1</v>
      </c>
      <c r="B26" s="38">
        <v>2</v>
      </c>
      <c r="C26" s="38">
        <v>4</v>
      </c>
      <c r="D26" s="39">
        <v>2012</v>
      </c>
      <c r="E26" s="39">
        <v>2012</v>
      </c>
      <c r="F26" s="38">
        <v>1</v>
      </c>
      <c r="G26" s="38">
        <v>4</v>
      </c>
      <c r="H26" s="38">
        <v>0</v>
      </c>
      <c r="I26" s="38">
        <v>0</v>
      </c>
      <c r="J26" s="38">
        <v>0</v>
      </c>
      <c r="K26" s="39">
        <v>2.4900000000000002</v>
      </c>
      <c r="L26" s="39">
        <v>3575</v>
      </c>
      <c r="M26" s="38">
        <v>4725</v>
      </c>
      <c r="N26" s="38">
        <v>0</v>
      </c>
      <c r="O26" s="38">
        <v>0</v>
      </c>
      <c r="P26" s="38" t="s">
        <v>13</v>
      </c>
      <c r="Q26" s="38">
        <v>1993</v>
      </c>
      <c r="R26" s="38">
        <v>1</v>
      </c>
      <c r="S26" s="38">
        <v>0</v>
      </c>
      <c r="T26" s="38">
        <v>-3.0000000000000001E-3</v>
      </c>
      <c r="U26" s="38">
        <v>-1.2E-2</v>
      </c>
      <c r="V26" s="38">
        <v>0</v>
      </c>
      <c r="W26" s="38">
        <v>0</v>
      </c>
      <c r="X26" s="38" t="s">
        <v>17</v>
      </c>
      <c r="Y26" s="154"/>
      <c r="AA26" s="38"/>
      <c r="AB26" s="39"/>
      <c r="AC26" s="39"/>
      <c r="AD26" s="38"/>
    </row>
    <row r="27" spans="1:30" ht="14.25">
      <c r="A27" s="151">
        <v>2</v>
      </c>
      <c r="B27" s="151">
        <v>3</v>
      </c>
      <c r="C27" s="151">
        <v>10</v>
      </c>
      <c r="D27" s="152">
        <v>2012</v>
      </c>
      <c r="E27" s="152">
        <v>2012</v>
      </c>
      <c r="F27" s="151">
        <v>1</v>
      </c>
      <c r="G27" s="151">
        <v>41</v>
      </c>
      <c r="H27" s="151">
        <v>4</v>
      </c>
      <c r="I27" s="151">
        <v>0</v>
      </c>
      <c r="J27" s="151">
        <v>0</v>
      </c>
      <c r="K27" s="152">
        <v>4.84</v>
      </c>
      <c r="L27" s="152">
        <v>3600</v>
      </c>
      <c r="M27" s="151">
        <v>0</v>
      </c>
      <c r="N27" s="151">
        <v>450</v>
      </c>
      <c r="O27" s="151">
        <v>0</v>
      </c>
      <c r="P27" s="151" t="s">
        <v>13</v>
      </c>
      <c r="Q27" s="151">
        <v>1993</v>
      </c>
      <c r="R27" s="151">
        <v>1</v>
      </c>
      <c r="S27" s="151">
        <v>0</v>
      </c>
      <c r="T27" s="151">
        <v>-1.8E-3</v>
      </c>
      <c r="U27" s="151">
        <v>-1.2E-2</v>
      </c>
      <c r="V27" s="151">
        <v>0</v>
      </c>
      <c r="W27" s="151">
        <v>0</v>
      </c>
      <c r="X27" s="151" t="s">
        <v>17</v>
      </c>
      <c r="Y27" s="154"/>
      <c r="AA27" s="38"/>
      <c r="AB27" s="38"/>
      <c r="AC27" s="38"/>
      <c r="AD27" s="158">
        <f>(K27*0.15)/(K26*0.16)</f>
        <v>1.8222891566265058</v>
      </c>
    </row>
    <row r="28" spans="1:30">
      <c r="A28" s="151">
        <v>1</v>
      </c>
      <c r="B28" s="151">
        <v>2</v>
      </c>
      <c r="C28" s="151">
        <v>4</v>
      </c>
      <c r="D28" s="152">
        <v>2013</v>
      </c>
      <c r="E28" s="152">
        <v>2013</v>
      </c>
      <c r="F28" s="151">
        <v>1</v>
      </c>
      <c r="G28" s="151">
        <v>4</v>
      </c>
      <c r="H28" s="151">
        <v>0</v>
      </c>
      <c r="I28" s="151">
        <v>0</v>
      </c>
      <c r="J28" s="151">
        <v>0</v>
      </c>
      <c r="K28" s="152">
        <v>2.4900000000000002</v>
      </c>
      <c r="L28" s="152">
        <v>3575</v>
      </c>
      <c r="M28" s="151">
        <v>4725</v>
      </c>
      <c r="N28" s="151">
        <v>75</v>
      </c>
      <c r="O28" s="151">
        <v>125</v>
      </c>
      <c r="P28" s="151" t="s">
        <v>13</v>
      </c>
      <c r="Q28" s="151">
        <v>1993</v>
      </c>
      <c r="R28" s="151">
        <v>1</v>
      </c>
      <c r="S28" s="151">
        <v>0</v>
      </c>
      <c r="T28" s="151">
        <v>-3.0000000000000001E-3</v>
      </c>
      <c r="U28" s="151">
        <v>-1.2E-2</v>
      </c>
      <c r="V28" s="151">
        <v>0</v>
      </c>
      <c r="W28" s="151">
        <v>0</v>
      </c>
      <c r="X28" s="151" t="s">
        <v>17</v>
      </c>
      <c r="Y28" s="154"/>
      <c r="AA28" s="38"/>
      <c r="AB28" s="38"/>
      <c r="AC28" s="38"/>
      <c r="AD28" s="38"/>
    </row>
    <row r="29" spans="1:30" ht="14.25">
      <c r="A29" s="151">
        <v>2</v>
      </c>
      <c r="B29" s="151">
        <v>3</v>
      </c>
      <c r="C29" s="151">
        <v>10</v>
      </c>
      <c r="D29" s="152">
        <v>2013</v>
      </c>
      <c r="E29" s="152">
        <v>2013</v>
      </c>
      <c r="F29" s="151">
        <v>1</v>
      </c>
      <c r="G29" s="151">
        <v>41</v>
      </c>
      <c r="H29" s="151">
        <v>4</v>
      </c>
      <c r="I29" s="151">
        <v>0</v>
      </c>
      <c r="J29" s="151">
        <v>0</v>
      </c>
      <c r="K29" s="152">
        <v>4.84</v>
      </c>
      <c r="L29" s="152">
        <v>3600</v>
      </c>
      <c r="M29" s="151">
        <v>0</v>
      </c>
      <c r="N29" s="151">
        <v>600</v>
      </c>
      <c r="O29" s="151">
        <v>0</v>
      </c>
      <c r="P29" s="151" t="s">
        <v>13</v>
      </c>
      <c r="Q29" s="151">
        <v>1993</v>
      </c>
      <c r="R29" s="151">
        <v>1</v>
      </c>
      <c r="S29" s="151">
        <v>0</v>
      </c>
      <c r="T29" s="151">
        <v>-1.8E-3</v>
      </c>
      <c r="U29" s="151">
        <v>-1.2E-2</v>
      </c>
      <c r="V29" s="151">
        <v>0</v>
      </c>
      <c r="W29" s="151">
        <v>0</v>
      </c>
      <c r="X29" s="151" t="s">
        <v>17</v>
      </c>
      <c r="Y29" s="154"/>
      <c r="AA29" s="38"/>
      <c r="AB29" s="38"/>
      <c r="AC29" s="38"/>
      <c r="AD29" s="158">
        <f>(K29*0.15)/(K28*0.16)</f>
        <v>1.8222891566265058</v>
      </c>
    </row>
    <row r="30" spans="1:30">
      <c r="A30" s="38">
        <v>1</v>
      </c>
      <c r="B30" s="38">
        <v>2</v>
      </c>
      <c r="C30" s="38">
        <v>4</v>
      </c>
      <c r="D30" s="39">
        <v>2014</v>
      </c>
      <c r="E30" s="39">
        <v>2019</v>
      </c>
      <c r="F30" s="38">
        <v>1</v>
      </c>
      <c r="G30" s="38">
        <v>4</v>
      </c>
      <c r="H30" s="38">
        <v>0</v>
      </c>
      <c r="I30" s="38">
        <v>0</v>
      </c>
      <c r="J30" s="38">
        <v>0</v>
      </c>
      <c r="K30" s="40">
        <v>2.4900000000000002</v>
      </c>
      <c r="L30" s="153">
        <v>3575</v>
      </c>
      <c r="M30" s="38">
        <v>4725</v>
      </c>
      <c r="N30" s="38">
        <v>0</v>
      </c>
      <c r="O30" s="38">
        <v>0</v>
      </c>
      <c r="P30" s="38" t="s">
        <v>13</v>
      </c>
      <c r="Q30" s="38">
        <v>1993</v>
      </c>
      <c r="R30" s="38">
        <v>1</v>
      </c>
      <c r="S30" s="38">
        <v>0</v>
      </c>
      <c r="T30" s="38">
        <v>-3.0000000000000001E-3</v>
      </c>
      <c r="U30" s="38">
        <v>-1.2E-2</v>
      </c>
      <c r="V30" s="38">
        <v>0</v>
      </c>
      <c r="W30" s="38">
        <v>0</v>
      </c>
      <c r="X30" s="38" t="s">
        <v>17</v>
      </c>
      <c r="Y30" s="154">
        <v>2015</v>
      </c>
      <c r="Z30" s="38" t="s">
        <v>344</v>
      </c>
      <c r="AA30" s="38"/>
      <c r="AB30" s="38">
        <v>6725</v>
      </c>
      <c r="AC30" s="38"/>
      <c r="AD30" s="38"/>
    </row>
    <row r="31" spans="1:30" ht="14.25">
      <c r="A31" s="38">
        <v>2</v>
      </c>
      <c r="B31" s="38">
        <v>3</v>
      </c>
      <c r="C31" s="38">
        <v>10</v>
      </c>
      <c r="D31" s="39">
        <v>2014</v>
      </c>
      <c r="E31" s="39">
        <v>2050</v>
      </c>
      <c r="F31" s="38">
        <v>1</v>
      </c>
      <c r="G31" s="38">
        <v>41</v>
      </c>
      <c r="H31" s="38">
        <v>4</v>
      </c>
      <c r="I31" s="38">
        <v>0</v>
      </c>
      <c r="J31" s="38">
        <v>0</v>
      </c>
      <c r="K31" s="39">
        <v>4.84</v>
      </c>
      <c r="L31" s="39">
        <v>3150</v>
      </c>
      <c r="M31" s="38">
        <v>0</v>
      </c>
      <c r="N31" s="38">
        <v>0</v>
      </c>
      <c r="O31" s="38">
        <v>0</v>
      </c>
      <c r="P31" s="38" t="s">
        <v>13</v>
      </c>
      <c r="Q31" s="38">
        <v>1993</v>
      </c>
      <c r="R31" s="38">
        <v>1</v>
      </c>
      <c r="S31" s="38">
        <v>0</v>
      </c>
      <c r="T31" s="38">
        <v>-1.8E-3</v>
      </c>
      <c r="U31" s="38">
        <v>-1.2E-2</v>
      </c>
      <c r="V31" s="38">
        <v>0</v>
      </c>
      <c r="W31" s="38">
        <v>0</v>
      </c>
      <c r="X31" s="38" t="s">
        <v>17</v>
      </c>
      <c r="Y31" s="154"/>
      <c r="AA31" s="38"/>
      <c r="AB31" s="38"/>
      <c r="AC31" s="38"/>
      <c r="AD31" s="158">
        <f>(K31*0.15)/(K30*0.16)</f>
        <v>1.8222891566265058</v>
      </c>
    </row>
    <row r="32" spans="1:30" ht="14.25">
      <c r="A32" s="151">
        <v>1</v>
      </c>
      <c r="B32" s="151">
        <v>2</v>
      </c>
      <c r="C32" s="151">
        <v>4</v>
      </c>
      <c r="D32" s="152">
        <v>2020</v>
      </c>
      <c r="E32" s="152">
        <v>2029</v>
      </c>
      <c r="F32" s="151">
        <v>1</v>
      </c>
      <c r="G32" s="151">
        <v>4</v>
      </c>
      <c r="H32" s="151">
        <v>0</v>
      </c>
      <c r="I32" s="151">
        <v>0</v>
      </c>
      <c r="J32" s="151">
        <v>0</v>
      </c>
      <c r="K32" s="152">
        <v>2.78</v>
      </c>
      <c r="L32" s="152">
        <v>3750</v>
      </c>
      <c r="M32" s="151">
        <v>5050</v>
      </c>
      <c r="N32" s="151">
        <v>0</v>
      </c>
      <c r="O32" s="151">
        <v>0</v>
      </c>
      <c r="P32" s="151" t="s">
        <v>13</v>
      </c>
      <c r="Q32" s="151">
        <v>1993</v>
      </c>
      <c r="R32" s="151">
        <v>1</v>
      </c>
      <c r="S32" s="151">
        <v>0</v>
      </c>
      <c r="T32" s="151">
        <v>-3.0000000000000001E-3</v>
      </c>
      <c r="U32" s="151">
        <v>-1.2E-2</v>
      </c>
      <c r="V32" s="151">
        <v>0</v>
      </c>
      <c r="W32" s="151">
        <v>0</v>
      </c>
      <c r="X32" s="151" t="s">
        <v>17</v>
      </c>
      <c r="Y32" s="154" t="s">
        <v>1016</v>
      </c>
      <c r="Z32" s="38" t="s">
        <v>344</v>
      </c>
      <c r="AA32" s="38"/>
      <c r="AB32" s="38">
        <v>7500</v>
      </c>
      <c r="AC32" s="38"/>
      <c r="AD32" s="158">
        <f>(K31*0.15)/(K32*0.16)</f>
        <v>1.6321942446043165</v>
      </c>
    </row>
    <row r="33" spans="1:30">
      <c r="A33" s="151">
        <v>1</v>
      </c>
      <c r="B33" s="151">
        <v>2</v>
      </c>
      <c r="C33" s="151">
        <v>4</v>
      </c>
      <c r="D33" s="152">
        <v>2030</v>
      </c>
      <c r="E33" s="152">
        <v>2050</v>
      </c>
      <c r="F33" s="151">
        <v>1</v>
      </c>
      <c r="G33" s="151">
        <v>4</v>
      </c>
      <c r="H33" s="151">
        <v>0</v>
      </c>
      <c r="I33" s="151">
        <v>0</v>
      </c>
      <c r="J33" s="151">
        <v>0</v>
      </c>
      <c r="K33" s="159">
        <v>2.8</v>
      </c>
      <c r="L33" s="160">
        <v>3750</v>
      </c>
      <c r="M33" s="151">
        <v>5050</v>
      </c>
      <c r="N33" s="151">
        <v>0</v>
      </c>
      <c r="O33" s="151">
        <v>0</v>
      </c>
      <c r="P33" s="151" t="s">
        <v>13</v>
      </c>
      <c r="Q33" s="151">
        <v>1993</v>
      </c>
      <c r="R33" s="151">
        <v>1</v>
      </c>
      <c r="S33" s="151">
        <v>0</v>
      </c>
      <c r="T33" s="151">
        <v>-3.0000000000000001E-3</v>
      </c>
      <c r="U33" s="151">
        <v>-1.2E-2</v>
      </c>
      <c r="V33" s="151">
        <v>0</v>
      </c>
      <c r="W33" s="151">
        <v>0</v>
      </c>
      <c r="X33" s="151" t="s">
        <v>17</v>
      </c>
      <c r="Y33" s="154" t="s">
        <v>1189</v>
      </c>
      <c r="Z33" s="38" t="s">
        <v>344</v>
      </c>
      <c r="AA33" s="38"/>
      <c r="AB33" s="38"/>
      <c r="AC33" s="38"/>
      <c r="AD33" s="38"/>
    </row>
    <row r="34" spans="1:30">
      <c r="A34" s="38">
        <v>1</v>
      </c>
      <c r="B34" s="38">
        <v>2</v>
      </c>
      <c r="C34" s="38">
        <v>5</v>
      </c>
      <c r="D34" s="39">
        <v>2010</v>
      </c>
      <c r="E34" s="39">
        <v>2010</v>
      </c>
      <c r="F34" s="38">
        <v>1</v>
      </c>
      <c r="G34" s="38">
        <v>5</v>
      </c>
      <c r="H34" s="38">
        <v>0</v>
      </c>
      <c r="I34" s="38">
        <v>0</v>
      </c>
      <c r="J34" s="38">
        <v>0</v>
      </c>
      <c r="K34" s="39">
        <v>3.14</v>
      </c>
      <c r="L34" s="39">
        <v>4000</v>
      </c>
      <c r="M34" s="38">
        <v>5300</v>
      </c>
      <c r="N34" s="38">
        <v>75</v>
      </c>
      <c r="O34" s="38">
        <v>75</v>
      </c>
      <c r="P34" s="38" t="s">
        <v>13</v>
      </c>
      <c r="Q34" s="38">
        <v>1993</v>
      </c>
      <c r="R34" s="38">
        <v>1</v>
      </c>
      <c r="S34" s="38">
        <v>0</v>
      </c>
      <c r="T34" s="38">
        <v>-3.0000000000000001E-3</v>
      </c>
      <c r="U34" s="38">
        <v>-1.2E-2</v>
      </c>
      <c r="V34" s="38">
        <v>0</v>
      </c>
      <c r="W34" s="38">
        <v>0</v>
      </c>
      <c r="X34" s="38" t="s">
        <v>18</v>
      </c>
      <c r="Y34" s="154" t="s">
        <v>984</v>
      </c>
      <c r="Z34" s="38" t="s">
        <v>986</v>
      </c>
      <c r="AA34" s="38"/>
      <c r="AB34" s="38">
        <v>7825</v>
      </c>
      <c r="AC34" s="38"/>
      <c r="AD34" s="38"/>
    </row>
    <row r="35" spans="1:30" ht="14.25">
      <c r="A35" s="151">
        <v>2</v>
      </c>
      <c r="B35" s="151">
        <v>3</v>
      </c>
      <c r="C35" s="151">
        <v>11</v>
      </c>
      <c r="D35" s="152">
        <v>2010</v>
      </c>
      <c r="E35" s="152">
        <v>2010</v>
      </c>
      <c r="F35" s="151">
        <v>1</v>
      </c>
      <c r="G35" s="151">
        <v>42</v>
      </c>
      <c r="H35" s="151">
        <v>5</v>
      </c>
      <c r="I35" s="151">
        <v>0</v>
      </c>
      <c r="J35" s="151">
        <v>0</v>
      </c>
      <c r="K35" s="152">
        <v>6.45</v>
      </c>
      <c r="L35" s="152">
        <v>3975</v>
      </c>
      <c r="M35" s="151">
        <v>0</v>
      </c>
      <c r="N35" s="151">
        <v>1192</v>
      </c>
      <c r="O35" s="151">
        <v>0</v>
      </c>
      <c r="P35" s="151" t="s">
        <v>13</v>
      </c>
      <c r="Q35" s="151">
        <v>1993</v>
      </c>
      <c r="R35" s="151">
        <v>1</v>
      </c>
      <c r="S35" s="151">
        <v>0</v>
      </c>
      <c r="T35" s="151">
        <v>-1.8E-3</v>
      </c>
      <c r="U35" s="151">
        <v>-1.2E-2</v>
      </c>
      <c r="V35" s="151">
        <v>0</v>
      </c>
      <c r="W35" s="151">
        <v>0</v>
      </c>
      <c r="X35" s="151" t="s">
        <v>18</v>
      </c>
      <c r="Y35" s="154"/>
      <c r="AA35" s="38"/>
      <c r="AB35" s="38"/>
      <c r="AC35" s="38"/>
      <c r="AD35" s="158">
        <f>(K35*0.15)/(K34*0.16)</f>
        <v>1.9257563694267514</v>
      </c>
    </row>
    <row r="36" spans="1:30">
      <c r="A36" s="38">
        <v>1</v>
      </c>
      <c r="B36" s="38">
        <v>2</v>
      </c>
      <c r="C36" s="38">
        <v>5</v>
      </c>
      <c r="D36" s="39">
        <v>2011</v>
      </c>
      <c r="E36" s="39">
        <v>2012</v>
      </c>
      <c r="F36" s="38">
        <v>1</v>
      </c>
      <c r="G36" s="38">
        <v>5</v>
      </c>
      <c r="H36" s="38">
        <v>0</v>
      </c>
      <c r="I36" s="38">
        <v>0</v>
      </c>
      <c r="J36" s="38">
        <v>0</v>
      </c>
      <c r="K36" s="39">
        <v>3.14</v>
      </c>
      <c r="L36" s="39">
        <v>4000</v>
      </c>
      <c r="M36" s="38">
        <v>5300</v>
      </c>
      <c r="N36" s="38">
        <v>0</v>
      </c>
      <c r="O36" s="38">
        <v>0</v>
      </c>
      <c r="P36" s="38" t="s">
        <v>13</v>
      </c>
      <c r="Q36" s="38">
        <v>1993</v>
      </c>
      <c r="R36" s="38">
        <v>1</v>
      </c>
      <c r="S36" s="38">
        <v>0</v>
      </c>
      <c r="T36" s="38">
        <v>-3.0000000000000001E-3</v>
      </c>
      <c r="U36" s="38">
        <v>-1.2E-2</v>
      </c>
      <c r="V36" s="38">
        <v>0</v>
      </c>
      <c r="W36" s="38">
        <v>0</v>
      </c>
      <c r="X36" s="38" t="s">
        <v>18</v>
      </c>
      <c r="Y36" s="154" t="s">
        <v>984</v>
      </c>
      <c r="Z36" s="38" t="s">
        <v>987</v>
      </c>
      <c r="AA36" s="38"/>
      <c r="AB36" s="38">
        <v>5583</v>
      </c>
      <c r="AC36" s="38"/>
      <c r="AD36" s="38"/>
    </row>
    <row r="37" spans="1:30" ht="14.25">
      <c r="A37" s="38">
        <v>2</v>
      </c>
      <c r="B37" s="38">
        <v>3</v>
      </c>
      <c r="C37" s="38">
        <v>11</v>
      </c>
      <c r="D37" s="39">
        <v>2011</v>
      </c>
      <c r="E37" s="39">
        <v>2011</v>
      </c>
      <c r="F37" s="38">
        <v>1</v>
      </c>
      <c r="G37" s="38">
        <v>42</v>
      </c>
      <c r="H37" s="38">
        <v>5</v>
      </c>
      <c r="I37" s="38">
        <v>0</v>
      </c>
      <c r="J37" s="38">
        <v>0</v>
      </c>
      <c r="K37" s="39">
        <v>6.45</v>
      </c>
      <c r="L37" s="39">
        <v>3975</v>
      </c>
      <c r="M37" s="38">
        <v>0</v>
      </c>
      <c r="N37" s="38">
        <v>75</v>
      </c>
      <c r="O37" s="38">
        <v>0</v>
      </c>
      <c r="P37" s="38" t="s">
        <v>13</v>
      </c>
      <c r="Q37" s="38">
        <v>1993</v>
      </c>
      <c r="R37" s="38">
        <v>1</v>
      </c>
      <c r="S37" s="38">
        <v>0</v>
      </c>
      <c r="T37" s="38">
        <v>-1.8E-3</v>
      </c>
      <c r="U37" s="38">
        <v>-1.2E-2</v>
      </c>
      <c r="V37" s="38">
        <v>0</v>
      </c>
      <c r="W37" s="38">
        <v>0</v>
      </c>
      <c r="X37" s="38" t="s">
        <v>18</v>
      </c>
      <c r="Y37" s="154"/>
      <c r="AA37" s="38"/>
      <c r="AB37" s="38"/>
      <c r="AC37" s="38"/>
      <c r="AD37" s="158">
        <f>(K37*0.15)/(K36*0.16)</f>
        <v>1.9257563694267514</v>
      </c>
    </row>
    <row r="38" spans="1:30">
      <c r="A38" s="38">
        <v>2</v>
      </c>
      <c r="B38" s="38">
        <v>3</v>
      </c>
      <c r="C38" s="38">
        <v>11</v>
      </c>
      <c r="D38" s="39">
        <v>2012</v>
      </c>
      <c r="E38" s="39">
        <v>2012</v>
      </c>
      <c r="F38" s="38">
        <v>1</v>
      </c>
      <c r="G38" s="38">
        <v>42</v>
      </c>
      <c r="H38" s="38">
        <v>5</v>
      </c>
      <c r="I38" s="38">
        <v>0</v>
      </c>
      <c r="J38" s="38">
        <v>0</v>
      </c>
      <c r="K38" s="39">
        <v>6.45</v>
      </c>
      <c r="L38" s="39">
        <v>3975</v>
      </c>
      <c r="M38" s="38">
        <v>0</v>
      </c>
      <c r="N38" s="38">
        <v>0</v>
      </c>
      <c r="O38" s="38">
        <v>0</v>
      </c>
      <c r="P38" s="38" t="s">
        <v>13</v>
      </c>
      <c r="Q38" s="38">
        <v>1993</v>
      </c>
      <c r="R38" s="38">
        <v>1</v>
      </c>
      <c r="S38" s="38">
        <v>0</v>
      </c>
      <c r="T38" s="38">
        <v>-1.8E-3</v>
      </c>
      <c r="U38" s="38">
        <v>-1.2E-2</v>
      </c>
      <c r="V38" s="38">
        <v>0</v>
      </c>
      <c r="W38" s="38">
        <v>0</v>
      </c>
      <c r="X38" s="38" t="s">
        <v>18</v>
      </c>
      <c r="Y38" s="154"/>
      <c r="AA38" s="38"/>
      <c r="AB38" s="38"/>
      <c r="AC38" s="38"/>
      <c r="AD38" s="38"/>
    </row>
    <row r="39" spans="1:30">
      <c r="A39" s="151">
        <v>1</v>
      </c>
      <c r="B39" s="151">
        <v>2</v>
      </c>
      <c r="C39" s="151">
        <v>5</v>
      </c>
      <c r="D39" s="152">
        <v>2013</v>
      </c>
      <c r="E39" s="152">
        <v>2013</v>
      </c>
      <c r="F39" s="151">
        <v>1</v>
      </c>
      <c r="G39" s="151">
        <v>5</v>
      </c>
      <c r="H39" s="151">
        <v>0</v>
      </c>
      <c r="I39" s="151">
        <v>0</v>
      </c>
      <c r="J39" s="151">
        <v>0</v>
      </c>
      <c r="K39" s="152">
        <v>3.14</v>
      </c>
      <c r="L39" s="152">
        <v>4000</v>
      </c>
      <c r="M39" s="151">
        <v>5300</v>
      </c>
      <c r="N39" s="151">
        <v>150</v>
      </c>
      <c r="O39" s="151">
        <v>300</v>
      </c>
      <c r="P39" s="151" t="s">
        <v>13</v>
      </c>
      <c r="Q39" s="151">
        <v>1993</v>
      </c>
      <c r="R39" s="151">
        <v>1</v>
      </c>
      <c r="S39" s="151">
        <v>0</v>
      </c>
      <c r="T39" s="151">
        <v>-3.0000000000000001E-3</v>
      </c>
      <c r="U39" s="151">
        <v>-1.2E-2</v>
      </c>
      <c r="V39" s="151">
        <v>0</v>
      </c>
      <c r="W39" s="151">
        <v>0</v>
      </c>
      <c r="X39" s="151" t="s">
        <v>18</v>
      </c>
      <c r="Y39" s="154">
        <v>2010</v>
      </c>
      <c r="Z39" s="38" t="s">
        <v>344</v>
      </c>
      <c r="AA39" s="38"/>
      <c r="AB39" s="38">
        <v>7925</v>
      </c>
      <c r="AC39" s="38"/>
      <c r="AD39" s="38"/>
    </row>
    <row r="40" spans="1:30">
      <c r="A40" s="151">
        <v>2</v>
      </c>
      <c r="B40" s="151">
        <v>3</v>
      </c>
      <c r="C40" s="151">
        <v>11</v>
      </c>
      <c r="D40" s="152">
        <v>2013</v>
      </c>
      <c r="E40" s="152">
        <v>2013</v>
      </c>
      <c r="F40" s="151">
        <v>1</v>
      </c>
      <c r="G40" s="151">
        <v>42</v>
      </c>
      <c r="H40" s="151">
        <v>5</v>
      </c>
      <c r="I40" s="151">
        <v>0</v>
      </c>
      <c r="J40" s="151">
        <v>0</v>
      </c>
      <c r="K40" s="152">
        <v>6.45</v>
      </c>
      <c r="L40" s="152">
        <v>3975</v>
      </c>
      <c r="M40" s="151">
        <v>0</v>
      </c>
      <c r="N40" s="151">
        <v>150</v>
      </c>
      <c r="O40" s="151">
        <v>0</v>
      </c>
      <c r="P40" s="151" t="s">
        <v>13</v>
      </c>
      <c r="Q40" s="151">
        <v>1993</v>
      </c>
      <c r="R40" s="151">
        <v>1</v>
      </c>
      <c r="S40" s="151">
        <v>0</v>
      </c>
      <c r="T40" s="151">
        <v>-1.8E-3</v>
      </c>
      <c r="U40" s="151">
        <v>-1.2E-2</v>
      </c>
      <c r="V40" s="151">
        <v>0</v>
      </c>
      <c r="W40" s="151">
        <v>0</v>
      </c>
      <c r="X40" s="151" t="s">
        <v>18</v>
      </c>
      <c r="AB40" s="38"/>
      <c r="AC40" s="38"/>
      <c r="AD40" s="38"/>
    </row>
    <row r="41" spans="1:30">
      <c r="A41" s="38">
        <v>1</v>
      </c>
      <c r="B41" s="38">
        <v>2</v>
      </c>
      <c r="C41" s="38">
        <v>5</v>
      </c>
      <c r="D41" s="39">
        <v>2014</v>
      </c>
      <c r="E41" s="39">
        <v>2019</v>
      </c>
      <c r="F41" s="38">
        <v>1</v>
      </c>
      <c r="G41" s="38">
        <v>5</v>
      </c>
      <c r="H41" s="38">
        <v>0</v>
      </c>
      <c r="I41" s="38">
        <v>0</v>
      </c>
      <c r="J41" s="38">
        <v>0</v>
      </c>
      <c r="K41" s="40">
        <v>3.14</v>
      </c>
      <c r="L41" s="153">
        <v>4000</v>
      </c>
      <c r="M41" s="38">
        <v>5300</v>
      </c>
      <c r="N41" s="38">
        <v>0</v>
      </c>
      <c r="O41" s="38">
        <v>0</v>
      </c>
      <c r="P41" s="38" t="s">
        <v>13</v>
      </c>
      <c r="Q41" s="38">
        <v>1993</v>
      </c>
      <c r="R41" s="38">
        <v>1</v>
      </c>
      <c r="S41" s="38">
        <v>0</v>
      </c>
      <c r="T41" s="38">
        <v>-3.0000000000000001E-3</v>
      </c>
      <c r="U41" s="38">
        <v>-1.2E-2</v>
      </c>
      <c r="V41" s="38">
        <v>0</v>
      </c>
      <c r="W41" s="38">
        <v>0</v>
      </c>
      <c r="X41" s="38" t="s">
        <v>18</v>
      </c>
      <c r="Y41" s="154"/>
      <c r="AA41" s="38"/>
      <c r="AB41" s="38">
        <v>7875</v>
      </c>
      <c r="AC41" s="38"/>
      <c r="AD41" s="38"/>
    </row>
    <row r="42" spans="1:30">
      <c r="A42" s="151">
        <v>2</v>
      </c>
      <c r="B42" s="151">
        <v>3</v>
      </c>
      <c r="C42" s="151">
        <v>11</v>
      </c>
      <c r="D42" s="152">
        <v>2014</v>
      </c>
      <c r="E42" s="152">
        <v>2019</v>
      </c>
      <c r="F42" s="151">
        <v>1</v>
      </c>
      <c r="G42" s="151">
        <v>42</v>
      </c>
      <c r="H42" s="151">
        <v>5</v>
      </c>
      <c r="I42" s="151">
        <v>0</v>
      </c>
      <c r="J42" s="151">
        <v>0</v>
      </c>
      <c r="K42" s="152">
        <v>6.45</v>
      </c>
      <c r="L42" s="152">
        <v>3975</v>
      </c>
      <c r="M42" s="151">
        <v>0</v>
      </c>
      <c r="N42" s="151">
        <v>0</v>
      </c>
      <c r="O42" s="151">
        <v>0</v>
      </c>
      <c r="P42" s="151" t="s">
        <v>13</v>
      </c>
      <c r="Q42" s="151">
        <v>1993</v>
      </c>
      <c r="R42" s="151">
        <v>1</v>
      </c>
      <c r="S42" s="151">
        <v>0</v>
      </c>
      <c r="T42" s="151">
        <v>-1.8E-3</v>
      </c>
      <c r="U42" s="151">
        <v>-1.2E-2</v>
      </c>
      <c r="V42" s="151">
        <v>0</v>
      </c>
      <c r="W42" s="151">
        <v>0</v>
      </c>
      <c r="X42" s="151" t="s">
        <v>18</v>
      </c>
      <c r="Y42" s="154"/>
      <c r="AA42" s="38"/>
      <c r="AB42" s="38"/>
      <c r="AC42" s="38"/>
      <c r="AD42" s="38"/>
    </row>
    <row r="43" spans="1:30">
      <c r="A43" s="38">
        <v>1</v>
      </c>
      <c r="B43" s="38">
        <v>2</v>
      </c>
      <c r="C43" s="38">
        <v>5</v>
      </c>
      <c r="D43" s="39">
        <v>2020</v>
      </c>
      <c r="E43" s="39">
        <v>2029</v>
      </c>
      <c r="F43" s="38">
        <v>1</v>
      </c>
      <c r="G43" s="38">
        <v>5</v>
      </c>
      <c r="H43" s="38">
        <v>0</v>
      </c>
      <c r="I43" s="38">
        <v>0</v>
      </c>
      <c r="J43" s="38">
        <v>0</v>
      </c>
      <c r="K43" s="39">
        <v>3.17</v>
      </c>
      <c r="L43" s="39">
        <v>4100</v>
      </c>
      <c r="M43" s="38">
        <v>5440</v>
      </c>
      <c r="N43" s="38">
        <v>0</v>
      </c>
      <c r="O43" s="38">
        <v>0</v>
      </c>
      <c r="P43" s="38" t="s">
        <v>13</v>
      </c>
      <c r="Q43" s="38">
        <v>1993</v>
      </c>
      <c r="R43" s="38">
        <v>1</v>
      </c>
      <c r="S43" s="38">
        <v>0</v>
      </c>
      <c r="T43" s="38">
        <v>-3.0000000000000001E-3</v>
      </c>
      <c r="U43" s="38">
        <v>-1.2E-2</v>
      </c>
      <c r="V43" s="38">
        <v>0</v>
      </c>
      <c r="W43" s="38">
        <v>0</v>
      </c>
      <c r="X43" s="38" t="s">
        <v>18</v>
      </c>
      <c r="Y43" s="154">
        <v>2020</v>
      </c>
      <c r="Z43" s="38" t="s">
        <v>344</v>
      </c>
      <c r="AA43" s="38"/>
      <c r="AB43" s="38">
        <v>8125</v>
      </c>
      <c r="AC43" s="38"/>
      <c r="AD43" s="38"/>
    </row>
    <row r="44" spans="1:30" ht="14.25">
      <c r="A44" s="151">
        <v>2</v>
      </c>
      <c r="B44" s="151">
        <v>3</v>
      </c>
      <c r="C44" s="151">
        <v>11</v>
      </c>
      <c r="D44" s="152">
        <v>2020</v>
      </c>
      <c r="E44" s="152">
        <v>2029</v>
      </c>
      <c r="F44" s="151">
        <v>1</v>
      </c>
      <c r="G44" s="151">
        <v>42</v>
      </c>
      <c r="H44" s="151">
        <v>5</v>
      </c>
      <c r="I44" s="151">
        <v>0</v>
      </c>
      <c r="J44" s="151">
        <v>0</v>
      </c>
      <c r="K44" s="152">
        <v>6.74</v>
      </c>
      <c r="L44" s="152">
        <v>4025</v>
      </c>
      <c r="M44" s="151">
        <v>0</v>
      </c>
      <c r="N44" s="151">
        <v>0</v>
      </c>
      <c r="O44" s="151">
        <v>0</v>
      </c>
      <c r="P44" s="151" t="s">
        <v>13</v>
      </c>
      <c r="Q44" s="151">
        <v>1993</v>
      </c>
      <c r="R44" s="151">
        <v>1</v>
      </c>
      <c r="S44" s="151">
        <v>0</v>
      </c>
      <c r="T44" s="151">
        <v>-1.8E-3</v>
      </c>
      <c r="U44" s="151">
        <v>-1.2E-2</v>
      </c>
      <c r="V44" s="151">
        <v>0</v>
      </c>
      <c r="W44" s="151">
        <v>0</v>
      </c>
      <c r="X44" s="151" t="s">
        <v>18</v>
      </c>
      <c r="Y44" s="154"/>
      <c r="AA44" s="38"/>
      <c r="AB44" s="38"/>
      <c r="AC44" s="38"/>
      <c r="AD44" s="158">
        <f>(K44*0.15)/(K43*0.16)</f>
        <v>1.9932965299684542</v>
      </c>
    </row>
    <row r="45" spans="1:30">
      <c r="A45" s="38">
        <v>1</v>
      </c>
      <c r="B45" s="38">
        <v>2</v>
      </c>
      <c r="C45" s="38">
        <v>5</v>
      </c>
      <c r="D45" s="39">
        <v>2030</v>
      </c>
      <c r="E45" s="39">
        <v>2050</v>
      </c>
      <c r="F45" s="38">
        <v>1</v>
      </c>
      <c r="G45" s="38">
        <v>5</v>
      </c>
      <c r="H45" s="38">
        <v>0</v>
      </c>
      <c r="I45" s="38">
        <v>0</v>
      </c>
      <c r="J45" s="38">
        <v>0</v>
      </c>
      <c r="K45" s="39">
        <v>3.22</v>
      </c>
      <c r="L45" s="39">
        <v>4125</v>
      </c>
      <c r="M45" s="38">
        <v>5495</v>
      </c>
      <c r="N45" s="38">
        <v>0</v>
      </c>
      <c r="O45" s="38">
        <v>0</v>
      </c>
      <c r="P45" s="38" t="s">
        <v>13</v>
      </c>
      <c r="Q45" s="38">
        <v>1993</v>
      </c>
      <c r="R45" s="38">
        <v>1</v>
      </c>
      <c r="S45" s="38">
        <v>0</v>
      </c>
      <c r="T45" s="38">
        <v>-3.0000000000000001E-3</v>
      </c>
      <c r="U45" s="38">
        <v>-1.2E-2</v>
      </c>
      <c r="V45" s="38">
        <v>0</v>
      </c>
      <c r="W45" s="38">
        <v>0</v>
      </c>
      <c r="X45" s="38" t="s">
        <v>18</v>
      </c>
      <c r="Y45" s="154">
        <v>2030</v>
      </c>
      <c r="Z45" s="38" t="s">
        <v>344</v>
      </c>
      <c r="AA45" s="38"/>
      <c r="AB45" s="38">
        <v>8250</v>
      </c>
      <c r="AC45" s="38"/>
      <c r="AD45" s="38"/>
    </row>
    <row r="46" spans="1:30" ht="14.25">
      <c r="A46" s="151">
        <v>2</v>
      </c>
      <c r="B46" s="151">
        <v>3</v>
      </c>
      <c r="C46" s="151">
        <v>11</v>
      </c>
      <c r="D46" s="152">
        <v>2030</v>
      </c>
      <c r="E46" s="152">
        <v>2034</v>
      </c>
      <c r="F46" s="151">
        <v>1</v>
      </c>
      <c r="G46" s="151">
        <v>42</v>
      </c>
      <c r="H46" s="151">
        <v>5</v>
      </c>
      <c r="I46" s="151">
        <v>0</v>
      </c>
      <c r="J46" s="151">
        <v>0</v>
      </c>
      <c r="K46" s="152">
        <v>7.03</v>
      </c>
      <c r="L46" s="152">
        <v>4125</v>
      </c>
      <c r="M46" s="151">
        <v>0</v>
      </c>
      <c r="N46" s="151">
        <v>0</v>
      </c>
      <c r="O46" s="151">
        <v>0</v>
      </c>
      <c r="P46" s="151" t="s">
        <v>13</v>
      </c>
      <c r="Q46" s="151">
        <v>1993</v>
      </c>
      <c r="R46" s="151">
        <v>1</v>
      </c>
      <c r="S46" s="151">
        <v>0</v>
      </c>
      <c r="T46" s="151">
        <v>-1.8E-3</v>
      </c>
      <c r="U46" s="151">
        <v>-1.2E-2</v>
      </c>
      <c r="V46" s="151">
        <v>0</v>
      </c>
      <c r="W46" s="151">
        <v>0</v>
      </c>
      <c r="X46" s="151" t="s">
        <v>18</v>
      </c>
      <c r="Y46" s="154"/>
      <c r="AA46" s="38"/>
      <c r="AB46" s="38"/>
      <c r="AC46" s="38"/>
      <c r="AD46" s="158">
        <f>(K46*0.15)/(K45*0.16)</f>
        <v>2.0467779503105592</v>
      </c>
    </row>
    <row r="47" spans="1:30">
      <c r="A47" s="38">
        <v>2</v>
      </c>
      <c r="B47" s="38">
        <v>3</v>
      </c>
      <c r="C47" s="38">
        <v>11</v>
      </c>
      <c r="D47" s="39">
        <v>2035</v>
      </c>
      <c r="E47" s="39">
        <v>2050</v>
      </c>
      <c r="F47" s="38">
        <v>1</v>
      </c>
      <c r="G47" s="38">
        <v>42</v>
      </c>
      <c r="H47" s="38">
        <v>5</v>
      </c>
      <c r="I47" s="38">
        <v>0</v>
      </c>
      <c r="J47" s="38">
        <v>0</v>
      </c>
      <c r="K47" s="39">
        <v>7.33</v>
      </c>
      <c r="L47" s="39">
        <v>4125</v>
      </c>
      <c r="M47" s="38">
        <v>0</v>
      </c>
      <c r="N47" s="38">
        <v>0</v>
      </c>
      <c r="O47" s="38">
        <v>0</v>
      </c>
      <c r="P47" s="38" t="s">
        <v>13</v>
      </c>
      <c r="Q47" s="38">
        <v>1993</v>
      </c>
      <c r="R47" s="38">
        <v>1</v>
      </c>
      <c r="S47" s="38">
        <v>0</v>
      </c>
      <c r="T47" s="38">
        <v>-1.8E-3</v>
      </c>
      <c r="U47" s="38">
        <v>-1.2E-2</v>
      </c>
      <c r="V47" s="38">
        <v>0</v>
      </c>
      <c r="W47" s="38">
        <v>0</v>
      </c>
      <c r="X47" s="38" t="s">
        <v>18</v>
      </c>
      <c r="Y47" s="154">
        <v>2035</v>
      </c>
      <c r="Z47" s="38" t="s">
        <v>344</v>
      </c>
      <c r="AA47" s="38"/>
      <c r="AB47" s="38">
        <f>L47+L45</f>
        <v>8250</v>
      </c>
      <c r="AC47" s="38"/>
      <c r="AD47" s="38"/>
    </row>
    <row r="48" spans="1:30">
      <c r="A48" s="38">
        <v>1</v>
      </c>
      <c r="B48" s="38">
        <v>3</v>
      </c>
      <c r="C48" s="38">
        <v>6</v>
      </c>
      <c r="D48" s="39">
        <v>2010</v>
      </c>
      <c r="E48" s="39">
        <v>2012</v>
      </c>
      <c r="F48" s="38">
        <v>1</v>
      </c>
      <c r="G48" s="38">
        <v>6</v>
      </c>
      <c r="H48" s="38">
        <v>0</v>
      </c>
      <c r="I48" s="38">
        <v>0</v>
      </c>
      <c r="J48" s="38">
        <v>0</v>
      </c>
      <c r="K48" s="39">
        <v>0.78</v>
      </c>
      <c r="L48" s="39">
        <v>2500</v>
      </c>
      <c r="M48" s="38">
        <v>1800</v>
      </c>
      <c r="N48" s="38">
        <v>0</v>
      </c>
      <c r="O48" s="38">
        <v>0</v>
      </c>
      <c r="P48" s="38" t="s">
        <v>13</v>
      </c>
      <c r="Q48" s="38">
        <v>1993</v>
      </c>
      <c r="R48" s="38">
        <v>1</v>
      </c>
      <c r="S48" s="38">
        <v>0</v>
      </c>
      <c r="T48" s="38">
        <v>-1.8E-3</v>
      </c>
      <c r="U48" s="38">
        <v>-1.2E-2</v>
      </c>
      <c r="V48" s="38">
        <v>0</v>
      </c>
      <c r="W48" s="38">
        <v>0</v>
      </c>
      <c r="X48" s="38" t="s">
        <v>19</v>
      </c>
      <c r="Y48" s="154">
        <v>2010</v>
      </c>
      <c r="Z48" s="38">
        <f>K48</f>
        <v>0.78</v>
      </c>
      <c r="AA48" s="38">
        <f>L48</f>
        <v>2500</v>
      </c>
      <c r="AB48" s="38"/>
      <c r="AC48" s="38"/>
      <c r="AD48" s="38"/>
    </row>
    <row r="49" spans="1:54">
      <c r="A49" s="38">
        <v>1</v>
      </c>
      <c r="B49" s="38">
        <v>3</v>
      </c>
      <c r="C49" s="38">
        <v>6</v>
      </c>
      <c r="D49" s="39">
        <v>2013</v>
      </c>
      <c r="E49" s="39">
        <v>2050</v>
      </c>
      <c r="F49" s="38">
        <v>1</v>
      </c>
      <c r="G49" s="38">
        <v>6</v>
      </c>
      <c r="H49" s="38">
        <v>0</v>
      </c>
      <c r="I49" s="38">
        <v>0</v>
      </c>
      <c r="J49" s="38">
        <v>0</v>
      </c>
      <c r="K49" s="39">
        <v>0.8</v>
      </c>
      <c r="L49" s="39">
        <v>2500</v>
      </c>
      <c r="M49" s="38">
        <v>1800</v>
      </c>
      <c r="N49" s="38">
        <v>0</v>
      </c>
      <c r="O49" s="38">
        <v>0</v>
      </c>
      <c r="P49" s="38" t="s">
        <v>13</v>
      </c>
      <c r="Q49" s="38">
        <v>1993</v>
      </c>
      <c r="R49" s="38">
        <v>1</v>
      </c>
      <c r="S49" s="38">
        <v>0</v>
      </c>
      <c r="T49" s="38">
        <v>-1</v>
      </c>
      <c r="U49" s="38">
        <v>-1</v>
      </c>
      <c r="V49" s="38">
        <v>0</v>
      </c>
      <c r="W49" s="38">
        <v>0</v>
      </c>
      <c r="X49" s="38" t="s">
        <v>19</v>
      </c>
      <c r="Y49" s="154"/>
      <c r="AA49" s="38"/>
      <c r="AB49" s="38"/>
      <c r="AC49" s="38"/>
      <c r="AD49" s="38"/>
    </row>
    <row r="50" spans="1:54" ht="14.25">
      <c r="A50" s="38">
        <v>1</v>
      </c>
      <c r="B50" s="38">
        <v>3</v>
      </c>
      <c r="C50" s="38">
        <v>7</v>
      </c>
      <c r="D50" s="39">
        <v>2010</v>
      </c>
      <c r="E50" s="39">
        <v>2012</v>
      </c>
      <c r="F50" s="38">
        <v>1</v>
      </c>
      <c r="G50" s="38">
        <v>7</v>
      </c>
      <c r="H50" s="38">
        <v>0</v>
      </c>
      <c r="I50" s="38">
        <v>0</v>
      </c>
      <c r="J50" s="38">
        <v>0</v>
      </c>
      <c r="K50" s="39">
        <v>0.8</v>
      </c>
      <c r="L50" s="39">
        <v>2500</v>
      </c>
      <c r="M50" s="38">
        <v>1800</v>
      </c>
      <c r="N50" s="38">
        <v>0</v>
      </c>
      <c r="O50" s="38">
        <v>0</v>
      </c>
      <c r="P50" s="38" t="s">
        <v>13</v>
      </c>
      <c r="Q50" s="38">
        <v>1993</v>
      </c>
      <c r="R50" s="38">
        <v>1</v>
      </c>
      <c r="S50" s="38">
        <v>0</v>
      </c>
      <c r="T50" s="38">
        <v>-1.8E-3</v>
      </c>
      <c r="U50" s="38">
        <v>-1.2E-2</v>
      </c>
      <c r="V50" s="38">
        <v>0</v>
      </c>
      <c r="W50" s="38">
        <v>0</v>
      </c>
      <c r="X50" s="38" t="s">
        <v>20</v>
      </c>
      <c r="Y50" s="154">
        <v>2010</v>
      </c>
      <c r="Z50" s="38">
        <f t="shared" ref="Z50" si="0">K50</f>
        <v>0.8</v>
      </c>
      <c r="AA50" s="38">
        <f t="shared" ref="AA50" si="1">L50</f>
        <v>2500</v>
      </c>
      <c r="AB50" s="38"/>
      <c r="AC50" s="38"/>
      <c r="AD50" s="38"/>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row>
    <row r="51" spans="1:54">
      <c r="A51" s="38">
        <v>1</v>
      </c>
      <c r="B51" s="38">
        <v>3</v>
      </c>
      <c r="C51" s="38">
        <v>7</v>
      </c>
      <c r="D51" s="39">
        <v>2013</v>
      </c>
      <c r="E51" s="39">
        <v>2050</v>
      </c>
      <c r="F51" s="38">
        <v>1</v>
      </c>
      <c r="G51" s="38">
        <v>7</v>
      </c>
      <c r="H51" s="38">
        <v>0</v>
      </c>
      <c r="I51" s="38">
        <v>0</v>
      </c>
      <c r="J51" s="38">
        <v>0</v>
      </c>
      <c r="K51" s="39">
        <v>0.8</v>
      </c>
      <c r="L51" s="39">
        <v>2500</v>
      </c>
      <c r="M51" s="38">
        <v>1800</v>
      </c>
      <c r="N51" s="38">
        <v>0</v>
      </c>
      <c r="O51" s="38">
        <v>0</v>
      </c>
      <c r="P51" s="38" t="s">
        <v>13</v>
      </c>
      <c r="Q51" s="38">
        <v>1993</v>
      </c>
      <c r="R51" s="38">
        <v>1</v>
      </c>
      <c r="S51" s="38">
        <v>0</v>
      </c>
      <c r="T51" s="38">
        <v>-1.8E-3</v>
      </c>
      <c r="U51" s="38">
        <v>-1.2E-2</v>
      </c>
      <c r="V51" s="38">
        <v>0</v>
      </c>
      <c r="W51" s="38">
        <v>0</v>
      </c>
      <c r="X51" s="38" t="s">
        <v>20</v>
      </c>
      <c r="Y51" s="154"/>
      <c r="AA51" s="38"/>
      <c r="AB51" s="38"/>
      <c r="AC51" s="38"/>
      <c r="AD51" s="38"/>
    </row>
    <row r="52" spans="1:54" ht="14.25">
      <c r="A52" s="38">
        <v>1</v>
      </c>
      <c r="B52" s="38">
        <v>3</v>
      </c>
      <c r="C52" s="38">
        <v>8</v>
      </c>
      <c r="D52" s="39">
        <v>2010</v>
      </c>
      <c r="E52" s="39">
        <v>2010</v>
      </c>
      <c r="F52" s="38">
        <v>1</v>
      </c>
      <c r="G52" s="38">
        <v>8</v>
      </c>
      <c r="H52" s="38">
        <v>0</v>
      </c>
      <c r="I52" s="38">
        <v>0</v>
      </c>
      <c r="J52" s="38">
        <v>0</v>
      </c>
      <c r="K52" s="39">
        <v>0.9</v>
      </c>
      <c r="L52" s="39">
        <v>1925</v>
      </c>
      <c r="M52" s="38">
        <v>1835</v>
      </c>
      <c r="N52" s="38">
        <v>0</v>
      </c>
      <c r="O52" s="38">
        <v>0</v>
      </c>
      <c r="P52" s="38" t="s">
        <v>13</v>
      </c>
      <c r="Q52" s="38">
        <v>1993</v>
      </c>
      <c r="R52" s="38">
        <v>1</v>
      </c>
      <c r="S52" s="38">
        <v>0</v>
      </c>
      <c r="T52" s="38">
        <v>-1.8E-3</v>
      </c>
      <c r="U52" s="38">
        <v>-1.2E-2</v>
      </c>
      <c r="V52" s="38">
        <v>0</v>
      </c>
      <c r="W52" s="38">
        <v>0</v>
      </c>
      <c r="X52" s="38" t="s">
        <v>21</v>
      </c>
      <c r="Y52" s="154"/>
      <c r="AA52" s="38"/>
      <c r="AB52" s="38"/>
      <c r="AC52" s="38"/>
      <c r="AD52" s="38"/>
      <c r="AE52" s="55"/>
      <c r="AF52" s="55"/>
      <c r="AG52" s="55"/>
      <c r="AH52" s="55"/>
      <c r="AI52" s="55"/>
      <c r="AJ52" s="55"/>
      <c r="AK52" s="55"/>
      <c r="AL52" s="55"/>
      <c r="AM52" s="55"/>
      <c r="AN52" s="55"/>
      <c r="AO52" s="55"/>
      <c r="AP52" s="55"/>
      <c r="AQ52" s="55"/>
      <c r="AR52" s="55"/>
      <c r="AS52" s="55"/>
      <c r="AT52" s="55"/>
      <c r="AU52" s="55"/>
      <c r="AV52" s="55"/>
      <c r="AW52" s="55"/>
      <c r="AX52" s="55"/>
      <c r="AY52" s="55"/>
      <c r="AZ52" s="55"/>
      <c r="BA52" s="55"/>
      <c r="BB52" s="55"/>
    </row>
    <row r="53" spans="1:54">
      <c r="A53" s="38">
        <v>1</v>
      </c>
      <c r="B53" s="38">
        <v>3</v>
      </c>
      <c r="C53" s="38">
        <v>8</v>
      </c>
      <c r="D53" s="39">
        <v>2011</v>
      </c>
      <c r="E53" s="39">
        <v>2050</v>
      </c>
      <c r="F53" s="38">
        <v>1</v>
      </c>
      <c r="G53" s="38">
        <v>8</v>
      </c>
      <c r="H53" s="38">
        <v>0</v>
      </c>
      <c r="I53" s="38">
        <v>0</v>
      </c>
      <c r="J53" s="38">
        <v>0</v>
      </c>
      <c r="K53" s="39">
        <v>0.9</v>
      </c>
      <c r="L53" s="39">
        <v>2750</v>
      </c>
      <c r="M53" s="38">
        <v>2330</v>
      </c>
      <c r="N53" s="38">
        <v>0</v>
      </c>
      <c r="O53" s="38">
        <v>0</v>
      </c>
      <c r="P53" s="38" t="s">
        <v>13</v>
      </c>
      <c r="Q53" s="38">
        <v>1993</v>
      </c>
      <c r="R53" s="38">
        <v>1</v>
      </c>
      <c r="S53" s="38">
        <v>0</v>
      </c>
      <c r="T53" s="38">
        <v>-1.8E-3</v>
      </c>
      <c r="U53" s="38">
        <v>-1.2E-2</v>
      </c>
      <c r="V53" s="38">
        <v>0</v>
      </c>
      <c r="W53" s="38">
        <v>0</v>
      </c>
      <c r="X53" s="38" t="s">
        <v>21</v>
      </c>
      <c r="Y53" s="154">
        <v>2010</v>
      </c>
      <c r="Z53" s="38">
        <f t="shared" ref="Z53:Z62" si="2">K53</f>
        <v>0.9</v>
      </c>
      <c r="AA53" s="38">
        <f t="shared" ref="AA53:AA62" si="3">L53</f>
        <v>2750</v>
      </c>
      <c r="AB53" s="38"/>
      <c r="AC53" s="38"/>
      <c r="AD53" s="38"/>
    </row>
    <row r="54" spans="1:54">
      <c r="A54" s="38">
        <v>1</v>
      </c>
      <c r="B54" s="38">
        <v>3</v>
      </c>
      <c r="C54" s="38">
        <v>9</v>
      </c>
      <c r="D54" s="39">
        <v>2010</v>
      </c>
      <c r="E54" s="39">
        <v>2010</v>
      </c>
      <c r="F54" s="38">
        <v>1</v>
      </c>
      <c r="G54" s="38">
        <v>9</v>
      </c>
      <c r="H54" s="38">
        <v>0</v>
      </c>
      <c r="I54" s="38">
        <v>0</v>
      </c>
      <c r="J54" s="38">
        <v>0</v>
      </c>
      <c r="K54" s="39">
        <v>0.95</v>
      </c>
      <c r="L54" s="39">
        <v>3200</v>
      </c>
      <c r="M54" s="38">
        <v>2800</v>
      </c>
      <c r="N54" s="38">
        <v>960</v>
      </c>
      <c r="O54" s="38">
        <v>576</v>
      </c>
      <c r="P54" s="38" t="s">
        <v>13</v>
      </c>
      <c r="Q54" s="38">
        <v>1993</v>
      </c>
      <c r="R54" s="38">
        <v>1</v>
      </c>
      <c r="S54" s="38">
        <v>0</v>
      </c>
      <c r="T54" s="38">
        <v>-1.8E-3</v>
      </c>
      <c r="U54" s="38">
        <v>-1.2E-2</v>
      </c>
      <c r="V54" s="38">
        <v>0</v>
      </c>
      <c r="W54" s="38">
        <v>0</v>
      </c>
      <c r="X54" s="38" t="s">
        <v>22</v>
      </c>
      <c r="Y54" s="154"/>
      <c r="AA54" s="38"/>
      <c r="AB54" s="38"/>
      <c r="AC54" s="38"/>
      <c r="AD54" s="38"/>
    </row>
    <row r="55" spans="1:54">
      <c r="A55" s="38">
        <v>1</v>
      </c>
      <c r="B55" s="38">
        <v>3</v>
      </c>
      <c r="C55" s="38">
        <v>9</v>
      </c>
      <c r="D55" s="39">
        <v>2011</v>
      </c>
      <c r="E55" s="39">
        <v>2011</v>
      </c>
      <c r="F55" s="38">
        <v>1</v>
      </c>
      <c r="G55" s="38">
        <v>9</v>
      </c>
      <c r="H55" s="38">
        <v>0</v>
      </c>
      <c r="I55" s="38">
        <v>0</v>
      </c>
      <c r="J55" s="38">
        <v>0</v>
      </c>
      <c r="K55" s="39">
        <v>0.95</v>
      </c>
      <c r="L55" s="39">
        <v>3200</v>
      </c>
      <c r="M55" s="38">
        <v>2800</v>
      </c>
      <c r="N55" s="38">
        <v>150</v>
      </c>
      <c r="O55" s="38">
        <v>90</v>
      </c>
      <c r="P55" s="38" t="s">
        <v>13</v>
      </c>
      <c r="Q55" s="38">
        <v>1993</v>
      </c>
      <c r="R55" s="38">
        <v>1</v>
      </c>
      <c r="S55" s="38">
        <v>0</v>
      </c>
      <c r="T55" s="38">
        <v>-1.8E-3</v>
      </c>
      <c r="U55" s="38">
        <v>-1.2E-2</v>
      </c>
      <c r="V55" s="38">
        <v>0</v>
      </c>
      <c r="W55" s="38">
        <v>0</v>
      </c>
      <c r="X55" s="38" t="s">
        <v>22</v>
      </c>
      <c r="Y55" s="154"/>
      <c r="AA55" s="38"/>
      <c r="AB55" s="38"/>
      <c r="AC55" s="38"/>
      <c r="AD55" s="38"/>
    </row>
    <row r="56" spans="1:54">
      <c r="A56" s="38">
        <v>1</v>
      </c>
      <c r="B56" s="38">
        <v>3</v>
      </c>
      <c r="C56" s="38">
        <v>9</v>
      </c>
      <c r="D56" s="39">
        <v>2012</v>
      </c>
      <c r="E56" s="39">
        <v>2012</v>
      </c>
      <c r="F56" s="38">
        <v>1</v>
      </c>
      <c r="G56" s="38">
        <v>9</v>
      </c>
      <c r="H56" s="38">
        <v>0</v>
      </c>
      <c r="I56" s="38">
        <v>0</v>
      </c>
      <c r="J56" s="38">
        <v>0</v>
      </c>
      <c r="K56" s="39">
        <v>0.95</v>
      </c>
      <c r="L56" s="39">
        <v>3200</v>
      </c>
      <c r="M56" s="38">
        <v>2800</v>
      </c>
      <c r="N56" s="38">
        <v>0</v>
      </c>
      <c r="O56" s="38">
        <v>0</v>
      </c>
      <c r="P56" s="38" t="s">
        <v>13</v>
      </c>
      <c r="Q56" s="38">
        <v>1993</v>
      </c>
      <c r="R56" s="38">
        <v>1</v>
      </c>
      <c r="S56" s="38">
        <v>0</v>
      </c>
      <c r="T56" s="38">
        <v>-1.8E-3</v>
      </c>
      <c r="U56" s="38">
        <v>-1.2E-2</v>
      </c>
      <c r="V56" s="38">
        <v>0</v>
      </c>
      <c r="W56" s="38">
        <v>0</v>
      </c>
      <c r="X56" s="38" t="s">
        <v>22</v>
      </c>
      <c r="Y56" s="154"/>
      <c r="AA56" s="38"/>
      <c r="AB56" s="38"/>
      <c r="AC56" s="38"/>
      <c r="AD56" s="38"/>
    </row>
    <row r="57" spans="1:54">
      <c r="A57" s="38">
        <v>1</v>
      </c>
      <c r="B57" s="38">
        <v>3</v>
      </c>
      <c r="C57" s="38">
        <v>9</v>
      </c>
      <c r="D57" s="39">
        <v>2013</v>
      </c>
      <c r="E57" s="39">
        <v>2013</v>
      </c>
      <c r="F57" s="38">
        <v>1</v>
      </c>
      <c r="G57" s="38">
        <v>9</v>
      </c>
      <c r="H57" s="38">
        <v>0</v>
      </c>
      <c r="I57" s="38">
        <v>0</v>
      </c>
      <c r="J57" s="38">
        <v>0</v>
      </c>
      <c r="K57" s="39">
        <v>0.95</v>
      </c>
      <c r="L57" s="39">
        <v>3200</v>
      </c>
      <c r="M57" s="38">
        <v>2800</v>
      </c>
      <c r="N57" s="38">
        <v>150</v>
      </c>
      <c r="O57" s="38">
        <v>90</v>
      </c>
      <c r="P57" s="38" t="s">
        <v>13</v>
      </c>
      <c r="Q57" s="38">
        <v>1993</v>
      </c>
      <c r="R57" s="38">
        <v>1</v>
      </c>
      <c r="S57" s="38">
        <v>0</v>
      </c>
      <c r="T57" s="38">
        <v>-1.8E-3</v>
      </c>
      <c r="U57" s="38">
        <v>-1.2E-2</v>
      </c>
      <c r="V57" s="38">
        <v>0</v>
      </c>
      <c r="W57" s="38">
        <v>0</v>
      </c>
      <c r="X57" s="38" t="s">
        <v>22</v>
      </c>
      <c r="Y57" s="154">
        <v>2010</v>
      </c>
      <c r="Z57" s="38">
        <f t="shared" si="2"/>
        <v>0.95</v>
      </c>
      <c r="AA57" s="38">
        <f t="shared" si="3"/>
        <v>3200</v>
      </c>
      <c r="AB57" s="38"/>
      <c r="AC57" s="38"/>
      <c r="AD57" s="38"/>
    </row>
    <row r="58" spans="1:54">
      <c r="A58" s="38">
        <v>1</v>
      </c>
      <c r="B58" s="38">
        <v>3</v>
      </c>
      <c r="C58" s="38">
        <v>9</v>
      </c>
      <c r="D58" s="39">
        <v>2014</v>
      </c>
      <c r="E58" s="39">
        <v>2050</v>
      </c>
      <c r="F58" s="38">
        <v>1</v>
      </c>
      <c r="G58" s="38">
        <v>9</v>
      </c>
      <c r="H58" s="38">
        <v>0</v>
      </c>
      <c r="I58" s="38">
        <v>0</v>
      </c>
      <c r="J58" s="38">
        <v>0</v>
      </c>
      <c r="K58" s="39">
        <v>0.95</v>
      </c>
      <c r="L58" s="39">
        <v>3200</v>
      </c>
      <c r="M58" s="38">
        <v>2800</v>
      </c>
      <c r="N58" s="38">
        <v>0</v>
      </c>
      <c r="O58" s="38">
        <v>0</v>
      </c>
      <c r="P58" s="38" t="s">
        <v>13</v>
      </c>
      <c r="Q58" s="38">
        <v>1993</v>
      </c>
      <c r="R58" s="38">
        <v>1</v>
      </c>
      <c r="S58" s="38">
        <v>0</v>
      </c>
      <c r="T58" s="38">
        <v>-1.8E-3</v>
      </c>
      <c r="U58" s="38">
        <v>-1.2E-2</v>
      </c>
      <c r="V58" s="38">
        <v>0</v>
      </c>
      <c r="W58" s="38">
        <v>0</v>
      </c>
      <c r="X58" s="38" t="s">
        <v>22</v>
      </c>
      <c r="Y58" s="154"/>
      <c r="AA58" s="38"/>
      <c r="AB58" s="38"/>
      <c r="AC58" s="38"/>
      <c r="AD58" s="38"/>
    </row>
    <row r="59" spans="1:54">
      <c r="A59" s="38">
        <v>1</v>
      </c>
      <c r="B59" s="38">
        <v>3</v>
      </c>
      <c r="C59" s="38">
        <v>10</v>
      </c>
      <c r="D59" s="39">
        <v>2010</v>
      </c>
      <c r="E59" s="39">
        <v>2010</v>
      </c>
      <c r="F59" s="38">
        <v>1</v>
      </c>
      <c r="G59" s="38">
        <v>10</v>
      </c>
      <c r="H59" s="38">
        <v>0</v>
      </c>
      <c r="I59" s="38">
        <v>0</v>
      </c>
      <c r="J59" s="38">
        <v>0</v>
      </c>
      <c r="K59" s="39">
        <v>0.98</v>
      </c>
      <c r="L59" s="39">
        <v>3750</v>
      </c>
      <c r="M59" s="38">
        <v>3330</v>
      </c>
      <c r="N59" s="38">
        <v>1125</v>
      </c>
      <c r="O59" s="38">
        <v>675</v>
      </c>
      <c r="P59" s="38" t="s">
        <v>13</v>
      </c>
      <c r="Q59" s="38">
        <v>1993</v>
      </c>
      <c r="R59" s="38">
        <v>1</v>
      </c>
      <c r="S59" s="38">
        <v>0</v>
      </c>
      <c r="T59" s="38">
        <v>-1.8E-3</v>
      </c>
      <c r="U59" s="38">
        <v>-1.2E-2</v>
      </c>
      <c r="V59" s="38">
        <v>0</v>
      </c>
      <c r="W59" s="38">
        <v>0</v>
      </c>
      <c r="X59" s="38" t="s">
        <v>23</v>
      </c>
      <c r="Y59" s="154"/>
      <c r="AA59" s="38"/>
      <c r="AB59" s="38"/>
      <c r="AC59" s="38"/>
      <c r="AD59" s="38"/>
    </row>
    <row r="60" spans="1:54" ht="14.25">
      <c r="A60" s="38">
        <v>1</v>
      </c>
      <c r="B60" s="38">
        <v>3</v>
      </c>
      <c r="C60" s="38">
        <v>10</v>
      </c>
      <c r="D60" s="39">
        <v>2011</v>
      </c>
      <c r="E60" s="39">
        <v>2011</v>
      </c>
      <c r="F60" s="38">
        <v>1</v>
      </c>
      <c r="G60" s="38">
        <v>10</v>
      </c>
      <c r="H60" s="38">
        <v>0</v>
      </c>
      <c r="I60" s="38">
        <v>0</v>
      </c>
      <c r="J60" s="38">
        <v>0</v>
      </c>
      <c r="K60" s="39">
        <v>0.98</v>
      </c>
      <c r="L60" s="39">
        <v>3750</v>
      </c>
      <c r="M60" s="38">
        <v>3330</v>
      </c>
      <c r="N60" s="38">
        <v>150</v>
      </c>
      <c r="O60" s="38">
        <v>90</v>
      </c>
      <c r="P60" s="38" t="s">
        <v>13</v>
      </c>
      <c r="Q60" s="38">
        <v>1993</v>
      </c>
      <c r="R60" s="38">
        <v>1</v>
      </c>
      <c r="S60" s="38">
        <v>0</v>
      </c>
      <c r="T60" s="38">
        <v>-1.8E-3</v>
      </c>
      <c r="U60" s="38">
        <v>-1.2E-2</v>
      </c>
      <c r="V60" s="38">
        <v>0</v>
      </c>
      <c r="W60" s="38">
        <v>0</v>
      </c>
      <c r="X60" s="38" t="s">
        <v>23</v>
      </c>
      <c r="Y60" s="154"/>
      <c r="AA60" s="38"/>
      <c r="AB60" s="38"/>
      <c r="AC60" s="38"/>
      <c r="AD60" s="38"/>
      <c r="AE60" s="55"/>
      <c r="AF60" s="55"/>
      <c r="AG60" s="55"/>
      <c r="AH60" s="55"/>
      <c r="AI60" s="55"/>
      <c r="AJ60" s="55"/>
      <c r="AK60" s="55"/>
      <c r="AL60" s="55"/>
      <c r="AM60" s="55"/>
      <c r="AN60" s="55"/>
      <c r="AO60" s="55"/>
      <c r="AP60" s="55"/>
      <c r="AQ60" s="55"/>
      <c r="AR60" s="55"/>
      <c r="AS60" s="55"/>
      <c r="AT60" s="55"/>
      <c r="AU60" s="55"/>
      <c r="AV60" s="55"/>
      <c r="AW60" s="55"/>
      <c r="AX60" s="55"/>
      <c r="AY60" s="55"/>
      <c r="AZ60" s="55"/>
      <c r="BA60" s="55"/>
      <c r="BB60" s="55"/>
    </row>
    <row r="61" spans="1:54">
      <c r="A61" s="38">
        <v>1</v>
      </c>
      <c r="B61" s="38">
        <v>3</v>
      </c>
      <c r="C61" s="38">
        <v>10</v>
      </c>
      <c r="D61" s="39">
        <v>2012</v>
      </c>
      <c r="E61" s="39">
        <v>2012</v>
      </c>
      <c r="F61" s="38">
        <v>1</v>
      </c>
      <c r="G61" s="38">
        <v>10</v>
      </c>
      <c r="H61" s="38">
        <v>0</v>
      </c>
      <c r="I61" s="38">
        <v>0</v>
      </c>
      <c r="J61" s="38">
        <v>0</v>
      </c>
      <c r="K61" s="39">
        <v>0.98</v>
      </c>
      <c r="L61" s="39">
        <v>3750</v>
      </c>
      <c r="M61" s="38">
        <v>3330</v>
      </c>
      <c r="N61" s="38">
        <v>0</v>
      </c>
      <c r="O61" s="38">
        <v>0</v>
      </c>
      <c r="P61" s="38" t="s">
        <v>13</v>
      </c>
      <c r="Q61" s="38">
        <v>1993</v>
      </c>
      <c r="R61" s="38">
        <v>1</v>
      </c>
      <c r="S61" s="38">
        <v>0</v>
      </c>
      <c r="T61" s="38">
        <v>-1.8E-3</v>
      </c>
      <c r="U61" s="38">
        <v>-1.2E-2</v>
      </c>
      <c r="V61" s="38">
        <v>0</v>
      </c>
      <c r="W61" s="38">
        <v>0</v>
      </c>
      <c r="X61" s="38" t="s">
        <v>23</v>
      </c>
      <c r="Y61" s="154"/>
      <c r="AA61" s="38"/>
      <c r="AB61" s="38"/>
      <c r="AC61" s="38"/>
      <c r="AD61" s="38"/>
    </row>
    <row r="62" spans="1:54">
      <c r="A62" s="38">
        <v>1</v>
      </c>
      <c r="B62" s="38">
        <v>3</v>
      </c>
      <c r="C62" s="38">
        <v>10</v>
      </c>
      <c r="D62" s="39">
        <v>2013</v>
      </c>
      <c r="E62" s="39">
        <v>2013</v>
      </c>
      <c r="F62" s="38">
        <v>1</v>
      </c>
      <c r="G62" s="38">
        <v>10</v>
      </c>
      <c r="H62" s="38">
        <v>0</v>
      </c>
      <c r="I62" s="38">
        <v>0</v>
      </c>
      <c r="J62" s="38">
        <v>0</v>
      </c>
      <c r="K62" s="39">
        <v>0.98</v>
      </c>
      <c r="L62" s="39">
        <v>3750</v>
      </c>
      <c r="M62" s="38">
        <v>3330</v>
      </c>
      <c r="N62" s="38">
        <v>150</v>
      </c>
      <c r="O62" s="38">
        <v>90</v>
      </c>
      <c r="P62" s="38" t="s">
        <v>13</v>
      </c>
      <c r="Q62" s="38">
        <v>1993</v>
      </c>
      <c r="R62" s="38">
        <v>1</v>
      </c>
      <c r="S62" s="38">
        <v>0</v>
      </c>
      <c r="T62" s="38">
        <v>-1.8E-3</v>
      </c>
      <c r="U62" s="38">
        <v>-1.2E-2</v>
      </c>
      <c r="V62" s="38">
        <v>0</v>
      </c>
      <c r="W62" s="38">
        <v>0</v>
      </c>
      <c r="X62" s="38" t="s">
        <v>23</v>
      </c>
      <c r="Y62" s="154">
        <v>2010</v>
      </c>
      <c r="Z62" s="38">
        <f t="shared" si="2"/>
        <v>0.98</v>
      </c>
      <c r="AA62" s="38">
        <f t="shared" si="3"/>
        <v>3750</v>
      </c>
      <c r="AB62" s="38"/>
      <c r="AC62" s="38"/>
      <c r="AD62" s="38"/>
    </row>
    <row r="63" spans="1:54">
      <c r="A63" s="38">
        <v>1</v>
      </c>
      <c r="B63" s="38">
        <v>3</v>
      </c>
      <c r="C63" s="38">
        <v>10</v>
      </c>
      <c r="D63" s="39">
        <v>2014</v>
      </c>
      <c r="E63" s="39">
        <v>2019</v>
      </c>
      <c r="F63" s="38">
        <v>1</v>
      </c>
      <c r="G63" s="38">
        <v>10</v>
      </c>
      <c r="H63" s="38">
        <v>0</v>
      </c>
      <c r="I63" s="38">
        <v>0</v>
      </c>
      <c r="J63" s="38">
        <v>0</v>
      </c>
      <c r="K63" s="39">
        <v>0.98</v>
      </c>
      <c r="L63" s="39">
        <v>3750</v>
      </c>
      <c r="M63" s="38">
        <v>3330</v>
      </c>
      <c r="N63" s="38">
        <v>0</v>
      </c>
      <c r="O63" s="38">
        <v>0</v>
      </c>
      <c r="P63" s="38" t="s">
        <v>13</v>
      </c>
      <c r="Q63" s="38">
        <v>1993</v>
      </c>
      <c r="R63" s="38">
        <v>1</v>
      </c>
      <c r="S63" s="38">
        <v>0</v>
      </c>
      <c r="T63" s="38">
        <v>-1.8E-3</v>
      </c>
      <c r="U63" s="38">
        <v>-1.2E-2</v>
      </c>
      <c r="V63" s="38">
        <v>0</v>
      </c>
      <c r="W63" s="38">
        <v>0</v>
      </c>
      <c r="X63" s="38" t="s">
        <v>23</v>
      </c>
      <c r="Y63" s="154"/>
      <c r="AA63" s="38"/>
      <c r="AB63" s="38"/>
      <c r="AC63" s="38"/>
      <c r="AD63" s="38"/>
    </row>
    <row r="64" spans="1:54">
      <c r="A64" s="38">
        <v>1</v>
      </c>
      <c r="B64" s="38">
        <v>3</v>
      </c>
      <c r="C64" s="38">
        <v>10</v>
      </c>
      <c r="D64" s="39">
        <v>2020</v>
      </c>
      <c r="E64" s="39">
        <v>2029</v>
      </c>
      <c r="F64" s="38">
        <v>1</v>
      </c>
      <c r="G64" s="38">
        <v>10</v>
      </c>
      <c r="H64" s="38">
        <v>0</v>
      </c>
      <c r="I64" s="38">
        <v>0</v>
      </c>
      <c r="J64" s="38">
        <v>0</v>
      </c>
      <c r="K64" s="39">
        <v>0.98</v>
      </c>
      <c r="L64" s="39">
        <v>3750</v>
      </c>
      <c r="M64" s="38">
        <v>3330</v>
      </c>
      <c r="N64" s="38">
        <v>0</v>
      </c>
      <c r="O64" s="38">
        <v>0</v>
      </c>
      <c r="P64" s="38" t="s">
        <v>13</v>
      </c>
      <c r="Q64" s="38">
        <v>1993</v>
      </c>
      <c r="R64" s="38">
        <v>1</v>
      </c>
      <c r="S64" s="38">
        <v>0</v>
      </c>
      <c r="T64" s="38">
        <v>-1.8E-3</v>
      </c>
      <c r="U64" s="38">
        <v>-1.2E-2</v>
      </c>
      <c r="V64" s="38">
        <v>0</v>
      </c>
      <c r="W64" s="38">
        <v>0</v>
      </c>
      <c r="X64" s="38" t="s">
        <v>23</v>
      </c>
      <c r="Y64" s="154"/>
      <c r="AA64" s="38"/>
      <c r="AB64" s="38"/>
      <c r="AC64" s="38"/>
      <c r="AD64" s="38"/>
    </row>
    <row r="65" spans="1:30">
      <c r="A65" s="38">
        <v>1</v>
      </c>
      <c r="B65" s="38">
        <v>3</v>
      </c>
      <c r="C65" s="38">
        <v>10</v>
      </c>
      <c r="D65" s="39">
        <v>2030</v>
      </c>
      <c r="E65" s="39">
        <v>2050</v>
      </c>
      <c r="F65" s="38">
        <v>1</v>
      </c>
      <c r="G65" s="38">
        <v>10</v>
      </c>
      <c r="H65" s="38">
        <v>0</v>
      </c>
      <c r="I65" s="38">
        <v>0</v>
      </c>
      <c r="J65" s="38">
        <v>0</v>
      </c>
      <c r="K65" s="39">
        <v>0.98</v>
      </c>
      <c r="L65" s="39">
        <v>3750</v>
      </c>
      <c r="M65" s="38">
        <v>3330</v>
      </c>
      <c r="N65" s="38">
        <v>0</v>
      </c>
      <c r="O65" s="38">
        <v>0</v>
      </c>
      <c r="P65" s="38" t="s">
        <v>13</v>
      </c>
      <c r="Q65" s="38">
        <v>1993</v>
      </c>
      <c r="R65" s="38">
        <v>1</v>
      </c>
      <c r="S65" s="38">
        <v>0</v>
      </c>
      <c r="T65" s="38">
        <v>-1.8E-3</v>
      </c>
      <c r="U65" s="38">
        <v>-1.2E-2</v>
      </c>
      <c r="V65" s="38">
        <v>0</v>
      </c>
      <c r="W65" s="38">
        <v>0</v>
      </c>
      <c r="X65" s="38" t="s">
        <v>23</v>
      </c>
      <c r="Y65" s="154"/>
      <c r="AA65" s="38"/>
      <c r="AB65" s="38"/>
      <c r="AC65" s="38"/>
      <c r="AD65" s="38"/>
    </row>
    <row r="66" spans="1:30">
      <c r="A66" s="38">
        <v>1</v>
      </c>
      <c r="B66" s="38">
        <v>4</v>
      </c>
      <c r="C66" s="38">
        <v>11</v>
      </c>
      <c r="D66" s="39">
        <v>2010</v>
      </c>
      <c r="E66" s="39">
        <v>2012</v>
      </c>
      <c r="F66" s="38">
        <v>1</v>
      </c>
      <c r="G66" s="38">
        <v>11</v>
      </c>
      <c r="H66" s="38">
        <v>0</v>
      </c>
      <c r="I66" s="38">
        <v>0</v>
      </c>
      <c r="J66" s="38">
        <v>0</v>
      </c>
      <c r="K66" s="39">
        <v>0.8</v>
      </c>
      <c r="L66" s="39">
        <v>3300</v>
      </c>
      <c r="M66" s="38">
        <v>2540</v>
      </c>
      <c r="N66" s="38">
        <v>0</v>
      </c>
      <c r="O66" s="38">
        <v>0</v>
      </c>
      <c r="P66" s="38" t="s">
        <v>13</v>
      </c>
      <c r="Q66" s="38">
        <v>1993</v>
      </c>
      <c r="R66" s="38">
        <v>1</v>
      </c>
      <c r="S66" s="38">
        <v>0</v>
      </c>
      <c r="T66" s="38">
        <v>-1.8E-3</v>
      </c>
      <c r="U66" s="38">
        <v>-1.2E-2</v>
      </c>
      <c r="V66" s="38">
        <v>0</v>
      </c>
      <c r="W66" s="38">
        <v>0</v>
      </c>
      <c r="X66" s="38" t="s">
        <v>857</v>
      </c>
      <c r="Y66" s="154">
        <v>2010</v>
      </c>
      <c r="AA66" s="38"/>
      <c r="AB66" s="38"/>
      <c r="AC66" s="38"/>
      <c r="AD66" s="38"/>
    </row>
    <row r="67" spans="1:30">
      <c r="A67" s="38">
        <v>1</v>
      </c>
      <c r="B67" s="38">
        <v>4</v>
      </c>
      <c r="C67" s="38">
        <v>11</v>
      </c>
      <c r="D67" s="39">
        <v>2013</v>
      </c>
      <c r="E67" s="39">
        <v>2050</v>
      </c>
      <c r="F67" s="38">
        <v>1</v>
      </c>
      <c r="G67" s="38">
        <v>11</v>
      </c>
      <c r="H67" s="38">
        <v>0</v>
      </c>
      <c r="I67" s="38">
        <v>0</v>
      </c>
      <c r="J67" s="38">
        <v>0</v>
      </c>
      <c r="K67" s="39">
        <v>0.82</v>
      </c>
      <c r="L67" s="39">
        <v>3500</v>
      </c>
      <c r="M67" s="38">
        <v>2740</v>
      </c>
      <c r="N67" s="38">
        <v>0</v>
      </c>
      <c r="O67" s="38">
        <v>0</v>
      </c>
      <c r="P67" s="38" t="s">
        <v>13</v>
      </c>
      <c r="Q67" s="38">
        <v>1993</v>
      </c>
      <c r="R67" s="38">
        <v>1</v>
      </c>
      <c r="S67" s="38">
        <v>0</v>
      </c>
      <c r="T67" s="38">
        <v>-1.8E-3</v>
      </c>
      <c r="U67" s="38">
        <v>-1.2E-2</v>
      </c>
      <c r="V67" s="38">
        <v>0</v>
      </c>
      <c r="W67" s="38">
        <v>0</v>
      </c>
      <c r="X67" s="38" t="s">
        <v>857</v>
      </c>
      <c r="Y67" s="154">
        <v>2015</v>
      </c>
      <c r="AA67" s="38"/>
      <c r="AB67" s="38"/>
      <c r="AC67" s="38"/>
      <c r="AD67" s="38"/>
    </row>
    <row r="68" spans="1:30">
      <c r="A68" s="38">
        <v>1</v>
      </c>
      <c r="B68" s="38">
        <v>4</v>
      </c>
      <c r="C68" s="38">
        <v>12</v>
      </c>
      <c r="D68" s="39">
        <v>2010</v>
      </c>
      <c r="E68" s="39">
        <v>2050</v>
      </c>
      <c r="F68" s="38">
        <v>1</v>
      </c>
      <c r="G68" s="38">
        <v>12</v>
      </c>
      <c r="H68" s="38">
        <v>0</v>
      </c>
      <c r="I68" s="38">
        <v>0</v>
      </c>
      <c r="J68" s="38">
        <v>0</v>
      </c>
      <c r="K68" s="39">
        <v>0.85</v>
      </c>
      <c r="L68" s="39">
        <v>4250</v>
      </c>
      <c r="M68" s="38">
        <v>3470</v>
      </c>
      <c r="N68" s="38">
        <v>0</v>
      </c>
      <c r="O68" s="38">
        <v>0</v>
      </c>
      <c r="P68" s="38" t="s">
        <v>13</v>
      </c>
      <c r="Q68" s="38">
        <v>1993</v>
      </c>
      <c r="R68" s="38">
        <v>1</v>
      </c>
      <c r="S68" s="38">
        <v>0</v>
      </c>
      <c r="T68" s="38">
        <v>-1.8E-3</v>
      </c>
      <c r="U68" s="38">
        <v>-1.2E-2</v>
      </c>
      <c r="V68" s="38">
        <v>0</v>
      </c>
      <c r="W68" s="38">
        <v>0</v>
      </c>
      <c r="X68" s="38" t="s">
        <v>858</v>
      </c>
      <c r="Y68" s="154">
        <v>2010</v>
      </c>
      <c r="AA68" s="38"/>
      <c r="AB68" s="38"/>
      <c r="AC68" s="38"/>
      <c r="AD68" s="38"/>
    </row>
    <row r="69" spans="1:30">
      <c r="A69" s="38">
        <v>1</v>
      </c>
      <c r="B69" s="38">
        <v>4</v>
      </c>
      <c r="C69" s="38">
        <v>13</v>
      </c>
      <c r="D69" s="39">
        <v>2010</v>
      </c>
      <c r="E69" s="39">
        <v>2010</v>
      </c>
      <c r="F69" s="38">
        <v>1</v>
      </c>
      <c r="G69" s="38">
        <v>13</v>
      </c>
      <c r="H69" s="38">
        <v>0</v>
      </c>
      <c r="I69" s="38">
        <v>0</v>
      </c>
      <c r="J69" s="38">
        <v>0</v>
      </c>
      <c r="K69" s="39">
        <v>0.98</v>
      </c>
      <c r="L69" s="39">
        <v>4000</v>
      </c>
      <c r="M69" s="38">
        <v>3600</v>
      </c>
      <c r="N69" s="38">
        <v>1200</v>
      </c>
      <c r="O69" s="38">
        <v>720</v>
      </c>
      <c r="P69" s="38" t="s">
        <v>13</v>
      </c>
      <c r="Q69" s="38">
        <v>1993</v>
      </c>
      <c r="R69" s="38">
        <v>1</v>
      </c>
      <c r="S69" s="38">
        <v>0</v>
      </c>
      <c r="T69" s="38">
        <v>-1.8E-3</v>
      </c>
      <c r="U69" s="38">
        <v>-1.2E-2</v>
      </c>
      <c r="V69" s="38">
        <v>0</v>
      </c>
      <c r="W69" s="38">
        <v>0</v>
      </c>
      <c r="X69" s="38" t="s">
        <v>859</v>
      </c>
      <c r="Y69" s="154"/>
      <c r="AA69" s="38"/>
      <c r="AB69" s="38"/>
      <c r="AC69" s="38"/>
      <c r="AD69" s="38"/>
    </row>
    <row r="70" spans="1:30">
      <c r="A70" s="38">
        <v>1</v>
      </c>
      <c r="B70" s="38">
        <v>4</v>
      </c>
      <c r="C70" s="38">
        <v>13</v>
      </c>
      <c r="D70" s="39">
        <v>2011</v>
      </c>
      <c r="E70" s="39">
        <v>2011</v>
      </c>
      <c r="F70" s="38">
        <v>1</v>
      </c>
      <c r="G70" s="38">
        <v>13</v>
      </c>
      <c r="H70" s="38">
        <v>0</v>
      </c>
      <c r="I70" s="38">
        <v>0</v>
      </c>
      <c r="J70" s="38">
        <v>0</v>
      </c>
      <c r="K70" s="39">
        <v>0.98</v>
      </c>
      <c r="L70" s="39">
        <v>4000</v>
      </c>
      <c r="M70" s="38">
        <v>3600</v>
      </c>
      <c r="N70" s="38">
        <v>150</v>
      </c>
      <c r="O70" s="38">
        <v>90</v>
      </c>
      <c r="P70" s="38" t="s">
        <v>13</v>
      </c>
      <c r="Q70" s="38">
        <v>1993</v>
      </c>
      <c r="R70" s="38">
        <v>1</v>
      </c>
      <c r="S70" s="38">
        <v>0</v>
      </c>
      <c r="T70" s="38">
        <v>-1.8E-3</v>
      </c>
      <c r="U70" s="38">
        <v>-1.2E-2</v>
      </c>
      <c r="V70" s="38">
        <v>0</v>
      </c>
      <c r="W70" s="38">
        <v>0</v>
      </c>
      <c r="X70" s="38" t="s">
        <v>859</v>
      </c>
      <c r="Y70" s="154"/>
      <c r="AA70" s="38"/>
      <c r="AB70" s="38"/>
      <c r="AC70" s="38"/>
      <c r="AD70" s="38"/>
    </row>
    <row r="71" spans="1:30">
      <c r="A71" s="38">
        <v>1</v>
      </c>
      <c r="B71" s="38">
        <v>4</v>
      </c>
      <c r="C71" s="38">
        <v>13</v>
      </c>
      <c r="D71" s="39">
        <v>2012</v>
      </c>
      <c r="E71" s="39">
        <v>2012</v>
      </c>
      <c r="F71" s="38">
        <v>1</v>
      </c>
      <c r="G71" s="38">
        <v>13</v>
      </c>
      <c r="H71" s="38">
        <v>0</v>
      </c>
      <c r="I71" s="38">
        <v>0</v>
      </c>
      <c r="J71" s="38">
        <v>0</v>
      </c>
      <c r="K71" s="39">
        <v>0.98</v>
      </c>
      <c r="L71" s="39">
        <v>4000</v>
      </c>
      <c r="M71" s="38">
        <v>3600</v>
      </c>
      <c r="N71" s="38">
        <v>0</v>
      </c>
      <c r="O71" s="38">
        <v>0</v>
      </c>
      <c r="P71" s="38" t="s">
        <v>13</v>
      </c>
      <c r="Q71" s="38">
        <v>1993</v>
      </c>
      <c r="R71" s="38">
        <v>1</v>
      </c>
      <c r="S71" s="38">
        <v>0</v>
      </c>
      <c r="T71" s="38">
        <v>-1.8E-3</v>
      </c>
      <c r="U71" s="38">
        <v>-1.2E-2</v>
      </c>
      <c r="V71" s="38">
        <v>0</v>
      </c>
      <c r="W71" s="38">
        <v>0</v>
      </c>
      <c r="X71" s="38" t="s">
        <v>859</v>
      </c>
      <c r="Y71" s="154"/>
      <c r="AA71" s="38"/>
      <c r="AB71" s="38"/>
      <c r="AC71" s="38"/>
      <c r="AD71" s="38"/>
    </row>
    <row r="72" spans="1:30">
      <c r="A72" s="38">
        <v>1</v>
      </c>
      <c r="B72" s="38">
        <v>4</v>
      </c>
      <c r="C72" s="38">
        <v>13</v>
      </c>
      <c r="D72" s="39">
        <v>2013</v>
      </c>
      <c r="E72" s="39">
        <v>2013</v>
      </c>
      <c r="F72" s="38">
        <v>1</v>
      </c>
      <c r="G72" s="38">
        <v>13</v>
      </c>
      <c r="H72" s="38">
        <v>0</v>
      </c>
      <c r="I72" s="38">
        <v>0</v>
      </c>
      <c r="J72" s="38">
        <v>0</v>
      </c>
      <c r="K72" s="39">
        <v>0.98</v>
      </c>
      <c r="L72" s="39">
        <v>4000</v>
      </c>
      <c r="M72" s="38">
        <v>3600</v>
      </c>
      <c r="N72" s="38">
        <v>150</v>
      </c>
      <c r="O72" s="38">
        <v>90</v>
      </c>
      <c r="P72" s="38" t="s">
        <v>13</v>
      </c>
      <c r="Q72" s="38">
        <v>1993</v>
      </c>
      <c r="R72" s="38">
        <v>1</v>
      </c>
      <c r="S72" s="38">
        <v>0</v>
      </c>
      <c r="T72" s="38">
        <v>-1.8E-3</v>
      </c>
      <c r="U72" s="38">
        <v>-1.2E-2</v>
      </c>
      <c r="V72" s="38">
        <v>0</v>
      </c>
      <c r="W72" s="38">
        <v>0</v>
      </c>
      <c r="X72" s="38" t="s">
        <v>859</v>
      </c>
      <c r="Y72" s="154">
        <v>2010</v>
      </c>
      <c r="AA72" s="38"/>
      <c r="AB72" s="38"/>
      <c r="AC72" s="38"/>
      <c r="AD72" s="38"/>
    </row>
    <row r="73" spans="1:30">
      <c r="A73" s="38">
        <v>1</v>
      </c>
      <c r="B73" s="38">
        <v>4</v>
      </c>
      <c r="C73" s="38">
        <v>13</v>
      </c>
      <c r="D73" s="39">
        <v>2014</v>
      </c>
      <c r="E73" s="39">
        <v>2050</v>
      </c>
      <c r="F73" s="38">
        <v>1</v>
      </c>
      <c r="G73" s="38">
        <v>13</v>
      </c>
      <c r="H73" s="38">
        <v>0</v>
      </c>
      <c r="I73" s="38">
        <v>0</v>
      </c>
      <c r="J73" s="38">
        <v>0</v>
      </c>
      <c r="K73" s="39">
        <v>0.98</v>
      </c>
      <c r="L73" s="39">
        <v>4000</v>
      </c>
      <c r="M73" s="38">
        <v>3600</v>
      </c>
      <c r="N73" s="38">
        <v>0</v>
      </c>
      <c r="O73" s="38">
        <v>0</v>
      </c>
      <c r="P73" s="38" t="s">
        <v>13</v>
      </c>
      <c r="Q73" s="38">
        <v>1993</v>
      </c>
      <c r="R73" s="38">
        <v>1</v>
      </c>
      <c r="S73" s="38">
        <v>0</v>
      </c>
      <c r="T73" s="38">
        <v>-1.8E-3</v>
      </c>
      <c r="U73" s="38">
        <v>-1.2E-2</v>
      </c>
      <c r="V73" s="38">
        <v>0</v>
      </c>
      <c r="W73" s="38">
        <v>0</v>
      </c>
      <c r="X73" s="38" t="s">
        <v>859</v>
      </c>
      <c r="Y73" s="154"/>
      <c r="AA73" s="38"/>
      <c r="AB73" s="38"/>
      <c r="AC73" s="38"/>
      <c r="AD73" s="38"/>
    </row>
    <row r="74" spans="1:30">
      <c r="A74" s="38">
        <v>1</v>
      </c>
      <c r="B74" s="38">
        <v>5</v>
      </c>
      <c r="C74" s="38">
        <v>14</v>
      </c>
      <c r="D74" s="39">
        <v>2010</v>
      </c>
      <c r="E74" s="39">
        <v>2012</v>
      </c>
      <c r="F74" s="38">
        <v>1</v>
      </c>
      <c r="G74" s="38">
        <v>14</v>
      </c>
      <c r="H74" s="38">
        <v>0</v>
      </c>
      <c r="I74" s="38">
        <v>0</v>
      </c>
      <c r="J74" s="38">
        <v>0</v>
      </c>
      <c r="K74" s="39">
        <v>0.8</v>
      </c>
      <c r="L74" s="39">
        <v>3250</v>
      </c>
      <c r="M74" s="38">
        <v>2790</v>
      </c>
      <c r="N74" s="38">
        <v>0</v>
      </c>
      <c r="O74" s="38">
        <v>0</v>
      </c>
      <c r="P74" s="38" t="s">
        <v>13</v>
      </c>
      <c r="Q74" s="38">
        <v>1993</v>
      </c>
      <c r="R74" s="38">
        <v>1</v>
      </c>
      <c r="S74" s="38">
        <v>0</v>
      </c>
      <c r="T74" s="38">
        <v>-1.8E-3</v>
      </c>
      <c r="U74" s="38">
        <v>-1.2E-2</v>
      </c>
      <c r="V74" s="38">
        <v>0</v>
      </c>
      <c r="W74" s="38">
        <v>0</v>
      </c>
      <c r="X74" s="38" t="s">
        <v>24</v>
      </c>
      <c r="Y74" s="154">
        <v>2010</v>
      </c>
      <c r="Z74" s="38">
        <f t="shared" ref="Z74:Z78" si="4">K74</f>
        <v>0.8</v>
      </c>
      <c r="AA74" s="38">
        <f t="shared" ref="AA74:AA78" si="5">L74</f>
        <v>3250</v>
      </c>
      <c r="AB74" s="38"/>
      <c r="AC74" s="38"/>
      <c r="AD74" s="38"/>
    </row>
    <row r="75" spans="1:30">
      <c r="A75" s="38">
        <v>1</v>
      </c>
      <c r="B75" s="38">
        <v>5</v>
      </c>
      <c r="C75" s="38">
        <v>14</v>
      </c>
      <c r="D75" s="39">
        <v>2013</v>
      </c>
      <c r="E75" s="39">
        <v>2050</v>
      </c>
      <c r="F75" s="38">
        <v>1</v>
      </c>
      <c r="G75" s="38">
        <v>14</v>
      </c>
      <c r="H75" s="38">
        <v>0</v>
      </c>
      <c r="I75" s="38">
        <v>0</v>
      </c>
      <c r="J75" s="38">
        <v>0</v>
      </c>
      <c r="K75" s="39">
        <v>0.83</v>
      </c>
      <c r="L75" s="39">
        <v>3500</v>
      </c>
      <c r="M75" s="38">
        <v>3020</v>
      </c>
      <c r="N75" s="38">
        <v>0</v>
      </c>
      <c r="O75" s="38">
        <v>0</v>
      </c>
      <c r="P75" s="38" t="s">
        <v>13</v>
      </c>
      <c r="Q75" s="38">
        <v>1993</v>
      </c>
      <c r="R75" s="38">
        <v>1</v>
      </c>
      <c r="S75" s="38">
        <v>0</v>
      </c>
      <c r="T75" s="38">
        <v>-1.8E-3</v>
      </c>
      <c r="U75" s="38">
        <v>-1.2E-2</v>
      </c>
      <c r="V75" s="38">
        <v>0</v>
      </c>
      <c r="W75" s="38">
        <v>0</v>
      </c>
      <c r="X75" s="38" t="s">
        <v>24</v>
      </c>
      <c r="Y75" s="154">
        <v>2015</v>
      </c>
      <c r="Z75" s="38">
        <f t="shared" si="4"/>
        <v>0.83</v>
      </c>
      <c r="AA75" s="38">
        <f t="shared" si="5"/>
        <v>3500</v>
      </c>
      <c r="AB75" s="38"/>
      <c r="AC75" s="38"/>
      <c r="AD75" s="38"/>
    </row>
    <row r="76" spans="1:30">
      <c r="A76" s="38">
        <v>1</v>
      </c>
      <c r="B76" s="38">
        <v>5</v>
      </c>
      <c r="C76" s="38">
        <v>15</v>
      </c>
      <c r="D76" s="39">
        <v>2010</v>
      </c>
      <c r="E76" s="39">
        <v>2050</v>
      </c>
      <c r="F76" s="38">
        <v>1</v>
      </c>
      <c r="G76" s="38">
        <v>15</v>
      </c>
      <c r="H76" s="38">
        <v>0</v>
      </c>
      <c r="I76" s="38">
        <v>0</v>
      </c>
      <c r="J76" s="38">
        <v>0</v>
      </c>
      <c r="K76" s="39">
        <v>0.85</v>
      </c>
      <c r="L76" s="39">
        <v>3750</v>
      </c>
      <c r="M76" s="38">
        <v>3250</v>
      </c>
      <c r="N76" s="38">
        <v>0</v>
      </c>
      <c r="O76" s="38">
        <v>0</v>
      </c>
      <c r="P76" s="38" t="s">
        <v>13</v>
      </c>
      <c r="Q76" s="38">
        <v>1993</v>
      </c>
      <c r="R76" s="38">
        <v>1</v>
      </c>
      <c r="S76" s="38">
        <v>0</v>
      </c>
      <c r="T76" s="38">
        <v>-1.8E-3</v>
      </c>
      <c r="U76" s="38">
        <v>-1.2E-2</v>
      </c>
      <c r="V76" s="38">
        <v>0</v>
      </c>
      <c r="W76" s="38">
        <v>0</v>
      </c>
      <c r="X76" s="38" t="s">
        <v>25</v>
      </c>
      <c r="Y76" s="154">
        <v>2010</v>
      </c>
      <c r="Z76" s="38">
        <f t="shared" si="4"/>
        <v>0.85</v>
      </c>
      <c r="AA76" s="38">
        <f t="shared" si="5"/>
        <v>3750</v>
      </c>
      <c r="AB76" s="38"/>
      <c r="AC76" s="38"/>
      <c r="AD76" s="38"/>
    </row>
    <row r="77" spans="1:30">
      <c r="A77" s="38">
        <v>1</v>
      </c>
      <c r="B77" s="38">
        <v>5</v>
      </c>
      <c r="C77" s="38">
        <v>16</v>
      </c>
      <c r="D77" s="39">
        <v>2010</v>
      </c>
      <c r="E77" s="39">
        <v>2010</v>
      </c>
      <c r="F77" s="38">
        <v>1</v>
      </c>
      <c r="G77" s="38">
        <v>16</v>
      </c>
      <c r="H77" s="38">
        <v>0</v>
      </c>
      <c r="I77" s="38">
        <v>0</v>
      </c>
      <c r="J77" s="38">
        <v>0</v>
      </c>
      <c r="K77" s="39">
        <v>0.98</v>
      </c>
      <c r="L77" s="39">
        <v>4750</v>
      </c>
      <c r="M77" s="38">
        <v>4250</v>
      </c>
      <c r="N77" s="38">
        <v>1425</v>
      </c>
      <c r="O77" s="38">
        <v>855</v>
      </c>
      <c r="P77" s="38" t="s">
        <v>13</v>
      </c>
      <c r="Q77" s="38">
        <v>1993</v>
      </c>
      <c r="R77" s="38">
        <v>1</v>
      </c>
      <c r="S77" s="38">
        <v>0</v>
      </c>
      <c r="T77" s="38">
        <v>-1.8E-3</v>
      </c>
      <c r="U77" s="38">
        <v>-1.2E-2</v>
      </c>
      <c r="V77" s="38">
        <v>0</v>
      </c>
      <c r="W77" s="38">
        <v>0</v>
      </c>
      <c r="X77" s="38" t="s">
        <v>26</v>
      </c>
      <c r="Y77" s="154"/>
      <c r="AA77" s="38"/>
      <c r="AB77" s="38"/>
      <c r="AC77" s="38"/>
      <c r="AD77" s="38"/>
    </row>
    <row r="78" spans="1:30">
      <c r="A78" s="38">
        <v>1</v>
      </c>
      <c r="B78" s="38">
        <v>5</v>
      </c>
      <c r="C78" s="38">
        <v>16</v>
      </c>
      <c r="D78" s="39">
        <v>2011</v>
      </c>
      <c r="E78" s="39">
        <v>2011</v>
      </c>
      <c r="F78" s="38">
        <v>1</v>
      </c>
      <c r="G78" s="38">
        <v>16</v>
      </c>
      <c r="H78" s="38">
        <v>0</v>
      </c>
      <c r="I78" s="38">
        <v>0</v>
      </c>
      <c r="J78" s="38">
        <v>0</v>
      </c>
      <c r="K78" s="39">
        <v>0.98</v>
      </c>
      <c r="L78" s="39">
        <v>4750</v>
      </c>
      <c r="M78" s="38">
        <v>4250</v>
      </c>
      <c r="N78" s="38">
        <v>150</v>
      </c>
      <c r="O78" s="38">
        <v>90</v>
      </c>
      <c r="P78" s="38" t="s">
        <v>13</v>
      </c>
      <c r="Q78" s="38">
        <v>1993</v>
      </c>
      <c r="R78" s="38">
        <v>1</v>
      </c>
      <c r="S78" s="38">
        <v>0</v>
      </c>
      <c r="T78" s="38">
        <v>-1.8E-3</v>
      </c>
      <c r="U78" s="38">
        <v>-1.2E-2</v>
      </c>
      <c r="V78" s="38">
        <v>0</v>
      </c>
      <c r="W78" s="38">
        <v>0</v>
      </c>
      <c r="X78" s="38" t="s">
        <v>26</v>
      </c>
      <c r="Y78" s="154">
        <v>2010</v>
      </c>
      <c r="Z78" s="38">
        <f t="shared" si="4"/>
        <v>0.98</v>
      </c>
      <c r="AA78" s="38">
        <f t="shared" si="5"/>
        <v>4750</v>
      </c>
      <c r="AB78" s="38"/>
      <c r="AC78" s="38"/>
      <c r="AD78" s="38"/>
    </row>
    <row r="79" spans="1:30">
      <c r="A79" s="38">
        <v>1</v>
      </c>
      <c r="B79" s="38">
        <v>5</v>
      </c>
      <c r="C79" s="38">
        <v>16</v>
      </c>
      <c r="D79" s="39">
        <v>2012</v>
      </c>
      <c r="E79" s="39">
        <v>2050</v>
      </c>
      <c r="F79" s="38">
        <v>1</v>
      </c>
      <c r="G79" s="38">
        <v>16</v>
      </c>
      <c r="H79" s="38">
        <v>0</v>
      </c>
      <c r="I79" s="38">
        <v>0</v>
      </c>
      <c r="J79" s="38">
        <v>0</v>
      </c>
      <c r="K79" s="39">
        <v>0.98</v>
      </c>
      <c r="L79" s="39">
        <v>4750</v>
      </c>
      <c r="M79" s="38">
        <v>4250</v>
      </c>
      <c r="N79" s="38">
        <v>0</v>
      </c>
      <c r="O79" s="38">
        <v>0</v>
      </c>
      <c r="P79" s="38" t="s">
        <v>13</v>
      </c>
      <c r="Q79" s="38">
        <v>1993</v>
      </c>
      <c r="R79" s="38">
        <v>1</v>
      </c>
      <c r="S79" s="38">
        <v>0</v>
      </c>
      <c r="T79" s="38">
        <v>-1.8E-3</v>
      </c>
      <c r="U79" s="38">
        <v>-1.2E-2</v>
      </c>
      <c r="V79" s="38">
        <v>0</v>
      </c>
      <c r="W79" s="38">
        <v>0</v>
      </c>
      <c r="X79" s="38" t="s">
        <v>26</v>
      </c>
      <c r="Y79" s="154"/>
      <c r="AA79" s="38"/>
      <c r="AB79" s="38"/>
      <c r="AC79" s="38"/>
      <c r="AD79" s="38"/>
    </row>
    <row r="80" spans="1:30">
      <c r="A80" s="38">
        <v>1</v>
      </c>
      <c r="B80" s="38">
        <v>6</v>
      </c>
      <c r="C80" s="38">
        <v>17</v>
      </c>
      <c r="D80" s="39">
        <v>2010</v>
      </c>
      <c r="E80" s="39">
        <v>2012</v>
      </c>
      <c r="F80" s="38">
        <v>1</v>
      </c>
      <c r="G80" s="38">
        <v>17</v>
      </c>
      <c r="H80" s="38">
        <v>0</v>
      </c>
      <c r="I80" s="38">
        <v>0</v>
      </c>
      <c r="J80" s="38">
        <v>0</v>
      </c>
      <c r="K80" s="39">
        <v>0.78</v>
      </c>
      <c r="L80" s="39">
        <v>2500</v>
      </c>
      <c r="M80" s="38">
        <v>1800</v>
      </c>
      <c r="N80" s="38">
        <v>0</v>
      </c>
      <c r="O80" s="38">
        <v>0</v>
      </c>
      <c r="P80" s="38" t="s">
        <v>13</v>
      </c>
      <c r="Q80" s="38">
        <v>1993</v>
      </c>
      <c r="R80" s="38">
        <v>1</v>
      </c>
      <c r="S80" s="38">
        <v>0</v>
      </c>
      <c r="T80" s="38">
        <v>-1.8E-3</v>
      </c>
      <c r="U80" s="38">
        <v>-1.2E-2</v>
      </c>
      <c r="V80" s="38">
        <v>0</v>
      </c>
      <c r="W80" s="38">
        <v>0</v>
      </c>
      <c r="X80" s="38" t="s">
        <v>27</v>
      </c>
      <c r="Y80" s="154">
        <v>2010</v>
      </c>
      <c r="Z80" s="38">
        <f t="shared" ref="Z80:Z94" si="6">K80</f>
        <v>0.78</v>
      </c>
      <c r="AA80" s="38">
        <f t="shared" ref="AA80:AA94" si="7">L80</f>
        <v>2500</v>
      </c>
      <c r="AB80" s="38"/>
      <c r="AC80" s="38"/>
      <c r="AD80" s="38"/>
    </row>
    <row r="81" spans="1:54" ht="14.25">
      <c r="A81" s="38">
        <v>1</v>
      </c>
      <c r="B81" s="38">
        <v>6</v>
      </c>
      <c r="C81" s="38">
        <v>17</v>
      </c>
      <c r="D81" s="39">
        <v>2013</v>
      </c>
      <c r="E81" s="39">
        <v>2050</v>
      </c>
      <c r="F81" s="38">
        <v>1</v>
      </c>
      <c r="G81" s="38">
        <v>17</v>
      </c>
      <c r="H81" s="38">
        <v>0</v>
      </c>
      <c r="I81" s="38">
        <v>0</v>
      </c>
      <c r="J81" s="38">
        <v>0</v>
      </c>
      <c r="K81" s="39">
        <v>0.8</v>
      </c>
      <c r="L81" s="39">
        <v>2500</v>
      </c>
      <c r="M81" s="38">
        <v>1800</v>
      </c>
      <c r="N81" s="38">
        <v>0</v>
      </c>
      <c r="O81" s="38">
        <v>0</v>
      </c>
      <c r="P81" s="38" t="s">
        <v>13</v>
      </c>
      <c r="Q81" s="38">
        <v>1993</v>
      </c>
      <c r="R81" s="38">
        <v>1</v>
      </c>
      <c r="S81" s="38">
        <v>0</v>
      </c>
      <c r="T81" s="38">
        <v>-1</v>
      </c>
      <c r="U81" s="38">
        <v>-1</v>
      </c>
      <c r="V81" s="38">
        <v>0</v>
      </c>
      <c r="W81" s="38">
        <v>0</v>
      </c>
      <c r="X81" s="38" t="s">
        <v>27</v>
      </c>
      <c r="AA81" s="38"/>
      <c r="AB81" s="38"/>
      <c r="AC81" s="38"/>
      <c r="AD81" s="38"/>
      <c r="AE81" s="55"/>
      <c r="AF81" s="55"/>
      <c r="AG81" s="55"/>
      <c r="AH81" s="55"/>
      <c r="AI81" s="55"/>
      <c r="AJ81" s="55"/>
      <c r="AK81" s="55"/>
      <c r="AL81" s="55"/>
      <c r="AM81" s="55"/>
      <c r="AN81" s="55"/>
      <c r="AO81" s="55"/>
      <c r="AP81" s="55"/>
      <c r="AQ81" s="55"/>
      <c r="AR81" s="55"/>
      <c r="AS81" s="55"/>
      <c r="AT81" s="55"/>
      <c r="AU81" s="55"/>
      <c r="AV81" s="55"/>
      <c r="AW81" s="55"/>
      <c r="AX81" s="55"/>
      <c r="AY81" s="55"/>
      <c r="AZ81" s="55"/>
      <c r="BA81" s="55"/>
      <c r="BB81" s="55"/>
    </row>
    <row r="82" spans="1:54">
      <c r="A82" s="38">
        <v>1</v>
      </c>
      <c r="B82" s="38">
        <v>6</v>
      </c>
      <c r="C82" s="38">
        <v>18</v>
      </c>
      <c r="D82" s="39">
        <v>2010</v>
      </c>
      <c r="E82" s="39">
        <v>2012</v>
      </c>
      <c r="F82" s="38">
        <v>1</v>
      </c>
      <c r="G82" s="38">
        <v>18</v>
      </c>
      <c r="H82" s="38">
        <v>0</v>
      </c>
      <c r="I82" s="38">
        <v>0</v>
      </c>
      <c r="J82" s="38">
        <v>0</v>
      </c>
      <c r="K82" s="39">
        <v>0.8</v>
      </c>
      <c r="L82" s="39">
        <v>2500</v>
      </c>
      <c r="M82" s="38">
        <v>1800</v>
      </c>
      <c r="N82" s="38">
        <v>0</v>
      </c>
      <c r="O82" s="38">
        <v>0</v>
      </c>
      <c r="P82" s="38" t="s">
        <v>13</v>
      </c>
      <c r="Q82" s="38">
        <v>1993</v>
      </c>
      <c r="R82" s="38">
        <v>1</v>
      </c>
      <c r="S82" s="38">
        <v>0</v>
      </c>
      <c r="T82" s="38">
        <v>-1.8E-3</v>
      </c>
      <c r="U82" s="38">
        <v>-1.2E-2</v>
      </c>
      <c r="V82" s="38">
        <v>0</v>
      </c>
      <c r="W82" s="38">
        <v>0</v>
      </c>
      <c r="X82" s="38" t="s">
        <v>28</v>
      </c>
      <c r="Y82" s="154">
        <v>2010</v>
      </c>
      <c r="Z82" s="38">
        <f t="shared" si="6"/>
        <v>0.8</v>
      </c>
      <c r="AA82" s="38">
        <f t="shared" si="7"/>
        <v>2500</v>
      </c>
      <c r="AB82" s="38"/>
      <c r="AC82" s="38"/>
      <c r="AD82" s="38"/>
    </row>
    <row r="83" spans="1:54" ht="14.25">
      <c r="A83" s="38">
        <v>1</v>
      </c>
      <c r="B83" s="38">
        <v>6</v>
      </c>
      <c r="C83" s="38">
        <v>18</v>
      </c>
      <c r="D83" s="39">
        <v>2013</v>
      </c>
      <c r="E83" s="39">
        <v>2050</v>
      </c>
      <c r="F83" s="38">
        <v>1</v>
      </c>
      <c r="G83" s="38">
        <v>18</v>
      </c>
      <c r="H83" s="38">
        <v>0</v>
      </c>
      <c r="I83" s="38">
        <v>0</v>
      </c>
      <c r="J83" s="38">
        <v>0</v>
      </c>
      <c r="K83" s="39">
        <v>0.8</v>
      </c>
      <c r="L83" s="39">
        <v>2500</v>
      </c>
      <c r="M83" s="38">
        <v>1800</v>
      </c>
      <c r="N83" s="38">
        <v>0</v>
      </c>
      <c r="O83" s="38">
        <v>0</v>
      </c>
      <c r="P83" s="38" t="s">
        <v>13</v>
      </c>
      <c r="Q83" s="38">
        <v>1993</v>
      </c>
      <c r="R83" s="38">
        <v>1</v>
      </c>
      <c r="S83" s="38">
        <v>0</v>
      </c>
      <c r="T83" s="38">
        <v>-1.8E-3</v>
      </c>
      <c r="U83" s="38">
        <v>-1.2E-2</v>
      </c>
      <c r="V83" s="38">
        <v>0</v>
      </c>
      <c r="W83" s="38">
        <v>0</v>
      </c>
      <c r="X83" s="38" t="s">
        <v>28</v>
      </c>
      <c r="Y83" s="154"/>
      <c r="AA83" s="38"/>
      <c r="AB83" s="38"/>
      <c r="AC83" s="38"/>
      <c r="AD83" s="38"/>
      <c r="AE83" s="55"/>
      <c r="AF83" s="55"/>
      <c r="AG83" s="55"/>
      <c r="AH83" s="55"/>
      <c r="AI83" s="55"/>
      <c r="AJ83" s="55"/>
      <c r="AK83" s="55"/>
      <c r="AL83" s="55"/>
      <c r="AM83" s="55"/>
      <c r="AN83" s="55"/>
      <c r="AO83" s="55"/>
      <c r="AP83" s="55"/>
      <c r="AQ83" s="55"/>
      <c r="AR83" s="55"/>
      <c r="AS83" s="55"/>
      <c r="AT83" s="55"/>
      <c r="AU83" s="55"/>
      <c r="AV83" s="55"/>
      <c r="AW83" s="55"/>
      <c r="AX83" s="55"/>
      <c r="AY83" s="55"/>
      <c r="AZ83" s="55"/>
      <c r="BA83" s="55"/>
      <c r="BB83" s="55"/>
    </row>
    <row r="84" spans="1:54">
      <c r="A84" s="38">
        <v>1</v>
      </c>
      <c r="B84" s="38">
        <v>6</v>
      </c>
      <c r="C84" s="38">
        <v>19</v>
      </c>
      <c r="D84" s="39">
        <v>2010</v>
      </c>
      <c r="E84" s="39">
        <v>2010</v>
      </c>
      <c r="F84" s="38">
        <v>1</v>
      </c>
      <c r="G84" s="38">
        <v>19</v>
      </c>
      <c r="H84" s="38">
        <v>0</v>
      </c>
      <c r="I84" s="38">
        <v>0</v>
      </c>
      <c r="J84" s="38">
        <v>0</v>
      </c>
      <c r="K84" s="39">
        <v>0.9</v>
      </c>
      <c r="L84" s="39">
        <v>2750</v>
      </c>
      <c r="M84" s="38">
        <v>2330</v>
      </c>
      <c r="N84" s="38">
        <v>825</v>
      </c>
      <c r="O84" s="38">
        <v>495</v>
      </c>
      <c r="P84" s="38" t="s">
        <v>13</v>
      </c>
      <c r="Q84" s="38">
        <v>1993</v>
      </c>
      <c r="R84" s="38">
        <v>1</v>
      </c>
      <c r="S84" s="38">
        <v>0</v>
      </c>
      <c r="T84" s="38">
        <v>-1.8E-3</v>
      </c>
      <c r="U84" s="38">
        <v>-1.2E-2</v>
      </c>
      <c r="V84" s="38">
        <v>0</v>
      </c>
      <c r="W84" s="38">
        <v>0</v>
      </c>
      <c r="X84" s="38" t="s">
        <v>29</v>
      </c>
      <c r="Y84" s="154">
        <v>2010</v>
      </c>
      <c r="Z84" s="38">
        <f>K84</f>
        <v>0.9</v>
      </c>
      <c r="AA84" s="38"/>
      <c r="AB84" s="38"/>
      <c r="AC84" s="38"/>
      <c r="AD84" s="38"/>
    </row>
    <row r="85" spans="1:54">
      <c r="A85" s="38">
        <v>1</v>
      </c>
      <c r="B85" s="38">
        <v>6</v>
      </c>
      <c r="C85" s="38">
        <v>19</v>
      </c>
      <c r="D85" s="39">
        <v>2011</v>
      </c>
      <c r="E85" s="39">
        <v>2050</v>
      </c>
      <c r="F85" s="38">
        <v>1</v>
      </c>
      <c r="G85" s="38">
        <v>19</v>
      </c>
      <c r="H85" s="38">
        <v>0</v>
      </c>
      <c r="I85" s="38">
        <v>0</v>
      </c>
      <c r="J85" s="38">
        <v>0</v>
      </c>
      <c r="K85" s="39">
        <v>0.9</v>
      </c>
      <c r="L85" s="39">
        <v>2750</v>
      </c>
      <c r="M85" s="38">
        <v>2330</v>
      </c>
      <c r="N85" s="38">
        <v>0</v>
      </c>
      <c r="O85" s="38">
        <v>0</v>
      </c>
      <c r="P85" s="38" t="s">
        <v>13</v>
      </c>
      <c r="Q85" s="38">
        <v>1993</v>
      </c>
      <c r="R85" s="38">
        <v>1</v>
      </c>
      <c r="S85" s="38">
        <v>0</v>
      </c>
      <c r="T85" s="38">
        <v>-1.8E-3</v>
      </c>
      <c r="U85" s="38">
        <v>-1.2E-2</v>
      </c>
      <c r="V85" s="38">
        <v>0</v>
      </c>
      <c r="W85" s="38">
        <v>0</v>
      </c>
      <c r="X85" s="38" t="s">
        <v>29</v>
      </c>
      <c r="Y85" s="154"/>
      <c r="AA85" s="38"/>
      <c r="AB85" s="38"/>
      <c r="AC85" s="38"/>
      <c r="AD85" s="38"/>
    </row>
    <row r="86" spans="1:54">
      <c r="A86" s="38">
        <v>1</v>
      </c>
      <c r="B86" s="38">
        <v>6</v>
      </c>
      <c r="C86" s="38">
        <v>20</v>
      </c>
      <c r="D86" s="39">
        <v>2010</v>
      </c>
      <c r="E86" s="39">
        <v>2010</v>
      </c>
      <c r="F86" s="38">
        <v>1</v>
      </c>
      <c r="G86" s="38">
        <v>20</v>
      </c>
      <c r="H86" s="38">
        <v>0</v>
      </c>
      <c r="I86" s="38">
        <v>0</v>
      </c>
      <c r="J86" s="38">
        <v>0</v>
      </c>
      <c r="K86" s="39">
        <v>0.95</v>
      </c>
      <c r="L86" s="39">
        <v>3200</v>
      </c>
      <c r="M86" s="38">
        <v>2800</v>
      </c>
      <c r="N86" s="38">
        <v>960</v>
      </c>
      <c r="O86" s="38">
        <v>576</v>
      </c>
      <c r="P86" s="38" t="s">
        <v>13</v>
      </c>
      <c r="Q86" s="38">
        <v>1993</v>
      </c>
      <c r="R86" s="38">
        <v>1</v>
      </c>
      <c r="S86" s="38">
        <v>0</v>
      </c>
      <c r="T86" s="38">
        <v>-1.8E-3</v>
      </c>
      <c r="U86" s="38">
        <v>-1.2E-2</v>
      </c>
      <c r="V86" s="38">
        <v>0</v>
      </c>
      <c r="W86" s="38">
        <v>0</v>
      </c>
      <c r="X86" s="38" t="s">
        <v>30</v>
      </c>
      <c r="Y86" s="154"/>
      <c r="AA86" s="38"/>
      <c r="AB86" s="38"/>
      <c r="AC86" s="38"/>
      <c r="AD86" s="38"/>
    </row>
    <row r="87" spans="1:54">
      <c r="A87" s="38">
        <v>1</v>
      </c>
      <c r="B87" s="38">
        <v>6</v>
      </c>
      <c r="C87" s="38">
        <v>20</v>
      </c>
      <c r="D87" s="39">
        <v>2011</v>
      </c>
      <c r="E87" s="39">
        <v>2011</v>
      </c>
      <c r="F87" s="38">
        <v>1</v>
      </c>
      <c r="G87" s="38">
        <v>20</v>
      </c>
      <c r="H87" s="38">
        <v>0</v>
      </c>
      <c r="I87" s="38">
        <v>0</v>
      </c>
      <c r="J87" s="38">
        <v>0</v>
      </c>
      <c r="K87" s="39">
        <v>0.95</v>
      </c>
      <c r="L87" s="39">
        <v>3200</v>
      </c>
      <c r="M87" s="38">
        <v>2800</v>
      </c>
      <c r="N87" s="38">
        <v>150</v>
      </c>
      <c r="O87" s="38">
        <v>90</v>
      </c>
      <c r="P87" s="38" t="s">
        <v>13</v>
      </c>
      <c r="Q87" s="38">
        <v>1993</v>
      </c>
      <c r="R87" s="38">
        <v>1</v>
      </c>
      <c r="S87" s="38">
        <v>0</v>
      </c>
      <c r="T87" s="38">
        <v>-1.8E-3</v>
      </c>
      <c r="U87" s="38">
        <v>-1.2E-2</v>
      </c>
      <c r="V87" s="38">
        <v>0</v>
      </c>
      <c r="W87" s="38">
        <v>0</v>
      </c>
      <c r="X87" s="38" t="s">
        <v>30</v>
      </c>
      <c r="Y87" s="154">
        <v>2010</v>
      </c>
      <c r="Z87" s="38">
        <f t="shared" si="6"/>
        <v>0.95</v>
      </c>
      <c r="AA87" s="38">
        <f t="shared" si="7"/>
        <v>3200</v>
      </c>
      <c r="AB87" s="38"/>
      <c r="AC87" s="38"/>
      <c r="AD87" s="38"/>
    </row>
    <row r="88" spans="1:54">
      <c r="A88" s="38">
        <v>1</v>
      </c>
      <c r="B88" s="38">
        <v>6</v>
      </c>
      <c r="C88" s="38">
        <v>20</v>
      </c>
      <c r="D88" s="39">
        <v>2012</v>
      </c>
      <c r="E88" s="39">
        <v>2012</v>
      </c>
      <c r="F88" s="38">
        <v>1</v>
      </c>
      <c r="G88" s="38">
        <v>20</v>
      </c>
      <c r="H88" s="38">
        <v>0</v>
      </c>
      <c r="I88" s="38">
        <v>0</v>
      </c>
      <c r="J88" s="38">
        <v>0</v>
      </c>
      <c r="K88" s="39">
        <v>0.95</v>
      </c>
      <c r="L88" s="39">
        <v>3200</v>
      </c>
      <c r="M88" s="38">
        <v>2800</v>
      </c>
      <c r="N88" s="38">
        <v>0</v>
      </c>
      <c r="O88" s="38">
        <v>0</v>
      </c>
      <c r="P88" s="38" t="s">
        <v>13</v>
      </c>
      <c r="Q88" s="38">
        <v>1993</v>
      </c>
      <c r="R88" s="38">
        <v>1</v>
      </c>
      <c r="S88" s="38">
        <v>0</v>
      </c>
      <c r="T88" s="38">
        <v>-1.8E-3</v>
      </c>
      <c r="U88" s="38">
        <v>-1.2E-2</v>
      </c>
      <c r="V88" s="38">
        <v>0</v>
      </c>
      <c r="W88" s="38">
        <v>0</v>
      </c>
      <c r="X88" s="38" t="s">
        <v>30</v>
      </c>
      <c r="Y88" s="154"/>
      <c r="AA88" s="38"/>
      <c r="AB88" s="38"/>
      <c r="AC88" s="38"/>
      <c r="AD88" s="38"/>
    </row>
    <row r="89" spans="1:54">
      <c r="A89" s="38">
        <v>1</v>
      </c>
      <c r="B89" s="38">
        <v>6</v>
      </c>
      <c r="C89" s="38">
        <v>20</v>
      </c>
      <c r="D89" s="39">
        <v>2013</v>
      </c>
      <c r="E89" s="39">
        <v>2013</v>
      </c>
      <c r="F89" s="38">
        <v>1</v>
      </c>
      <c r="G89" s="38">
        <v>20</v>
      </c>
      <c r="H89" s="38">
        <v>0</v>
      </c>
      <c r="I89" s="38">
        <v>0</v>
      </c>
      <c r="J89" s="38">
        <v>0</v>
      </c>
      <c r="K89" s="39">
        <v>0.95</v>
      </c>
      <c r="L89" s="39">
        <v>3200</v>
      </c>
      <c r="M89" s="38">
        <v>2800</v>
      </c>
      <c r="N89" s="38">
        <v>150</v>
      </c>
      <c r="O89" s="38">
        <v>90</v>
      </c>
      <c r="P89" s="38" t="s">
        <v>13</v>
      </c>
      <c r="Q89" s="38">
        <v>1993</v>
      </c>
      <c r="R89" s="38">
        <v>1</v>
      </c>
      <c r="S89" s="38">
        <v>0</v>
      </c>
      <c r="T89" s="38">
        <v>-1.8E-3</v>
      </c>
      <c r="U89" s="38">
        <v>-1.2E-2</v>
      </c>
      <c r="V89" s="38">
        <v>0</v>
      </c>
      <c r="W89" s="38">
        <v>0</v>
      </c>
      <c r="X89" s="38" t="s">
        <v>30</v>
      </c>
      <c r="Y89" s="154"/>
      <c r="AA89" s="38"/>
      <c r="AB89" s="38"/>
      <c r="AC89" s="38"/>
      <c r="AD89" s="38"/>
    </row>
    <row r="90" spans="1:54">
      <c r="A90" s="38">
        <v>1</v>
      </c>
      <c r="B90" s="38">
        <v>6</v>
      </c>
      <c r="C90" s="38">
        <v>20</v>
      </c>
      <c r="D90" s="39">
        <v>2014</v>
      </c>
      <c r="E90" s="39">
        <v>2050</v>
      </c>
      <c r="F90" s="38">
        <v>1</v>
      </c>
      <c r="G90" s="38">
        <v>20</v>
      </c>
      <c r="H90" s="38">
        <v>0</v>
      </c>
      <c r="I90" s="38">
        <v>0</v>
      </c>
      <c r="J90" s="38">
        <v>0</v>
      </c>
      <c r="K90" s="39">
        <v>0.95</v>
      </c>
      <c r="L90" s="39">
        <v>3200</v>
      </c>
      <c r="M90" s="38">
        <v>2800</v>
      </c>
      <c r="N90" s="38">
        <v>0</v>
      </c>
      <c r="O90" s="38">
        <v>0</v>
      </c>
      <c r="P90" s="38" t="s">
        <v>13</v>
      </c>
      <c r="Q90" s="38">
        <v>1993</v>
      </c>
      <c r="R90" s="38">
        <v>1</v>
      </c>
      <c r="S90" s="38">
        <v>0</v>
      </c>
      <c r="T90" s="38">
        <v>-1.8E-3</v>
      </c>
      <c r="U90" s="38">
        <v>-1.2E-2</v>
      </c>
      <c r="V90" s="38">
        <v>0</v>
      </c>
      <c r="W90" s="38">
        <v>0</v>
      </c>
      <c r="X90" s="38" t="s">
        <v>30</v>
      </c>
      <c r="Y90" s="154"/>
      <c r="AA90" s="38"/>
      <c r="AB90" s="38"/>
      <c r="AC90" s="38"/>
      <c r="AD90" s="38"/>
    </row>
    <row r="91" spans="1:54" ht="14.25">
      <c r="A91" s="38">
        <v>1</v>
      </c>
      <c r="B91" s="38">
        <v>6</v>
      </c>
      <c r="C91" s="38">
        <v>21</v>
      </c>
      <c r="D91" s="39">
        <v>2010</v>
      </c>
      <c r="E91" s="39">
        <v>2010</v>
      </c>
      <c r="F91" s="38">
        <v>1</v>
      </c>
      <c r="G91" s="38">
        <v>21</v>
      </c>
      <c r="H91" s="38">
        <v>0</v>
      </c>
      <c r="I91" s="38">
        <v>0</v>
      </c>
      <c r="J91" s="38">
        <v>0</v>
      </c>
      <c r="K91" s="39">
        <v>0.98</v>
      </c>
      <c r="L91" s="39">
        <v>3750</v>
      </c>
      <c r="M91" s="38">
        <v>3330</v>
      </c>
      <c r="N91" s="38">
        <v>1125</v>
      </c>
      <c r="O91" s="38">
        <v>675</v>
      </c>
      <c r="P91" s="38" t="s">
        <v>13</v>
      </c>
      <c r="Q91" s="38">
        <v>1993</v>
      </c>
      <c r="R91" s="38">
        <v>1</v>
      </c>
      <c r="S91" s="38">
        <v>0</v>
      </c>
      <c r="T91" s="38">
        <v>-1.8E-3</v>
      </c>
      <c r="U91" s="38">
        <v>-1.2E-2</v>
      </c>
      <c r="V91" s="38">
        <v>0</v>
      </c>
      <c r="W91" s="38">
        <v>0</v>
      </c>
      <c r="X91" s="38" t="s">
        <v>31</v>
      </c>
      <c r="Y91" s="154"/>
      <c r="AA91" s="38"/>
      <c r="AB91" s="38"/>
      <c r="AC91" s="38"/>
      <c r="AD91" s="38"/>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row>
    <row r="92" spans="1:54">
      <c r="A92" s="38">
        <v>1</v>
      </c>
      <c r="B92" s="38">
        <v>6</v>
      </c>
      <c r="C92" s="38">
        <v>21</v>
      </c>
      <c r="D92" s="39">
        <v>2011</v>
      </c>
      <c r="E92" s="39">
        <v>2011</v>
      </c>
      <c r="F92" s="38">
        <v>1</v>
      </c>
      <c r="G92" s="38">
        <v>21</v>
      </c>
      <c r="H92" s="38">
        <v>0</v>
      </c>
      <c r="I92" s="38">
        <v>0</v>
      </c>
      <c r="J92" s="38">
        <v>0</v>
      </c>
      <c r="K92" s="39">
        <v>0.98</v>
      </c>
      <c r="L92" s="39">
        <v>3750</v>
      </c>
      <c r="M92" s="38">
        <v>3330</v>
      </c>
      <c r="N92" s="38">
        <v>150</v>
      </c>
      <c r="O92" s="38">
        <v>90</v>
      </c>
      <c r="P92" s="38" t="s">
        <v>13</v>
      </c>
      <c r="Q92" s="38">
        <v>1993</v>
      </c>
      <c r="R92" s="38">
        <v>1</v>
      </c>
      <c r="S92" s="38">
        <v>0</v>
      </c>
      <c r="T92" s="38">
        <v>-1.8E-3</v>
      </c>
      <c r="U92" s="38">
        <v>-1.2E-2</v>
      </c>
      <c r="V92" s="38">
        <v>0</v>
      </c>
      <c r="W92" s="38">
        <v>0</v>
      </c>
      <c r="X92" s="38" t="s">
        <v>31</v>
      </c>
      <c r="Y92" s="154"/>
      <c r="AA92" s="38"/>
      <c r="AB92" s="38"/>
      <c r="AC92" s="38"/>
      <c r="AD92" s="38"/>
    </row>
    <row r="93" spans="1:54">
      <c r="A93" s="38">
        <v>1</v>
      </c>
      <c r="B93" s="38">
        <v>6</v>
      </c>
      <c r="C93" s="38">
        <v>21</v>
      </c>
      <c r="D93" s="39">
        <v>2012</v>
      </c>
      <c r="E93" s="39">
        <v>2012</v>
      </c>
      <c r="F93" s="38">
        <v>1</v>
      </c>
      <c r="G93" s="38">
        <v>21</v>
      </c>
      <c r="H93" s="38">
        <v>0</v>
      </c>
      <c r="I93" s="38">
        <v>0</v>
      </c>
      <c r="J93" s="38">
        <v>0</v>
      </c>
      <c r="K93" s="39">
        <v>0.98</v>
      </c>
      <c r="L93" s="39">
        <v>3750</v>
      </c>
      <c r="M93" s="38">
        <v>3330</v>
      </c>
      <c r="N93" s="38">
        <v>0</v>
      </c>
      <c r="O93" s="38">
        <v>0</v>
      </c>
      <c r="P93" s="38" t="s">
        <v>13</v>
      </c>
      <c r="Q93" s="38">
        <v>1993</v>
      </c>
      <c r="R93" s="38">
        <v>1</v>
      </c>
      <c r="S93" s="38">
        <v>0</v>
      </c>
      <c r="T93" s="38">
        <v>-1.8E-3</v>
      </c>
      <c r="U93" s="38">
        <v>-1.2E-2</v>
      </c>
      <c r="V93" s="38">
        <v>0</v>
      </c>
      <c r="W93" s="38">
        <v>0</v>
      </c>
      <c r="X93" s="38" t="s">
        <v>31</v>
      </c>
      <c r="Y93" s="154"/>
      <c r="AA93" s="38"/>
      <c r="AB93" s="38"/>
      <c r="AC93" s="38"/>
      <c r="AD93" s="38"/>
    </row>
    <row r="94" spans="1:54">
      <c r="A94" s="38">
        <v>1</v>
      </c>
      <c r="B94" s="38">
        <v>6</v>
      </c>
      <c r="C94" s="38">
        <v>21</v>
      </c>
      <c r="D94" s="39">
        <v>2013</v>
      </c>
      <c r="E94" s="39">
        <v>2013</v>
      </c>
      <c r="F94" s="38">
        <v>1</v>
      </c>
      <c r="G94" s="38">
        <v>21</v>
      </c>
      <c r="H94" s="38">
        <v>0</v>
      </c>
      <c r="I94" s="38">
        <v>0</v>
      </c>
      <c r="J94" s="38">
        <v>0</v>
      </c>
      <c r="K94" s="39">
        <v>0.98</v>
      </c>
      <c r="L94" s="39">
        <v>3750</v>
      </c>
      <c r="M94" s="38">
        <v>3330</v>
      </c>
      <c r="N94" s="38">
        <v>150</v>
      </c>
      <c r="O94" s="38">
        <v>90</v>
      </c>
      <c r="P94" s="38" t="s">
        <v>13</v>
      </c>
      <c r="Q94" s="38">
        <v>1993</v>
      </c>
      <c r="R94" s="38">
        <v>1</v>
      </c>
      <c r="S94" s="38">
        <v>0</v>
      </c>
      <c r="T94" s="38">
        <v>-1.8E-3</v>
      </c>
      <c r="U94" s="38">
        <v>-1.2E-2</v>
      </c>
      <c r="V94" s="38">
        <v>0</v>
      </c>
      <c r="W94" s="38">
        <v>0</v>
      </c>
      <c r="X94" s="38" t="s">
        <v>31</v>
      </c>
      <c r="Y94" s="154">
        <v>2010</v>
      </c>
      <c r="Z94" s="38">
        <f t="shared" si="6"/>
        <v>0.98</v>
      </c>
      <c r="AA94" s="38">
        <f t="shared" si="7"/>
        <v>3750</v>
      </c>
      <c r="AB94" s="38"/>
      <c r="AC94" s="38"/>
      <c r="AD94" s="38"/>
    </row>
    <row r="95" spans="1:54">
      <c r="A95" s="38">
        <v>1</v>
      </c>
      <c r="B95" s="38">
        <v>6</v>
      </c>
      <c r="C95" s="38">
        <v>21</v>
      </c>
      <c r="D95" s="39">
        <v>2014</v>
      </c>
      <c r="E95" s="39">
        <v>2019</v>
      </c>
      <c r="F95" s="38">
        <v>1</v>
      </c>
      <c r="G95" s="38">
        <v>21</v>
      </c>
      <c r="H95" s="38">
        <v>0</v>
      </c>
      <c r="I95" s="38">
        <v>0</v>
      </c>
      <c r="J95" s="38">
        <v>0</v>
      </c>
      <c r="K95" s="39">
        <v>0.98</v>
      </c>
      <c r="L95" s="39">
        <v>3750</v>
      </c>
      <c r="M95" s="38">
        <v>3330</v>
      </c>
      <c r="N95" s="38">
        <v>0</v>
      </c>
      <c r="O95" s="38">
        <v>0</v>
      </c>
      <c r="P95" s="38" t="s">
        <v>13</v>
      </c>
      <c r="Q95" s="38">
        <v>1993</v>
      </c>
      <c r="R95" s="38">
        <v>1</v>
      </c>
      <c r="S95" s="38">
        <v>0</v>
      </c>
      <c r="T95" s="38">
        <v>-1.8E-3</v>
      </c>
      <c r="U95" s="38">
        <v>-1.2E-2</v>
      </c>
      <c r="V95" s="38">
        <v>0</v>
      </c>
      <c r="W95" s="38">
        <v>0</v>
      </c>
      <c r="X95" s="38" t="s">
        <v>31</v>
      </c>
      <c r="Y95" s="154"/>
      <c r="AA95" s="38"/>
      <c r="AB95" s="38"/>
      <c r="AC95" s="38"/>
      <c r="AD95" s="38"/>
    </row>
    <row r="96" spans="1:54">
      <c r="A96" s="38">
        <v>1</v>
      </c>
      <c r="B96" s="38">
        <v>6</v>
      </c>
      <c r="C96" s="38">
        <v>21</v>
      </c>
      <c r="D96" s="39">
        <v>2020</v>
      </c>
      <c r="E96" s="39">
        <v>2029</v>
      </c>
      <c r="F96" s="38">
        <v>1</v>
      </c>
      <c r="G96" s="38">
        <v>21</v>
      </c>
      <c r="H96" s="38">
        <v>0</v>
      </c>
      <c r="I96" s="38">
        <v>0</v>
      </c>
      <c r="J96" s="38">
        <v>0</v>
      </c>
      <c r="K96" s="39">
        <v>0.98</v>
      </c>
      <c r="L96" s="39">
        <v>3750</v>
      </c>
      <c r="M96" s="38">
        <v>3330</v>
      </c>
      <c r="N96" s="38">
        <v>0</v>
      </c>
      <c r="O96" s="38">
        <v>0</v>
      </c>
      <c r="P96" s="38" t="s">
        <v>13</v>
      </c>
      <c r="Q96" s="38">
        <v>1993</v>
      </c>
      <c r="R96" s="38">
        <v>1</v>
      </c>
      <c r="S96" s="38">
        <v>0</v>
      </c>
      <c r="T96" s="38">
        <v>-1.8E-3</v>
      </c>
      <c r="U96" s="38">
        <v>-1.2E-2</v>
      </c>
      <c r="V96" s="38">
        <v>0</v>
      </c>
      <c r="W96" s="38">
        <v>0</v>
      </c>
      <c r="X96" s="38" t="s">
        <v>31</v>
      </c>
      <c r="Y96" s="154"/>
      <c r="AA96" s="38"/>
      <c r="AB96" s="38"/>
      <c r="AC96" s="38"/>
      <c r="AD96" s="38"/>
    </row>
    <row r="97" spans="1:30">
      <c r="A97" s="38">
        <v>1</v>
      </c>
      <c r="B97" s="38">
        <v>6</v>
      </c>
      <c r="C97" s="38">
        <v>21</v>
      </c>
      <c r="D97" s="39">
        <v>2030</v>
      </c>
      <c r="E97" s="39">
        <v>2050</v>
      </c>
      <c r="F97" s="38">
        <v>1</v>
      </c>
      <c r="G97" s="38">
        <v>21</v>
      </c>
      <c r="H97" s="38">
        <v>0</v>
      </c>
      <c r="I97" s="38">
        <v>0</v>
      </c>
      <c r="J97" s="38">
        <v>0</v>
      </c>
      <c r="K97" s="39">
        <v>0.98</v>
      </c>
      <c r="L97" s="39">
        <v>3750</v>
      </c>
      <c r="M97" s="38">
        <v>3330</v>
      </c>
      <c r="N97" s="38">
        <v>0</v>
      </c>
      <c r="O97" s="38">
        <v>0</v>
      </c>
      <c r="P97" s="38" t="s">
        <v>13</v>
      </c>
      <c r="Q97" s="38">
        <v>1993</v>
      </c>
      <c r="R97" s="38">
        <v>1</v>
      </c>
      <c r="S97" s="38">
        <v>0</v>
      </c>
      <c r="T97" s="38">
        <v>-1.8E-3</v>
      </c>
      <c r="U97" s="38">
        <v>-1.2E-2</v>
      </c>
      <c r="V97" s="38">
        <v>0</v>
      </c>
      <c r="W97" s="38">
        <v>0</v>
      </c>
      <c r="X97" s="38" t="s">
        <v>31</v>
      </c>
      <c r="Y97" s="154"/>
      <c r="AA97" s="38"/>
      <c r="AB97" s="38"/>
      <c r="AC97" s="38"/>
      <c r="AD97" s="38"/>
    </row>
    <row r="98" spans="1:30">
      <c r="A98" s="38">
        <v>1</v>
      </c>
      <c r="B98" s="38">
        <v>7</v>
      </c>
      <c r="C98" s="38">
        <v>22</v>
      </c>
      <c r="D98" s="39">
        <v>2010</v>
      </c>
      <c r="E98" s="39">
        <v>2012</v>
      </c>
      <c r="F98" s="38">
        <v>1</v>
      </c>
      <c r="G98" s="38">
        <v>22</v>
      </c>
      <c r="H98" s="38">
        <v>0</v>
      </c>
      <c r="I98" s="38">
        <v>0</v>
      </c>
      <c r="J98" s="38">
        <v>0</v>
      </c>
      <c r="K98" s="39">
        <v>0.8</v>
      </c>
      <c r="L98" s="39">
        <v>3250</v>
      </c>
      <c r="M98" s="38">
        <v>2790</v>
      </c>
      <c r="N98" s="38">
        <v>0</v>
      </c>
      <c r="O98" s="38">
        <v>0</v>
      </c>
      <c r="P98" s="38" t="s">
        <v>13</v>
      </c>
      <c r="Q98" s="38">
        <v>1993</v>
      </c>
      <c r="R98" s="38">
        <v>1</v>
      </c>
      <c r="S98" s="38">
        <v>0</v>
      </c>
      <c r="T98" s="38">
        <v>-1.8E-3</v>
      </c>
      <c r="U98" s="38">
        <v>-1.2E-2</v>
      </c>
      <c r="V98" s="38">
        <v>0</v>
      </c>
      <c r="W98" s="38">
        <v>0</v>
      </c>
      <c r="X98" s="38" t="s">
        <v>32</v>
      </c>
      <c r="Y98" s="154">
        <v>2010</v>
      </c>
      <c r="AA98" s="38"/>
      <c r="AB98" s="38"/>
      <c r="AC98" s="38"/>
      <c r="AD98" s="38"/>
    </row>
    <row r="99" spans="1:30">
      <c r="A99" s="38">
        <v>1</v>
      </c>
      <c r="B99" s="38">
        <v>7</v>
      </c>
      <c r="C99" s="38">
        <v>22</v>
      </c>
      <c r="D99" s="39">
        <v>2013</v>
      </c>
      <c r="E99" s="39">
        <v>2050</v>
      </c>
      <c r="F99" s="38">
        <v>1</v>
      </c>
      <c r="G99" s="38">
        <v>22</v>
      </c>
      <c r="H99" s="38">
        <v>0</v>
      </c>
      <c r="I99" s="38">
        <v>0</v>
      </c>
      <c r="J99" s="38">
        <v>0</v>
      </c>
      <c r="K99" s="39">
        <v>0.83</v>
      </c>
      <c r="L99" s="39">
        <v>3500</v>
      </c>
      <c r="M99" s="38">
        <v>3020</v>
      </c>
      <c r="N99" s="38">
        <v>0</v>
      </c>
      <c r="O99" s="38">
        <v>0</v>
      </c>
      <c r="P99" s="38" t="s">
        <v>13</v>
      </c>
      <c r="Q99" s="38">
        <v>1993</v>
      </c>
      <c r="R99" s="38">
        <v>1</v>
      </c>
      <c r="S99" s="38">
        <v>0</v>
      </c>
      <c r="T99" s="38">
        <v>-1.8E-3</v>
      </c>
      <c r="U99" s="38">
        <v>-1.2E-2</v>
      </c>
      <c r="V99" s="38">
        <v>0</v>
      </c>
      <c r="W99" s="38">
        <v>0</v>
      </c>
      <c r="X99" s="38" t="s">
        <v>32</v>
      </c>
      <c r="Y99" s="154">
        <v>2015</v>
      </c>
      <c r="AA99" s="38"/>
      <c r="AB99" s="38"/>
      <c r="AC99" s="38"/>
      <c r="AD99" s="38"/>
    </row>
    <row r="100" spans="1:30" ht="12.75" customHeight="1">
      <c r="A100" s="38">
        <v>1</v>
      </c>
      <c r="B100" s="38">
        <v>7</v>
      </c>
      <c r="C100" s="38">
        <v>23</v>
      </c>
      <c r="D100" s="39">
        <v>2010</v>
      </c>
      <c r="E100" s="39">
        <v>2050</v>
      </c>
      <c r="F100" s="38">
        <v>1</v>
      </c>
      <c r="G100" s="38">
        <v>23</v>
      </c>
      <c r="H100" s="38">
        <v>0</v>
      </c>
      <c r="I100" s="38">
        <v>0</v>
      </c>
      <c r="J100" s="38">
        <v>0</v>
      </c>
      <c r="K100" s="39">
        <v>0.85</v>
      </c>
      <c r="L100" s="39">
        <v>4750</v>
      </c>
      <c r="M100" s="38">
        <v>4250</v>
      </c>
      <c r="N100" s="38">
        <v>1000</v>
      </c>
      <c r="O100" s="38">
        <v>1000</v>
      </c>
      <c r="P100" s="38" t="s">
        <v>13</v>
      </c>
      <c r="Q100" s="38">
        <v>1993</v>
      </c>
      <c r="R100" s="38">
        <v>1</v>
      </c>
      <c r="S100" s="38">
        <v>0</v>
      </c>
      <c r="T100" s="38">
        <v>-1.8E-3</v>
      </c>
      <c r="U100" s="38">
        <v>-1.2E-2</v>
      </c>
      <c r="V100" s="38">
        <v>0</v>
      </c>
      <c r="W100" s="38">
        <v>0</v>
      </c>
      <c r="X100" s="38" t="s">
        <v>33</v>
      </c>
      <c r="Y100" s="154">
        <v>2010</v>
      </c>
      <c r="AA100" s="38"/>
      <c r="AB100" s="38"/>
      <c r="AC100" s="38"/>
      <c r="AD100" s="38"/>
    </row>
    <row r="101" spans="1:30">
      <c r="A101" s="38">
        <v>1</v>
      </c>
      <c r="B101" s="38">
        <v>7</v>
      </c>
      <c r="C101" s="38">
        <v>24</v>
      </c>
      <c r="D101" s="39">
        <v>2010</v>
      </c>
      <c r="E101" s="39">
        <v>2010</v>
      </c>
      <c r="F101" s="38">
        <v>1</v>
      </c>
      <c r="G101" s="38">
        <v>24</v>
      </c>
      <c r="H101" s="38">
        <v>0</v>
      </c>
      <c r="I101" s="38">
        <v>0</v>
      </c>
      <c r="J101" s="38">
        <v>0</v>
      </c>
      <c r="K101" s="39">
        <v>0.98</v>
      </c>
      <c r="L101" s="39">
        <v>4750</v>
      </c>
      <c r="M101" s="38">
        <v>4250</v>
      </c>
      <c r="N101" s="38">
        <v>1425</v>
      </c>
      <c r="O101" s="38">
        <v>855</v>
      </c>
      <c r="P101" s="38" t="s">
        <v>13</v>
      </c>
      <c r="Q101" s="38">
        <v>1993</v>
      </c>
      <c r="R101" s="38">
        <v>1</v>
      </c>
      <c r="S101" s="38">
        <v>0</v>
      </c>
      <c r="T101" s="38">
        <v>-1.8E-3</v>
      </c>
      <c r="U101" s="38">
        <v>-1.2E-2</v>
      </c>
      <c r="V101" s="38">
        <v>0</v>
      </c>
      <c r="W101" s="38">
        <v>0</v>
      </c>
      <c r="X101" s="38" t="s">
        <v>34</v>
      </c>
      <c r="Y101" s="154"/>
      <c r="AA101" s="38"/>
      <c r="AB101" s="38"/>
      <c r="AC101" s="38"/>
      <c r="AD101" s="38"/>
    </row>
    <row r="102" spans="1:30">
      <c r="A102" s="38">
        <v>1</v>
      </c>
      <c r="B102" s="38">
        <v>7</v>
      </c>
      <c r="C102" s="38">
        <v>24</v>
      </c>
      <c r="D102" s="39">
        <v>2011</v>
      </c>
      <c r="E102" s="39">
        <v>2011</v>
      </c>
      <c r="F102" s="38">
        <v>1</v>
      </c>
      <c r="G102" s="38">
        <v>24</v>
      </c>
      <c r="H102" s="38">
        <v>0</v>
      </c>
      <c r="I102" s="38">
        <v>0</v>
      </c>
      <c r="J102" s="38">
        <v>0</v>
      </c>
      <c r="K102" s="39">
        <v>0.98</v>
      </c>
      <c r="L102" s="39">
        <v>4750</v>
      </c>
      <c r="M102" s="38">
        <v>4250</v>
      </c>
      <c r="N102" s="38">
        <v>150</v>
      </c>
      <c r="O102" s="38">
        <v>90</v>
      </c>
      <c r="P102" s="38" t="s">
        <v>13</v>
      </c>
      <c r="Q102" s="38">
        <v>1993</v>
      </c>
      <c r="R102" s="38">
        <v>1</v>
      </c>
      <c r="S102" s="38">
        <v>0</v>
      </c>
      <c r="T102" s="38">
        <v>-1.8E-3</v>
      </c>
      <c r="U102" s="38">
        <v>-1.2E-2</v>
      </c>
      <c r="V102" s="38">
        <v>0</v>
      </c>
      <c r="W102" s="38">
        <v>0</v>
      </c>
      <c r="X102" s="38" t="s">
        <v>34</v>
      </c>
      <c r="Y102" s="154"/>
      <c r="AA102" s="38"/>
      <c r="AB102" s="38"/>
      <c r="AC102" s="38"/>
      <c r="AD102" s="38"/>
    </row>
    <row r="103" spans="1:30">
      <c r="A103" s="38">
        <v>1</v>
      </c>
      <c r="B103" s="38">
        <v>7</v>
      </c>
      <c r="C103" s="38">
        <v>24</v>
      </c>
      <c r="D103" s="39">
        <v>2012</v>
      </c>
      <c r="E103" s="39">
        <v>2012</v>
      </c>
      <c r="F103" s="38">
        <v>1</v>
      </c>
      <c r="G103" s="38">
        <v>24</v>
      </c>
      <c r="H103" s="38">
        <v>0</v>
      </c>
      <c r="I103" s="38">
        <v>0</v>
      </c>
      <c r="J103" s="38">
        <v>0</v>
      </c>
      <c r="K103" s="39">
        <v>0.98</v>
      </c>
      <c r="L103" s="39">
        <v>4750</v>
      </c>
      <c r="M103" s="38">
        <v>4250</v>
      </c>
      <c r="N103" s="38">
        <v>0</v>
      </c>
      <c r="O103" s="38">
        <v>0</v>
      </c>
      <c r="P103" s="38" t="s">
        <v>13</v>
      </c>
      <c r="Q103" s="38">
        <v>1993</v>
      </c>
      <c r="R103" s="38">
        <v>1</v>
      </c>
      <c r="S103" s="38">
        <v>0</v>
      </c>
      <c r="T103" s="38">
        <v>-1.8E-3</v>
      </c>
      <c r="U103" s="38">
        <v>-1.2E-2</v>
      </c>
      <c r="V103" s="38">
        <v>0</v>
      </c>
      <c r="W103" s="38">
        <v>0</v>
      </c>
      <c r="X103" s="38" t="s">
        <v>34</v>
      </c>
      <c r="Y103" s="154"/>
      <c r="AA103" s="38"/>
      <c r="AB103" s="38"/>
      <c r="AC103" s="38"/>
      <c r="AD103" s="38"/>
    </row>
    <row r="104" spans="1:30">
      <c r="A104" s="38">
        <v>1</v>
      </c>
      <c r="B104" s="38">
        <v>7</v>
      </c>
      <c r="C104" s="38">
        <v>24</v>
      </c>
      <c r="D104" s="39">
        <v>2013</v>
      </c>
      <c r="E104" s="39">
        <v>2013</v>
      </c>
      <c r="F104" s="38">
        <v>1</v>
      </c>
      <c r="G104" s="38">
        <v>24</v>
      </c>
      <c r="H104" s="38">
        <v>0</v>
      </c>
      <c r="I104" s="38">
        <v>0</v>
      </c>
      <c r="J104" s="38">
        <v>0</v>
      </c>
      <c r="K104" s="39">
        <v>0.98</v>
      </c>
      <c r="L104" s="39">
        <v>4750</v>
      </c>
      <c r="M104" s="38">
        <v>4250</v>
      </c>
      <c r="N104" s="38">
        <v>150</v>
      </c>
      <c r="O104" s="38">
        <v>90</v>
      </c>
      <c r="P104" s="38" t="s">
        <v>13</v>
      </c>
      <c r="Q104" s="38">
        <v>1993</v>
      </c>
      <c r="R104" s="38">
        <v>1</v>
      </c>
      <c r="S104" s="38">
        <v>0</v>
      </c>
      <c r="T104" s="38">
        <v>-1.8E-3</v>
      </c>
      <c r="U104" s="38">
        <v>-1.2E-2</v>
      </c>
      <c r="V104" s="38">
        <v>0</v>
      </c>
      <c r="W104" s="38">
        <v>0</v>
      </c>
      <c r="X104" s="38" t="s">
        <v>34</v>
      </c>
      <c r="Y104" s="154">
        <v>2010</v>
      </c>
      <c r="AA104" s="38"/>
      <c r="AB104" s="38"/>
      <c r="AC104" s="38"/>
      <c r="AD104" s="38"/>
    </row>
    <row r="105" spans="1:30">
      <c r="A105" s="38">
        <v>1</v>
      </c>
      <c r="B105" s="38">
        <v>7</v>
      </c>
      <c r="C105" s="38">
        <v>24</v>
      </c>
      <c r="D105" s="39">
        <v>2014</v>
      </c>
      <c r="E105" s="39">
        <v>2050</v>
      </c>
      <c r="F105" s="38">
        <v>1</v>
      </c>
      <c r="G105" s="38">
        <v>24</v>
      </c>
      <c r="H105" s="38">
        <v>0</v>
      </c>
      <c r="I105" s="38">
        <v>0</v>
      </c>
      <c r="J105" s="38">
        <v>0</v>
      </c>
      <c r="K105" s="39">
        <v>0.98</v>
      </c>
      <c r="L105" s="39">
        <v>4750</v>
      </c>
      <c r="M105" s="38">
        <v>4250</v>
      </c>
      <c r="N105" s="38">
        <v>0</v>
      </c>
      <c r="O105" s="38">
        <v>0</v>
      </c>
      <c r="P105" s="38" t="s">
        <v>13</v>
      </c>
      <c r="Q105" s="38">
        <v>1993</v>
      </c>
      <c r="R105" s="38">
        <v>1</v>
      </c>
      <c r="S105" s="38">
        <v>0</v>
      </c>
      <c r="T105" s="38">
        <v>-1.8E-3</v>
      </c>
      <c r="U105" s="38">
        <v>-1.2E-2</v>
      </c>
      <c r="V105" s="38">
        <v>0</v>
      </c>
      <c r="W105" s="38">
        <v>0</v>
      </c>
      <c r="X105" s="38" t="s">
        <v>34</v>
      </c>
      <c r="Y105" s="154"/>
      <c r="AA105" s="38"/>
      <c r="AB105" s="38"/>
      <c r="AC105" s="38"/>
      <c r="AD105" s="38"/>
    </row>
    <row r="106" spans="1:30">
      <c r="A106" s="38">
        <v>1</v>
      </c>
      <c r="B106" s="38">
        <v>8</v>
      </c>
      <c r="C106" s="38">
        <v>25</v>
      </c>
      <c r="D106" s="39">
        <v>2010</v>
      </c>
      <c r="E106" s="39">
        <v>2012</v>
      </c>
      <c r="F106" s="38">
        <v>1</v>
      </c>
      <c r="G106" s="38">
        <v>25</v>
      </c>
      <c r="H106" s="38">
        <v>0</v>
      </c>
      <c r="I106" s="38">
        <v>0</v>
      </c>
      <c r="J106" s="38">
        <v>0</v>
      </c>
      <c r="K106" s="39">
        <v>0.8</v>
      </c>
      <c r="L106" s="39">
        <v>3300</v>
      </c>
      <c r="M106" s="38">
        <v>2540</v>
      </c>
      <c r="N106" s="38">
        <v>0</v>
      </c>
      <c r="O106" s="38">
        <v>0</v>
      </c>
      <c r="P106" s="38" t="s">
        <v>13</v>
      </c>
      <c r="Q106" s="38">
        <v>1993</v>
      </c>
      <c r="R106" s="38">
        <v>1</v>
      </c>
      <c r="S106" s="38">
        <v>0</v>
      </c>
      <c r="T106" s="38">
        <v>-1.8E-3</v>
      </c>
      <c r="U106" s="38">
        <v>-1.2E-2</v>
      </c>
      <c r="V106" s="38">
        <v>0</v>
      </c>
      <c r="W106" s="38">
        <v>0</v>
      </c>
      <c r="X106" s="38" t="s">
        <v>35</v>
      </c>
      <c r="Y106" s="154">
        <v>2010</v>
      </c>
      <c r="AA106" s="38"/>
      <c r="AB106" s="38"/>
      <c r="AC106" s="38"/>
      <c r="AD106" s="38"/>
    </row>
    <row r="107" spans="1:30">
      <c r="A107" s="38">
        <v>1</v>
      </c>
      <c r="B107" s="38">
        <v>8</v>
      </c>
      <c r="C107" s="38">
        <v>25</v>
      </c>
      <c r="D107" s="39">
        <v>2013</v>
      </c>
      <c r="E107" s="39">
        <v>2050</v>
      </c>
      <c r="F107" s="38">
        <v>1</v>
      </c>
      <c r="G107" s="38">
        <v>25</v>
      </c>
      <c r="H107" s="38">
        <v>0</v>
      </c>
      <c r="I107" s="38">
        <v>0</v>
      </c>
      <c r="J107" s="38">
        <v>0</v>
      </c>
      <c r="K107" s="39">
        <v>0.82</v>
      </c>
      <c r="L107" s="39">
        <v>3500</v>
      </c>
      <c r="M107" s="38">
        <v>2740</v>
      </c>
      <c r="N107" s="38">
        <v>0</v>
      </c>
      <c r="O107" s="38">
        <v>0</v>
      </c>
      <c r="P107" s="38" t="s">
        <v>13</v>
      </c>
      <c r="Q107" s="38">
        <v>1993</v>
      </c>
      <c r="R107" s="38">
        <v>1</v>
      </c>
      <c r="S107" s="38">
        <v>0</v>
      </c>
      <c r="T107" s="38">
        <v>-1.8E-3</v>
      </c>
      <c r="U107" s="38">
        <v>-1.2E-2</v>
      </c>
      <c r="V107" s="38">
        <v>0</v>
      </c>
      <c r="W107" s="38">
        <v>0</v>
      </c>
      <c r="X107" s="38" t="s">
        <v>35</v>
      </c>
      <c r="Y107" s="154">
        <v>2015</v>
      </c>
      <c r="AA107" s="38"/>
      <c r="AB107" s="38"/>
      <c r="AC107" s="38"/>
      <c r="AD107" s="38"/>
    </row>
    <row r="108" spans="1:30">
      <c r="A108" s="38">
        <v>1</v>
      </c>
      <c r="B108" s="38">
        <v>8</v>
      </c>
      <c r="C108" s="38">
        <v>26</v>
      </c>
      <c r="D108" s="39">
        <v>2010</v>
      </c>
      <c r="E108" s="39">
        <v>2050</v>
      </c>
      <c r="F108" s="38">
        <v>1</v>
      </c>
      <c r="G108" s="38">
        <v>26</v>
      </c>
      <c r="H108" s="38">
        <v>0</v>
      </c>
      <c r="I108" s="38">
        <v>0</v>
      </c>
      <c r="J108" s="38">
        <v>0</v>
      </c>
      <c r="K108" s="39">
        <v>0.85</v>
      </c>
      <c r="L108" s="39">
        <v>4250</v>
      </c>
      <c r="M108" s="38">
        <v>3470</v>
      </c>
      <c r="N108" s="38">
        <v>0</v>
      </c>
      <c r="O108" s="38">
        <v>0</v>
      </c>
      <c r="P108" s="38" t="s">
        <v>13</v>
      </c>
      <c r="Q108" s="38">
        <v>1993</v>
      </c>
      <c r="R108" s="38">
        <v>1</v>
      </c>
      <c r="S108" s="38">
        <v>0</v>
      </c>
      <c r="T108" s="38">
        <v>-1.8E-3</v>
      </c>
      <c r="U108" s="38">
        <v>-1.2E-2</v>
      </c>
      <c r="V108" s="38">
        <v>0</v>
      </c>
      <c r="W108" s="38">
        <v>0</v>
      </c>
      <c r="X108" s="38" t="s">
        <v>36</v>
      </c>
      <c r="Y108" s="154">
        <v>2010</v>
      </c>
      <c r="AA108" s="38"/>
      <c r="AB108" s="38"/>
      <c r="AC108" s="38"/>
      <c r="AD108" s="38"/>
    </row>
    <row r="109" spans="1:30">
      <c r="A109" s="38">
        <v>1</v>
      </c>
      <c r="B109" s="38">
        <v>8</v>
      </c>
      <c r="C109" s="38">
        <v>27</v>
      </c>
      <c r="D109" s="39">
        <v>2010</v>
      </c>
      <c r="E109" s="39">
        <v>2010</v>
      </c>
      <c r="F109" s="38">
        <v>1</v>
      </c>
      <c r="G109" s="38">
        <v>27</v>
      </c>
      <c r="H109" s="38">
        <v>0</v>
      </c>
      <c r="I109" s="38">
        <v>0</v>
      </c>
      <c r="J109" s="38">
        <v>0</v>
      </c>
      <c r="K109" s="39">
        <v>0.98</v>
      </c>
      <c r="L109" s="39">
        <v>4000</v>
      </c>
      <c r="M109" s="38">
        <v>3600</v>
      </c>
      <c r="N109" s="38">
        <v>1200</v>
      </c>
      <c r="O109" s="38">
        <v>720</v>
      </c>
      <c r="P109" s="38" t="s">
        <v>13</v>
      </c>
      <c r="Q109" s="38">
        <v>1993</v>
      </c>
      <c r="R109" s="38">
        <v>1</v>
      </c>
      <c r="S109" s="38">
        <v>0</v>
      </c>
      <c r="T109" s="38">
        <v>-1.8E-3</v>
      </c>
      <c r="U109" s="38">
        <v>-1.2E-2</v>
      </c>
      <c r="V109" s="38">
        <v>0</v>
      </c>
      <c r="W109" s="38">
        <v>0</v>
      </c>
      <c r="X109" s="38" t="s">
        <v>37</v>
      </c>
      <c r="Y109" s="154"/>
      <c r="AA109" s="38"/>
      <c r="AB109" s="38"/>
      <c r="AC109" s="38"/>
      <c r="AD109" s="38"/>
    </row>
    <row r="110" spans="1:30">
      <c r="A110" s="38">
        <v>1</v>
      </c>
      <c r="B110" s="38">
        <v>8</v>
      </c>
      <c r="C110" s="38">
        <v>27</v>
      </c>
      <c r="D110" s="39">
        <v>2011</v>
      </c>
      <c r="E110" s="39">
        <v>2011</v>
      </c>
      <c r="F110" s="38">
        <v>1</v>
      </c>
      <c r="G110" s="38">
        <v>27</v>
      </c>
      <c r="H110" s="38">
        <v>0</v>
      </c>
      <c r="I110" s="38">
        <v>0</v>
      </c>
      <c r="J110" s="38">
        <v>0</v>
      </c>
      <c r="K110" s="39">
        <v>0.98</v>
      </c>
      <c r="L110" s="39">
        <v>4000</v>
      </c>
      <c r="M110" s="38">
        <v>3600</v>
      </c>
      <c r="N110" s="38">
        <v>150</v>
      </c>
      <c r="O110" s="38">
        <v>90</v>
      </c>
      <c r="P110" s="38" t="s">
        <v>13</v>
      </c>
      <c r="Q110" s="38">
        <v>1993</v>
      </c>
      <c r="R110" s="38">
        <v>1</v>
      </c>
      <c r="S110" s="38">
        <v>0</v>
      </c>
      <c r="T110" s="38">
        <v>-1.8E-3</v>
      </c>
      <c r="U110" s="38">
        <v>-1.2E-2</v>
      </c>
      <c r="V110" s="38">
        <v>0</v>
      </c>
      <c r="W110" s="38">
        <v>0</v>
      </c>
      <c r="X110" s="38" t="s">
        <v>37</v>
      </c>
      <c r="Y110" s="154"/>
      <c r="AA110" s="38"/>
      <c r="AB110" s="38"/>
      <c r="AC110" s="38"/>
      <c r="AD110" s="38"/>
    </row>
    <row r="111" spans="1:30">
      <c r="A111" s="38">
        <v>1</v>
      </c>
      <c r="B111" s="38">
        <v>8</v>
      </c>
      <c r="C111" s="38">
        <v>27</v>
      </c>
      <c r="D111" s="39">
        <v>2012</v>
      </c>
      <c r="E111" s="39">
        <v>2012</v>
      </c>
      <c r="F111" s="38">
        <v>1</v>
      </c>
      <c r="G111" s="38">
        <v>27</v>
      </c>
      <c r="H111" s="38">
        <v>0</v>
      </c>
      <c r="I111" s="38">
        <v>0</v>
      </c>
      <c r="J111" s="38">
        <v>0</v>
      </c>
      <c r="K111" s="39">
        <v>0.98</v>
      </c>
      <c r="L111" s="39">
        <v>4000</v>
      </c>
      <c r="M111" s="38">
        <v>3600</v>
      </c>
      <c r="N111" s="38">
        <v>0</v>
      </c>
      <c r="O111" s="38">
        <v>0</v>
      </c>
      <c r="P111" s="38" t="s">
        <v>13</v>
      </c>
      <c r="Q111" s="38">
        <v>1993</v>
      </c>
      <c r="R111" s="38">
        <v>1</v>
      </c>
      <c r="S111" s="38">
        <v>0</v>
      </c>
      <c r="T111" s="38">
        <v>-1.8E-3</v>
      </c>
      <c r="U111" s="38">
        <v>-1.2E-2</v>
      </c>
      <c r="V111" s="38">
        <v>0</v>
      </c>
      <c r="W111" s="38">
        <v>0</v>
      </c>
      <c r="X111" s="38" t="s">
        <v>37</v>
      </c>
      <c r="Y111" s="154"/>
      <c r="AA111" s="38"/>
      <c r="AB111" s="38"/>
      <c r="AC111" s="38"/>
      <c r="AD111" s="38"/>
    </row>
    <row r="112" spans="1:30">
      <c r="A112" s="38">
        <v>1</v>
      </c>
      <c r="B112" s="38">
        <v>8</v>
      </c>
      <c r="C112" s="38">
        <v>27</v>
      </c>
      <c r="D112" s="39">
        <v>2013</v>
      </c>
      <c r="E112" s="39">
        <v>2013</v>
      </c>
      <c r="F112" s="38">
        <v>1</v>
      </c>
      <c r="G112" s="38">
        <v>27</v>
      </c>
      <c r="H112" s="38">
        <v>0</v>
      </c>
      <c r="I112" s="38">
        <v>0</v>
      </c>
      <c r="J112" s="38">
        <v>0</v>
      </c>
      <c r="K112" s="39">
        <v>0.98</v>
      </c>
      <c r="L112" s="39">
        <v>4000</v>
      </c>
      <c r="M112" s="38">
        <v>3600</v>
      </c>
      <c r="N112" s="38">
        <v>150</v>
      </c>
      <c r="O112" s="38">
        <v>90</v>
      </c>
      <c r="P112" s="38" t="s">
        <v>13</v>
      </c>
      <c r="Q112" s="38">
        <v>1993</v>
      </c>
      <c r="R112" s="38">
        <v>1</v>
      </c>
      <c r="S112" s="38">
        <v>0</v>
      </c>
      <c r="T112" s="38">
        <v>-1.8E-3</v>
      </c>
      <c r="U112" s="38">
        <v>-1.2E-2</v>
      </c>
      <c r="V112" s="38">
        <v>0</v>
      </c>
      <c r="W112" s="38">
        <v>0</v>
      </c>
      <c r="X112" s="38" t="s">
        <v>37</v>
      </c>
      <c r="Y112" s="154">
        <v>2010</v>
      </c>
      <c r="AA112" s="38"/>
      <c r="AB112" s="38"/>
      <c r="AC112" s="38"/>
      <c r="AD112" s="38"/>
    </row>
    <row r="113" spans="1:30">
      <c r="A113" s="38">
        <v>1</v>
      </c>
      <c r="B113" s="38">
        <v>8</v>
      </c>
      <c r="C113" s="38">
        <v>27</v>
      </c>
      <c r="D113" s="39">
        <v>2014</v>
      </c>
      <c r="E113" s="39">
        <v>2050</v>
      </c>
      <c r="F113" s="38">
        <v>1</v>
      </c>
      <c r="G113" s="38">
        <v>27</v>
      </c>
      <c r="H113" s="38">
        <v>0</v>
      </c>
      <c r="I113" s="38">
        <v>0</v>
      </c>
      <c r="J113" s="38">
        <v>0</v>
      </c>
      <c r="K113" s="39">
        <v>0.98</v>
      </c>
      <c r="L113" s="39">
        <v>4000</v>
      </c>
      <c r="M113" s="38">
        <v>3600</v>
      </c>
      <c r="N113" s="38">
        <v>0</v>
      </c>
      <c r="O113" s="38">
        <v>0</v>
      </c>
      <c r="P113" s="38" t="s">
        <v>13</v>
      </c>
      <c r="Q113" s="38">
        <v>1993</v>
      </c>
      <c r="R113" s="38">
        <v>1</v>
      </c>
      <c r="S113" s="38">
        <v>0</v>
      </c>
      <c r="T113" s="38">
        <v>-1.8E-3</v>
      </c>
      <c r="U113" s="38">
        <v>-1.2E-2</v>
      </c>
      <c r="V113" s="38">
        <v>0</v>
      </c>
      <c r="W113" s="38">
        <v>0</v>
      </c>
      <c r="X113" s="38" t="s">
        <v>37</v>
      </c>
      <c r="Y113" s="154"/>
      <c r="AA113" s="38"/>
      <c r="AB113" s="38"/>
      <c r="AC113" s="38"/>
      <c r="AD113" s="38"/>
    </row>
    <row r="114" spans="1:30">
      <c r="A114" s="38">
        <v>1</v>
      </c>
      <c r="B114" s="38">
        <v>9</v>
      </c>
      <c r="C114" s="38">
        <v>28</v>
      </c>
      <c r="D114" s="39">
        <v>2010</v>
      </c>
      <c r="E114" s="39">
        <v>2010</v>
      </c>
      <c r="F114" s="38">
        <v>1</v>
      </c>
      <c r="G114" s="38">
        <v>28</v>
      </c>
      <c r="H114" s="38">
        <v>0</v>
      </c>
      <c r="I114" s="38">
        <v>0</v>
      </c>
      <c r="J114" s="38">
        <v>0</v>
      </c>
      <c r="K114" s="39">
        <v>1</v>
      </c>
      <c r="L114" s="39">
        <v>4500</v>
      </c>
      <c r="M114" s="38">
        <v>4100</v>
      </c>
      <c r="N114" s="38">
        <v>1350</v>
      </c>
      <c r="O114" s="38">
        <v>810</v>
      </c>
      <c r="P114" s="38" t="s">
        <v>13</v>
      </c>
      <c r="Q114" s="38">
        <v>1993</v>
      </c>
      <c r="R114" s="38">
        <v>1</v>
      </c>
      <c r="S114" s="38">
        <v>0</v>
      </c>
      <c r="T114" s="38">
        <v>-1.8E-3</v>
      </c>
      <c r="U114" s="38">
        <v>-1.2E-2</v>
      </c>
      <c r="V114" s="38">
        <v>0</v>
      </c>
      <c r="W114" s="38">
        <v>0</v>
      </c>
      <c r="X114" s="38" t="s">
        <v>38</v>
      </c>
      <c r="Y114" s="154"/>
      <c r="AA114" s="38"/>
      <c r="AB114" s="38"/>
      <c r="AC114" s="38"/>
      <c r="AD114" s="38"/>
    </row>
    <row r="115" spans="1:30">
      <c r="A115" s="38">
        <v>1</v>
      </c>
      <c r="B115" s="38">
        <v>9</v>
      </c>
      <c r="C115" s="38">
        <v>28</v>
      </c>
      <c r="D115" s="39">
        <v>2011</v>
      </c>
      <c r="E115" s="39">
        <v>2011</v>
      </c>
      <c r="F115" s="38">
        <v>1</v>
      </c>
      <c r="G115" s="38">
        <v>28</v>
      </c>
      <c r="H115" s="38">
        <v>0</v>
      </c>
      <c r="I115" s="38">
        <v>0</v>
      </c>
      <c r="J115" s="38">
        <v>0</v>
      </c>
      <c r="K115" s="39">
        <v>1</v>
      </c>
      <c r="L115" s="39">
        <v>4500</v>
      </c>
      <c r="M115" s="38">
        <v>4100</v>
      </c>
      <c r="N115" s="38">
        <v>450</v>
      </c>
      <c r="O115" s="38">
        <v>270</v>
      </c>
      <c r="P115" s="38" t="s">
        <v>13</v>
      </c>
      <c r="Q115" s="38">
        <v>1993</v>
      </c>
      <c r="R115" s="38">
        <v>1</v>
      </c>
      <c r="S115" s="38">
        <v>0</v>
      </c>
      <c r="T115" s="38">
        <v>-1.8E-3</v>
      </c>
      <c r="U115" s="38">
        <v>-1.2E-2</v>
      </c>
      <c r="V115" s="38">
        <v>0</v>
      </c>
      <c r="W115" s="38">
        <v>0</v>
      </c>
      <c r="X115" s="38" t="s">
        <v>38</v>
      </c>
      <c r="Y115" s="154"/>
      <c r="AA115" s="38"/>
      <c r="AB115" s="38"/>
      <c r="AC115" s="38"/>
      <c r="AD115" s="38"/>
    </row>
    <row r="116" spans="1:30">
      <c r="A116" s="38">
        <v>1</v>
      </c>
      <c r="B116" s="38">
        <v>9</v>
      </c>
      <c r="C116" s="38">
        <v>28</v>
      </c>
      <c r="D116" s="39">
        <v>2012</v>
      </c>
      <c r="E116" s="39">
        <v>2012</v>
      </c>
      <c r="F116" s="38">
        <v>1</v>
      </c>
      <c r="G116" s="38">
        <v>28</v>
      </c>
      <c r="H116" s="38">
        <v>0</v>
      </c>
      <c r="I116" s="38">
        <v>0</v>
      </c>
      <c r="J116" s="38">
        <v>0</v>
      </c>
      <c r="K116" s="39">
        <v>1</v>
      </c>
      <c r="L116" s="39">
        <v>4500</v>
      </c>
      <c r="M116" s="38">
        <v>4100</v>
      </c>
      <c r="N116" s="38">
        <v>0</v>
      </c>
      <c r="O116" s="38">
        <v>0</v>
      </c>
      <c r="P116" s="38" t="s">
        <v>13</v>
      </c>
      <c r="Q116" s="38">
        <v>1993</v>
      </c>
      <c r="R116" s="38">
        <v>1</v>
      </c>
      <c r="S116" s="38">
        <v>0</v>
      </c>
      <c r="T116" s="38">
        <v>-1.8E-3</v>
      </c>
      <c r="U116" s="38">
        <v>-1.2E-2</v>
      </c>
      <c r="V116" s="38">
        <v>0</v>
      </c>
      <c r="W116" s="38">
        <v>0</v>
      </c>
      <c r="X116" s="38" t="s">
        <v>38</v>
      </c>
      <c r="Y116" s="154"/>
      <c r="AA116" s="38"/>
      <c r="AB116" s="38"/>
      <c r="AC116" s="38"/>
      <c r="AD116" s="38"/>
    </row>
    <row r="117" spans="1:30">
      <c r="A117" s="38">
        <v>1</v>
      </c>
      <c r="B117" s="38">
        <v>9</v>
      </c>
      <c r="C117" s="38">
        <v>28</v>
      </c>
      <c r="D117" s="39">
        <v>2013</v>
      </c>
      <c r="E117" s="39">
        <v>2013</v>
      </c>
      <c r="F117" s="38">
        <v>1</v>
      </c>
      <c r="G117" s="38">
        <v>28</v>
      </c>
      <c r="H117" s="38">
        <v>0</v>
      </c>
      <c r="I117" s="38">
        <v>0</v>
      </c>
      <c r="J117" s="38">
        <v>0</v>
      </c>
      <c r="K117" s="39">
        <v>1</v>
      </c>
      <c r="L117" s="39">
        <v>4500</v>
      </c>
      <c r="M117" s="38">
        <v>4100</v>
      </c>
      <c r="N117" s="38">
        <v>450</v>
      </c>
      <c r="O117" s="38">
        <v>270</v>
      </c>
      <c r="P117" s="38" t="s">
        <v>13</v>
      </c>
      <c r="Q117" s="38">
        <v>1993</v>
      </c>
      <c r="R117" s="38">
        <v>1</v>
      </c>
      <c r="S117" s="38">
        <v>0</v>
      </c>
      <c r="T117" s="38">
        <v>-1.8E-3</v>
      </c>
      <c r="U117" s="38">
        <v>-1.2E-2</v>
      </c>
      <c r="V117" s="38">
        <v>0</v>
      </c>
      <c r="W117" s="38">
        <v>0</v>
      </c>
      <c r="X117" s="38" t="s">
        <v>38</v>
      </c>
      <c r="Y117" s="154">
        <v>2010</v>
      </c>
      <c r="AA117" s="38"/>
      <c r="AB117" s="38"/>
      <c r="AC117" s="38"/>
      <c r="AD117" s="38"/>
    </row>
    <row r="118" spans="1:30">
      <c r="A118" s="38">
        <v>1</v>
      </c>
      <c r="B118" s="38">
        <v>9</v>
      </c>
      <c r="C118" s="38">
        <v>28</v>
      </c>
      <c r="D118" s="39">
        <v>2014</v>
      </c>
      <c r="E118" s="39">
        <v>2050</v>
      </c>
      <c r="F118" s="38">
        <v>1</v>
      </c>
      <c r="G118" s="38">
        <v>28</v>
      </c>
      <c r="H118" s="38">
        <v>0</v>
      </c>
      <c r="I118" s="38">
        <v>0</v>
      </c>
      <c r="J118" s="38">
        <v>0</v>
      </c>
      <c r="K118" s="39">
        <v>1</v>
      </c>
      <c r="L118" s="39">
        <v>4500</v>
      </c>
      <c r="M118" s="38">
        <v>4100</v>
      </c>
      <c r="N118" s="38">
        <v>0</v>
      </c>
      <c r="O118" s="38">
        <v>0</v>
      </c>
      <c r="P118" s="38" t="s">
        <v>13</v>
      </c>
      <c r="Q118" s="38">
        <v>1993</v>
      </c>
      <c r="R118" s="38">
        <v>1</v>
      </c>
      <c r="S118" s="38">
        <v>0</v>
      </c>
      <c r="T118" s="38">
        <v>-1.8E-3</v>
      </c>
      <c r="U118" s="38">
        <v>-1.2E-2</v>
      </c>
      <c r="V118" s="38">
        <v>0</v>
      </c>
      <c r="W118" s="38">
        <v>0</v>
      </c>
      <c r="X118" s="38" t="s">
        <v>38</v>
      </c>
      <c r="Y118" s="154"/>
      <c r="AA118" s="38"/>
      <c r="AB118" s="38"/>
      <c r="AC118" s="38"/>
      <c r="AD118" s="38"/>
    </row>
    <row r="119" spans="1:30">
      <c r="A119" s="38">
        <v>1</v>
      </c>
      <c r="B119" s="38">
        <v>10</v>
      </c>
      <c r="C119" s="38">
        <v>29</v>
      </c>
      <c r="D119" s="39">
        <v>2010</v>
      </c>
      <c r="E119" s="39">
        <v>2016</v>
      </c>
      <c r="F119" s="38">
        <v>1</v>
      </c>
      <c r="G119" s="38">
        <v>29</v>
      </c>
      <c r="H119" s="38">
        <v>0</v>
      </c>
      <c r="I119" s="38">
        <v>0</v>
      </c>
      <c r="J119" s="38">
        <v>0</v>
      </c>
      <c r="K119" s="39">
        <v>3.3</v>
      </c>
      <c r="L119" s="39">
        <v>5000</v>
      </c>
      <c r="M119" s="38">
        <v>5000</v>
      </c>
      <c r="N119" s="38">
        <v>1500</v>
      </c>
      <c r="O119" s="38">
        <v>1500</v>
      </c>
      <c r="P119" s="38" t="s">
        <v>13</v>
      </c>
      <c r="Q119" s="38">
        <v>1993</v>
      </c>
      <c r="R119" s="38">
        <v>1</v>
      </c>
      <c r="S119" s="38">
        <v>0</v>
      </c>
      <c r="T119" s="38">
        <v>-1.8E-3</v>
      </c>
      <c r="U119" s="38">
        <v>-1.2E-2</v>
      </c>
      <c r="V119" s="38">
        <v>0</v>
      </c>
      <c r="W119" s="38">
        <v>0</v>
      </c>
      <c r="X119" s="38" t="s">
        <v>39</v>
      </c>
      <c r="Y119" s="154" t="s">
        <v>1014</v>
      </c>
      <c r="AA119" s="38"/>
      <c r="AB119" s="38"/>
      <c r="AC119" s="38"/>
      <c r="AD119" s="38"/>
    </row>
    <row r="120" spans="1:30">
      <c r="A120" s="38">
        <v>2</v>
      </c>
      <c r="B120" s="38">
        <v>4</v>
      </c>
      <c r="C120" s="38">
        <v>12</v>
      </c>
      <c r="D120" s="39">
        <v>2010</v>
      </c>
      <c r="E120" s="39">
        <v>2016</v>
      </c>
      <c r="F120" s="38">
        <v>1</v>
      </c>
      <c r="G120" s="38">
        <v>43</v>
      </c>
      <c r="H120" s="38">
        <v>29</v>
      </c>
      <c r="I120" s="38">
        <v>0</v>
      </c>
      <c r="J120" s="38">
        <v>0</v>
      </c>
      <c r="K120" s="39">
        <v>14.1</v>
      </c>
      <c r="L120" s="39">
        <v>5000</v>
      </c>
      <c r="M120" s="38">
        <v>0</v>
      </c>
      <c r="N120" s="38">
        <v>1500</v>
      </c>
      <c r="O120" s="38">
        <v>0</v>
      </c>
      <c r="P120" s="38" t="s">
        <v>13</v>
      </c>
      <c r="Q120" s="38">
        <v>1993</v>
      </c>
      <c r="R120" s="38">
        <v>1</v>
      </c>
      <c r="S120" s="38">
        <v>0</v>
      </c>
      <c r="T120" s="38">
        <v>-1.8E-3</v>
      </c>
      <c r="U120" s="38">
        <v>-1.2E-2</v>
      </c>
      <c r="V120" s="38">
        <v>0</v>
      </c>
      <c r="W120" s="38">
        <v>0</v>
      </c>
      <c r="X120" s="38" t="s">
        <v>39</v>
      </c>
      <c r="Y120" s="154" t="s">
        <v>1015</v>
      </c>
      <c r="AA120" s="38"/>
      <c r="AB120" s="38"/>
      <c r="AC120" s="38"/>
      <c r="AD120" s="38"/>
    </row>
    <row r="121" spans="1:30">
      <c r="A121" s="155">
        <v>1</v>
      </c>
      <c r="B121" s="155">
        <v>10</v>
      </c>
      <c r="C121" s="155">
        <v>29</v>
      </c>
      <c r="D121" s="156">
        <v>2017</v>
      </c>
      <c r="E121" s="156">
        <v>2050</v>
      </c>
      <c r="F121" s="155">
        <v>1</v>
      </c>
      <c r="G121" s="155">
        <v>29</v>
      </c>
      <c r="H121" s="155">
        <v>0</v>
      </c>
      <c r="I121" s="155">
        <v>0</v>
      </c>
      <c r="J121" s="155">
        <v>0</v>
      </c>
      <c r="K121" s="156">
        <v>3.3</v>
      </c>
      <c r="L121" s="156">
        <v>5000</v>
      </c>
      <c r="M121" s="155">
        <v>5000</v>
      </c>
      <c r="N121" s="155">
        <v>0</v>
      </c>
      <c r="O121" s="155">
        <v>0</v>
      </c>
      <c r="P121" s="155" t="s">
        <v>13</v>
      </c>
      <c r="Q121" s="155">
        <v>1993</v>
      </c>
      <c r="R121" s="155">
        <v>1</v>
      </c>
      <c r="S121" s="155">
        <v>0</v>
      </c>
      <c r="T121" s="155">
        <v>-1.8E-3</v>
      </c>
      <c r="U121" s="155">
        <v>-1.2E-2</v>
      </c>
      <c r="V121" s="155">
        <v>0</v>
      </c>
      <c r="W121" s="155">
        <v>0</v>
      </c>
      <c r="X121" s="155" t="s">
        <v>39</v>
      </c>
      <c r="Y121" s="154"/>
      <c r="AA121" s="38"/>
      <c r="AB121" s="38"/>
      <c r="AC121" s="38"/>
      <c r="AD121" s="38"/>
    </row>
    <row r="122" spans="1:30">
      <c r="A122" s="38">
        <v>2</v>
      </c>
      <c r="B122" s="38">
        <v>4</v>
      </c>
      <c r="C122" s="38">
        <v>12</v>
      </c>
      <c r="D122" s="39">
        <v>2017</v>
      </c>
      <c r="E122" s="39">
        <v>2050</v>
      </c>
      <c r="F122" s="38">
        <v>1</v>
      </c>
      <c r="G122" s="38">
        <v>43</v>
      </c>
      <c r="H122" s="38">
        <v>29</v>
      </c>
      <c r="I122" s="38">
        <v>0</v>
      </c>
      <c r="J122" s="38">
        <v>0</v>
      </c>
      <c r="K122" s="39">
        <v>14.1</v>
      </c>
      <c r="L122" s="39">
        <v>5000</v>
      </c>
      <c r="M122" s="38">
        <v>0</v>
      </c>
      <c r="N122" s="38">
        <v>0</v>
      </c>
      <c r="O122" s="38">
        <v>0</v>
      </c>
      <c r="P122" s="38" t="s">
        <v>13</v>
      </c>
      <c r="Q122" s="38">
        <v>1993</v>
      </c>
      <c r="R122" s="38">
        <v>1</v>
      </c>
      <c r="S122" s="38">
        <v>0</v>
      </c>
      <c r="T122" s="38">
        <v>-1.8E-3</v>
      </c>
      <c r="U122" s="38">
        <v>-1.2E-2</v>
      </c>
      <c r="V122" s="38">
        <v>0</v>
      </c>
      <c r="W122" s="38">
        <v>0</v>
      </c>
      <c r="X122" s="38" t="s">
        <v>39</v>
      </c>
      <c r="Y122" s="154"/>
      <c r="AA122" s="38"/>
      <c r="AB122" s="38"/>
      <c r="AC122" s="38"/>
      <c r="AD122" s="38"/>
    </row>
    <row r="123" spans="1:30">
      <c r="A123" s="38">
        <v>1</v>
      </c>
      <c r="B123" s="38">
        <v>10</v>
      </c>
      <c r="C123" s="38">
        <v>30</v>
      </c>
      <c r="D123" s="39">
        <v>2010</v>
      </c>
      <c r="E123" s="39">
        <v>2016</v>
      </c>
      <c r="F123" s="38">
        <v>1</v>
      </c>
      <c r="G123" s="38">
        <v>30</v>
      </c>
      <c r="H123" s="38">
        <v>0</v>
      </c>
      <c r="I123" s="38">
        <v>0</v>
      </c>
      <c r="J123" s="38">
        <v>0</v>
      </c>
      <c r="K123" s="39">
        <v>5</v>
      </c>
      <c r="L123" s="39">
        <v>6500</v>
      </c>
      <c r="M123" s="38">
        <v>7100</v>
      </c>
      <c r="N123" s="38">
        <v>1950</v>
      </c>
      <c r="O123" s="38">
        <v>2130</v>
      </c>
      <c r="P123" s="38" t="s">
        <v>13</v>
      </c>
      <c r="Q123" s="38">
        <v>1993</v>
      </c>
      <c r="R123" s="38">
        <v>1</v>
      </c>
      <c r="S123" s="38">
        <v>0</v>
      </c>
      <c r="T123" s="38">
        <v>-1.8E-3</v>
      </c>
      <c r="U123" s="38">
        <v>-1.2E-2</v>
      </c>
      <c r="V123" s="38">
        <v>0</v>
      </c>
      <c r="W123" s="38">
        <v>0</v>
      </c>
      <c r="X123" s="38" t="s">
        <v>40</v>
      </c>
      <c r="Y123" s="154" t="s">
        <v>1014</v>
      </c>
      <c r="AA123" s="38"/>
      <c r="AB123" s="38"/>
      <c r="AC123" s="38"/>
      <c r="AD123" s="38"/>
    </row>
    <row r="124" spans="1:30">
      <c r="A124" s="38">
        <v>2</v>
      </c>
      <c r="B124" s="38">
        <v>4</v>
      </c>
      <c r="C124" s="38">
        <v>13</v>
      </c>
      <c r="D124" s="39">
        <v>2010</v>
      </c>
      <c r="E124" s="39">
        <v>2016</v>
      </c>
      <c r="F124" s="38">
        <v>1</v>
      </c>
      <c r="G124" s="38">
        <v>44</v>
      </c>
      <c r="H124" s="38">
        <v>30</v>
      </c>
      <c r="I124" s="38">
        <v>0</v>
      </c>
      <c r="J124" s="38">
        <v>0</v>
      </c>
      <c r="K124" s="39">
        <v>23</v>
      </c>
      <c r="L124" s="39">
        <v>6500</v>
      </c>
      <c r="M124" s="38">
        <v>0</v>
      </c>
      <c r="N124" s="38">
        <v>1950</v>
      </c>
      <c r="O124" s="38">
        <v>0</v>
      </c>
      <c r="P124" s="38" t="s">
        <v>13</v>
      </c>
      <c r="Q124" s="38">
        <v>1993</v>
      </c>
      <c r="R124" s="38">
        <v>1</v>
      </c>
      <c r="S124" s="38">
        <v>0</v>
      </c>
      <c r="T124" s="38">
        <v>-1.8E-3</v>
      </c>
      <c r="U124" s="38">
        <v>-1.2E-2</v>
      </c>
      <c r="V124" s="38">
        <v>0</v>
      </c>
      <c r="W124" s="38">
        <v>0</v>
      </c>
      <c r="X124" s="38" t="s">
        <v>40</v>
      </c>
      <c r="Y124" s="154" t="s">
        <v>1015</v>
      </c>
      <c r="AA124" s="38"/>
      <c r="AB124" s="38"/>
      <c r="AC124" s="38"/>
      <c r="AD124" s="38"/>
    </row>
    <row r="125" spans="1:30">
      <c r="A125" s="155">
        <v>1</v>
      </c>
      <c r="B125" s="155">
        <v>10</v>
      </c>
      <c r="C125" s="155">
        <v>30</v>
      </c>
      <c r="D125" s="156">
        <v>2017</v>
      </c>
      <c r="E125" s="156">
        <v>2019</v>
      </c>
      <c r="F125" s="155">
        <v>1</v>
      </c>
      <c r="G125" s="155">
        <v>30</v>
      </c>
      <c r="H125" s="155">
        <v>0</v>
      </c>
      <c r="I125" s="155">
        <v>0</v>
      </c>
      <c r="J125" s="155">
        <v>0</v>
      </c>
      <c r="K125" s="156">
        <v>5</v>
      </c>
      <c r="L125" s="156">
        <v>6500</v>
      </c>
      <c r="M125" s="155">
        <v>7100</v>
      </c>
      <c r="N125" s="155">
        <v>0</v>
      </c>
      <c r="O125" s="155">
        <v>0</v>
      </c>
      <c r="P125" s="155" t="s">
        <v>13</v>
      </c>
      <c r="Q125" s="155">
        <v>1993</v>
      </c>
      <c r="R125" s="155">
        <v>1</v>
      </c>
      <c r="S125" s="155">
        <v>0</v>
      </c>
      <c r="T125" s="155">
        <v>-1.8E-3</v>
      </c>
      <c r="U125" s="155">
        <v>-1.2E-2</v>
      </c>
      <c r="V125" s="155">
        <v>0</v>
      </c>
      <c r="W125" s="155">
        <v>0</v>
      </c>
      <c r="X125" s="155" t="s">
        <v>40</v>
      </c>
      <c r="Y125" s="154"/>
      <c r="AA125" s="38"/>
      <c r="AB125" s="38"/>
      <c r="AC125" s="38"/>
      <c r="AD125" s="38"/>
    </row>
    <row r="126" spans="1:30">
      <c r="A126" s="38">
        <v>2</v>
      </c>
      <c r="B126" s="38">
        <v>4</v>
      </c>
      <c r="C126" s="38">
        <v>13</v>
      </c>
      <c r="D126" s="39">
        <v>2017</v>
      </c>
      <c r="E126" s="39">
        <v>2019</v>
      </c>
      <c r="F126" s="38">
        <v>1</v>
      </c>
      <c r="G126" s="38">
        <v>44</v>
      </c>
      <c r="H126" s="38">
        <v>30</v>
      </c>
      <c r="I126" s="38">
        <v>0</v>
      </c>
      <c r="J126" s="38">
        <v>0</v>
      </c>
      <c r="K126" s="39">
        <v>23</v>
      </c>
      <c r="L126" s="39">
        <v>6500</v>
      </c>
      <c r="M126" s="38">
        <v>0</v>
      </c>
      <c r="N126" s="38">
        <v>0</v>
      </c>
      <c r="O126" s="38">
        <v>0</v>
      </c>
      <c r="P126" s="38" t="s">
        <v>13</v>
      </c>
      <c r="Q126" s="38">
        <v>1993</v>
      </c>
      <c r="R126" s="38">
        <v>1</v>
      </c>
      <c r="S126" s="38">
        <v>0</v>
      </c>
      <c r="T126" s="38">
        <v>-1.8E-3</v>
      </c>
      <c r="U126" s="38">
        <v>-1.2E-2</v>
      </c>
      <c r="V126" s="38">
        <v>0</v>
      </c>
      <c r="W126" s="38">
        <v>0</v>
      </c>
      <c r="X126" s="38" t="s">
        <v>40</v>
      </c>
      <c r="Y126" s="154"/>
      <c r="AA126" s="38"/>
      <c r="AB126" s="38"/>
      <c r="AC126" s="38"/>
      <c r="AD126" s="38"/>
    </row>
    <row r="127" spans="1:30">
      <c r="A127" s="155">
        <v>1</v>
      </c>
      <c r="B127" s="155">
        <v>10</v>
      </c>
      <c r="C127" s="155">
        <v>30</v>
      </c>
      <c r="D127" s="156">
        <v>2020</v>
      </c>
      <c r="E127" s="156">
        <v>2050</v>
      </c>
      <c r="F127" s="155">
        <v>1</v>
      </c>
      <c r="G127" s="155">
        <v>30</v>
      </c>
      <c r="H127" s="155">
        <v>0</v>
      </c>
      <c r="I127" s="155">
        <v>0</v>
      </c>
      <c r="J127" s="155">
        <v>0</v>
      </c>
      <c r="K127" s="156">
        <v>5</v>
      </c>
      <c r="L127" s="156">
        <v>6500</v>
      </c>
      <c r="M127" s="155">
        <v>7100</v>
      </c>
      <c r="N127" s="155">
        <v>0</v>
      </c>
      <c r="O127" s="155">
        <v>0</v>
      </c>
      <c r="P127" s="155" t="s">
        <v>13</v>
      </c>
      <c r="Q127" s="155">
        <v>1993</v>
      </c>
      <c r="R127" s="155">
        <v>1</v>
      </c>
      <c r="S127" s="155">
        <v>0</v>
      </c>
      <c r="T127" s="155">
        <v>-1.8E-3</v>
      </c>
      <c r="U127" s="155">
        <v>-1.2E-2</v>
      </c>
      <c r="V127" s="155">
        <v>0</v>
      </c>
      <c r="W127" s="155">
        <v>0</v>
      </c>
      <c r="X127" s="155" t="s">
        <v>40</v>
      </c>
      <c r="Y127" s="154" t="s">
        <v>1016</v>
      </c>
      <c r="AA127" s="38"/>
      <c r="AB127" s="38"/>
      <c r="AC127" s="38"/>
      <c r="AD127" s="38"/>
    </row>
    <row r="128" spans="1:30">
      <c r="A128" s="38">
        <v>2</v>
      </c>
      <c r="B128" s="38">
        <v>4</v>
      </c>
      <c r="C128" s="38">
        <v>13</v>
      </c>
      <c r="D128" s="39">
        <v>2020</v>
      </c>
      <c r="E128" s="39">
        <v>2050</v>
      </c>
      <c r="F128" s="38">
        <v>1</v>
      </c>
      <c r="G128" s="38">
        <v>44</v>
      </c>
      <c r="H128" s="38">
        <v>30</v>
      </c>
      <c r="I128" s="38">
        <v>0</v>
      </c>
      <c r="J128" s="38">
        <v>0</v>
      </c>
      <c r="K128" s="39">
        <v>30</v>
      </c>
      <c r="L128" s="39">
        <v>6500</v>
      </c>
      <c r="M128" s="38">
        <v>0</v>
      </c>
      <c r="N128" s="38">
        <v>0</v>
      </c>
      <c r="O128" s="38">
        <v>0</v>
      </c>
      <c r="P128" s="38" t="s">
        <v>13</v>
      </c>
      <c r="Q128" s="38">
        <v>1993</v>
      </c>
      <c r="R128" s="38">
        <v>1</v>
      </c>
      <c r="S128" s="38">
        <v>0</v>
      </c>
      <c r="T128" s="38">
        <v>-1.8E-3</v>
      </c>
      <c r="U128" s="38">
        <v>-1.2E-2</v>
      </c>
      <c r="V128" s="38">
        <v>0</v>
      </c>
      <c r="W128" s="38">
        <v>0</v>
      </c>
      <c r="X128" s="38" t="s">
        <v>40</v>
      </c>
      <c r="Y128" s="154" t="s">
        <v>1017</v>
      </c>
      <c r="AA128" s="38"/>
      <c r="AB128" s="38"/>
      <c r="AC128" s="38"/>
      <c r="AD128" s="38"/>
    </row>
    <row r="129" spans="1:30">
      <c r="A129" s="38">
        <v>1</v>
      </c>
      <c r="B129" s="38">
        <v>11</v>
      </c>
      <c r="C129" s="38">
        <v>31</v>
      </c>
      <c r="D129" s="39">
        <v>2010</v>
      </c>
      <c r="E129" s="39">
        <v>2019</v>
      </c>
      <c r="F129" s="38">
        <v>1</v>
      </c>
      <c r="G129" s="38">
        <v>31</v>
      </c>
      <c r="H129" s="38">
        <v>0</v>
      </c>
      <c r="I129" s="38">
        <v>0</v>
      </c>
      <c r="J129" s="38">
        <v>0</v>
      </c>
      <c r="K129" s="39">
        <v>1.3</v>
      </c>
      <c r="L129" s="39">
        <v>4500</v>
      </c>
      <c r="M129" s="38">
        <v>5100</v>
      </c>
      <c r="N129" s="38">
        <v>0</v>
      </c>
      <c r="O129" s="38">
        <v>0</v>
      </c>
      <c r="P129" s="38" t="s">
        <v>13</v>
      </c>
      <c r="Q129" s="38">
        <v>1993</v>
      </c>
      <c r="R129" s="38">
        <v>1</v>
      </c>
      <c r="S129" s="38">
        <v>0</v>
      </c>
      <c r="T129" s="38">
        <v>-1.8E-3</v>
      </c>
      <c r="U129" s="38">
        <v>-1.2E-2</v>
      </c>
      <c r="V129" s="38">
        <v>0</v>
      </c>
      <c r="W129" s="38">
        <v>0</v>
      </c>
      <c r="X129" s="38" t="s">
        <v>41</v>
      </c>
      <c r="Y129" s="154" t="s">
        <v>1014</v>
      </c>
      <c r="AA129" s="38"/>
      <c r="AB129" s="38"/>
      <c r="AC129" s="38"/>
      <c r="AD129" s="38"/>
    </row>
    <row r="130" spans="1:30">
      <c r="A130" s="155">
        <v>2</v>
      </c>
      <c r="B130" s="155">
        <v>5</v>
      </c>
      <c r="C130" s="155">
        <v>14</v>
      </c>
      <c r="D130" s="156">
        <v>2010</v>
      </c>
      <c r="E130" s="156">
        <v>2019</v>
      </c>
      <c r="F130" s="155">
        <v>1</v>
      </c>
      <c r="G130" s="155">
        <v>45</v>
      </c>
      <c r="H130" s="155">
        <v>31</v>
      </c>
      <c r="I130" s="155">
        <v>0</v>
      </c>
      <c r="J130" s="155">
        <v>0</v>
      </c>
      <c r="K130" s="156">
        <v>0.6</v>
      </c>
      <c r="L130" s="156">
        <v>4500</v>
      </c>
      <c r="M130" s="155">
        <v>0</v>
      </c>
      <c r="N130" s="155">
        <v>0</v>
      </c>
      <c r="O130" s="155">
        <v>0</v>
      </c>
      <c r="P130" s="155" t="s">
        <v>13</v>
      </c>
      <c r="Q130" s="155">
        <v>1993</v>
      </c>
      <c r="R130" s="155">
        <v>1</v>
      </c>
      <c r="S130" s="155">
        <v>0</v>
      </c>
      <c r="T130" s="155">
        <v>-1.8E-3</v>
      </c>
      <c r="U130" s="155">
        <v>-1.2E-2</v>
      </c>
      <c r="V130" s="155">
        <v>0</v>
      </c>
      <c r="W130" s="155">
        <v>0</v>
      </c>
      <c r="X130" s="155" t="s">
        <v>41</v>
      </c>
      <c r="Y130" s="154" t="s">
        <v>1015</v>
      </c>
      <c r="AA130" s="38"/>
      <c r="AB130" s="38"/>
      <c r="AC130" s="38"/>
      <c r="AD130" s="38"/>
    </row>
    <row r="131" spans="1:30">
      <c r="A131" s="38">
        <v>1</v>
      </c>
      <c r="B131" s="38">
        <v>11</v>
      </c>
      <c r="C131" s="38">
        <v>31</v>
      </c>
      <c r="D131" s="39">
        <v>2020</v>
      </c>
      <c r="E131" s="39">
        <v>2050</v>
      </c>
      <c r="F131" s="38">
        <v>1</v>
      </c>
      <c r="G131" s="38">
        <v>31</v>
      </c>
      <c r="H131" s="38">
        <v>0</v>
      </c>
      <c r="I131" s="38">
        <v>0</v>
      </c>
      <c r="J131" s="38">
        <v>0</v>
      </c>
      <c r="K131" s="39">
        <v>1.4</v>
      </c>
      <c r="L131" s="39">
        <v>4500</v>
      </c>
      <c r="M131" s="38">
        <v>5100</v>
      </c>
      <c r="N131" s="38">
        <v>0</v>
      </c>
      <c r="O131" s="38">
        <v>0</v>
      </c>
      <c r="P131" s="38" t="s">
        <v>13</v>
      </c>
      <c r="Q131" s="38">
        <v>1993</v>
      </c>
      <c r="R131" s="38">
        <v>1</v>
      </c>
      <c r="S131" s="38">
        <v>0</v>
      </c>
      <c r="T131" s="38">
        <v>-1.8E-3</v>
      </c>
      <c r="U131" s="38">
        <v>-1.2E-2</v>
      </c>
      <c r="V131" s="38">
        <v>0</v>
      </c>
      <c r="W131" s="38">
        <v>0</v>
      </c>
      <c r="X131" s="38" t="s">
        <v>41</v>
      </c>
      <c r="Y131" s="154" t="s">
        <v>1016</v>
      </c>
      <c r="AA131" s="38"/>
      <c r="AB131" s="38"/>
      <c r="AC131" s="38"/>
      <c r="AD131" s="38"/>
    </row>
    <row r="132" spans="1:30">
      <c r="A132" s="155">
        <v>2</v>
      </c>
      <c r="B132" s="155">
        <v>5</v>
      </c>
      <c r="C132" s="155">
        <v>14</v>
      </c>
      <c r="D132" s="156">
        <v>2020</v>
      </c>
      <c r="E132" s="156">
        <v>2050</v>
      </c>
      <c r="F132" s="155">
        <v>1</v>
      </c>
      <c r="G132" s="155">
        <v>45</v>
      </c>
      <c r="H132" s="155">
        <v>31</v>
      </c>
      <c r="I132" s="155">
        <v>0</v>
      </c>
      <c r="J132" s="155">
        <v>0</v>
      </c>
      <c r="K132" s="156">
        <v>0.7</v>
      </c>
      <c r="L132" s="156">
        <v>4500</v>
      </c>
      <c r="M132" s="155">
        <v>0</v>
      </c>
      <c r="N132" s="155">
        <v>0</v>
      </c>
      <c r="O132" s="155">
        <v>0</v>
      </c>
      <c r="P132" s="155" t="s">
        <v>13</v>
      </c>
      <c r="Q132" s="155">
        <v>1993</v>
      </c>
      <c r="R132" s="155">
        <v>1</v>
      </c>
      <c r="S132" s="155">
        <v>0</v>
      </c>
      <c r="T132" s="155">
        <v>-1.8E-3</v>
      </c>
      <c r="U132" s="155">
        <v>-1.2E-2</v>
      </c>
      <c r="V132" s="155">
        <v>0</v>
      </c>
      <c r="W132" s="155">
        <v>0</v>
      </c>
      <c r="X132" s="155" t="s">
        <v>41</v>
      </c>
      <c r="Y132" s="154" t="s">
        <v>1017</v>
      </c>
      <c r="AA132" s="38"/>
      <c r="AB132" s="38"/>
      <c r="AC132" s="38"/>
      <c r="AD132" s="38"/>
    </row>
    <row r="133" spans="1:30">
      <c r="A133" s="38"/>
      <c r="B133" s="38"/>
      <c r="C133" s="38"/>
      <c r="D133" s="39"/>
      <c r="E133" s="39"/>
      <c r="F133" s="38"/>
      <c r="G133" s="38"/>
      <c r="H133" s="38"/>
      <c r="I133" s="38"/>
      <c r="J133" s="38"/>
      <c r="K133" s="39"/>
      <c r="L133" s="39"/>
      <c r="M133" s="38"/>
      <c r="N133" s="38"/>
      <c r="O133" s="38"/>
      <c r="P133" s="38"/>
      <c r="Q133" s="38"/>
      <c r="R133" s="38"/>
      <c r="S133" s="38"/>
      <c r="T133" s="38"/>
      <c r="U133" s="38"/>
      <c r="V133" s="38"/>
      <c r="W133" s="38"/>
      <c r="X133" s="38"/>
      <c r="Y133" s="154"/>
      <c r="AA133" s="38"/>
      <c r="AB133" s="38"/>
      <c r="AC133" s="38"/>
      <c r="AD133" s="38"/>
    </row>
    <row r="134" spans="1:30">
      <c r="A134" s="38"/>
      <c r="B134" s="38"/>
      <c r="C134" s="38"/>
      <c r="D134" s="39"/>
      <c r="E134" s="39"/>
      <c r="F134" s="38"/>
      <c r="G134" s="38"/>
      <c r="H134" s="38"/>
      <c r="I134" s="38"/>
      <c r="J134" s="38"/>
      <c r="K134" s="39"/>
      <c r="L134" s="39"/>
      <c r="M134" s="38"/>
      <c r="N134" s="38"/>
      <c r="O134" s="38"/>
      <c r="P134" s="38"/>
      <c r="Q134" s="38"/>
      <c r="R134" s="38"/>
      <c r="S134" s="38"/>
      <c r="T134" s="38"/>
      <c r="U134" s="38"/>
      <c r="V134" s="38"/>
      <c r="W134" s="38"/>
      <c r="X134" s="38"/>
      <c r="Y134" s="154"/>
      <c r="AA134" s="38"/>
      <c r="AB134" s="38"/>
      <c r="AC134" s="38"/>
      <c r="AD134" s="38"/>
    </row>
    <row r="135" spans="1:30">
      <c r="A135" s="38">
        <v>2</v>
      </c>
      <c r="B135" s="38">
        <v>1</v>
      </c>
      <c r="C135" s="38">
        <v>1</v>
      </c>
      <c r="D135" s="39">
        <v>2010</v>
      </c>
      <c r="E135" s="39">
        <v>2013</v>
      </c>
      <c r="F135" s="38">
        <v>1</v>
      </c>
      <c r="G135" s="38">
        <v>32</v>
      </c>
      <c r="H135" s="38">
        <v>-1</v>
      </c>
      <c r="I135" s="38">
        <v>0</v>
      </c>
      <c r="J135" s="38">
        <v>0</v>
      </c>
      <c r="K135" s="39">
        <v>2.87</v>
      </c>
      <c r="L135" s="39">
        <v>275</v>
      </c>
      <c r="M135" s="38">
        <v>275</v>
      </c>
      <c r="N135" s="38">
        <v>0</v>
      </c>
      <c r="O135" s="38">
        <v>0</v>
      </c>
      <c r="P135" s="38" t="s">
        <v>13</v>
      </c>
      <c r="Q135" s="38">
        <v>1993</v>
      </c>
      <c r="R135" s="38">
        <v>1</v>
      </c>
      <c r="S135" s="38">
        <v>0</v>
      </c>
      <c r="T135" s="38">
        <v>-5.0000000000000001E-3</v>
      </c>
      <c r="U135" s="38">
        <v>-1.2E-2</v>
      </c>
      <c r="V135" s="38">
        <v>0</v>
      </c>
      <c r="W135" s="38">
        <v>0</v>
      </c>
      <c r="X135" s="38" t="s">
        <v>42</v>
      </c>
      <c r="Y135" s="154">
        <v>2010</v>
      </c>
      <c r="AA135" s="38"/>
      <c r="AB135" s="38"/>
      <c r="AC135" s="38"/>
      <c r="AD135" s="38"/>
    </row>
    <row r="136" spans="1:30">
      <c r="A136" s="38">
        <v>2</v>
      </c>
      <c r="B136" s="38">
        <v>1</v>
      </c>
      <c r="C136" s="38">
        <v>1</v>
      </c>
      <c r="D136" s="39">
        <v>2014</v>
      </c>
      <c r="E136" s="39">
        <v>2050</v>
      </c>
      <c r="F136" s="38">
        <v>1</v>
      </c>
      <c r="G136" s="38">
        <v>32</v>
      </c>
      <c r="H136" s="38">
        <v>-1</v>
      </c>
      <c r="I136" s="38">
        <v>0</v>
      </c>
      <c r="J136" s="38">
        <v>0</v>
      </c>
      <c r="K136" s="39">
        <v>3.22</v>
      </c>
      <c r="L136" s="39">
        <v>295</v>
      </c>
      <c r="M136" s="38">
        <v>295</v>
      </c>
      <c r="N136" s="38">
        <v>0</v>
      </c>
      <c r="O136" s="38">
        <v>0</v>
      </c>
      <c r="P136" s="38" t="s">
        <v>13</v>
      </c>
      <c r="Q136" s="38">
        <v>1993</v>
      </c>
      <c r="R136" s="38">
        <v>1</v>
      </c>
      <c r="S136" s="38">
        <v>0</v>
      </c>
      <c r="T136" s="38">
        <v>-1</v>
      </c>
      <c r="U136" s="38">
        <v>-1</v>
      </c>
      <c r="V136" s="38">
        <v>0</v>
      </c>
      <c r="W136" s="38">
        <v>0</v>
      </c>
      <c r="X136" s="38" t="s">
        <v>42</v>
      </c>
      <c r="Y136" s="154"/>
      <c r="AA136" s="38"/>
      <c r="AB136" s="38"/>
      <c r="AC136" s="38"/>
      <c r="AD136" s="38"/>
    </row>
    <row r="137" spans="1:30">
      <c r="A137" s="38">
        <v>2</v>
      </c>
      <c r="B137" s="38">
        <v>1</v>
      </c>
      <c r="C137" s="38">
        <v>2</v>
      </c>
      <c r="D137" s="39">
        <v>2010</v>
      </c>
      <c r="E137" s="39">
        <v>2013</v>
      </c>
      <c r="F137" s="38">
        <v>1</v>
      </c>
      <c r="G137" s="38">
        <v>33</v>
      </c>
      <c r="H137" s="38">
        <v>-1</v>
      </c>
      <c r="I137" s="38">
        <v>0</v>
      </c>
      <c r="J137" s="38">
        <v>0</v>
      </c>
      <c r="K137" s="39">
        <v>3.17</v>
      </c>
      <c r="L137" s="39">
        <v>290</v>
      </c>
      <c r="M137" s="38">
        <v>290</v>
      </c>
      <c r="N137" s="38">
        <v>0</v>
      </c>
      <c r="O137" s="38">
        <v>0</v>
      </c>
      <c r="P137" s="38" t="s">
        <v>13</v>
      </c>
      <c r="Q137" s="38">
        <v>1993</v>
      </c>
      <c r="R137" s="38">
        <v>1</v>
      </c>
      <c r="S137" s="38">
        <v>0</v>
      </c>
      <c r="T137" s="38">
        <v>-5.0000000000000001E-3</v>
      </c>
      <c r="U137" s="38">
        <v>-1.2E-2</v>
      </c>
      <c r="V137" s="38">
        <v>0</v>
      </c>
      <c r="W137" s="38">
        <v>0</v>
      </c>
      <c r="X137" s="38" t="s">
        <v>43</v>
      </c>
      <c r="Y137" s="154">
        <v>2010</v>
      </c>
      <c r="AA137" s="38"/>
      <c r="AB137" s="38"/>
      <c r="AC137" s="38"/>
      <c r="AD137" s="38"/>
    </row>
    <row r="138" spans="1:30">
      <c r="A138" s="38">
        <v>2</v>
      </c>
      <c r="B138" s="38">
        <v>1</v>
      </c>
      <c r="C138" s="38">
        <v>2</v>
      </c>
      <c r="D138" s="39">
        <v>2014</v>
      </c>
      <c r="E138" s="39">
        <v>2029</v>
      </c>
      <c r="F138" s="38">
        <v>1</v>
      </c>
      <c r="G138" s="38">
        <v>33</v>
      </c>
      <c r="H138" s="38">
        <v>-1</v>
      </c>
      <c r="I138" s="38">
        <v>0</v>
      </c>
      <c r="J138" s="38">
        <v>0</v>
      </c>
      <c r="K138" s="39">
        <v>3.22</v>
      </c>
      <c r="L138" s="39">
        <v>295</v>
      </c>
      <c r="M138" s="38">
        <v>295</v>
      </c>
      <c r="N138" s="38">
        <v>0</v>
      </c>
      <c r="O138" s="38">
        <v>0</v>
      </c>
      <c r="P138" s="38" t="s">
        <v>13</v>
      </c>
      <c r="Q138" s="38">
        <v>1993</v>
      </c>
      <c r="R138" s="38">
        <v>1</v>
      </c>
      <c r="S138" s="38">
        <v>0</v>
      </c>
      <c r="T138" s="38">
        <v>-5.0000000000000001E-3</v>
      </c>
      <c r="U138" s="38">
        <v>-1.2E-2</v>
      </c>
      <c r="V138" s="38">
        <v>0</v>
      </c>
      <c r="W138" s="38">
        <v>0</v>
      </c>
      <c r="X138" s="38" t="s">
        <v>43</v>
      </c>
      <c r="Y138" s="154">
        <v>2015</v>
      </c>
      <c r="AA138" s="38"/>
      <c r="AB138" s="38"/>
      <c r="AC138" s="38"/>
      <c r="AD138" s="38"/>
    </row>
    <row r="139" spans="1:30">
      <c r="A139" s="38">
        <v>2</v>
      </c>
      <c r="B139" s="38">
        <v>1</v>
      </c>
      <c r="C139" s="38">
        <v>2</v>
      </c>
      <c r="D139" s="39">
        <v>2030</v>
      </c>
      <c r="E139" s="39">
        <v>2050</v>
      </c>
      <c r="F139" s="38">
        <v>1</v>
      </c>
      <c r="G139" s="38">
        <v>33</v>
      </c>
      <c r="H139" s="38">
        <v>-1</v>
      </c>
      <c r="I139" s="38">
        <v>0</v>
      </c>
      <c r="J139" s="38">
        <v>0</v>
      </c>
      <c r="K139" s="39">
        <v>3.28</v>
      </c>
      <c r="L139" s="39">
        <v>295</v>
      </c>
      <c r="M139" s="38">
        <v>295</v>
      </c>
      <c r="N139" s="38">
        <v>0</v>
      </c>
      <c r="O139" s="38">
        <v>0</v>
      </c>
      <c r="P139" s="38" t="s">
        <v>13</v>
      </c>
      <c r="Q139" s="38">
        <v>1993</v>
      </c>
      <c r="R139" s="38">
        <v>1</v>
      </c>
      <c r="S139" s="38">
        <v>0</v>
      </c>
      <c r="T139" s="38">
        <v>-5.0000000000000001E-3</v>
      </c>
      <c r="U139" s="38">
        <v>-1.2E-2</v>
      </c>
      <c r="V139" s="38">
        <v>0</v>
      </c>
      <c r="W139" s="38">
        <v>0</v>
      </c>
      <c r="X139" s="38" t="s">
        <v>43</v>
      </c>
      <c r="Y139" s="154">
        <v>2030</v>
      </c>
      <c r="AA139" s="38"/>
      <c r="AB139" s="38"/>
      <c r="AC139" s="38"/>
      <c r="AD139" s="38"/>
    </row>
    <row r="140" spans="1:30">
      <c r="A140" s="38">
        <v>2</v>
      </c>
      <c r="B140" s="38">
        <v>1</v>
      </c>
      <c r="C140" s="38">
        <v>3</v>
      </c>
      <c r="D140" s="39">
        <v>2010</v>
      </c>
      <c r="E140" s="39">
        <v>2019</v>
      </c>
      <c r="F140" s="38">
        <v>1</v>
      </c>
      <c r="G140" s="38">
        <v>34</v>
      </c>
      <c r="H140" s="38">
        <v>-1</v>
      </c>
      <c r="I140" s="38">
        <v>0</v>
      </c>
      <c r="J140" s="38">
        <v>0</v>
      </c>
      <c r="K140" s="39">
        <v>3.52</v>
      </c>
      <c r="L140" s="39">
        <v>455</v>
      </c>
      <c r="M140" s="38">
        <v>455</v>
      </c>
      <c r="N140" s="38">
        <v>0</v>
      </c>
      <c r="O140" s="38">
        <v>0</v>
      </c>
      <c r="P140" s="38" t="s">
        <v>13</v>
      </c>
      <c r="Q140" s="38">
        <v>1993</v>
      </c>
      <c r="R140" s="38">
        <v>1</v>
      </c>
      <c r="S140" s="38">
        <v>0</v>
      </c>
      <c r="T140" s="38">
        <v>-5.0000000000000001E-3</v>
      </c>
      <c r="U140" s="38">
        <v>-1.2E-2</v>
      </c>
      <c r="V140" s="38">
        <v>0</v>
      </c>
      <c r="W140" s="38">
        <v>0</v>
      </c>
      <c r="X140" s="38" t="s">
        <v>44</v>
      </c>
      <c r="Y140" s="154">
        <v>2010</v>
      </c>
      <c r="AA140" s="38"/>
      <c r="AB140" s="38"/>
      <c r="AC140" s="38"/>
      <c r="AD140" s="38"/>
    </row>
    <row r="141" spans="1:30">
      <c r="A141" s="38">
        <v>2</v>
      </c>
      <c r="B141" s="38">
        <v>1</v>
      </c>
      <c r="C141" s="38">
        <v>3</v>
      </c>
      <c r="D141" s="39">
        <v>2020</v>
      </c>
      <c r="E141" s="39">
        <v>2050</v>
      </c>
      <c r="F141" s="38">
        <v>1</v>
      </c>
      <c r="G141" s="38">
        <v>34</v>
      </c>
      <c r="H141" s="38">
        <v>-1</v>
      </c>
      <c r="I141" s="38">
        <v>0</v>
      </c>
      <c r="J141" s="38">
        <v>0</v>
      </c>
      <c r="K141" s="39">
        <v>3.81</v>
      </c>
      <c r="L141" s="39">
        <v>515</v>
      </c>
      <c r="M141" s="38">
        <v>515</v>
      </c>
      <c r="N141" s="38">
        <v>0</v>
      </c>
      <c r="O141" s="38">
        <v>0</v>
      </c>
      <c r="P141" s="38" t="s">
        <v>13</v>
      </c>
      <c r="Q141" s="38">
        <v>1993</v>
      </c>
      <c r="R141" s="38">
        <v>1</v>
      </c>
      <c r="S141" s="38">
        <v>0</v>
      </c>
      <c r="T141" s="38">
        <v>-5.0000000000000001E-3</v>
      </c>
      <c r="U141" s="38">
        <v>-1.2E-2</v>
      </c>
      <c r="V141" s="38">
        <v>0</v>
      </c>
      <c r="W141" s="38">
        <v>0</v>
      </c>
      <c r="X141" s="38" t="s">
        <v>44</v>
      </c>
      <c r="Y141" s="154">
        <v>2020</v>
      </c>
      <c r="AA141" s="38"/>
      <c r="AB141" s="38"/>
      <c r="AC141" s="38"/>
      <c r="AD141" s="38"/>
    </row>
    <row r="142" spans="1:30">
      <c r="A142" s="38">
        <v>2</v>
      </c>
      <c r="B142" s="38">
        <v>2</v>
      </c>
      <c r="C142" s="38">
        <v>4</v>
      </c>
      <c r="D142" s="39">
        <v>2010</v>
      </c>
      <c r="E142" s="39">
        <v>2050</v>
      </c>
      <c r="F142" s="38">
        <v>1</v>
      </c>
      <c r="G142" s="38">
        <v>35</v>
      </c>
      <c r="H142" s="38">
        <v>0</v>
      </c>
      <c r="I142" s="38">
        <v>0</v>
      </c>
      <c r="J142" s="38">
        <v>0</v>
      </c>
      <c r="K142" s="39">
        <v>4.0199999999999996</v>
      </c>
      <c r="L142" s="39">
        <v>3200</v>
      </c>
      <c r="M142" s="38">
        <v>2880</v>
      </c>
      <c r="N142" s="38">
        <v>0</v>
      </c>
      <c r="O142" s="38">
        <v>0</v>
      </c>
      <c r="P142" s="38" t="s">
        <v>13</v>
      </c>
      <c r="Q142" s="38">
        <v>1993</v>
      </c>
      <c r="R142" s="38">
        <v>1</v>
      </c>
      <c r="S142" s="38">
        <v>0</v>
      </c>
      <c r="T142" s="38">
        <v>-3.0000000000000001E-3</v>
      </c>
      <c r="U142" s="38">
        <v>-1.2E-2</v>
      </c>
      <c r="V142" s="38">
        <v>0</v>
      </c>
      <c r="W142" s="38">
        <v>0</v>
      </c>
      <c r="X142" s="38" t="s">
        <v>45</v>
      </c>
      <c r="Y142" s="154">
        <v>2010</v>
      </c>
      <c r="AA142" s="38"/>
      <c r="AB142" s="38"/>
      <c r="AC142" s="38"/>
      <c r="AD142" s="38"/>
    </row>
    <row r="143" spans="1:30">
      <c r="A143" s="38">
        <v>2</v>
      </c>
      <c r="B143" s="38">
        <v>2</v>
      </c>
      <c r="C143" s="38">
        <v>4</v>
      </c>
      <c r="D143" s="39">
        <v>2015</v>
      </c>
      <c r="E143" s="39">
        <v>2050</v>
      </c>
      <c r="F143" s="38" t="s">
        <v>1185</v>
      </c>
      <c r="G143" s="38">
        <v>35</v>
      </c>
      <c r="H143" s="38">
        <v>0</v>
      </c>
      <c r="I143" s="38">
        <v>0</v>
      </c>
      <c r="J143" s="38">
        <v>0</v>
      </c>
      <c r="K143" s="39">
        <v>4.0999999999999996</v>
      </c>
      <c r="L143" s="39">
        <v>3550</v>
      </c>
      <c r="M143" s="38">
        <v>3230</v>
      </c>
      <c r="N143" s="38">
        <v>0</v>
      </c>
      <c r="O143" s="38">
        <v>0</v>
      </c>
      <c r="P143" s="38" t="s">
        <v>13</v>
      </c>
      <c r="Q143" s="38">
        <v>1993</v>
      </c>
      <c r="R143" s="38">
        <v>1</v>
      </c>
      <c r="S143" s="38">
        <v>0</v>
      </c>
      <c r="T143" s="38">
        <v>-1</v>
      </c>
      <c r="U143" s="38">
        <v>-1</v>
      </c>
      <c r="V143" s="38">
        <v>0</v>
      </c>
      <c r="W143" s="38">
        <v>0</v>
      </c>
      <c r="X143" s="38" t="s">
        <v>45</v>
      </c>
      <c r="Y143" s="154">
        <v>2015</v>
      </c>
      <c r="AA143" s="38"/>
      <c r="AB143" s="38"/>
      <c r="AC143" s="38"/>
      <c r="AD143" s="38"/>
    </row>
    <row r="144" spans="1:30">
      <c r="A144" s="38">
        <v>2</v>
      </c>
      <c r="B144" s="38">
        <v>2</v>
      </c>
      <c r="C144" s="38">
        <v>5</v>
      </c>
      <c r="D144" s="39">
        <v>2010</v>
      </c>
      <c r="E144" s="39">
        <v>2019</v>
      </c>
      <c r="F144" s="38">
        <v>1</v>
      </c>
      <c r="G144" s="38">
        <v>36</v>
      </c>
      <c r="H144" s="38">
        <v>0</v>
      </c>
      <c r="I144" s="38">
        <v>0</v>
      </c>
      <c r="J144" s="38">
        <v>0</v>
      </c>
      <c r="K144" s="39">
        <v>4.0199999999999996</v>
      </c>
      <c r="L144" s="39">
        <v>3200</v>
      </c>
      <c r="M144" s="38">
        <v>2880</v>
      </c>
      <c r="N144" s="38">
        <v>0</v>
      </c>
      <c r="O144" s="38">
        <v>0</v>
      </c>
      <c r="P144" s="38" t="s">
        <v>13</v>
      </c>
      <c r="Q144" s="38">
        <v>1993</v>
      </c>
      <c r="R144" s="38">
        <v>1</v>
      </c>
      <c r="S144" s="38">
        <v>0</v>
      </c>
      <c r="T144" s="38">
        <v>-1</v>
      </c>
      <c r="U144" s="38">
        <v>-1</v>
      </c>
      <c r="V144" s="38">
        <v>0</v>
      </c>
      <c r="W144" s="38">
        <v>0</v>
      </c>
      <c r="X144" s="38" t="s">
        <v>46</v>
      </c>
      <c r="Y144" s="154"/>
      <c r="AA144" s="38"/>
      <c r="AB144" s="38"/>
      <c r="AC144" s="38"/>
      <c r="AD144" s="38"/>
    </row>
    <row r="145" spans="1:54" ht="14.25">
      <c r="A145" s="38">
        <v>2</v>
      </c>
      <c r="B145" s="38">
        <v>2</v>
      </c>
      <c r="C145" s="38">
        <v>5</v>
      </c>
      <c r="D145" s="39">
        <v>2020</v>
      </c>
      <c r="E145" s="39">
        <v>2050</v>
      </c>
      <c r="F145" s="38" t="s">
        <v>1186</v>
      </c>
      <c r="G145" s="38">
        <v>36</v>
      </c>
      <c r="H145" s="38">
        <v>0</v>
      </c>
      <c r="I145" s="38">
        <v>0</v>
      </c>
      <c r="J145" s="38">
        <v>0</v>
      </c>
      <c r="K145" s="39">
        <v>4.0999999999999996</v>
      </c>
      <c r="L145" s="39">
        <v>3550</v>
      </c>
      <c r="M145" s="38">
        <v>3230</v>
      </c>
      <c r="N145" s="38">
        <v>0</v>
      </c>
      <c r="O145" s="38">
        <v>0</v>
      </c>
      <c r="P145" s="38" t="s">
        <v>13</v>
      </c>
      <c r="Q145" s="38">
        <v>1993</v>
      </c>
      <c r="R145" s="38">
        <v>1</v>
      </c>
      <c r="S145" s="38">
        <v>0</v>
      </c>
      <c r="T145" s="38">
        <v>-3.0000000000000001E-3</v>
      </c>
      <c r="U145" s="38">
        <v>-1.2E-2</v>
      </c>
      <c r="V145" s="38">
        <v>0</v>
      </c>
      <c r="W145" s="38">
        <v>0</v>
      </c>
      <c r="X145" s="38" t="s">
        <v>46</v>
      </c>
      <c r="Y145" s="154">
        <v>2020</v>
      </c>
      <c r="AA145" s="38"/>
      <c r="AB145" s="38"/>
      <c r="AC145" s="38"/>
      <c r="AD145" s="38"/>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row>
    <row r="146" spans="1:54">
      <c r="A146" s="38">
        <v>2</v>
      </c>
      <c r="B146" s="38">
        <v>2</v>
      </c>
      <c r="C146" s="38">
        <v>6</v>
      </c>
      <c r="D146" s="39">
        <v>2010</v>
      </c>
      <c r="E146" s="39">
        <v>2010</v>
      </c>
      <c r="F146" s="38">
        <v>1</v>
      </c>
      <c r="G146" s="38">
        <v>37</v>
      </c>
      <c r="H146" s="38">
        <v>0</v>
      </c>
      <c r="I146" s="38">
        <v>0</v>
      </c>
      <c r="J146" s="38">
        <v>0</v>
      </c>
      <c r="K146" s="39">
        <v>4.6900000000000004</v>
      </c>
      <c r="L146" s="39">
        <v>3850</v>
      </c>
      <c r="M146" s="38">
        <v>3310</v>
      </c>
      <c r="N146" s="38">
        <v>1155</v>
      </c>
      <c r="O146" s="38">
        <v>693</v>
      </c>
      <c r="P146" s="38" t="s">
        <v>13</v>
      </c>
      <c r="Q146" s="38">
        <v>1993</v>
      </c>
      <c r="R146" s="38">
        <v>1</v>
      </c>
      <c r="S146" s="38">
        <v>0</v>
      </c>
      <c r="T146" s="38">
        <v>-3.0000000000000001E-3</v>
      </c>
      <c r="U146" s="38">
        <v>-1.2E-2</v>
      </c>
      <c r="V146" s="38">
        <v>0</v>
      </c>
      <c r="W146" s="38">
        <v>0</v>
      </c>
      <c r="X146" s="38" t="s">
        <v>47</v>
      </c>
      <c r="Y146" s="154">
        <v>2010</v>
      </c>
      <c r="AA146" s="38"/>
      <c r="AB146" s="38"/>
      <c r="AC146" s="38"/>
      <c r="AD146" s="38"/>
    </row>
    <row r="147" spans="1:54" ht="14.25">
      <c r="A147" s="38">
        <v>2</v>
      </c>
      <c r="B147" s="38">
        <v>2</v>
      </c>
      <c r="C147" s="38">
        <v>6</v>
      </c>
      <c r="D147" s="39">
        <v>2011</v>
      </c>
      <c r="E147" s="39">
        <v>2011</v>
      </c>
      <c r="F147" s="38">
        <v>1</v>
      </c>
      <c r="G147" s="38">
        <v>37</v>
      </c>
      <c r="H147" s="38">
        <v>0</v>
      </c>
      <c r="I147" s="38">
        <v>0</v>
      </c>
      <c r="J147" s="38">
        <v>0</v>
      </c>
      <c r="K147" s="39">
        <v>4.6900000000000004</v>
      </c>
      <c r="L147" s="39">
        <v>3850</v>
      </c>
      <c r="M147" s="38">
        <v>3310</v>
      </c>
      <c r="N147" s="38">
        <v>300</v>
      </c>
      <c r="O147" s="38">
        <v>180</v>
      </c>
      <c r="P147" s="38" t="s">
        <v>13</v>
      </c>
      <c r="Q147" s="38">
        <v>1993</v>
      </c>
      <c r="R147" s="38">
        <v>1</v>
      </c>
      <c r="S147" s="38">
        <v>0</v>
      </c>
      <c r="T147" s="38">
        <v>-3.0000000000000001E-3</v>
      </c>
      <c r="U147" s="38">
        <v>-1.2E-2</v>
      </c>
      <c r="V147" s="38">
        <v>0</v>
      </c>
      <c r="W147" s="38">
        <v>0</v>
      </c>
      <c r="X147" s="38" t="s">
        <v>47</v>
      </c>
      <c r="Y147" s="154"/>
      <c r="AA147" s="38"/>
      <c r="AB147" s="38"/>
      <c r="AC147" s="38"/>
      <c r="AD147" s="38"/>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row>
    <row r="148" spans="1:54">
      <c r="A148" s="38">
        <v>2</v>
      </c>
      <c r="B148" s="38">
        <v>2</v>
      </c>
      <c r="C148" s="38">
        <v>6</v>
      </c>
      <c r="D148" s="39">
        <v>2012</v>
      </c>
      <c r="E148" s="39">
        <v>2012</v>
      </c>
      <c r="F148" s="38">
        <v>1</v>
      </c>
      <c r="G148" s="38">
        <v>37</v>
      </c>
      <c r="H148" s="38">
        <v>0</v>
      </c>
      <c r="I148" s="38">
        <v>0</v>
      </c>
      <c r="J148" s="38">
        <v>0</v>
      </c>
      <c r="K148" s="39">
        <v>4.6900000000000004</v>
      </c>
      <c r="L148" s="39">
        <v>3850</v>
      </c>
      <c r="M148" s="38">
        <v>3310</v>
      </c>
      <c r="N148" s="38">
        <v>0</v>
      </c>
      <c r="O148" s="38">
        <v>0</v>
      </c>
      <c r="P148" s="38" t="s">
        <v>13</v>
      </c>
      <c r="Q148" s="38">
        <v>1993</v>
      </c>
      <c r="R148" s="38">
        <v>1</v>
      </c>
      <c r="S148" s="38">
        <v>0</v>
      </c>
      <c r="T148" s="38">
        <v>-3.0000000000000001E-3</v>
      </c>
      <c r="U148" s="38">
        <v>-1.2E-2</v>
      </c>
      <c r="V148" s="38">
        <v>0</v>
      </c>
      <c r="W148" s="38">
        <v>0</v>
      </c>
      <c r="X148" s="38" t="s">
        <v>47</v>
      </c>
      <c r="Y148" s="154"/>
      <c r="AA148" s="38"/>
      <c r="AB148" s="38"/>
      <c r="AC148" s="38"/>
      <c r="AD148" s="38"/>
    </row>
    <row r="149" spans="1:54">
      <c r="A149" s="38">
        <v>2</v>
      </c>
      <c r="B149" s="38">
        <v>2</v>
      </c>
      <c r="C149" s="38">
        <v>6</v>
      </c>
      <c r="D149" s="39">
        <v>2013</v>
      </c>
      <c r="E149" s="39">
        <v>2013</v>
      </c>
      <c r="F149" s="38">
        <v>1</v>
      </c>
      <c r="G149" s="38">
        <v>37</v>
      </c>
      <c r="H149" s="38">
        <v>0</v>
      </c>
      <c r="I149" s="38">
        <v>0</v>
      </c>
      <c r="J149" s="38">
        <v>0</v>
      </c>
      <c r="K149" s="39">
        <v>4.6900000000000004</v>
      </c>
      <c r="L149" s="39">
        <v>3850</v>
      </c>
      <c r="M149" s="38">
        <v>3310</v>
      </c>
      <c r="N149" s="38">
        <v>300</v>
      </c>
      <c r="O149" s="38">
        <v>180</v>
      </c>
      <c r="P149" s="38" t="s">
        <v>13</v>
      </c>
      <c r="Q149" s="38">
        <v>1993</v>
      </c>
      <c r="R149" s="38">
        <v>1</v>
      </c>
      <c r="S149" s="38">
        <v>0</v>
      </c>
      <c r="T149" s="38">
        <v>-3.0000000000000001E-3</v>
      </c>
      <c r="U149" s="38">
        <v>-1.2E-2</v>
      </c>
      <c r="V149" s="38">
        <v>0</v>
      </c>
      <c r="W149" s="38">
        <v>0</v>
      </c>
      <c r="X149" s="38" t="s">
        <v>47</v>
      </c>
      <c r="Y149" s="154"/>
      <c r="AA149" s="38"/>
      <c r="AB149" s="38"/>
      <c r="AC149" s="38"/>
      <c r="AD149" s="38"/>
    </row>
    <row r="150" spans="1:54">
      <c r="A150" s="38">
        <v>2</v>
      </c>
      <c r="B150" s="38">
        <v>2</v>
      </c>
      <c r="C150" s="38">
        <v>6</v>
      </c>
      <c r="D150" s="39">
        <v>2014</v>
      </c>
      <c r="E150" s="39">
        <v>2019</v>
      </c>
      <c r="F150" s="38">
        <v>1</v>
      </c>
      <c r="G150" s="38">
        <v>37</v>
      </c>
      <c r="H150" s="38">
        <v>0</v>
      </c>
      <c r="I150" s="38">
        <v>0</v>
      </c>
      <c r="J150" s="38">
        <v>0</v>
      </c>
      <c r="K150" s="39">
        <v>4.6900000000000004</v>
      </c>
      <c r="L150" s="39">
        <v>3850</v>
      </c>
      <c r="M150" s="38">
        <v>3310</v>
      </c>
      <c r="N150" s="38">
        <v>0</v>
      </c>
      <c r="O150" s="38">
        <v>0</v>
      </c>
      <c r="P150" s="38" t="s">
        <v>13</v>
      </c>
      <c r="Q150" s="38">
        <v>1993</v>
      </c>
      <c r="R150" s="38">
        <v>1</v>
      </c>
      <c r="S150" s="38">
        <v>0</v>
      </c>
      <c r="T150" s="38">
        <v>-3.0000000000000001E-3</v>
      </c>
      <c r="U150" s="38">
        <v>-1.2E-2</v>
      </c>
      <c r="V150" s="38">
        <v>0</v>
      </c>
      <c r="W150" s="38">
        <v>0</v>
      </c>
      <c r="X150" s="38" t="s">
        <v>47</v>
      </c>
      <c r="Y150" s="154"/>
      <c r="AA150" s="38"/>
      <c r="AB150" s="38"/>
      <c r="AC150" s="38"/>
      <c r="AD150" s="38"/>
    </row>
    <row r="151" spans="1:54">
      <c r="A151" s="38">
        <v>2</v>
      </c>
      <c r="B151" s="38">
        <v>2</v>
      </c>
      <c r="C151" s="38">
        <v>6</v>
      </c>
      <c r="D151" s="39">
        <v>2020</v>
      </c>
      <c r="E151" s="39">
        <v>2050</v>
      </c>
      <c r="F151" s="38">
        <v>1</v>
      </c>
      <c r="G151" s="38">
        <v>37</v>
      </c>
      <c r="H151" s="38">
        <v>0</v>
      </c>
      <c r="I151" s="38">
        <v>0</v>
      </c>
      <c r="J151" s="38">
        <v>0</v>
      </c>
      <c r="K151" s="39">
        <v>4.6900000000000004</v>
      </c>
      <c r="L151" s="39">
        <v>3700</v>
      </c>
      <c r="M151" s="38">
        <v>3220</v>
      </c>
      <c r="N151" s="38">
        <v>0</v>
      </c>
      <c r="O151" s="38">
        <v>0</v>
      </c>
      <c r="P151" s="38" t="s">
        <v>13</v>
      </c>
      <c r="Q151" s="38">
        <v>1993</v>
      </c>
      <c r="R151" s="38">
        <v>1</v>
      </c>
      <c r="S151" s="38">
        <v>0</v>
      </c>
      <c r="T151" s="38">
        <v>-3.0000000000000001E-3</v>
      </c>
      <c r="U151" s="38">
        <v>-1.2E-2</v>
      </c>
      <c r="V151" s="38">
        <v>0</v>
      </c>
      <c r="W151" s="38">
        <v>0</v>
      </c>
      <c r="X151" s="38" t="s">
        <v>47</v>
      </c>
      <c r="Y151" s="154">
        <v>2020</v>
      </c>
      <c r="AA151" s="38"/>
      <c r="AB151" s="38"/>
      <c r="AC151" s="38"/>
      <c r="AD151" s="38"/>
    </row>
    <row r="152" spans="1:54">
      <c r="A152" s="38">
        <v>2</v>
      </c>
      <c r="B152" s="38">
        <v>2</v>
      </c>
      <c r="C152" s="38">
        <v>7</v>
      </c>
      <c r="D152" s="39">
        <v>2010</v>
      </c>
      <c r="E152" s="39">
        <v>2010</v>
      </c>
      <c r="F152" s="38">
        <v>1</v>
      </c>
      <c r="G152" s="38">
        <v>38</v>
      </c>
      <c r="H152" s="38">
        <v>0</v>
      </c>
      <c r="I152" s="38">
        <v>0</v>
      </c>
      <c r="J152" s="38">
        <v>0</v>
      </c>
      <c r="K152" s="39">
        <v>6.15</v>
      </c>
      <c r="L152" s="39">
        <v>4500</v>
      </c>
      <c r="M152" s="38">
        <v>4300</v>
      </c>
      <c r="N152" s="38">
        <v>0</v>
      </c>
      <c r="O152" s="38">
        <v>0</v>
      </c>
      <c r="P152" s="38" t="s">
        <v>13</v>
      </c>
      <c r="Q152" s="38">
        <v>1993</v>
      </c>
      <c r="R152" s="38">
        <v>1</v>
      </c>
      <c r="S152" s="38">
        <v>0</v>
      </c>
      <c r="T152" s="38">
        <v>-3.0000000000000001E-3</v>
      </c>
      <c r="U152" s="38">
        <v>-1.2E-2</v>
      </c>
      <c r="V152" s="38">
        <v>0</v>
      </c>
      <c r="W152" s="38">
        <v>0</v>
      </c>
      <c r="X152" s="38" t="s">
        <v>48</v>
      </c>
      <c r="Y152" s="154">
        <v>2010</v>
      </c>
      <c r="AA152" s="38"/>
      <c r="AB152" s="38"/>
      <c r="AC152" s="38"/>
      <c r="AD152" s="38"/>
    </row>
    <row r="153" spans="1:54">
      <c r="A153" s="38">
        <v>2</v>
      </c>
      <c r="B153" s="38">
        <v>2</v>
      </c>
      <c r="C153" s="38">
        <v>7</v>
      </c>
      <c r="D153" s="39">
        <v>2011</v>
      </c>
      <c r="E153" s="39">
        <v>2011</v>
      </c>
      <c r="F153" s="38">
        <v>1</v>
      </c>
      <c r="G153" s="38">
        <v>38</v>
      </c>
      <c r="H153" s="38">
        <v>0</v>
      </c>
      <c r="I153" s="38">
        <v>0</v>
      </c>
      <c r="J153" s="38">
        <v>0</v>
      </c>
      <c r="K153" s="39">
        <v>7.03</v>
      </c>
      <c r="L153" s="39">
        <v>6000</v>
      </c>
      <c r="M153" s="38">
        <v>5200</v>
      </c>
      <c r="N153" s="38">
        <v>300</v>
      </c>
      <c r="O153" s="38">
        <v>180</v>
      </c>
      <c r="P153" s="38" t="s">
        <v>13</v>
      </c>
      <c r="Q153" s="38">
        <v>1993</v>
      </c>
      <c r="R153" s="38">
        <v>1</v>
      </c>
      <c r="S153" s="38">
        <v>0</v>
      </c>
      <c r="T153" s="38">
        <v>-3.0000000000000001E-3</v>
      </c>
      <c r="U153" s="38">
        <v>-1.2E-2</v>
      </c>
      <c r="V153" s="38">
        <v>0</v>
      </c>
      <c r="W153" s="38">
        <v>0</v>
      </c>
      <c r="X153" s="38" t="s">
        <v>48</v>
      </c>
      <c r="Y153" s="154"/>
      <c r="AA153" s="38"/>
      <c r="AB153" s="38"/>
      <c r="AC153" s="38"/>
      <c r="AD153" s="38"/>
    </row>
    <row r="154" spans="1:54">
      <c r="A154" s="38">
        <v>2</v>
      </c>
      <c r="B154" s="38">
        <v>2</v>
      </c>
      <c r="C154" s="38">
        <v>7</v>
      </c>
      <c r="D154" s="39">
        <v>2012</v>
      </c>
      <c r="E154" s="39">
        <v>2012</v>
      </c>
      <c r="F154" s="38">
        <v>1</v>
      </c>
      <c r="G154" s="38">
        <v>38</v>
      </c>
      <c r="H154" s="38">
        <v>0</v>
      </c>
      <c r="I154" s="38">
        <v>0</v>
      </c>
      <c r="J154" s="38">
        <v>0</v>
      </c>
      <c r="K154" s="39">
        <v>7.03</v>
      </c>
      <c r="L154" s="39">
        <v>6000</v>
      </c>
      <c r="M154" s="38">
        <v>5200</v>
      </c>
      <c r="N154" s="38">
        <v>0</v>
      </c>
      <c r="O154" s="38">
        <v>0</v>
      </c>
      <c r="P154" s="38" t="s">
        <v>13</v>
      </c>
      <c r="Q154" s="38">
        <v>1993</v>
      </c>
      <c r="R154" s="38">
        <v>1</v>
      </c>
      <c r="S154" s="38">
        <v>0</v>
      </c>
      <c r="T154" s="38">
        <v>-3.0000000000000001E-3</v>
      </c>
      <c r="U154" s="38">
        <v>-1.2E-2</v>
      </c>
      <c r="V154" s="38">
        <v>0</v>
      </c>
      <c r="W154" s="38">
        <v>0</v>
      </c>
      <c r="X154" s="38" t="s">
        <v>48</v>
      </c>
      <c r="Y154" s="154">
        <v>2015</v>
      </c>
      <c r="AA154" s="38"/>
      <c r="AB154" s="38"/>
      <c r="AC154" s="38"/>
      <c r="AD154" s="38"/>
    </row>
    <row r="155" spans="1:54">
      <c r="A155" s="38">
        <v>2</v>
      </c>
      <c r="B155" s="38">
        <v>2</v>
      </c>
      <c r="C155" s="38">
        <v>7</v>
      </c>
      <c r="D155" s="39">
        <v>2013</v>
      </c>
      <c r="E155" s="39">
        <v>2013</v>
      </c>
      <c r="F155" s="38">
        <v>1</v>
      </c>
      <c r="G155" s="38">
        <v>38</v>
      </c>
      <c r="H155" s="38">
        <v>0</v>
      </c>
      <c r="I155" s="38">
        <v>0</v>
      </c>
      <c r="J155" s="38">
        <v>0</v>
      </c>
      <c r="K155" s="39">
        <v>7.03</v>
      </c>
      <c r="L155" s="39">
        <v>6000</v>
      </c>
      <c r="M155" s="38">
        <v>5200</v>
      </c>
      <c r="N155" s="38">
        <v>300</v>
      </c>
      <c r="O155" s="38">
        <v>180</v>
      </c>
      <c r="P155" s="38" t="s">
        <v>13</v>
      </c>
      <c r="Q155" s="38">
        <v>1993</v>
      </c>
      <c r="R155" s="38">
        <v>1</v>
      </c>
      <c r="S155" s="38">
        <v>0</v>
      </c>
      <c r="T155" s="38">
        <v>-3.0000000000000001E-3</v>
      </c>
      <c r="U155" s="38">
        <v>-1.2E-2</v>
      </c>
      <c r="V155" s="38">
        <v>0</v>
      </c>
      <c r="W155" s="38">
        <v>0</v>
      </c>
      <c r="X155" s="38" t="s">
        <v>48</v>
      </c>
      <c r="Y155" s="154"/>
      <c r="AA155" s="38"/>
      <c r="AB155" s="38"/>
      <c r="AC155" s="38"/>
      <c r="AD155" s="38"/>
    </row>
    <row r="156" spans="1:54">
      <c r="A156" s="38">
        <v>2</v>
      </c>
      <c r="B156" s="38">
        <v>2</v>
      </c>
      <c r="C156" s="38">
        <v>7</v>
      </c>
      <c r="D156" s="39">
        <v>2014</v>
      </c>
      <c r="E156" s="39">
        <v>2019</v>
      </c>
      <c r="F156" s="38">
        <v>1</v>
      </c>
      <c r="G156" s="38">
        <v>38</v>
      </c>
      <c r="H156" s="38">
        <v>0</v>
      </c>
      <c r="I156" s="38">
        <v>0</v>
      </c>
      <c r="J156" s="38">
        <v>0</v>
      </c>
      <c r="K156" s="40">
        <v>7.03</v>
      </c>
      <c r="L156" s="153">
        <v>6000</v>
      </c>
      <c r="M156" s="38">
        <v>5200</v>
      </c>
      <c r="N156" s="38">
        <v>0</v>
      </c>
      <c r="O156" s="38">
        <v>0</v>
      </c>
      <c r="P156" s="38" t="s">
        <v>13</v>
      </c>
      <c r="Q156" s="38">
        <v>1993</v>
      </c>
      <c r="R156" s="38">
        <v>1</v>
      </c>
      <c r="S156" s="38">
        <v>0</v>
      </c>
      <c r="T156" s="38">
        <v>-3.0000000000000001E-3</v>
      </c>
      <c r="U156" s="38">
        <v>-1.2E-2</v>
      </c>
      <c r="V156" s="38">
        <v>0</v>
      </c>
      <c r="W156" s="38">
        <v>0</v>
      </c>
      <c r="X156" s="38" t="s">
        <v>48</v>
      </c>
      <c r="Y156" s="154"/>
      <c r="AA156" s="38"/>
      <c r="AB156" s="38"/>
      <c r="AC156" s="38"/>
      <c r="AD156" s="38"/>
    </row>
    <row r="157" spans="1:54">
      <c r="A157" s="38">
        <v>2</v>
      </c>
      <c r="B157" s="38">
        <v>2</v>
      </c>
      <c r="C157" s="38">
        <v>7</v>
      </c>
      <c r="D157" s="39">
        <v>2020</v>
      </c>
      <c r="E157" s="39">
        <v>2050</v>
      </c>
      <c r="F157" s="38">
        <v>1</v>
      </c>
      <c r="G157" s="38">
        <v>38</v>
      </c>
      <c r="H157" s="38">
        <v>0</v>
      </c>
      <c r="I157" s="38">
        <v>0</v>
      </c>
      <c r="J157" s="38">
        <v>0</v>
      </c>
      <c r="K157" s="39">
        <v>7.03</v>
      </c>
      <c r="L157" s="39">
        <v>5750</v>
      </c>
      <c r="M157" s="38">
        <v>4950</v>
      </c>
      <c r="N157" s="38">
        <v>0</v>
      </c>
      <c r="O157" s="38">
        <v>0</v>
      </c>
      <c r="P157" s="38" t="s">
        <v>13</v>
      </c>
      <c r="Q157" s="38">
        <v>1993</v>
      </c>
      <c r="R157" s="38">
        <v>1</v>
      </c>
      <c r="S157" s="38">
        <v>0</v>
      </c>
      <c r="T157" s="38">
        <v>-3.0000000000000001E-3</v>
      </c>
      <c r="U157" s="38">
        <v>-1.2E-2</v>
      </c>
      <c r="V157" s="38">
        <v>0</v>
      </c>
      <c r="W157" s="38">
        <v>0</v>
      </c>
      <c r="X157" s="38" t="s">
        <v>48</v>
      </c>
      <c r="Y157" s="154">
        <v>2020</v>
      </c>
      <c r="AA157" s="38"/>
      <c r="AB157" s="38"/>
      <c r="AC157" s="38"/>
      <c r="AD157" s="38"/>
    </row>
    <row r="158" spans="1:54">
      <c r="A158" s="38"/>
      <c r="B158" s="38"/>
      <c r="C158" s="38"/>
      <c r="D158" s="39"/>
      <c r="E158" s="39"/>
      <c r="F158" s="38"/>
      <c r="G158" s="38"/>
      <c r="H158" s="38"/>
      <c r="I158" s="38"/>
      <c r="J158" s="38"/>
      <c r="K158" s="39"/>
      <c r="L158" s="39"/>
      <c r="M158" s="38"/>
      <c r="N158" s="38"/>
      <c r="O158" s="38"/>
      <c r="P158" s="38"/>
      <c r="Q158" s="38"/>
      <c r="R158" s="38"/>
      <c r="S158" s="38"/>
      <c r="T158" s="38"/>
      <c r="U158" s="38"/>
      <c r="V158" s="38"/>
      <c r="W158" s="38"/>
      <c r="X158" s="38"/>
      <c r="Y158" s="154"/>
      <c r="AA158" s="38"/>
      <c r="AB158" s="38"/>
      <c r="AC158" s="38"/>
      <c r="AD158" s="38"/>
    </row>
    <row r="159" spans="1:54">
      <c r="A159" s="38"/>
      <c r="B159" s="38"/>
      <c r="C159" s="38"/>
      <c r="D159" s="39"/>
      <c r="E159" s="39"/>
      <c r="F159" s="38"/>
      <c r="G159" s="38"/>
      <c r="H159" s="38"/>
      <c r="I159" s="38"/>
      <c r="J159" s="38"/>
      <c r="K159" s="39"/>
      <c r="L159" s="39"/>
      <c r="M159" s="38"/>
      <c r="N159" s="38"/>
      <c r="O159" s="38"/>
      <c r="P159" s="38"/>
      <c r="Q159" s="38"/>
      <c r="R159" s="38"/>
      <c r="S159" s="38"/>
      <c r="T159" s="38"/>
      <c r="U159" s="38"/>
      <c r="V159" s="38"/>
      <c r="W159" s="38"/>
      <c r="X159" s="38"/>
      <c r="Y159" s="154"/>
      <c r="AA159" s="38"/>
      <c r="AB159" s="38"/>
      <c r="AC159" s="38"/>
      <c r="AD159" s="38"/>
    </row>
    <row r="160" spans="1:54">
      <c r="A160" s="38"/>
      <c r="B160" s="38"/>
      <c r="C160" s="38"/>
      <c r="D160" s="39"/>
      <c r="E160" s="39"/>
      <c r="F160" s="38"/>
      <c r="G160" s="38"/>
      <c r="H160" s="38"/>
      <c r="I160" s="38"/>
      <c r="J160" s="38"/>
      <c r="K160" s="39"/>
      <c r="L160" s="39"/>
      <c r="M160" s="38"/>
      <c r="N160" s="38"/>
      <c r="O160" s="38"/>
      <c r="P160" s="38"/>
      <c r="Q160" s="38"/>
      <c r="R160" s="38"/>
      <c r="S160" s="38"/>
      <c r="T160" s="38"/>
      <c r="U160" s="38"/>
      <c r="V160" s="38"/>
      <c r="W160" s="38"/>
      <c r="X160" s="38"/>
      <c r="Y160" s="154"/>
      <c r="AA160" s="38"/>
      <c r="AB160" s="38"/>
      <c r="AC160" s="38"/>
      <c r="AD160" s="38"/>
    </row>
    <row r="161" spans="1:30">
      <c r="A161" s="38">
        <v>5</v>
      </c>
      <c r="B161" s="38">
        <v>1</v>
      </c>
      <c r="C161" s="38">
        <v>1</v>
      </c>
      <c r="D161" s="39">
        <v>2010</v>
      </c>
      <c r="E161" s="39">
        <v>2014</v>
      </c>
      <c r="F161" s="38">
        <v>1</v>
      </c>
      <c r="G161" s="38">
        <v>0</v>
      </c>
      <c r="H161" s="38">
        <v>0</v>
      </c>
      <c r="I161" s="38">
        <v>0</v>
      </c>
      <c r="J161" s="38">
        <v>0</v>
      </c>
      <c r="K161" s="39">
        <v>0.59</v>
      </c>
      <c r="L161" s="39">
        <v>900</v>
      </c>
      <c r="M161" s="38">
        <v>720</v>
      </c>
      <c r="N161" s="38">
        <v>0</v>
      </c>
      <c r="O161" s="38">
        <v>0</v>
      </c>
      <c r="P161" s="38" t="s">
        <v>13</v>
      </c>
      <c r="Q161" s="38">
        <v>1993</v>
      </c>
      <c r="R161" s="38">
        <v>1</v>
      </c>
      <c r="S161" s="38">
        <v>0</v>
      </c>
      <c r="T161" s="38">
        <v>-1.619E-2</v>
      </c>
      <c r="U161" s="38">
        <v>-5.3969999999999997E-2</v>
      </c>
      <c r="V161" s="38">
        <v>0</v>
      </c>
      <c r="W161" s="38">
        <v>0</v>
      </c>
      <c r="X161" s="38" t="s">
        <v>55</v>
      </c>
      <c r="Y161" s="154">
        <v>2010</v>
      </c>
      <c r="AA161" s="38"/>
      <c r="AB161" s="38"/>
      <c r="AC161" s="38"/>
      <c r="AD161" s="38"/>
    </row>
    <row r="162" spans="1:30">
      <c r="A162" s="38">
        <v>5</v>
      </c>
      <c r="B162" s="38">
        <v>1</v>
      </c>
      <c r="C162" s="38">
        <v>1</v>
      </c>
      <c r="D162" s="39">
        <v>2015</v>
      </c>
      <c r="E162" s="39">
        <v>2050</v>
      </c>
      <c r="F162" s="38">
        <v>1</v>
      </c>
      <c r="G162" s="38">
        <v>0</v>
      </c>
      <c r="H162" s="38">
        <v>0</v>
      </c>
      <c r="I162" s="38">
        <v>0</v>
      </c>
      <c r="J162" s="38">
        <v>0</v>
      </c>
      <c r="K162" s="39">
        <v>0.62</v>
      </c>
      <c r="L162" s="39">
        <v>920</v>
      </c>
      <c r="M162" s="38">
        <v>740</v>
      </c>
      <c r="N162" s="38">
        <v>0</v>
      </c>
      <c r="O162" s="38">
        <v>0</v>
      </c>
      <c r="P162" s="38" t="s">
        <v>13</v>
      </c>
      <c r="Q162" s="38">
        <v>1993</v>
      </c>
      <c r="R162" s="38">
        <v>1</v>
      </c>
      <c r="S162" s="38">
        <v>0</v>
      </c>
      <c r="T162" s="38">
        <v>-1.619E-2</v>
      </c>
      <c r="U162" s="38">
        <v>-5.3969999999999997E-2</v>
      </c>
      <c r="V162" s="38">
        <v>0</v>
      </c>
      <c r="W162" s="38">
        <v>0</v>
      </c>
      <c r="X162" s="38" t="s">
        <v>55</v>
      </c>
      <c r="Y162" s="154">
        <v>2015</v>
      </c>
      <c r="AA162" s="38"/>
      <c r="AB162" s="38"/>
      <c r="AC162" s="38"/>
      <c r="AD162" s="38"/>
    </row>
    <row r="163" spans="1:30">
      <c r="A163" s="38">
        <v>5</v>
      </c>
      <c r="B163" s="38">
        <v>1</v>
      </c>
      <c r="C163" s="38">
        <v>2</v>
      </c>
      <c r="D163" s="39">
        <v>2010</v>
      </c>
      <c r="E163" s="39">
        <v>2050</v>
      </c>
      <c r="F163" s="38">
        <v>1</v>
      </c>
      <c r="G163" s="38">
        <v>0</v>
      </c>
      <c r="H163" s="38">
        <v>0</v>
      </c>
      <c r="I163" s="38">
        <v>0</v>
      </c>
      <c r="J163" s="38">
        <v>0</v>
      </c>
      <c r="K163" s="39">
        <v>0.67</v>
      </c>
      <c r="L163" s="39">
        <v>1250</v>
      </c>
      <c r="M163" s="38">
        <v>1070</v>
      </c>
      <c r="N163" s="38">
        <v>0</v>
      </c>
      <c r="O163" s="38">
        <v>0</v>
      </c>
      <c r="P163" s="38" t="s">
        <v>13</v>
      </c>
      <c r="Q163" s="38">
        <v>1993</v>
      </c>
      <c r="R163" s="38">
        <v>1</v>
      </c>
      <c r="S163" s="38">
        <v>0</v>
      </c>
      <c r="T163" s="38">
        <v>-1.619E-2</v>
      </c>
      <c r="U163" s="38">
        <v>-5.3969999999999997E-2</v>
      </c>
      <c r="V163" s="38">
        <v>0</v>
      </c>
      <c r="W163" s="38">
        <v>0</v>
      </c>
      <c r="X163" s="38" t="s">
        <v>56</v>
      </c>
      <c r="Y163" s="154">
        <v>2010</v>
      </c>
      <c r="AA163" s="38"/>
      <c r="AB163" s="38"/>
      <c r="AC163" s="38"/>
      <c r="AD163" s="38"/>
    </row>
    <row r="164" spans="1:30">
      <c r="A164" s="38">
        <v>5</v>
      </c>
      <c r="B164" s="38">
        <v>1</v>
      </c>
      <c r="C164" s="38">
        <v>3</v>
      </c>
      <c r="D164" s="39">
        <v>2010</v>
      </c>
      <c r="E164" s="39">
        <v>2010</v>
      </c>
      <c r="F164" s="38">
        <v>1</v>
      </c>
      <c r="G164" s="38">
        <v>0</v>
      </c>
      <c r="H164" s="38">
        <v>0</v>
      </c>
      <c r="I164" s="38">
        <v>0</v>
      </c>
      <c r="J164" s="38">
        <v>0</v>
      </c>
      <c r="K164" s="39">
        <v>0.82</v>
      </c>
      <c r="L164" s="39">
        <v>2200</v>
      </c>
      <c r="M164" s="38">
        <v>2000</v>
      </c>
      <c r="N164" s="38">
        <v>600</v>
      </c>
      <c r="O164" s="38">
        <v>560</v>
      </c>
      <c r="P164" s="38" t="s">
        <v>13</v>
      </c>
      <c r="Q164" s="38">
        <v>1993</v>
      </c>
      <c r="R164" s="38">
        <v>1</v>
      </c>
      <c r="S164" s="38">
        <v>0</v>
      </c>
      <c r="T164" s="38">
        <v>-1.619E-2</v>
      </c>
      <c r="U164" s="38">
        <v>-5.3969999999999997E-2</v>
      </c>
      <c r="V164" s="38">
        <v>0</v>
      </c>
      <c r="W164" s="38">
        <v>0</v>
      </c>
      <c r="X164" s="38" t="s">
        <v>57</v>
      </c>
      <c r="Y164" s="154"/>
      <c r="AA164" s="38"/>
      <c r="AB164" s="38"/>
      <c r="AC164" s="38"/>
      <c r="AD164" s="38"/>
    </row>
    <row r="165" spans="1:30">
      <c r="A165" s="38">
        <v>5</v>
      </c>
      <c r="B165" s="38">
        <v>1</v>
      </c>
      <c r="C165" s="38">
        <v>3</v>
      </c>
      <c r="D165" s="39">
        <v>2011</v>
      </c>
      <c r="E165" s="39">
        <v>2011</v>
      </c>
      <c r="F165" s="38">
        <v>1</v>
      </c>
      <c r="G165" s="38">
        <v>0</v>
      </c>
      <c r="H165" s="38">
        <v>0</v>
      </c>
      <c r="I165" s="38">
        <v>0</v>
      </c>
      <c r="J165" s="38">
        <v>0</v>
      </c>
      <c r="K165" s="39">
        <v>0.82</v>
      </c>
      <c r="L165" s="39">
        <v>2200</v>
      </c>
      <c r="M165" s="38">
        <v>2000</v>
      </c>
      <c r="N165" s="38">
        <v>300</v>
      </c>
      <c r="O165" s="38">
        <v>300</v>
      </c>
      <c r="P165" s="38" t="s">
        <v>13</v>
      </c>
      <c r="Q165" s="38">
        <v>1993</v>
      </c>
      <c r="R165" s="38">
        <v>1</v>
      </c>
      <c r="S165" s="38">
        <v>0</v>
      </c>
      <c r="T165" s="38">
        <v>-1.619E-2</v>
      </c>
      <c r="U165" s="38">
        <v>-5.3969999999999997E-2</v>
      </c>
      <c r="V165" s="38">
        <v>0</v>
      </c>
      <c r="W165" s="38">
        <v>0</v>
      </c>
      <c r="X165" s="38" t="s">
        <v>57</v>
      </c>
      <c r="Y165" s="154"/>
      <c r="AA165" s="38"/>
      <c r="AB165" s="38"/>
      <c r="AC165" s="38"/>
      <c r="AD165" s="38"/>
    </row>
    <row r="166" spans="1:30">
      <c r="A166" s="38">
        <v>5</v>
      </c>
      <c r="B166" s="38">
        <v>1</v>
      </c>
      <c r="C166" s="38">
        <v>3</v>
      </c>
      <c r="D166" s="39">
        <v>2012</v>
      </c>
      <c r="E166" s="39">
        <v>2012</v>
      </c>
      <c r="F166" s="38">
        <v>1</v>
      </c>
      <c r="G166" s="38">
        <v>0</v>
      </c>
      <c r="H166" s="38">
        <v>0</v>
      </c>
      <c r="I166" s="38">
        <v>0</v>
      </c>
      <c r="J166" s="38">
        <v>0</v>
      </c>
      <c r="K166" s="39">
        <v>0.82</v>
      </c>
      <c r="L166" s="39">
        <v>2200</v>
      </c>
      <c r="M166" s="38">
        <v>2000</v>
      </c>
      <c r="N166" s="38">
        <v>0</v>
      </c>
      <c r="O166" s="38">
        <v>0</v>
      </c>
      <c r="P166" s="38" t="s">
        <v>13</v>
      </c>
      <c r="Q166" s="38">
        <v>1993</v>
      </c>
      <c r="R166" s="38">
        <v>1</v>
      </c>
      <c r="S166" s="38">
        <v>0</v>
      </c>
      <c r="T166" s="38">
        <v>-1.619E-2</v>
      </c>
      <c r="U166" s="38">
        <v>-5.3969999999999997E-2</v>
      </c>
      <c r="V166" s="38">
        <v>0</v>
      </c>
      <c r="W166" s="38">
        <v>0</v>
      </c>
      <c r="X166" s="38" t="s">
        <v>57</v>
      </c>
      <c r="Y166" s="154"/>
      <c r="AA166" s="38"/>
      <c r="AB166" s="38"/>
      <c r="AC166" s="38"/>
      <c r="AD166" s="38"/>
    </row>
    <row r="167" spans="1:30">
      <c r="A167" s="38">
        <v>5</v>
      </c>
      <c r="B167" s="38">
        <v>1</v>
      </c>
      <c r="C167" s="38">
        <v>3</v>
      </c>
      <c r="D167" s="39">
        <v>2013</v>
      </c>
      <c r="E167" s="39">
        <v>2013</v>
      </c>
      <c r="F167" s="38">
        <v>1</v>
      </c>
      <c r="G167" s="38">
        <v>0</v>
      </c>
      <c r="H167" s="38">
        <v>0</v>
      </c>
      <c r="I167" s="38">
        <v>0</v>
      </c>
      <c r="J167" s="38">
        <v>0</v>
      </c>
      <c r="K167" s="39">
        <v>0.82</v>
      </c>
      <c r="L167" s="39">
        <v>2200</v>
      </c>
      <c r="M167" s="38">
        <v>2000</v>
      </c>
      <c r="N167" s="38">
        <v>300</v>
      </c>
      <c r="O167" s="38">
        <v>300</v>
      </c>
      <c r="P167" s="38" t="s">
        <v>13</v>
      </c>
      <c r="Q167" s="38">
        <v>1993</v>
      </c>
      <c r="R167" s="38">
        <v>1</v>
      </c>
      <c r="S167" s="38">
        <v>0</v>
      </c>
      <c r="T167" s="38">
        <v>-1.619E-2</v>
      </c>
      <c r="U167" s="38">
        <v>-5.3969999999999997E-2</v>
      </c>
      <c r="V167" s="38">
        <v>0</v>
      </c>
      <c r="W167" s="38">
        <v>0</v>
      </c>
      <c r="X167" s="38" t="s">
        <v>57</v>
      </c>
      <c r="Y167" s="154">
        <v>2010</v>
      </c>
      <c r="AA167" s="38"/>
      <c r="AB167" s="38"/>
      <c r="AC167" s="38"/>
      <c r="AD167" s="38"/>
    </row>
    <row r="168" spans="1:30">
      <c r="A168" s="38">
        <v>5</v>
      </c>
      <c r="B168" s="38">
        <v>1</v>
      </c>
      <c r="C168" s="38">
        <v>3</v>
      </c>
      <c r="D168" s="39">
        <v>2014</v>
      </c>
      <c r="E168" s="39">
        <v>2019</v>
      </c>
      <c r="F168" s="38">
        <v>1</v>
      </c>
      <c r="G168" s="38">
        <v>0</v>
      </c>
      <c r="H168" s="38">
        <v>0</v>
      </c>
      <c r="I168" s="38">
        <v>0</v>
      </c>
      <c r="J168" s="38">
        <v>0</v>
      </c>
      <c r="K168" s="39">
        <v>0.82</v>
      </c>
      <c r="L168" s="39">
        <v>2200</v>
      </c>
      <c r="M168" s="38">
        <v>2000</v>
      </c>
      <c r="N168" s="38">
        <v>0</v>
      </c>
      <c r="O168" s="38">
        <v>0</v>
      </c>
      <c r="P168" s="38" t="s">
        <v>13</v>
      </c>
      <c r="Q168" s="38">
        <v>1993</v>
      </c>
      <c r="R168" s="38">
        <v>1</v>
      </c>
      <c r="S168" s="38">
        <v>0</v>
      </c>
      <c r="T168" s="38">
        <v>-1.619E-2</v>
      </c>
      <c r="U168" s="38">
        <v>-5.3969999999999997E-2</v>
      </c>
      <c r="V168" s="38">
        <v>0</v>
      </c>
      <c r="W168" s="38">
        <v>0</v>
      </c>
      <c r="X168" s="38" t="s">
        <v>57</v>
      </c>
      <c r="Y168" s="154"/>
      <c r="AA168" s="38"/>
      <c r="AB168" s="38"/>
      <c r="AC168" s="38"/>
      <c r="AD168" s="38"/>
    </row>
    <row r="169" spans="1:30">
      <c r="A169" s="38">
        <v>5</v>
      </c>
      <c r="B169" s="38">
        <v>1</v>
      </c>
      <c r="C169" s="38">
        <v>3</v>
      </c>
      <c r="D169" s="39">
        <v>2020</v>
      </c>
      <c r="E169" s="39">
        <v>2029</v>
      </c>
      <c r="F169" s="38">
        <v>1</v>
      </c>
      <c r="G169" s="38">
        <v>0</v>
      </c>
      <c r="H169" s="38">
        <v>0</v>
      </c>
      <c r="I169" s="38">
        <v>0</v>
      </c>
      <c r="J169" s="38">
        <v>0</v>
      </c>
      <c r="K169" s="39">
        <v>0.9</v>
      </c>
      <c r="L169" s="39">
        <v>2100</v>
      </c>
      <c r="M169" s="38">
        <v>1900</v>
      </c>
      <c r="N169" s="38">
        <v>0</v>
      </c>
      <c r="O169" s="38">
        <v>0</v>
      </c>
      <c r="P169" s="38" t="s">
        <v>13</v>
      </c>
      <c r="Q169" s="38">
        <v>1993</v>
      </c>
      <c r="R169" s="38">
        <v>1</v>
      </c>
      <c r="S169" s="38">
        <v>0</v>
      </c>
      <c r="T169" s="38">
        <v>-1.619E-2</v>
      </c>
      <c r="U169" s="38">
        <v>-5.3969999999999997E-2</v>
      </c>
      <c r="V169" s="38">
        <v>0</v>
      </c>
      <c r="W169" s="38">
        <v>0</v>
      </c>
      <c r="X169" s="38" t="s">
        <v>57</v>
      </c>
      <c r="Y169" s="154">
        <v>2020</v>
      </c>
      <c r="AA169" s="38"/>
      <c r="AB169" s="38"/>
      <c r="AC169" s="38"/>
      <c r="AD169" s="38"/>
    </row>
    <row r="170" spans="1:30">
      <c r="A170" s="38">
        <v>5</v>
      </c>
      <c r="B170" s="38">
        <v>1</v>
      </c>
      <c r="C170" s="38">
        <v>3</v>
      </c>
      <c r="D170" s="39">
        <v>2030</v>
      </c>
      <c r="E170" s="39">
        <v>2050</v>
      </c>
      <c r="F170" s="38">
        <v>1</v>
      </c>
      <c r="G170" s="38">
        <v>0</v>
      </c>
      <c r="H170" s="38">
        <v>0</v>
      </c>
      <c r="I170" s="38">
        <v>0</v>
      </c>
      <c r="J170" s="38">
        <v>0</v>
      </c>
      <c r="K170" s="39">
        <v>0.85</v>
      </c>
      <c r="L170" s="39">
        <v>1900</v>
      </c>
      <c r="M170" s="38">
        <v>1720</v>
      </c>
      <c r="N170" s="38">
        <v>0</v>
      </c>
      <c r="O170" s="38">
        <v>0</v>
      </c>
      <c r="P170" s="38" t="s">
        <v>13</v>
      </c>
      <c r="Q170" s="38">
        <v>1993</v>
      </c>
      <c r="R170" s="38">
        <v>1</v>
      </c>
      <c r="S170" s="38">
        <v>0</v>
      </c>
      <c r="T170" s="38">
        <v>-1.619E-2</v>
      </c>
      <c r="U170" s="38">
        <v>-5.3969999999999997E-2</v>
      </c>
      <c r="V170" s="38">
        <v>0</v>
      </c>
      <c r="W170" s="38">
        <v>0</v>
      </c>
      <c r="X170" s="38" t="s">
        <v>57</v>
      </c>
      <c r="Y170" s="154"/>
      <c r="AA170" s="38"/>
      <c r="AB170" s="38"/>
      <c r="AC170" s="38"/>
      <c r="AD170" s="38"/>
    </row>
    <row r="171" spans="1:30">
      <c r="A171" s="38">
        <v>5</v>
      </c>
      <c r="B171" s="38">
        <v>1</v>
      </c>
      <c r="C171" s="38">
        <v>4</v>
      </c>
      <c r="D171" s="39">
        <v>2010</v>
      </c>
      <c r="E171" s="39">
        <v>2010</v>
      </c>
      <c r="F171" s="38">
        <v>1</v>
      </c>
      <c r="G171" s="38">
        <v>0</v>
      </c>
      <c r="H171" s="38">
        <v>0</v>
      </c>
      <c r="I171" s="38">
        <v>0</v>
      </c>
      <c r="J171" s="38">
        <v>0</v>
      </c>
      <c r="K171" s="39">
        <v>0.85</v>
      </c>
      <c r="L171" s="39">
        <v>1600</v>
      </c>
      <c r="M171" s="38">
        <v>1400</v>
      </c>
      <c r="N171" s="38">
        <v>530</v>
      </c>
      <c r="O171" s="38">
        <v>464</v>
      </c>
      <c r="P171" s="38" t="s">
        <v>13</v>
      </c>
      <c r="Q171" s="38">
        <v>1993</v>
      </c>
      <c r="R171" s="38">
        <v>1</v>
      </c>
      <c r="S171" s="38">
        <v>0</v>
      </c>
      <c r="T171" s="38">
        <v>-1.619E-2</v>
      </c>
      <c r="U171" s="38">
        <v>-5.3969999999999997E-2</v>
      </c>
      <c r="V171" s="38">
        <v>0</v>
      </c>
      <c r="W171" s="38">
        <v>0</v>
      </c>
      <c r="X171" s="38" t="s">
        <v>58</v>
      </c>
      <c r="Y171" s="154"/>
      <c r="AA171" s="38"/>
      <c r="AB171" s="38"/>
      <c r="AC171" s="38"/>
      <c r="AD171" s="38"/>
    </row>
    <row r="172" spans="1:30">
      <c r="A172" s="38">
        <v>5</v>
      </c>
      <c r="B172" s="38">
        <v>1</v>
      </c>
      <c r="C172" s="38">
        <v>4</v>
      </c>
      <c r="D172" s="39">
        <v>2011</v>
      </c>
      <c r="E172" s="39">
        <v>2011</v>
      </c>
      <c r="F172" s="38">
        <v>1</v>
      </c>
      <c r="G172" s="38">
        <v>0</v>
      </c>
      <c r="H172" s="38">
        <v>0</v>
      </c>
      <c r="I172" s="38">
        <v>0</v>
      </c>
      <c r="J172" s="38">
        <v>0</v>
      </c>
      <c r="K172" s="39">
        <v>0.85</v>
      </c>
      <c r="L172" s="39">
        <v>1600</v>
      </c>
      <c r="M172" s="38">
        <v>1400</v>
      </c>
      <c r="N172" s="38">
        <v>300</v>
      </c>
      <c r="O172" s="38">
        <v>300</v>
      </c>
      <c r="P172" s="38" t="s">
        <v>13</v>
      </c>
      <c r="Q172" s="38">
        <v>1993</v>
      </c>
      <c r="R172" s="38">
        <v>1</v>
      </c>
      <c r="S172" s="38">
        <v>0</v>
      </c>
      <c r="T172" s="38">
        <v>-1.619E-2</v>
      </c>
      <c r="U172" s="38">
        <v>-5.3969999999999997E-2</v>
      </c>
      <c r="V172" s="38">
        <v>0</v>
      </c>
      <c r="W172" s="38">
        <v>0</v>
      </c>
      <c r="X172" s="38" t="s">
        <v>58</v>
      </c>
      <c r="Y172" s="154"/>
      <c r="AA172" s="38"/>
      <c r="AB172" s="38"/>
      <c r="AC172" s="38"/>
      <c r="AD172" s="38"/>
    </row>
    <row r="173" spans="1:30">
      <c r="A173" s="38">
        <v>5</v>
      </c>
      <c r="B173" s="38">
        <v>1</v>
      </c>
      <c r="C173" s="38">
        <v>4</v>
      </c>
      <c r="D173" s="39">
        <v>2012</v>
      </c>
      <c r="E173" s="39">
        <v>2012</v>
      </c>
      <c r="F173" s="38">
        <v>1</v>
      </c>
      <c r="G173" s="38">
        <v>0</v>
      </c>
      <c r="H173" s="38">
        <v>0</v>
      </c>
      <c r="I173" s="38">
        <v>0</v>
      </c>
      <c r="J173" s="38">
        <v>0</v>
      </c>
      <c r="K173" s="39">
        <v>0.85</v>
      </c>
      <c r="L173" s="39">
        <v>1600</v>
      </c>
      <c r="M173" s="38">
        <v>1400</v>
      </c>
      <c r="N173" s="38">
        <v>0</v>
      </c>
      <c r="O173" s="38">
        <v>0</v>
      </c>
      <c r="P173" s="38" t="s">
        <v>13</v>
      </c>
      <c r="Q173" s="38">
        <v>1993</v>
      </c>
      <c r="R173" s="38">
        <v>1</v>
      </c>
      <c r="S173" s="38">
        <v>0</v>
      </c>
      <c r="T173" s="38">
        <v>-1.619E-2</v>
      </c>
      <c r="U173" s="38">
        <v>-5.3969999999999997E-2</v>
      </c>
      <c r="V173" s="38">
        <v>0</v>
      </c>
      <c r="W173" s="38">
        <v>0</v>
      </c>
      <c r="X173" s="38" t="s">
        <v>58</v>
      </c>
      <c r="Y173" s="154"/>
      <c r="AA173" s="38"/>
      <c r="AB173" s="38"/>
      <c r="AC173" s="38"/>
      <c r="AD173" s="38"/>
    </row>
    <row r="174" spans="1:30">
      <c r="A174" s="38">
        <v>5</v>
      </c>
      <c r="B174" s="38">
        <v>1</v>
      </c>
      <c r="C174" s="38">
        <v>4</v>
      </c>
      <c r="D174" s="39">
        <v>2013</v>
      </c>
      <c r="E174" s="39">
        <v>2013</v>
      </c>
      <c r="F174" s="38">
        <v>1</v>
      </c>
      <c r="G174" s="38">
        <v>0</v>
      </c>
      <c r="H174" s="38">
        <v>0</v>
      </c>
      <c r="I174" s="38">
        <v>0</v>
      </c>
      <c r="J174" s="38">
        <v>0</v>
      </c>
      <c r="K174" s="39">
        <v>0.85</v>
      </c>
      <c r="L174" s="39">
        <v>1600</v>
      </c>
      <c r="M174" s="38">
        <v>1400</v>
      </c>
      <c r="N174" s="38">
        <v>300</v>
      </c>
      <c r="O174" s="38">
        <v>300</v>
      </c>
      <c r="P174" s="38" t="s">
        <v>13</v>
      </c>
      <c r="Q174" s="38">
        <v>1993</v>
      </c>
      <c r="R174" s="38">
        <v>1</v>
      </c>
      <c r="S174" s="38">
        <v>0</v>
      </c>
      <c r="T174" s="38">
        <v>-1.619E-2</v>
      </c>
      <c r="U174" s="38">
        <v>-5.3969999999999997E-2</v>
      </c>
      <c r="V174" s="38">
        <v>0</v>
      </c>
      <c r="W174" s="38">
        <v>0</v>
      </c>
      <c r="X174" s="38" t="s">
        <v>58</v>
      </c>
      <c r="Y174" s="154">
        <v>2010</v>
      </c>
      <c r="AA174" s="38"/>
      <c r="AB174" s="38"/>
      <c r="AC174" s="38"/>
      <c r="AD174" s="38"/>
    </row>
    <row r="175" spans="1:30">
      <c r="A175" s="38">
        <v>5</v>
      </c>
      <c r="B175" s="38">
        <v>1</v>
      </c>
      <c r="C175" s="38">
        <v>4</v>
      </c>
      <c r="D175" s="39">
        <v>2014</v>
      </c>
      <c r="E175" s="39">
        <v>2019</v>
      </c>
      <c r="F175" s="38">
        <v>1</v>
      </c>
      <c r="G175" s="38">
        <v>0</v>
      </c>
      <c r="H175" s="38">
        <v>0</v>
      </c>
      <c r="I175" s="38">
        <v>0</v>
      </c>
      <c r="J175" s="38">
        <v>0</v>
      </c>
      <c r="K175" s="39">
        <v>0.85</v>
      </c>
      <c r="L175" s="39">
        <v>1600</v>
      </c>
      <c r="M175" s="38">
        <v>1400</v>
      </c>
      <c r="N175" s="38">
        <v>0</v>
      </c>
      <c r="O175" s="38">
        <v>0</v>
      </c>
      <c r="P175" s="38" t="s">
        <v>13</v>
      </c>
      <c r="Q175" s="38">
        <v>1993</v>
      </c>
      <c r="R175" s="38">
        <v>1</v>
      </c>
      <c r="S175" s="38">
        <v>0</v>
      </c>
      <c r="T175" s="38">
        <v>-1.619E-2</v>
      </c>
      <c r="U175" s="38">
        <v>-5.3969999999999997E-2</v>
      </c>
      <c r="V175" s="38">
        <v>0</v>
      </c>
      <c r="W175" s="38">
        <v>0</v>
      </c>
      <c r="X175" s="38" t="s">
        <v>58</v>
      </c>
      <c r="Y175" s="154"/>
      <c r="AA175" s="38"/>
      <c r="AB175" s="38"/>
      <c r="AC175" s="38"/>
      <c r="AD175" s="38"/>
    </row>
    <row r="176" spans="1:30">
      <c r="A176" s="38">
        <v>5</v>
      </c>
      <c r="B176" s="38">
        <v>1</v>
      </c>
      <c r="C176" s="38">
        <v>4</v>
      </c>
      <c r="D176" s="39">
        <v>2020</v>
      </c>
      <c r="E176" s="39">
        <v>2050</v>
      </c>
      <c r="F176" s="38">
        <v>1</v>
      </c>
      <c r="G176" s="38">
        <v>0</v>
      </c>
      <c r="H176" s="38">
        <v>0</v>
      </c>
      <c r="I176" s="38">
        <v>0</v>
      </c>
      <c r="J176" s="38">
        <v>0</v>
      </c>
      <c r="K176" s="39">
        <v>0.85</v>
      </c>
      <c r="L176" s="39">
        <v>1600</v>
      </c>
      <c r="M176" s="38">
        <v>1400</v>
      </c>
      <c r="N176" s="38">
        <v>0</v>
      </c>
      <c r="O176" s="38">
        <v>0</v>
      </c>
      <c r="P176" s="38" t="s">
        <v>13</v>
      </c>
      <c r="Q176" s="38">
        <v>1993</v>
      </c>
      <c r="R176" s="38">
        <v>1</v>
      </c>
      <c r="S176" s="38">
        <v>0</v>
      </c>
      <c r="T176" s="38">
        <v>-1.619E-2</v>
      </c>
      <c r="U176" s="38">
        <v>-5.3969999999999997E-2</v>
      </c>
      <c r="V176" s="38">
        <v>0</v>
      </c>
      <c r="W176" s="38">
        <v>0</v>
      </c>
      <c r="X176" s="38" t="s">
        <v>58</v>
      </c>
      <c r="Y176" s="154"/>
      <c r="AA176" s="38"/>
      <c r="AB176" s="38"/>
      <c r="AC176" s="38"/>
      <c r="AD176" s="38"/>
    </row>
    <row r="177" spans="1:30">
      <c r="A177" s="38">
        <v>5</v>
      </c>
      <c r="B177" s="38">
        <v>2</v>
      </c>
      <c r="C177" s="38">
        <v>5</v>
      </c>
      <c r="D177" s="39">
        <v>2010</v>
      </c>
      <c r="E177" s="39">
        <v>2014</v>
      </c>
      <c r="F177" s="38">
        <v>1</v>
      </c>
      <c r="G177" s="38">
        <v>0</v>
      </c>
      <c r="H177" s="38">
        <v>0</v>
      </c>
      <c r="I177" s="38">
        <v>0</v>
      </c>
      <c r="J177" s="38">
        <v>0</v>
      </c>
      <c r="K177" s="39">
        <v>0.9</v>
      </c>
      <c r="L177" s="39">
        <v>600</v>
      </c>
      <c r="M177" s="38">
        <v>480</v>
      </c>
      <c r="N177" s="38">
        <v>0</v>
      </c>
      <c r="O177" s="38">
        <v>0</v>
      </c>
      <c r="P177" s="38" t="s">
        <v>13</v>
      </c>
      <c r="Q177" s="38">
        <v>1993</v>
      </c>
      <c r="R177" s="38">
        <v>1</v>
      </c>
      <c r="S177" s="38">
        <v>0</v>
      </c>
      <c r="T177" s="38">
        <v>-1.619E-2</v>
      </c>
      <c r="U177" s="38">
        <v>-3.2379999999999999E-2</v>
      </c>
      <c r="V177" s="38">
        <v>0</v>
      </c>
      <c r="W177" s="38">
        <v>0</v>
      </c>
      <c r="X177" s="38" t="s">
        <v>59</v>
      </c>
      <c r="Y177" s="154">
        <v>2010</v>
      </c>
      <c r="Z177" s="38">
        <f>K177</f>
        <v>0.9</v>
      </c>
      <c r="AA177" s="38">
        <f>L177</f>
        <v>600</v>
      </c>
      <c r="AB177" s="38"/>
      <c r="AC177" s="38"/>
      <c r="AD177" s="38"/>
    </row>
    <row r="178" spans="1:30">
      <c r="A178" s="38">
        <v>5</v>
      </c>
      <c r="B178" s="38">
        <v>2</v>
      </c>
      <c r="C178" s="38">
        <v>5</v>
      </c>
      <c r="D178" s="39">
        <v>2015</v>
      </c>
      <c r="E178" s="39">
        <v>2050</v>
      </c>
      <c r="F178" s="38">
        <v>1</v>
      </c>
      <c r="G178" s="38">
        <v>0</v>
      </c>
      <c r="H178" s="38">
        <v>0</v>
      </c>
      <c r="I178" s="38">
        <v>0</v>
      </c>
      <c r="J178" s="38">
        <v>0</v>
      </c>
      <c r="K178" s="39">
        <v>0.95</v>
      </c>
      <c r="L178" s="39">
        <v>675</v>
      </c>
      <c r="M178" s="38">
        <v>555</v>
      </c>
      <c r="N178" s="38">
        <v>0</v>
      </c>
      <c r="O178" s="38">
        <v>0</v>
      </c>
      <c r="P178" s="38" t="s">
        <v>13</v>
      </c>
      <c r="Q178" s="38">
        <v>1993</v>
      </c>
      <c r="R178" s="38">
        <v>1</v>
      </c>
      <c r="S178" s="38">
        <v>0</v>
      </c>
      <c r="T178" s="38">
        <v>-1</v>
      </c>
      <c r="U178" s="38">
        <v>-1</v>
      </c>
      <c r="V178" s="38">
        <v>0</v>
      </c>
      <c r="W178" s="38">
        <v>0</v>
      </c>
      <c r="X178" s="38" t="s">
        <v>59</v>
      </c>
      <c r="Y178" s="154"/>
      <c r="AA178" s="38"/>
      <c r="AB178" s="38"/>
      <c r="AC178" s="38"/>
      <c r="AD178" s="38"/>
    </row>
    <row r="179" spans="1:30">
      <c r="A179" s="38">
        <v>5</v>
      </c>
      <c r="B179" s="38">
        <v>2</v>
      </c>
      <c r="C179" s="38">
        <v>6</v>
      </c>
      <c r="D179" s="39">
        <v>2010</v>
      </c>
      <c r="E179" s="39">
        <v>2014</v>
      </c>
      <c r="F179" s="38">
        <v>1</v>
      </c>
      <c r="G179" s="38">
        <v>0</v>
      </c>
      <c r="H179" s="38">
        <v>0</v>
      </c>
      <c r="I179" s="38">
        <v>0</v>
      </c>
      <c r="J179" s="38">
        <v>0</v>
      </c>
      <c r="K179" s="39">
        <v>0.91</v>
      </c>
      <c r="L179" s="39">
        <v>625</v>
      </c>
      <c r="M179" s="38">
        <v>505</v>
      </c>
      <c r="N179" s="38">
        <v>0</v>
      </c>
      <c r="O179" s="38">
        <v>0</v>
      </c>
      <c r="P179" s="38" t="s">
        <v>13</v>
      </c>
      <c r="Q179" s="38">
        <v>1993</v>
      </c>
      <c r="R179" s="38">
        <v>1</v>
      </c>
      <c r="S179" s="38">
        <v>0</v>
      </c>
      <c r="T179" s="38">
        <v>-1.619E-2</v>
      </c>
      <c r="U179" s="38">
        <v>-3.2379999999999999E-2</v>
      </c>
      <c r="V179" s="38">
        <v>0</v>
      </c>
      <c r="W179" s="38">
        <v>0</v>
      </c>
      <c r="X179" s="38" t="s">
        <v>60</v>
      </c>
      <c r="Y179" s="154">
        <v>2010</v>
      </c>
      <c r="Z179" s="38">
        <f t="shared" ref="Z179:Z180" si="8">K179</f>
        <v>0.91</v>
      </c>
      <c r="AA179" s="38">
        <f t="shared" ref="AA179:AA180" si="9">L179</f>
        <v>625</v>
      </c>
      <c r="AB179" s="38"/>
      <c r="AC179" s="38"/>
      <c r="AD179" s="38"/>
    </row>
    <row r="180" spans="1:30">
      <c r="A180" s="38">
        <v>5</v>
      </c>
      <c r="B180" s="38">
        <v>2</v>
      </c>
      <c r="C180" s="38">
        <v>6</v>
      </c>
      <c r="D180" s="39">
        <v>2015</v>
      </c>
      <c r="E180" s="39">
        <v>2050</v>
      </c>
      <c r="F180" s="38">
        <v>1</v>
      </c>
      <c r="G180" s="38">
        <v>0</v>
      </c>
      <c r="H180" s="38">
        <v>0</v>
      </c>
      <c r="I180" s="38">
        <v>0</v>
      </c>
      <c r="J180" s="38">
        <v>0</v>
      </c>
      <c r="K180" s="39">
        <v>0.95</v>
      </c>
      <c r="L180" s="39">
        <v>675</v>
      </c>
      <c r="M180" s="38">
        <v>555</v>
      </c>
      <c r="N180" s="38">
        <v>0</v>
      </c>
      <c r="O180" s="38">
        <v>0</v>
      </c>
      <c r="P180" s="38" t="s">
        <v>13</v>
      </c>
      <c r="Q180" s="38">
        <v>1993</v>
      </c>
      <c r="R180" s="38">
        <v>1</v>
      </c>
      <c r="S180" s="38">
        <v>0</v>
      </c>
      <c r="T180" s="38">
        <v>-1.619E-2</v>
      </c>
      <c r="U180" s="38">
        <v>-3.2379999999999999E-2</v>
      </c>
      <c r="V180" s="38">
        <v>0</v>
      </c>
      <c r="W180" s="38">
        <v>0</v>
      </c>
      <c r="X180" s="38" t="s">
        <v>60</v>
      </c>
      <c r="Y180" s="154">
        <v>2015</v>
      </c>
      <c r="Z180" s="38">
        <f t="shared" si="8"/>
        <v>0.95</v>
      </c>
      <c r="AA180" s="38">
        <f t="shared" si="9"/>
        <v>675</v>
      </c>
      <c r="AB180" s="38"/>
      <c r="AC180" s="38"/>
      <c r="AD180" s="38"/>
    </row>
    <row r="181" spans="1:30">
      <c r="A181" s="38">
        <v>5</v>
      </c>
      <c r="B181" s="38">
        <v>2</v>
      </c>
      <c r="C181" s="38">
        <v>7</v>
      </c>
      <c r="D181" s="39">
        <v>2010</v>
      </c>
      <c r="E181" s="39">
        <v>2019</v>
      </c>
      <c r="F181" s="38">
        <v>1</v>
      </c>
      <c r="G181" s="38">
        <v>0</v>
      </c>
      <c r="H181" s="38">
        <v>0</v>
      </c>
      <c r="I181" s="38">
        <v>0</v>
      </c>
      <c r="J181" s="38">
        <v>0</v>
      </c>
      <c r="K181" s="39">
        <v>0.96</v>
      </c>
      <c r="L181" s="39">
        <v>725</v>
      </c>
      <c r="M181" s="38">
        <v>605</v>
      </c>
      <c r="N181" s="38">
        <v>0</v>
      </c>
      <c r="O181" s="38">
        <v>0</v>
      </c>
      <c r="P181" s="38" t="s">
        <v>13</v>
      </c>
      <c r="Q181" s="38">
        <v>1993</v>
      </c>
      <c r="R181" s="38">
        <v>1</v>
      </c>
      <c r="S181" s="38">
        <v>0</v>
      </c>
      <c r="T181" s="38">
        <v>-1.619E-2</v>
      </c>
      <c r="U181" s="38">
        <v>-3.2379999999999999E-2</v>
      </c>
      <c r="V181" s="38">
        <v>0</v>
      </c>
      <c r="W181" s="38">
        <v>0</v>
      </c>
      <c r="X181" s="38" t="s">
        <v>61</v>
      </c>
      <c r="Y181" s="154"/>
      <c r="AA181" s="38"/>
      <c r="AB181" s="38"/>
      <c r="AC181" s="38"/>
      <c r="AD181" s="38"/>
    </row>
    <row r="182" spans="1:30">
      <c r="A182" s="38">
        <v>5</v>
      </c>
      <c r="B182" s="38">
        <v>2</v>
      </c>
      <c r="C182" s="38">
        <v>7</v>
      </c>
      <c r="D182" s="39">
        <v>2020</v>
      </c>
      <c r="E182" s="39">
        <v>2050</v>
      </c>
      <c r="F182" s="38">
        <v>1</v>
      </c>
      <c r="G182" s="38">
        <v>0</v>
      </c>
      <c r="H182" s="38">
        <v>0</v>
      </c>
      <c r="I182" s="38">
        <v>0</v>
      </c>
      <c r="J182" s="38">
        <v>0</v>
      </c>
      <c r="K182" s="39">
        <v>0.96</v>
      </c>
      <c r="L182" s="39">
        <v>725</v>
      </c>
      <c r="M182" s="38">
        <v>605</v>
      </c>
      <c r="N182" s="38">
        <v>0</v>
      </c>
      <c r="O182" s="38">
        <v>0</v>
      </c>
      <c r="P182" s="38" t="s">
        <v>13</v>
      </c>
      <c r="Q182" s="38">
        <v>1993</v>
      </c>
      <c r="R182" s="38">
        <v>1</v>
      </c>
      <c r="S182" s="38">
        <v>0</v>
      </c>
      <c r="T182" s="38">
        <v>-1.619E-2</v>
      </c>
      <c r="U182" s="38">
        <v>-3.2379999999999999E-2</v>
      </c>
      <c r="V182" s="38">
        <v>0</v>
      </c>
      <c r="W182" s="38">
        <v>0</v>
      </c>
      <c r="X182" s="38" t="s">
        <v>61</v>
      </c>
      <c r="Y182" s="154">
        <v>2010</v>
      </c>
      <c r="Z182" s="38">
        <f>K182</f>
        <v>0.96</v>
      </c>
      <c r="AA182" s="38">
        <f>L182</f>
        <v>725</v>
      </c>
      <c r="AB182" s="38"/>
      <c r="AC182" s="38"/>
      <c r="AD182" s="38"/>
    </row>
    <row r="183" spans="1:30">
      <c r="A183" s="38">
        <v>5</v>
      </c>
      <c r="B183" s="38">
        <v>2</v>
      </c>
      <c r="C183" s="38">
        <v>8</v>
      </c>
      <c r="D183" s="39">
        <v>2010</v>
      </c>
      <c r="E183" s="39">
        <v>2010</v>
      </c>
      <c r="F183" s="38">
        <v>1</v>
      </c>
      <c r="G183" s="38">
        <v>0</v>
      </c>
      <c r="H183" s="38">
        <v>0</v>
      </c>
      <c r="I183" s="38">
        <v>0</v>
      </c>
      <c r="J183" s="38">
        <v>0</v>
      </c>
      <c r="K183" s="39">
        <v>2</v>
      </c>
      <c r="L183" s="39">
        <v>1850</v>
      </c>
      <c r="M183" s="38">
        <v>1730</v>
      </c>
      <c r="N183" s="38">
        <v>615</v>
      </c>
      <c r="O183" s="38">
        <v>575</v>
      </c>
      <c r="P183" s="38" t="s">
        <v>13</v>
      </c>
      <c r="Q183" s="38">
        <v>1993</v>
      </c>
      <c r="R183" s="38">
        <v>1</v>
      </c>
      <c r="S183" s="38">
        <v>0</v>
      </c>
      <c r="T183" s="38">
        <v>-1.619E-2</v>
      </c>
      <c r="U183" s="38">
        <v>-3.2379999999999999E-2</v>
      </c>
      <c r="V183" s="38">
        <v>0</v>
      </c>
      <c r="W183" s="38">
        <v>0</v>
      </c>
      <c r="X183" s="38" t="s">
        <v>62</v>
      </c>
      <c r="Y183" s="154"/>
      <c r="AA183" s="38"/>
      <c r="AB183" s="38"/>
      <c r="AC183" s="38"/>
      <c r="AD183" s="38"/>
    </row>
    <row r="184" spans="1:30">
      <c r="A184" s="38">
        <v>5</v>
      </c>
      <c r="B184" s="38">
        <v>2</v>
      </c>
      <c r="C184" s="38">
        <v>8</v>
      </c>
      <c r="D184" s="39">
        <v>2011</v>
      </c>
      <c r="E184" s="39">
        <v>2011</v>
      </c>
      <c r="F184" s="38">
        <v>1</v>
      </c>
      <c r="G184" s="38">
        <v>0</v>
      </c>
      <c r="H184" s="38">
        <v>0</v>
      </c>
      <c r="I184" s="38">
        <v>0</v>
      </c>
      <c r="J184" s="38">
        <v>0</v>
      </c>
      <c r="K184" s="39">
        <v>2</v>
      </c>
      <c r="L184" s="39">
        <v>1850</v>
      </c>
      <c r="M184" s="38">
        <v>1730</v>
      </c>
      <c r="N184" s="38">
        <v>300</v>
      </c>
      <c r="O184" s="38">
        <v>300</v>
      </c>
      <c r="P184" s="38" t="s">
        <v>13</v>
      </c>
      <c r="Q184" s="38">
        <v>1993</v>
      </c>
      <c r="R184" s="38">
        <v>1</v>
      </c>
      <c r="S184" s="38">
        <v>0</v>
      </c>
      <c r="T184" s="38">
        <v>-1.619E-2</v>
      </c>
      <c r="U184" s="38">
        <v>-3.2379999999999999E-2</v>
      </c>
      <c r="V184" s="38">
        <v>0</v>
      </c>
      <c r="W184" s="38">
        <v>0</v>
      </c>
      <c r="X184" s="38" t="s">
        <v>62</v>
      </c>
      <c r="Y184" s="154"/>
      <c r="AA184" s="38"/>
      <c r="AB184" s="38"/>
      <c r="AC184" s="38"/>
      <c r="AD184" s="38"/>
    </row>
    <row r="185" spans="1:30">
      <c r="A185" s="38">
        <v>5</v>
      </c>
      <c r="B185" s="38">
        <v>2</v>
      </c>
      <c r="C185" s="38">
        <v>8</v>
      </c>
      <c r="D185" s="39">
        <v>2012</v>
      </c>
      <c r="E185" s="39">
        <v>2012</v>
      </c>
      <c r="F185" s="38">
        <v>1</v>
      </c>
      <c r="G185" s="38">
        <v>0</v>
      </c>
      <c r="H185" s="38">
        <v>0</v>
      </c>
      <c r="I185" s="38">
        <v>0</v>
      </c>
      <c r="J185" s="38">
        <v>0</v>
      </c>
      <c r="K185" s="39">
        <v>2</v>
      </c>
      <c r="L185" s="39">
        <v>1850</v>
      </c>
      <c r="M185" s="38">
        <v>1730</v>
      </c>
      <c r="N185" s="38">
        <v>0</v>
      </c>
      <c r="O185" s="38">
        <v>0</v>
      </c>
      <c r="P185" s="38" t="s">
        <v>13</v>
      </c>
      <c r="Q185" s="38">
        <v>1993</v>
      </c>
      <c r="R185" s="38">
        <v>1</v>
      </c>
      <c r="S185" s="38">
        <v>0</v>
      </c>
      <c r="T185" s="38">
        <v>-1.619E-2</v>
      </c>
      <c r="U185" s="38">
        <v>-3.2379999999999999E-2</v>
      </c>
      <c r="V185" s="38">
        <v>0</v>
      </c>
      <c r="W185" s="38">
        <v>0</v>
      </c>
      <c r="X185" s="38" t="s">
        <v>62</v>
      </c>
      <c r="Y185" s="154"/>
      <c r="AA185" s="38"/>
      <c r="AB185" s="38"/>
      <c r="AC185" s="38"/>
      <c r="AD185" s="38"/>
    </row>
    <row r="186" spans="1:30">
      <c r="A186" s="38">
        <v>5</v>
      </c>
      <c r="B186" s="38">
        <v>2</v>
      </c>
      <c r="C186" s="38">
        <v>8</v>
      </c>
      <c r="D186" s="39">
        <v>2013</v>
      </c>
      <c r="E186" s="39">
        <v>2013</v>
      </c>
      <c r="F186" s="38">
        <v>1</v>
      </c>
      <c r="G186" s="38">
        <v>0</v>
      </c>
      <c r="H186" s="38">
        <v>0</v>
      </c>
      <c r="I186" s="38">
        <v>0</v>
      </c>
      <c r="J186" s="38">
        <v>0</v>
      </c>
      <c r="K186" s="39">
        <v>2</v>
      </c>
      <c r="L186" s="39">
        <v>1850</v>
      </c>
      <c r="M186" s="38">
        <v>1730</v>
      </c>
      <c r="N186" s="38">
        <v>300</v>
      </c>
      <c r="O186" s="38">
        <v>300</v>
      </c>
      <c r="P186" s="38" t="s">
        <v>13</v>
      </c>
      <c r="Q186" s="38">
        <v>1993</v>
      </c>
      <c r="R186" s="38">
        <v>1</v>
      </c>
      <c r="S186" s="38">
        <v>0</v>
      </c>
      <c r="T186" s="38">
        <v>-1.619E-2</v>
      </c>
      <c r="U186" s="38">
        <v>-3.2379999999999999E-2</v>
      </c>
      <c r="V186" s="38">
        <v>0</v>
      </c>
      <c r="W186" s="38">
        <v>0</v>
      </c>
      <c r="X186" s="38" t="s">
        <v>62</v>
      </c>
      <c r="Y186" s="154"/>
      <c r="AA186" s="38"/>
      <c r="AB186" s="38"/>
      <c r="AC186" s="38"/>
      <c r="AD186" s="38"/>
    </row>
    <row r="187" spans="1:30">
      <c r="A187" s="38">
        <v>5</v>
      </c>
      <c r="B187" s="38">
        <v>2</v>
      </c>
      <c r="C187" s="38">
        <v>8</v>
      </c>
      <c r="D187" s="39">
        <v>2014</v>
      </c>
      <c r="E187" s="39">
        <v>2019</v>
      </c>
      <c r="F187" s="38">
        <v>1</v>
      </c>
      <c r="G187" s="38">
        <v>0</v>
      </c>
      <c r="H187" s="38">
        <v>0</v>
      </c>
      <c r="I187" s="38">
        <v>0</v>
      </c>
      <c r="J187" s="38">
        <v>0</v>
      </c>
      <c r="K187" s="39">
        <v>2</v>
      </c>
      <c r="L187" s="39">
        <v>1850</v>
      </c>
      <c r="M187" s="38">
        <v>1730</v>
      </c>
      <c r="N187" s="38">
        <v>0</v>
      </c>
      <c r="O187" s="38">
        <v>0</v>
      </c>
      <c r="P187" s="38" t="s">
        <v>13</v>
      </c>
      <c r="Q187" s="38">
        <v>1993</v>
      </c>
      <c r="R187" s="38">
        <v>1</v>
      </c>
      <c r="S187" s="38">
        <v>0</v>
      </c>
      <c r="T187" s="38">
        <v>-1.619E-2</v>
      </c>
      <c r="U187" s="38">
        <v>-3.2379999999999999E-2</v>
      </c>
      <c r="V187" s="38">
        <v>0</v>
      </c>
      <c r="W187" s="38">
        <v>0</v>
      </c>
      <c r="X187" s="38" t="s">
        <v>62</v>
      </c>
      <c r="Y187" s="154">
        <v>2010</v>
      </c>
      <c r="Z187" s="38">
        <f t="shared" ref="Z187:Z188" si="10">K187</f>
        <v>2</v>
      </c>
      <c r="AA187" s="38">
        <f t="shared" ref="AA187:AA188" si="11">L187</f>
        <v>1850</v>
      </c>
      <c r="AB187" s="38"/>
      <c r="AC187" s="38"/>
      <c r="AD187" s="38"/>
    </row>
    <row r="188" spans="1:30">
      <c r="A188" s="38">
        <v>5</v>
      </c>
      <c r="B188" s="38">
        <v>2</v>
      </c>
      <c r="C188" s="38">
        <v>8</v>
      </c>
      <c r="D188" s="39">
        <v>2020</v>
      </c>
      <c r="E188" s="39">
        <v>2050</v>
      </c>
      <c r="F188" s="38">
        <v>1</v>
      </c>
      <c r="G188" s="38">
        <v>0</v>
      </c>
      <c r="H188" s="38">
        <v>0</v>
      </c>
      <c r="I188" s="38">
        <v>0</v>
      </c>
      <c r="J188" s="38">
        <v>0</v>
      </c>
      <c r="K188" s="39">
        <v>2</v>
      </c>
      <c r="L188" s="39">
        <v>1800</v>
      </c>
      <c r="M188" s="38">
        <v>1700</v>
      </c>
      <c r="N188" s="38">
        <v>0</v>
      </c>
      <c r="O188" s="38">
        <v>0</v>
      </c>
      <c r="P188" s="38" t="s">
        <v>13</v>
      </c>
      <c r="Q188" s="38">
        <v>1993</v>
      </c>
      <c r="R188" s="38">
        <v>1</v>
      </c>
      <c r="S188" s="38">
        <v>0</v>
      </c>
      <c r="T188" s="38">
        <v>-1.619E-2</v>
      </c>
      <c r="U188" s="38">
        <v>-3.2379999999999999E-2</v>
      </c>
      <c r="V188" s="38">
        <v>0</v>
      </c>
      <c r="W188" s="38">
        <v>0</v>
      </c>
      <c r="X188" s="38" t="s">
        <v>62</v>
      </c>
      <c r="Y188" s="154">
        <v>2020</v>
      </c>
      <c r="Z188" s="38">
        <f t="shared" si="10"/>
        <v>2</v>
      </c>
      <c r="AA188" s="38">
        <f t="shared" si="11"/>
        <v>1800</v>
      </c>
      <c r="AB188" s="38"/>
      <c r="AC188" s="38"/>
      <c r="AD188" s="38"/>
    </row>
    <row r="189" spans="1:30">
      <c r="A189" s="38">
        <v>5</v>
      </c>
      <c r="B189" s="38">
        <v>2</v>
      </c>
      <c r="C189" s="38">
        <v>9</v>
      </c>
      <c r="D189" s="39">
        <v>2010</v>
      </c>
      <c r="E189" s="39">
        <v>2010</v>
      </c>
      <c r="F189" s="38">
        <v>1</v>
      </c>
      <c r="G189" s="38">
        <v>0</v>
      </c>
      <c r="H189" s="38">
        <v>0</v>
      </c>
      <c r="I189" s="38">
        <v>0</v>
      </c>
      <c r="J189" s="38">
        <v>0</v>
      </c>
      <c r="K189" s="39">
        <v>2.35</v>
      </c>
      <c r="L189" s="39">
        <v>2050</v>
      </c>
      <c r="M189" s="38">
        <v>1930</v>
      </c>
      <c r="N189" s="38">
        <v>680</v>
      </c>
      <c r="O189" s="38">
        <v>640</v>
      </c>
      <c r="P189" s="38" t="s">
        <v>13</v>
      </c>
      <c r="Q189" s="38">
        <v>1993</v>
      </c>
      <c r="R189" s="38">
        <v>1</v>
      </c>
      <c r="S189" s="38">
        <v>0</v>
      </c>
      <c r="T189" s="38">
        <v>-1.619E-2</v>
      </c>
      <c r="U189" s="38">
        <v>-3.2379999999999999E-2</v>
      </c>
      <c r="V189" s="38">
        <v>0</v>
      </c>
      <c r="W189" s="38">
        <v>0</v>
      </c>
      <c r="X189" s="38" t="s">
        <v>63</v>
      </c>
      <c r="Y189" s="154"/>
      <c r="AA189" s="38"/>
      <c r="AB189" s="38"/>
      <c r="AC189" s="38"/>
      <c r="AD189" s="38"/>
    </row>
    <row r="190" spans="1:30">
      <c r="A190" s="38">
        <v>5</v>
      </c>
      <c r="B190" s="38">
        <v>2</v>
      </c>
      <c r="C190" s="38">
        <v>9</v>
      </c>
      <c r="D190" s="39">
        <v>2011</v>
      </c>
      <c r="E190" s="39">
        <v>2011</v>
      </c>
      <c r="F190" s="38">
        <v>1</v>
      </c>
      <c r="G190" s="38">
        <v>0</v>
      </c>
      <c r="H190" s="38">
        <v>0</v>
      </c>
      <c r="I190" s="38">
        <v>0</v>
      </c>
      <c r="J190" s="38">
        <v>0</v>
      </c>
      <c r="K190" s="39">
        <v>2.35</v>
      </c>
      <c r="L190" s="39">
        <v>2050</v>
      </c>
      <c r="M190" s="38">
        <v>1930</v>
      </c>
      <c r="N190" s="38">
        <v>300</v>
      </c>
      <c r="O190" s="38">
        <v>300</v>
      </c>
      <c r="P190" s="38" t="s">
        <v>13</v>
      </c>
      <c r="Q190" s="38">
        <v>1993</v>
      </c>
      <c r="R190" s="38">
        <v>1</v>
      </c>
      <c r="S190" s="38">
        <v>0</v>
      </c>
      <c r="T190" s="38">
        <v>-1.619E-2</v>
      </c>
      <c r="U190" s="38">
        <v>-3.2379999999999999E-2</v>
      </c>
      <c r="V190" s="38">
        <v>0</v>
      </c>
      <c r="W190" s="38">
        <v>0</v>
      </c>
      <c r="X190" s="38" t="s">
        <v>63</v>
      </c>
      <c r="Y190" s="154"/>
      <c r="AA190" s="38"/>
      <c r="AB190" s="38"/>
      <c r="AC190" s="38"/>
      <c r="AD190" s="38"/>
    </row>
    <row r="191" spans="1:30">
      <c r="A191" s="38">
        <v>5</v>
      </c>
      <c r="B191" s="38">
        <v>2</v>
      </c>
      <c r="C191" s="38">
        <v>9</v>
      </c>
      <c r="D191" s="39">
        <v>2012</v>
      </c>
      <c r="E191" s="39">
        <v>2012</v>
      </c>
      <c r="F191" s="38">
        <v>1</v>
      </c>
      <c r="G191" s="38">
        <v>0</v>
      </c>
      <c r="H191" s="38">
        <v>0</v>
      </c>
      <c r="I191" s="38">
        <v>0</v>
      </c>
      <c r="J191" s="38">
        <v>0</v>
      </c>
      <c r="K191" s="39">
        <v>2.35</v>
      </c>
      <c r="L191" s="39">
        <v>2050</v>
      </c>
      <c r="M191" s="38">
        <v>1930</v>
      </c>
      <c r="N191" s="38">
        <v>0</v>
      </c>
      <c r="O191" s="38">
        <v>0</v>
      </c>
      <c r="P191" s="38" t="s">
        <v>13</v>
      </c>
      <c r="Q191" s="38">
        <v>1993</v>
      </c>
      <c r="R191" s="38">
        <v>1</v>
      </c>
      <c r="S191" s="38">
        <v>0</v>
      </c>
      <c r="T191" s="38">
        <v>-1.619E-2</v>
      </c>
      <c r="U191" s="38">
        <v>-3.2379999999999999E-2</v>
      </c>
      <c r="V191" s="38">
        <v>0</v>
      </c>
      <c r="W191" s="38">
        <v>0</v>
      </c>
      <c r="X191" s="38" t="s">
        <v>63</v>
      </c>
      <c r="Y191" s="154"/>
      <c r="AA191" s="38"/>
      <c r="AB191" s="38"/>
      <c r="AC191" s="38"/>
      <c r="AD191" s="38"/>
    </row>
    <row r="192" spans="1:30">
      <c r="A192" s="38">
        <v>5</v>
      </c>
      <c r="B192" s="38">
        <v>2</v>
      </c>
      <c r="C192" s="38">
        <v>9</v>
      </c>
      <c r="D192" s="39">
        <v>2013</v>
      </c>
      <c r="E192" s="39">
        <v>2013</v>
      </c>
      <c r="F192" s="38">
        <v>1</v>
      </c>
      <c r="G192" s="38">
        <v>0</v>
      </c>
      <c r="H192" s="38">
        <v>0</v>
      </c>
      <c r="I192" s="38">
        <v>0</v>
      </c>
      <c r="J192" s="38">
        <v>0</v>
      </c>
      <c r="K192" s="39">
        <v>2.35</v>
      </c>
      <c r="L192" s="39">
        <v>2050</v>
      </c>
      <c r="M192" s="38">
        <v>1930</v>
      </c>
      <c r="N192" s="38">
        <v>300</v>
      </c>
      <c r="O192" s="38">
        <v>300</v>
      </c>
      <c r="P192" s="38" t="s">
        <v>13</v>
      </c>
      <c r="Q192" s="38">
        <v>1993</v>
      </c>
      <c r="R192" s="38">
        <v>1</v>
      </c>
      <c r="S192" s="38">
        <v>0</v>
      </c>
      <c r="T192" s="38">
        <v>-1.619E-2</v>
      </c>
      <c r="U192" s="38">
        <v>-3.2379999999999999E-2</v>
      </c>
      <c r="V192" s="38">
        <v>0</v>
      </c>
      <c r="W192" s="38">
        <v>0</v>
      </c>
      <c r="X192" s="38" t="s">
        <v>63</v>
      </c>
      <c r="Y192" s="154">
        <v>2010</v>
      </c>
      <c r="Z192" s="38">
        <f t="shared" ref="Z192" si="12">K192</f>
        <v>2.35</v>
      </c>
      <c r="AA192" s="38">
        <f t="shared" ref="AA192" si="13">L192</f>
        <v>2050</v>
      </c>
      <c r="AB192" s="38"/>
      <c r="AC192" s="38"/>
      <c r="AD192" s="38"/>
    </row>
    <row r="193" spans="1:30">
      <c r="A193" s="38">
        <v>5</v>
      </c>
      <c r="B193" s="38">
        <v>2</v>
      </c>
      <c r="C193" s="38">
        <v>9</v>
      </c>
      <c r="D193" s="39">
        <v>2014</v>
      </c>
      <c r="E193" s="39">
        <v>2050</v>
      </c>
      <c r="F193" s="38">
        <v>1</v>
      </c>
      <c r="G193" s="38">
        <v>0</v>
      </c>
      <c r="H193" s="38">
        <v>0</v>
      </c>
      <c r="I193" s="38">
        <v>0</v>
      </c>
      <c r="J193" s="38">
        <v>0</v>
      </c>
      <c r="K193" s="39">
        <v>2.35</v>
      </c>
      <c r="L193" s="39">
        <v>2050</v>
      </c>
      <c r="M193" s="38">
        <v>1930</v>
      </c>
      <c r="N193" s="38">
        <v>0</v>
      </c>
      <c r="O193" s="38">
        <v>0</v>
      </c>
      <c r="P193" s="38" t="s">
        <v>13</v>
      </c>
      <c r="Q193" s="38">
        <v>1993</v>
      </c>
      <c r="R193" s="38">
        <v>1</v>
      </c>
      <c r="S193" s="38">
        <v>0</v>
      </c>
      <c r="T193" s="38">
        <v>-1.619E-2</v>
      </c>
      <c r="U193" s="38">
        <v>-3.2379999999999999E-2</v>
      </c>
      <c r="V193" s="38">
        <v>0</v>
      </c>
      <c r="W193" s="38">
        <v>0</v>
      </c>
      <c r="X193" s="38" t="s">
        <v>63</v>
      </c>
      <c r="Y193" s="154"/>
      <c r="AA193" s="38"/>
      <c r="AB193" s="38"/>
      <c r="AC193" s="38"/>
      <c r="AD193" s="38"/>
    </row>
    <row r="194" spans="1:30">
      <c r="A194" s="38">
        <v>5</v>
      </c>
      <c r="B194" s="38">
        <v>3</v>
      </c>
      <c r="C194" s="38">
        <v>10</v>
      </c>
      <c r="D194" s="39">
        <v>2010</v>
      </c>
      <c r="E194" s="39">
        <v>2014</v>
      </c>
      <c r="F194" s="38">
        <v>1</v>
      </c>
      <c r="G194" s="38">
        <v>0</v>
      </c>
      <c r="H194" s="38">
        <v>0</v>
      </c>
      <c r="I194" s="38">
        <v>0</v>
      </c>
      <c r="J194" s="38">
        <v>0</v>
      </c>
      <c r="K194" s="39">
        <v>0.53</v>
      </c>
      <c r="L194" s="39">
        <v>1900</v>
      </c>
      <c r="M194" s="38">
        <v>1660</v>
      </c>
      <c r="N194" s="38">
        <v>0</v>
      </c>
      <c r="O194" s="38">
        <v>0</v>
      </c>
      <c r="P194" s="38" t="s">
        <v>13</v>
      </c>
      <c r="Q194" s="38">
        <v>1993</v>
      </c>
      <c r="R194" s="38">
        <v>1</v>
      </c>
      <c r="S194" s="38">
        <v>0</v>
      </c>
      <c r="T194" s="38">
        <v>-1.8E-3</v>
      </c>
      <c r="U194" s="38">
        <v>-1.2E-2</v>
      </c>
      <c r="V194" s="38">
        <v>0</v>
      </c>
      <c r="W194" s="38">
        <v>0</v>
      </c>
      <c r="X194" s="38" t="s">
        <v>64</v>
      </c>
      <c r="Y194" s="154">
        <v>2010</v>
      </c>
      <c r="Z194" s="38">
        <f t="shared" ref="Z194" si="14">K194</f>
        <v>0.53</v>
      </c>
      <c r="AA194" s="38">
        <f t="shared" ref="AA194" si="15">L194</f>
        <v>1900</v>
      </c>
      <c r="AB194" s="38"/>
      <c r="AC194" s="38"/>
      <c r="AD194" s="38"/>
    </row>
    <row r="195" spans="1:30">
      <c r="A195" s="38">
        <v>5</v>
      </c>
      <c r="B195" s="38">
        <v>3</v>
      </c>
      <c r="C195" s="38">
        <v>10</v>
      </c>
      <c r="D195" s="39">
        <v>2015</v>
      </c>
      <c r="E195" s="39">
        <v>2050</v>
      </c>
      <c r="F195" s="38">
        <v>1</v>
      </c>
      <c r="G195" s="38">
        <v>0</v>
      </c>
      <c r="H195" s="38">
        <v>0</v>
      </c>
      <c r="I195" s="38">
        <v>0</v>
      </c>
      <c r="J195" s="38">
        <v>0</v>
      </c>
      <c r="K195" s="39">
        <v>0.62</v>
      </c>
      <c r="L195" s="39">
        <v>2100</v>
      </c>
      <c r="M195" s="38">
        <v>1860</v>
      </c>
      <c r="N195" s="38">
        <v>0</v>
      </c>
      <c r="O195" s="38">
        <v>0</v>
      </c>
      <c r="P195" s="38" t="s">
        <v>13</v>
      </c>
      <c r="Q195" s="38">
        <v>1993</v>
      </c>
      <c r="R195" s="38">
        <v>1</v>
      </c>
      <c r="S195" s="38">
        <v>0</v>
      </c>
      <c r="T195" s="38">
        <v>-1</v>
      </c>
      <c r="U195" s="38">
        <v>-1</v>
      </c>
      <c r="V195" s="38">
        <v>0</v>
      </c>
      <c r="W195" s="38">
        <v>0</v>
      </c>
      <c r="X195" s="38" t="s">
        <v>64</v>
      </c>
      <c r="Y195" s="154"/>
      <c r="AA195" s="38"/>
      <c r="AB195" s="38"/>
      <c r="AC195" s="38"/>
      <c r="AD195" s="38"/>
    </row>
    <row r="196" spans="1:30">
      <c r="A196" s="38">
        <v>5</v>
      </c>
      <c r="B196" s="38">
        <v>3</v>
      </c>
      <c r="C196" s="38">
        <v>11</v>
      </c>
      <c r="D196" s="39">
        <v>2010</v>
      </c>
      <c r="E196" s="39">
        <v>2050</v>
      </c>
      <c r="F196" s="38">
        <v>1</v>
      </c>
      <c r="G196" s="38">
        <v>0</v>
      </c>
      <c r="H196" s="38">
        <v>0</v>
      </c>
      <c r="I196" s="38">
        <v>0</v>
      </c>
      <c r="J196" s="38">
        <v>0</v>
      </c>
      <c r="K196" s="39">
        <v>0.62</v>
      </c>
      <c r="L196" s="39">
        <v>2100</v>
      </c>
      <c r="M196" s="38">
        <v>1860</v>
      </c>
      <c r="N196" s="38">
        <v>0</v>
      </c>
      <c r="O196" s="38">
        <v>0</v>
      </c>
      <c r="P196" s="38" t="s">
        <v>13</v>
      </c>
      <c r="Q196" s="38">
        <v>1993</v>
      </c>
      <c r="R196" s="38">
        <v>1</v>
      </c>
      <c r="S196" s="38">
        <v>0</v>
      </c>
      <c r="T196" s="38">
        <v>-1.8E-3</v>
      </c>
      <c r="U196" s="38">
        <v>-1.2E-2</v>
      </c>
      <c r="V196" s="38">
        <v>0</v>
      </c>
      <c r="W196" s="38">
        <v>0</v>
      </c>
      <c r="X196" s="38" t="s">
        <v>65</v>
      </c>
      <c r="Y196" s="154">
        <v>2010</v>
      </c>
      <c r="Z196" s="38">
        <f t="shared" ref="Z196:Z197" si="16">K196</f>
        <v>0.62</v>
      </c>
      <c r="AA196" s="38">
        <f t="shared" ref="AA196:AA197" si="17">L196</f>
        <v>2100</v>
      </c>
      <c r="AB196" s="38"/>
      <c r="AC196" s="38"/>
      <c r="AD196" s="38"/>
    </row>
    <row r="197" spans="1:30">
      <c r="A197" s="38">
        <v>5</v>
      </c>
      <c r="B197" s="38">
        <v>3</v>
      </c>
      <c r="C197" s="38">
        <v>12</v>
      </c>
      <c r="D197" s="39">
        <v>2010</v>
      </c>
      <c r="E197" s="39">
        <v>2050</v>
      </c>
      <c r="F197" s="38">
        <v>1</v>
      </c>
      <c r="G197" s="38">
        <v>0</v>
      </c>
      <c r="H197" s="38">
        <v>0</v>
      </c>
      <c r="I197" s="38">
        <v>0</v>
      </c>
      <c r="J197" s="38">
        <v>0</v>
      </c>
      <c r="K197" s="39">
        <v>0.68</v>
      </c>
      <c r="L197" s="39">
        <v>2250</v>
      </c>
      <c r="M197" s="38">
        <v>2010</v>
      </c>
      <c r="N197" s="38">
        <v>0</v>
      </c>
      <c r="O197" s="38">
        <v>0</v>
      </c>
      <c r="P197" s="38" t="s">
        <v>13</v>
      </c>
      <c r="Q197" s="38">
        <v>1993</v>
      </c>
      <c r="R197" s="38">
        <v>1</v>
      </c>
      <c r="S197" s="38">
        <v>0</v>
      </c>
      <c r="T197" s="38">
        <v>-1.8E-3</v>
      </c>
      <c r="U197" s="38">
        <v>-1.2E-2</v>
      </c>
      <c r="V197" s="38">
        <v>0</v>
      </c>
      <c r="W197" s="38">
        <v>0</v>
      </c>
      <c r="X197" s="38" t="s">
        <v>172</v>
      </c>
      <c r="Y197" s="154">
        <v>2010</v>
      </c>
      <c r="Z197" s="38">
        <f t="shared" si="16"/>
        <v>0.68</v>
      </c>
      <c r="AA197" s="38">
        <f t="shared" si="17"/>
        <v>2250</v>
      </c>
      <c r="AB197" s="38"/>
      <c r="AC197" s="38"/>
      <c r="AD197" s="38"/>
    </row>
    <row r="198" spans="1:30">
      <c r="A198" s="38">
        <v>5</v>
      </c>
      <c r="B198" s="38">
        <v>4</v>
      </c>
      <c r="C198" s="38">
        <v>13</v>
      </c>
      <c r="D198" s="39">
        <v>2010</v>
      </c>
      <c r="E198" s="39">
        <v>2014</v>
      </c>
      <c r="F198" s="38">
        <v>1</v>
      </c>
      <c r="G198" s="38">
        <v>0</v>
      </c>
      <c r="H198" s="38">
        <v>0</v>
      </c>
      <c r="I198" s="38">
        <v>0</v>
      </c>
      <c r="J198" s="38">
        <v>0</v>
      </c>
      <c r="K198" s="39">
        <v>0.59</v>
      </c>
      <c r="L198" s="39">
        <v>900</v>
      </c>
      <c r="M198" s="38">
        <v>720</v>
      </c>
      <c r="N198" s="38">
        <v>0</v>
      </c>
      <c r="O198" s="38">
        <v>0</v>
      </c>
      <c r="P198" s="38" t="s">
        <v>13</v>
      </c>
      <c r="Q198" s="38">
        <v>1993</v>
      </c>
      <c r="R198" s="38">
        <v>1</v>
      </c>
      <c r="S198" s="38">
        <v>0</v>
      </c>
      <c r="T198" s="38">
        <v>-1.619E-2</v>
      </c>
      <c r="U198" s="38">
        <v>-5.3969999999999997E-2</v>
      </c>
      <c r="V198" s="38">
        <v>0</v>
      </c>
      <c r="W198" s="38">
        <v>0</v>
      </c>
      <c r="X198" s="38" t="s">
        <v>66</v>
      </c>
      <c r="Y198" s="154">
        <v>2010</v>
      </c>
      <c r="AA198" s="38"/>
      <c r="AB198" s="38"/>
      <c r="AC198" s="38"/>
      <c r="AD198" s="38"/>
    </row>
    <row r="199" spans="1:30">
      <c r="A199" s="38">
        <v>5</v>
      </c>
      <c r="B199" s="38">
        <v>4</v>
      </c>
      <c r="C199" s="38">
        <v>13</v>
      </c>
      <c r="D199" s="39">
        <v>2015</v>
      </c>
      <c r="E199" s="39">
        <v>2050</v>
      </c>
      <c r="F199" s="38">
        <v>1</v>
      </c>
      <c r="G199" s="38">
        <v>0</v>
      </c>
      <c r="H199" s="38">
        <v>0</v>
      </c>
      <c r="I199" s="38">
        <v>0</v>
      </c>
      <c r="J199" s="38">
        <v>0</v>
      </c>
      <c r="K199" s="39">
        <v>0.62</v>
      </c>
      <c r="L199" s="39">
        <v>920</v>
      </c>
      <c r="M199" s="38">
        <v>740</v>
      </c>
      <c r="N199" s="38">
        <v>0</v>
      </c>
      <c r="O199" s="38">
        <v>0</v>
      </c>
      <c r="P199" s="38" t="s">
        <v>13</v>
      </c>
      <c r="Q199" s="38">
        <v>1993</v>
      </c>
      <c r="R199" s="38">
        <v>1</v>
      </c>
      <c r="S199" s="38">
        <v>0</v>
      </c>
      <c r="T199" s="38">
        <v>-1.619E-2</v>
      </c>
      <c r="U199" s="38">
        <v>-5.3969999999999997E-2</v>
      </c>
      <c r="V199" s="38">
        <v>0</v>
      </c>
      <c r="W199" s="38">
        <v>0</v>
      </c>
      <c r="X199" s="38" t="s">
        <v>66</v>
      </c>
      <c r="Y199" s="154">
        <v>2015</v>
      </c>
      <c r="AA199" s="38"/>
      <c r="AB199" s="38"/>
      <c r="AC199" s="38"/>
      <c r="AD199" s="38"/>
    </row>
    <row r="200" spans="1:30">
      <c r="A200" s="38">
        <v>5</v>
      </c>
      <c r="B200" s="38">
        <v>4</v>
      </c>
      <c r="C200" s="38">
        <v>14</v>
      </c>
      <c r="D200" s="39">
        <v>2010</v>
      </c>
      <c r="E200" s="39">
        <v>2050</v>
      </c>
      <c r="F200" s="38">
        <v>1</v>
      </c>
      <c r="G200" s="38">
        <v>0</v>
      </c>
      <c r="H200" s="38">
        <v>0</v>
      </c>
      <c r="I200" s="38">
        <v>0</v>
      </c>
      <c r="J200" s="38">
        <v>0</v>
      </c>
      <c r="K200" s="39">
        <v>0.67</v>
      </c>
      <c r="L200" s="39">
        <v>1250</v>
      </c>
      <c r="M200" s="38">
        <v>1070</v>
      </c>
      <c r="N200" s="38">
        <v>0</v>
      </c>
      <c r="O200" s="38">
        <v>0</v>
      </c>
      <c r="P200" s="38" t="s">
        <v>13</v>
      </c>
      <c r="Q200" s="38">
        <v>1993</v>
      </c>
      <c r="R200" s="38">
        <v>1</v>
      </c>
      <c r="S200" s="38">
        <v>0</v>
      </c>
      <c r="T200" s="38">
        <v>-1.619E-2</v>
      </c>
      <c r="U200" s="38">
        <v>-5.3969999999999997E-2</v>
      </c>
      <c r="V200" s="38">
        <v>0</v>
      </c>
      <c r="W200" s="38">
        <v>0</v>
      </c>
      <c r="X200" s="38" t="s">
        <v>67</v>
      </c>
      <c r="Y200" s="154">
        <v>2010</v>
      </c>
      <c r="AA200" s="38"/>
      <c r="AB200" s="38"/>
      <c r="AC200" s="38"/>
      <c r="AD200" s="38"/>
    </row>
    <row r="201" spans="1:30">
      <c r="A201" s="38">
        <v>5</v>
      </c>
      <c r="B201" s="38">
        <v>4</v>
      </c>
      <c r="C201" s="38">
        <v>15</v>
      </c>
      <c r="D201" s="39">
        <v>2010</v>
      </c>
      <c r="E201" s="39">
        <v>2010</v>
      </c>
      <c r="F201" s="38">
        <v>1</v>
      </c>
      <c r="G201" s="38">
        <v>0</v>
      </c>
      <c r="H201" s="38">
        <v>0</v>
      </c>
      <c r="I201" s="38">
        <v>0</v>
      </c>
      <c r="J201" s="38">
        <v>0</v>
      </c>
      <c r="K201" s="39">
        <v>0.82</v>
      </c>
      <c r="L201" s="39">
        <v>2200</v>
      </c>
      <c r="M201" s="38">
        <v>2000</v>
      </c>
      <c r="N201" s="38">
        <v>600</v>
      </c>
      <c r="O201" s="38">
        <v>560</v>
      </c>
      <c r="P201" s="38" t="s">
        <v>13</v>
      </c>
      <c r="Q201" s="38">
        <v>1993</v>
      </c>
      <c r="R201" s="38">
        <v>1</v>
      </c>
      <c r="S201" s="38">
        <v>0</v>
      </c>
      <c r="T201" s="38">
        <v>-1.619E-2</v>
      </c>
      <c r="U201" s="38">
        <v>-5.3969999999999997E-2</v>
      </c>
      <c r="V201" s="38">
        <v>0</v>
      </c>
      <c r="W201" s="38">
        <v>0</v>
      </c>
      <c r="X201" s="38" t="s">
        <v>68</v>
      </c>
      <c r="Y201" s="154"/>
      <c r="AA201" s="38"/>
      <c r="AB201" s="38"/>
      <c r="AC201" s="38"/>
      <c r="AD201" s="38"/>
    </row>
    <row r="202" spans="1:30">
      <c r="A202" s="38">
        <v>5</v>
      </c>
      <c r="B202" s="38">
        <v>4</v>
      </c>
      <c r="C202" s="38">
        <v>15</v>
      </c>
      <c r="D202" s="39">
        <v>2011</v>
      </c>
      <c r="E202" s="39">
        <v>2011</v>
      </c>
      <c r="F202" s="38">
        <v>1</v>
      </c>
      <c r="G202" s="38">
        <v>0</v>
      </c>
      <c r="H202" s="38">
        <v>0</v>
      </c>
      <c r="I202" s="38">
        <v>0</v>
      </c>
      <c r="J202" s="38">
        <v>0</v>
      </c>
      <c r="K202" s="39">
        <v>0.82</v>
      </c>
      <c r="L202" s="39">
        <v>2200</v>
      </c>
      <c r="M202" s="38">
        <v>2000</v>
      </c>
      <c r="N202" s="38">
        <v>300</v>
      </c>
      <c r="O202" s="38">
        <v>300</v>
      </c>
      <c r="P202" s="38" t="s">
        <v>13</v>
      </c>
      <c r="Q202" s="38">
        <v>1993</v>
      </c>
      <c r="R202" s="38">
        <v>1</v>
      </c>
      <c r="S202" s="38">
        <v>0</v>
      </c>
      <c r="T202" s="38">
        <v>-1.619E-2</v>
      </c>
      <c r="U202" s="38">
        <v>-5.3969999999999997E-2</v>
      </c>
      <c r="V202" s="38">
        <v>0</v>
      </c>
      <c r="W202" s="38">
        <v>0</v>
      </c>
      <c r="X202" s="38" t="s">
        <v>68</v>
      </c>
      <c r="Y202" s="154"/>
      <c r="AA202" s="38"/>
      <c r="AB202" s="38"/>
      <c r="AC202" s="38"/>
      <c r="AD202" s="38"/>
    </row>
    <row r="203" spans="1:30">
      <c r="A203" s="38">
        <v>5</v>
      </c>
      <c r="B203" s="38">
        <v>4</v>
      </c>
      <c r="C203" s="38">
        <v>15</v>
      </c>
      <c r="D203" s="39">
        <v>2012</v>
      </c>
      <c r="E203" s="39">
        <v>2012</v>
      </c>
      <c r="F203" s="38">
        <v>1</v>
      </c>
      <c r="G203" s="38">
        <v>0</v>
      </c>
      <c r="H203" s="38">
        <v>0</v>
      </c>
      <c r="I203" s="38">
        <v>0</v>
      </c>
      <c r="J203" s="38">
        <v>0</v>
      </c>
      <c r="K203" s="39">
        <v>0.82</v>
      </c>
      <c r="L203" s="39">
        <v>2200</v>
      </c>
      <c r="M203" s="38">
        <v>2000</v>
      </c>
      <c r="N203" s="38">
        <v>0</v>
      </c>
      <c r="O203" s="38">
        <v>0</v>
      </c>
      <c r="P203" s="38" t="s">
        <v>13</v>
      </c>
      <c r="Q203" s="38">
        <v>1993</v>
      </c>
      <c r="R203" s="38">
        <v>1</v>
      </c>
      <c r="S203" s="38">
        <v>0</v>
      </c>
      <c r="T203" s="38">
        <v>-1.619E-2</v>
      </c>
      <c r="U203" s="38">
        <v>-5.3969999999999997E-2</v>
      </c>
      <c r="V203" s="38">
        <v>0</v>
      </c>
      <c r="W203" s="38">
        <v>0</v>
      </c>
      <c r="X203" s="38" t="s">
        <v>68</v>
      </c>
      <c r="Y203" s="154"/>
      <c r="AA203" s="38"/>
      <c r="AB203" s="38"/>
      <c r="AC203" s="38"/>
      <c r="AD203" s="38"/>
    </row>
    <row r="204" spans="1:30">
      <c r="A204" s="38">
        <v>5</v>
      </c>
      <c r="B204" s="38">
        <v>4</v>
      </c>
      <c r="C204" s="38">
        <v>15</v>
      </c>
      <c r="D204" s="39">
        <v>2013</v>
      </c>
      <c r="E204" s="39">
        <v>2013</v>
      </c>
      <c r="F204" s="38">
        <v>1</v>
      </c>
      <c r="G204" s="38">
        <v>0</v>
      </c>
      <c r="H204" s="38">
        <v>0</v>
      </c>
      <c r="I204" s="38">
        <v>0</v>
      </c>
      <c r="J204" s="38">
        <v>0</v>
      </c>
      <c r="K204" s="39">
        <v>0.82</v>
      </c>
      <c r="L204" s="39">
        <v>2200</v>
      </c>
      <c r="M204" s="38">
        <v>2000</v>
      </c>
      <c r="N204" s="38">
        <v>300</v>
      </c>
      <c r="O204" s="38">
        <v>300</v>
      </c>
      <c r="P204" s="38" t="s">
        <v>13</v>
      </c>
      <c r="Q204" s="38">
        <v>1993</v>
      </c>
      <c r="R204" s="38">
        <v>1</v>
      </c>
      <c r="S204" s="38">
        <v>0</v>
      </c>
      <c r="T204" s="38">
        <v>-1.619E-2</v>
      </c>
      <c r="U204" s="38">
        <v>-5.3969999999999997E-2</v>
      </c>
      <c r="V204" s="38">
        <v>0</v>
      </c>
      <c r="W204" s="38">
        <v>0</v>
      </c>
      <c r="X204" s="38" t="s">
        <v>68</v>
      </c>
      <c r="Y204" s="154"/>
      <c r="AA204" s="38"/>
      <c r="AB204" s="38"/>
      <c r="AC204" s="38"/>
      <c r="AD204" s="38"/>
    </row>
    <row r="205" spans="1:30">
      <c r="A205" s="38">
        <v>5</v>
      </c>
      <c r="B205" s="38">
        <v>4</v>
      </c>
      <c r="C205" s="38">
        <v>15</v>
      </c>
      <c r="D205" s="39">
        <v>2014</v>
      </c>
      <c r="E205" s="39">
        <v>2019</v>
      </c>
      <c r="F205" s="38">
        <v>1</v>
      </c>
      <c r="G205" s="38">
        <v>0</v>
      </c>
      <c r="H205" s="38">
        <v>0</v>
      </c>
      <c r="I205" s="38">
        <v>0</v>
      </c>
      <c r="J205" s="38">
        <v>0</v>
      </c>
      <c r="K205" s="39">
        <v>0.82</v>
      </c>
      <c r="L205" s="39">
        <v>2200</v>
      </c>
      <c r="M205" s="38">
        <v>2000</v>
      </c>
      <c r="N205" s="38">
        <v>0</v>
      </c>
      <c r="O205" s="38">
        <v>0</v>
      </c>
      <c r="P205" s="38" t="s">
        <v>13</v>
      </c>
      <c r="Q205" s="38">
        <v>1993</v>
      </c>
      <c r="R205" s="38">
        <v>1</v>
      </c>
      <c r="S205" s="38">
        <v>0</v>
      </c>
      <c r="T205" s="38">
        <v>-1.619E-2</v>
      </c>
      <c r="U205" s="38">
        <v>-5.3969999999999997E-2</v>
      </c>
      <c r="V205" s="38">
        <v>0</v>
      </c>
      <c r="W205" s="38">
        <v>0</v>
      </c>
      <c r="X205" s="38" t="s">
        <v>68</v>
      </c>
      <c r="Y205" s="154">
        <v>2010</v>
      </c>
      <c r="AA205" s="38"/>
      <c r="AB205" s="38"/>
      <c r="AC205" s="38"/>
      <c r="AD205" s="38"/>
    </row>
    <row r="206" spans="1:30">
      <c r="A206" s="38">
        <v>5</v>
      </c>
      <c r="B206" s="38">
        <v>4</v>
      </c>
      <c r="C206" s="38">
        <v>15</v>
      </c>
      <c r="D206" s="39">
        <v>2020</v>
      </c>
      <c r="E206" s="39">
        <v>2029</v>
      </c>
      <c r="F206" s="38">
        <v>1</v>
      </c>
      <c r="G206" s="38">
        <v>0</v>
      </c>
      <c r="H206" s="38">
        <v>0</v>
      </c>
      <c r="I206" s="38">
        <v>0</v>
      </c>
      <c r="J206" s="38">
        <v>0</v>
      </c>
      <c r="K206" s="39">
        <v>0.9</v>
      </c>
      <c r="L206" s="39">
        <v>2100</v>
      </c>
      <c r="M206" s="38">
        <v>1900</v>
      </c>
      <c r="N206" s="38">
        <v>0</v>
      </c>
      <c r="O206" s="38">
        <v>0</v>
      </c>
      <c r="P206" s="38" t="s">
        <v>13</v>
      </c>
      <c r="Q206" s="38">
        <v>1993</v>
      </c>
      <c r="R206" s="38">
        <v>1</v>
      </c>
      <c r="S206" s="38">
        <v>0</v>
      </c>
      <c r="T206" s="38">
        <v>-1.619E-2</v>
      </c>
      <c r="U206" s="38">
        <v>-5.3969999999999997E-2</v>
      </c>
      <c r="V206" s="38">
        <v>0</v>
      </c>
      <c r="W206" s="38">
        <v>0</v>
      </c>
      <c r="X206" s="38" t="s">
        <v>68</v>
      </c>
      <c r="Y206" s="154">
        <v>2020</v>
      </c>
      <c r="AA206" s="38"/>
      <c r="AB206" s="38"/>
      <c r="AC206" s="38"/>
      <c r="AD206" s="38"/>
    </row>
    <row r="207" spans="1:30">
      <c r="A207" s="38">
        <v>5</v>
      </c>
      <c r="B207" s="38">
        <v>4</v>
      </c>
      <c r="C207" s="38">
        <v>15</v>
      </c>
      <c r="D207" s="39">
        <v>2030</v>
      </c>
      <c r="E207" s="39">
        <v>2050</v>
      </c>
      <c r="F207" s="38">
        <v>1</v>
      </c>
      <c r="G207" s="38">
        <v>0</v>
      </c>
      <c r="H207" s="38">
        <v>0</v>
      </c>
      <c r="I207" s="38">
        <v>0</v>
      </c>
      <c r="J207" s="38">
        <v>0</v>
      </c>
      <c r="K207" s="39">
        <v>0.85</v>
      </c>
      <c r="L207" s="39">
        <v>1900</v>
      </c>
      <c r="M207" s="38">
        <v>1720</v>
      </c>
      <c r="N207" s="38">
        <v>0</v>
      </c>
      <c r="O207" s="38">
        <v>0</v>
      </c>
      <c r="P207" s="38" t="s">
        <v>13</v>
      </c>
      <c r="Q207" s="38">
        <v>1993</v>
      </c>
      <c r="R207" s="38">
        <v>1</v>
      </c>
      <c r="S207" s="38">
        <v>0</v>
      </c>
      <c r="T207" s="38">
        <v>-1.619E-2</v>
      </c>
      <c r="U207" s="38">
        <v>-5.3969999999999997E-2</v>
      </c>
      <c r="V207" s="38">
        <v>0</v>
      </c>
      <c r="W207" s="38">
        <v>0</v>
      </c>
      <c r="X207" s="38" t="s">
        <v>68</v>
      </c>
      <c r="Y207" s="154"/>
      <c r="AA207" s="38"/>
      <c r="AB207" s="38"/>
      <c r="AC207" s="38"/>
      <c r="AD207" s="38"/>
    </row>
    <row r="208" spans="1:30">
      <c r="A208" s="38">
        <v>5</v>
      </c>
      <c r="B208" s="38">
        <v>4</v>
      </c>
      <c r="C208" s="38">
        <v>16</v>
      </c>
      <c r="D208" s="39">
        <v>2010</v>
      </c>
      <c r="E208" s="39">
        <v>2010</v>
      </c>
      <c r="F208" s="38">
        <v>1</v>
      </c>
      <c r="G208" s="38">
        <v>0</v>
      </c>
      <c r="H208" s="38">
        <v>0</v>
      </c>
      <c r="I208" s="38">
        <v>0</v>
      </c>
      <c r="J208" s="38">
        <v>0</v>
      </c>
      <c r="K208" s="39">
        <v>0.85</v>
      </c>
      <c r="L208" s="39">
        <v>1600</v>
      </c>
      <c r="M208" s="38">
        <v>1400</v>
      </c>
      <c r="N208" s="38">
        <v>530</v>
      </c>
      <c r="O208" s="38">
        <v>464</v>
      </c>
      <c r="P208" s="38" t="s">
        <v>13</v>
      </c>
      <c r="Q208" s="38">
        <v>1993</v>
      </c>
      <c r="R208" s="38">
        <v>1</v>
      </c>
      <c r="S208" s="38">
        <v>0</v>
      </c>
      <c r="T208" s="38">
        <v>-1.619E-2</v>
      </c>
      <c r="U208" s="38">
        <v>-5.3969999999999997E-2</v>
      </c>
      <c r="V208" s="38">
        <v>0</v>
      </c>
      <c r="W208" s="38">
        <v>0</v>
      </c>
      <c r="X208" s="38" t="s">
        <v>69</v>
      </c>
      <c r="Y208" s="154"/>
      <c r="AA208" s="38"/>
      <c r="AB208" s="38"/>
      <c r="AC208" s="38"/>
      <c r="AD208" s="38"/>
    </row>
    <row r="209" spans="1:30">
      <c r="A209" s="38">
        <v>5</v>
      </c>
      <c r="B209" s="38">
        <v>4</v>
      </c>
      <c r="C209" s="38">
        <v>16</v>
      </c>
      <c r="D209" s="39">
        <v>2011</v>
      </c>
      <c r="E209" s="39">
        <v>2011</v>
      </c>
      <c r="F209" s="38">
        <v>1</v>
      </c>
      <c r="G209" s="38">
        <v>0</v>
      </c>
      <c r="H209" s="38">
        <v>0</v>
      </c>
      <c r="I209" s="38">
        <v>0</v>
      </c>
      <c r="J209" s="38">
        <v>0</v>
      </c>
      <c r="K209" s="39">
        <v>0.85</v>
      </c>
      <c r="L209" s="39">
        <v>1600</v>
      </c>
      <c r="M209" s="38">
        <v>1400</v>
      </c>
      <c r="N209" s="38">
        <v>300</v>
      </c>
      <c r="O209" s="38">
        <v>300</v>
      </c>
      <c r="P209" s="38" t="s">
        <v>13</v>
      </c>
      <c r="Q209" s="38">
        <v>1993</v>
      </c>
      <c r="R209" s="38">
        <v>1</v>
      </c>
      <c r="S209" s="38">
        <v>0</v>
      </c>
      <c r="T209" s="38">
        <v>-1.619E-2</v>
      </c>
      <c r="U209" s="38">
        <v>-5.3969999999999997E-2</v>
      </c>
      <c r="V209" s="38">
        <v>0</v>
      </c>
      <c r="W209" s="38">
        <v>0</v>
      </c>
      <c r="X209" s="38" t="s">
        <v>69</v>
      </c>
      <c r="Y209" s="154"/>
      <c r="AA209" s="38"/>
      <c r="AB209" s="38"/>
      <c r="AC209" s="38"/>
      <c r="AD209" s="38"/>
    </row>
    <row r="210" spans="1:30">
      <c r="A210" s="38">
        <v>5</v>
      </c>
      <c r="B210" s="38">
        <v>4</v>
      </c>
      <c r="C210" s="38">
        <v>16</v>
      </c>
      <c r="D210" s="39">
        <v>2012</v>
      </c>
      <c r="E210" s="39">
        <v>2012</v>
      </c>
      <c r="F210" s="38">
        <v>1</v>
      </c>
      <c r="G210" s="38">
        <v>0</v>
      </c>
      <c r="H210" s="38">
        <v>0</v>
      </c>
      <c r="I210" s="38">
        <v>0</v>
      </c>
      <c r="J210" s="38">
        <v>0</v>
      </c>
      <c r="K210" s="39">
        <v>0.85</v>
      </c>
      <c r="L210" s="39">
        <v>1600</v>
      </c>
      <c r="M210" s="38">
        <v>1400</v>
      </c>
      <c r="N210" s="38">
        <v>0</v>
      </c>
      <c r="O210" s="38">
        <v>0</v>
      </c>
      <c r="P210" s="38" t="s">
        <v>13</v>
      </c>
      <c r="Q210" s="38">
        <v>1993</v>
      </c>
      <c r="R210" s="38">
        <v>1</v>
      </c>
      <c r="S210" s="38">
        <v>0</v>
      </c>
      <c r="T210" s="38">
        <v>-1.619E-2</v>
      </c>
      <c r="U210" s="38">
        <v>-5.3969999999999997E-2</v>
      </c>
      <c r="V210" s="38">
        <v>0</v>
      </c>
      <c r="W210" s="38">
        <v>0</v>
      </c>
      <c r="X210" s="38" t="s">
        <v>69</v>
      </c>
      <c r="Y210" s="154"/>
      <c r="AA210" s="38"/>
      <c r="AB210" s="38"/>
      <c r="AC210" s="38"/>
      <c r="AD210" s="38"/>
    </row>
    <row r="211" spans="1:30">
      <c r="A211" s="38">
        <v>5</v>
      </c>
      <c r="B211" s="38">
        <v>4</v>
      </c>
      <c r="C211" s="38">
        <v>16</v>
      </c>
      <c r="D211" s="39">
        <v>2013</v>
      </c>
      <c r="E211" s="39">
        <v>2013</v>
      </c>
      <c r="F211" s="38">
        <v>1</v>
      </c>
      <c r="G211" s="38">
        <v>0</v>
      </c>
      <c r="H211" s="38">
        <v>0</v>
      </c>
      <c r="I211" s="38">
        <v>0</v>
      </c>
      <c r="J211" s="38">
        <v>0</v>
      </c>
      <c r="K211" s="39">
        <v>0.85</v>
      </c>
      <c r="L211" s="39">
        <v>1600</v>
      </c>
      <c r="M211" s="38">
        <v>1400</v>
      </c>
      <c r="N211" s="38">
        <v>300</v>
      </c>
      <c r="O211" s="38">
        <v>300</v>
      </c>
      <c r="P211" s="38" t="s">
        <v>13</v>
      </c>
      <c r="Q211" s="38">
        <v>1993</v>
      </c>
      <c r="R211" s="38">
        <v>1</v>
      </c>
      <c r="S211" s="38">
        <v>0</v>
      </c>
      <c r="T211" s="38">
        <v>-1.619E-2</v>
      </c>
      <c r="U211" s="38">
        <v>-5.3969999999999997E-2</v>
      </c>
      <c r="V211" s="38">
        <v>0</v>
      </c>
      <c r="W211" s="38">
        <v>0</v>
      </c>
      <c r="X211" s="38" t="s">
        <v>69</v>
      </c>
      <c r="Y211" s="154">
        <v>2010</v>
      </c>
      <c r="AA211" s="38"/>
      <c r="AB211" s="38"/>
      <c r="AC211" s="38"/>
      <c r="AD211" s="38"/>
    </row>
    <row r="212" spans="1:30">
      <c r="A212" s="38">
        <v>5</v>
      </c>
      <c r="B212" s="38">
        <v>4</v>
      </c>
      <c r="C212" s="38">
        <v>16</v>
      </c>
      <c r="D212" s="39">
        <v>2014</v>
      </c>
      <c r="E212" s="39">
        <v>2019</v>
      </c>
      <c r="F212" s="38">
        <v>1</v>
      </c>
      <c r="G212" s="38">
        <v>0</v>
      </c>
      <c r="H212" s="38">
        <v>0</v>
      </c>
      <c r="I212" s="38">
        <v>0</v>
      </c>
      <c r="J212" s="38">
        <v>0</v>
      </c>
      <c r="K212" s="39">
        <v>0.85</v>
      </c>
      <c r="L212" s="39">
        <v>1600</v>
      </c>
      <c r="M212" s="38">
        <v>1400</v>
      </c>
      <c r="N212" s="38">
        <v>0</v>
      </c>
      <c r="O212" s="38">
        <v>0</v>
      </c>
      <c r="P212" s="38" t="s">
        <v>13</v>
      </c>
      <c r="Q212" s="38">
        <v>1993</v>
      </c>
      <c r="R212" s="38">
        <v>1</v>
      </c>
      <c r="S212" s="38">
        <v>0</v>
      </c>
      <c r="T212" s="38">
        <v>-1.619E-2</v>
      </c>
      <c r="U212" s="38">
        <v>-5.3969999999999997E-2</v>
      </c>
      <c r="V212" s="38">
        <v>0</v>
      </c>
      <c r="W212" s="38">
        <v>0</v>
      </c>
      <c r="X212" s="38" t="s">
        <v>69</v>
      </c>
      <c r="Y212" s="154"/>
      <c r="AA212" s="38"/>
      <c r="AB212" s="38"/>
      <c r="AC212" s="38"/>
      <c r="AD212" s="38"/>
    </row>
    <row r="213" spans="1:30">
      <c r="A213" s="38">
        <v>5</v>
      </c>
      <c r="B213" s="38">
        <v>4</v>
      </c>
      <c r="C213" s="38">
        <v>16</v>
      </c>
      <c r="D213" s="39">
        <v>2020</v>
      </c>
      <c r="E213" s="39">
        <v>2050</v>
      </c>
      <c r="F213" s="38">
        <v>1</v>
      </c>
      <c r="G213" s="38">
        <v>0</v>
      </c>
      <c r="H213" s="38">
        <v>0</v>
      </c>
      <c r="I213" s="38">
        <v>0</v>
      </c>
      <c r="J213" s="38">
        <v>0</v>
      </c>
      <c r="K213" s="39">
        <v>0.85</v>
      </c>
      <c r="L213" s="39">
        <v>2150</v>
      </c>
      <c r="M213" s="38">
        <v>1950</v>
      </c>
      <c r="N213" s="38">
        <v>0</v>
      </c>
      <c r="O213" s="38">
        <v>0</v>
      </c>
      <c r="P213" s="38" t="s">
        <v>13</v>
      </c>
      <c r="Q213" s="38">
        <v>1993</v>
      </c>
      <c r="R213" s="38">
        <v>1</v>
      </c>
      <c r="S213" s="38">
        <v>0</v>
      </c>
      <c r="T213" s="38">
        <v>-1.619E-2</v>
      </c>
      <c r="U213" s="38">
        <v>-5.3969999999999997E-2</v>
      </c>
      <c r="V213" s="38">
        <v>0</v>
      </c>
      <c r="W213" s="38">
        <v>0</v>
      </c>
      <c r="X213" s="38" t="s">
        <v>69</v>
      </c>
      <c r="Y213" s="154">
        <v>2020</v>
      </c>
      <c r="AA213" s="38"/>
      <c r="AB213" s="38"/>
      <c r="AC213" s="38"/>
      <c r="AD213" s="38"/>
    </row>
    <row r="214" spans="1:30">
      <c r="A214" s="38">
        <v>5</v>
      </c>
      <c r="B214" s="38">
        <v>5</v>
      </c>
      <c r="C214" s="38">
        <v>17</v>
      </c>
      <c r="D214" s="39">
        <v>2010</v>
      </c>
      <c r="E214" s="39">
        <v>2016</v>
      </c>
      <c r="F214" s="38">
        <v>1</v>
      </c>
      <c r="G214" s="38">
        <v>0</v>
      </c>
      <c r="H214" s="38">
        <v>0</v>
      </c>
      <c r="I214" s="38">
        <v>0</v>
      </c>
      <c r="J214" s="38">
        <v>0</v>
      </c>
      <c r="K214" s="39">
        <v>1</v>
      </c>
      <c r="L214" s="39">
        <v>7840</v>
      </c>
      <c r="M214" s="38">
        <v>6214</v>
      </c>
      <c r="N214" s="38">
        <v>2352</v>
      </c>
      <c r="O214" s="38">
        <v>1864</v>
      </c>
      <c r="P214" s="38" t="s">
        <v>13</v>
      </c>
      <c r="Q214" s="38">
        <v>1993</v>
      </c>
      <c r="R214" s="38">
        <v>1</v>
      </c>
      <c r="S214" s="38">
        <v>0</v>
      </c>
      <c r="T214" s="38">
        <v>-1.619E-2</v>
      </c>
      <c r="U214" s="38">
        <v>-5.3969999999999997E-2</v>
      </c>
      <c r="V214" s="38">
        <v>0</v>
      </c>
      <c r="W214" s="38">
        <v>0</v>
      </c>
      <c r="X214" s="38" t="s">
        <v>70</v>
      </c>
      <c r="Y214" s="154">
        <v>2010</v>
      </c>
      <c r="AA214" s="38"/>
      <c r="AB214" s="38"/>
      <c r="AC214" s="38"/>
      <c r="AD214" s="38"/>
    </row>
    <row r="215" spans="1:30">
      <c r="A215" s="38">
        <v>5</v>
      </c>
      <c r="B215" s="38">
        <v>5</v>
      </c>
      <c r="C215" s="38">
        <v>17</v>
      </c>
      <c r="D215" s="39">
        <v>2017</v>
      </c>
      <c r="E215" s="39">
        <v>2019</v>
      </c>
      <c r="F215" s="38">
        <v>1</v>
      </c>
      <c r="G215" s="38">
        <v>0</v>
      </c>
      <c r="H215" s="38">
        <v>0</v>
      </c>
      <c r="I215" s="38">
        <v>0</v>
      </c>
      <c r="J215" s="38">
        <v>0</v>
      </c>
      <c r="K215" s="39">
        <v>1</v>
      </c>
      <c r="L215" s="39">
        <v>7840</v>
      </c>
      <c r="M215" s="38">
        <v>6214</v>
      </c>
      <c r="N215" s="38">
        <v>0</v>
      </c>
      <c r="O215" s="38">
        <v>0</v>
      </c>
      <c r="P215" s="38" t="s">
        <v>13</v>
      </c>
      <c r="Q215" s="38">
        <v>1993</v>
      </c>
      <c r="R215" s="38">
        <v>1</v>
      </c>
      <c r="S215" s="38">
        <v>0</v>
      </c>
      <c r="T215" s="38">
        <v>-1.619E-2</v>
      </c>
      <c r="U215" s="38">
        <v>-5.3969999999999997E-2</v>
      </c>
      <c r="V215" s="38">
        <v>0</v>
      </c>
      <c r="W215" s="38">
        <v>0</v>
      </c>
      <c r="X215" s="38" t="s">
        <v>70</v>
      </c>
      <c r="Y215" s="154"/>
      <c r="AA215" s="38"/>
      <c r="AB215" s="38"/>
      <c r="AC215" s="38"/>
      <c r="AD215" s="38"/>
    </row>
    <row r="216" spans="1:30">
      <c r="A216" s="38">
        <v>5</v>
      </c>
      <c r="B216" s="38">
        <v>5</v>
      </c>
      <c r="C216" s="38">
        <v>17</v>
      </c>
      <c r="D216" s="39">
        <v>2020</v>
      </c>
      <c r="E216" s="39">
        <v>2029</v>
      </c>
      <c r="F216" s="38">
        <v>1</v>
      </c>
      <c r="G216" s="38">
        <v>0</v>
      </c>
      <c r="H216" s="38">
        <v>0</v>
      </c>
      <c r="I216" s="38">
        <v>0</v>
      </c>
      <c r="J216" s="38">
        <v>0</v>
      </c>
      <c r="K216" s="39">
        <v>1</v>
      </c>
      <c r="L216" s="39">
        <v>7520</v>
      </c>
      <c r="M216" s="38">
        <v>5882</v>
      </c>
      <c r="N216" s="38">
        <v>0</v>
      </c>
      <c r="O216" s="38">
        <v>0</v>
      </c>
      <c r="P216" s="38" t="s">
        <v>13</v>
      </c>
      <c r="Q216" s="38">
        <v>1993</v>
      </c>
      <c r="R216" s="38">
        <v>1</v>
      </c>
      <c r="S216" s="38">
        <v>0</v>
      </c>
      <c r="T216" s="38">
        <v>-1.619E-2</v>
      </c>
      <c r="U216" s="38">
        <v>-5.3969999999999997E-2</v>
      </c>
      <c r="V216" s="38">
        <v>0</v>
      </c>
      <c r="W216" s="38">
        <v>0</v>
      </c>
      <c r="X216" s="38" t="s">
        <v>70</v>
      </c>
      <c r="Y216" s="154">
        <v>2020</v>
      </c>
      <c r="AA216" s="38"/>
      <c r="AB216" s="38"/>
      <c r="AC216" s="38"/>
      <c r="AD216" s="38"/>
    </row>
    <row r="217" spans="1:30">
      <c r="A217" s="38">
        <v>5</v>
      </c>
      <c r="B217" s="38">
        <v>5</v>
      </c>
      <c r="C217" s="38">
        <v>17</v>
      </c>
      <c r="D217" s="39">
        <v>2030</v>
      </c>
      <c r="E217" s="39">
        <v>2050</v>
      </c>
      <c r="F217" s="38">
        <v>1</v>
      </c>
      <c r="G217" s="38">
        <v>0</v>
      </c>
      <c r="H217" s="38">
        <v>0</v>
      </c>
      <c r="I217" s="38">
        <v>0</v>
      </c>
      <c r="J217" s="38">
        <v>0</v>
      </c>
      <c r="K217" s="39">
        <v>1</v>
      </c>
      <c r="L217" s="39">
        <v>7100</v>
      </c>
      <c r="M217" s="38">
        <v>5450</v>
      </c>
      <c r="N217" s="38">
        <v>0</v>
      </c>
      <c r="O217" s="38">
        <v>0</v>
      </c>
      <c r="P217" s="38" t="s">
        <v>13</v>
      </c>
      <c r="Q217" s="38">
        <v>1993</v>
      </c>
      <c r="R217" s="38">
        <v>1</v>
      </c>
      <c r="S217" s="38">
        <v>0</v>
      </c>
      <c r="T217" s="38">
        <v>-1.619E-2</v>
      </c>
      <c r="U217" s="38">
        <v>-5.3969999999999997E-2</v>
      </c>
      <c r="V217" s="38">
        <v>0</v>
      </c>
      <c r="W217" s="38">
        <v>0</v>
      </c>
      <c r="X217" s="38" t="s">
        <v>70</v>
      </c>
      <c r="Y217" s="154">
        <v>2030</v>
      </c>
      <c r="AA217" s="38"/>
      <c r="AB217" s="38"/>
      <c r="AC217" s="38"/>
      <c r="AD217" s="38"/>
    </row>
    <row r="218" spans="1:30">
      <c r="A218" s="38"/>
      <c r="B218" s="38"/>
      <c r="C218" s="38"/>
      <c r="D218" s="39"/>
      <c r="E218" s="39"/>
      <c r="F218" s="38"/>
      <c r="G218" s="38"/>
      <c r="H218" s="38"/>
      <c r="I218" s="38"/>
      <c r="J218" s="38"/>
      <c r="K218" s="39"/>
      <c r="L218" s="39"/>
      <c r="M218" s="38"/>
      <c r="N218" s="38"/>
      <c r="O218" s="38"/>
      <c r="P218" s="38"/>
      <c r="Q218" s="38"/>
      <c r="R218" s="38"/>
      <c r="S218" s="38"/>
      <c r="T218" s="38"/>
      <c r="U218" s="38"/>
      <c r="V218" s="38"/>
      <c r="W218" s="38"/>
      <c r="X218" s="38"/>
      <c r="Y218" s="154"/>
      <c r="AA218" s="38"/>
      <c r="AB218" s="38"/>
      <c r="AC218" s="38"/>
      <c r="AD218" s="38"/>
    </row>
    <row r="219" spans="1:30">
      <c r="A219" s="38"/>
      <c r="B219" s="38"/>
      <c r="C219" s="38"/>
      <c r="D219" s="39"/>
      <c r="E219" s="39"/>
      <c r="F219" s="38"/>
      <c r="G219" s="38"/>
      <c r="H219" s="38"/>
      <c r="I219" s="38"/>
      <c r="J219" s="38"/>
      <c r="K219" s="39"/>
      <c r="L219" s="39"/>
      <c r="M219" s="38"/>
      <c r="N219" s="38"/>
      <c r="O219" s="38"/>
      <c r="P219" s="38"/>
      <c r="Q219" s="38"/>
      <c r="R219" s="38"/>
      <c r="S219" s="38"/>
      <c r="T219" s="38"/>
      <c r="U219" s="38"/>
      <c r="V219" s="38"/>
      <c r="W219" s="38"/>
      <c r="X219" s="38"/>
      <c r="Y219" s="154"/>
      <c r="AA219" s="38"/>
      <c r="AB219" s="38"/>
      <c r="AC219" s="38"/>
      <c r="AD219" s="38"/>
    </row>
    <row r="220" spans="1:30">
      <c r="A220" s="38"/>
      <c r="B220" s="38"/>
      <c r="C220" s="38"/>
      <c r="D220" s="39"/>
      <c r="E220" s="39"/>
      <c r="F220" s="38"/>
      <c r="G220" s="38"/>
      <c r="H220" s="38"/>
      <c r="I220" s="38"/>
      <c r="J220" s="38"/>
      <c r="K220" s="39"/>
      <c r="L220" s="39"/>
      <c r="M220" s="38"/>
      <c r="N220" s="38"/>
      <c r="O220" s="38"/>
      <c r="P220" s="38"/>
      <c r="Q220" s="38"/>
      <c r="R220" s="38"/>
      <c r="S220" s="38"/>
      <c r="T220" s="38"/>
      <c r="U220" s="38"/>
      <c r="V220" s="38"/>
      <c r="W220" s="38"/>
      <c r="X220" s="38"/>
      <c r="Y220" s="154"/>
      <c r="AA220" s="38"/>
      <c r="AB220" s="38"/>
      <c r="AC220" s="38"/>
      <c r="AD220" s="38"/>
    </row>
    <row r="221" spans="1:30">
      <c r="A221" s="38">
        <v>8</v>
      </c>
      <c r="B221" s="38">
        <v>1</v>
      </c>
      <c r="C221" s="38">
        <v>1</v>
      </c>
      <c r="D221" s="39">
        <v>2010</v>
      </c>
      <c r="E221" s="39">
        <v>2013</v>
      </c>
      <c r="F221" s="38">
        <v>1</v>
      </c>
      <c r="G221" s="38">
        <v>0</v>
      </c>
      <c r="H221" s="38">
        <v>0</v>
      </c>
      <c r="I221" s="38">
        <v>0</v>
      </c>
      <c r="J221" s="38">
        <v>0</v>
      </c>
      <c r="K221" s="39">
        <v>511</v>
      </c>
      <c r="L221" s="39">
        <v>500</v>
      </c>
      <c r="M221" s="38">
        <v>450</v>
      </c>
      <c r="N221" s="38">
        <v>0</v>
      </c>
      <c r="O221" s="38">
        <v>0</v>
      </c>
      <c r="P221" s="38" t="s">
        <v>13</v>
      </c>
      <c r="Q221" s="38">
        <v>1993</v>
      </c>
      <c r="R221" s="38">
        <v>1</v>
      </c>
      <c r="S221" s="38">
        <v>0</v>
      </c>
      <c r="T221" s="38">
        <v>-1.21E-2</v>
      </c>
      <c r="U221" s="38">
        <v>-0.1207</v>
      </c>
      <c r="V221" s="38">
        <v>0</v>
      </c>
      <c r="W221" s="38">
        <v>0</v>
      </c>
      <c r="X221" s="38" t="s">
        <v>922</v>
      </c>
      <c r="Y221" s="154">
        <v>2010</v>
      </c>
      <c r="AA221" s="38"/>
      <c r="AB221" s="38"/>
      <c r="AC221" s="38"/>
      <c r="AD221" s="38"/>
    </row>
    <row r="222" spans="1:30">
      <c r="A222" s="38">
        <v>8</v>
      </c>
      <c r="B222" s="38">
        <v>1</v>
      </c>
      <c r="C222" s="38">
        <v>1</v>
      </c>
      <c r="D222" s="39">
        <v>2014</v>
      </c>
      <c r="E222" s="39">
        <v>2050</v>
      </c>
      <c r="F222" s="38">
        <v>1</v>
      </c>
      <c r="G222" s="38">
        <v>0</v>
      </c>
      <c r="H222" s="38">
        <v>0</v>
      </c>
      <c r="I222" s="38">
        <v>0</v>
      </c>
      <c r="J222" s="38">
        <v>0</v>
      </c>
      <c r="K222" s="39">
        <v>408</v>
      </c>
      <c r="L222" s="39">
        <v>525</v>
      </c>
      <c r="M222" s="38">
        <v>475</v>
      </c>
      <c r="N222" s="38">
        <v>0</v>
      </c>
      <c r="O222" s="38">
        <v>0</v>
      </c>
      <c r="P222" s="38" t="s">
        <v>13</v>
      </c>
      <c r="Q222" s="38">
        <v>1993</v>
      </c>
      <c r="R222" s="38">
        <v>1</v>
      </c>
      <c r="S222" s="38">
        <v>0</v>
      </c>
      <c r="T222" s="38">
        <v>-1.21E-2</v>
      </c>
      <c r="U222" s="38">
        <v>-0.1207</v>
      </c>
      <c r="V222" s="38">
        <v>0</v>
      </c>
      <c r="W222" s="38">
        <v>0</v>
      </c>
      <c r="X222" s="38" t="s">
        <v>922</v>
      </c>
      <c r="Y222" s="154">
        <v>2015</v>
      </c>
      <c r="AA222" s="38"/>
      <c r="AB222" s="38"/>
      <c r="AC222" s="38"/>
      <c r="AD222" s="38"/>
    </row>
    <row r="223" spans="1:30">
      <c r="A223" s="38">
        <v>8</v>
      </c>
      <c r="B223" s="38">
        <v>1</v>
      </c>
      <c r="C223" s="38">
        <v>2</v>
      </c>
      <c r="D223" s="39">
        <v>2010</v>
      </c>
      <c r="E223" s="39">
        <v>2010</v>
      </c>
      <c r="F223" s="38">
        <v>1</v>
      </c>
      <c r="G223" s="38">
        <v>0</v>
      </c>
      <c r="H223" s="38">
        <v>0</v>
      </c>
      <c r="I223" s="38">
        <v>0</v>
      </c>
      <c r="J223" s="38">
        <v>0</v>
      </c>
      <c r="K223" s="39">
        <v>408</v>
      </c>
      <c r="L223" s="39">
        <v>575</v>
      </c>
      <c r="M223" s="38">
        <v>525</v>
      </c>
      <c r="N223" s="38">
        <v>100</v>
      </c>
      <c r="O223" s="38">
        <v>100</v>
      </c>
      <c r="P223" s="38" t="s">
        <v>13</v>
      </c>
      <c r="Q223" s="38">
        <v>1993</v>
      </c>
      <c r="R223" s="38">
        <v>1</v>
      </c>
      <c r="S223" s="38">
        <v>0</v>
      </c>
      <c r="T223" s="38">
        <v>-1.21E-2</v>
      </c>
      <c r="U223" s="38">
        <v>-0.1207</v>
      </c>
      <c r="V223" s="38">
        <v>0</v>
      </c>
      <c r="W223" s="38">
        <v>0</v>
      </c>
      <c r="X223" s="38" t="s">
        <v>923</v>
      </c>
      <c r="Y223" s="154"/>
      <c r="AA223" s="38"/>
      <c r="AB223" s="38"/>
      <c r="AC223" s="38"/>
      <c r="AD223" s="38"/>
    </row>
    <row r="224" spans="1:30">
      <c r="A224" s="38">
        <v>8</v>
      </c>
      <c r="B224" s="38">
        <v>1</v>
      </c>
      <c r="C224" s="38">
        <v>2</v>
      </c>
      <c r="D224" s="39">
        <v>2011</v>
      </c>
      <c r="E224" s="39">
        <v>2013</v>
      </c>
      <c r="F224" s="38">
        <v>1</v>
      </c>
      <c r="G224" s="38">
        <v>0</v>
      </c>
      <c r="H224" s="38">
        <v>0</v>
      </c>
      <c r="I224" s="38">
        <v>0</v>
      </c>
      <c r="J224" s="38">
        <v>0</v>
      </c>
      <c r="K224" s="39">
        <v>408</v>
      </c>
      <c r="L224" s="39">
        <v>575</v>
      </c>
      <c r="M224" s="38">
        <v>525</v>
      </c>
      <c r="N224" s="38">
        <v>0</v>
      </c>
      <c r="O224" s="38">
        <v>0</v>
      </c>
      <c r="P224" s="38" t="s">
        <v>13</v>
      </c>
      <c r="Q224" s="38">
        <v>1993</v>
      </c>
      <c r="R224" s="38">
        <v>1</v>
      </c>
      <c r="S224" s="38">
        <v>0</v>
      </c>
      <c r="T224" s="38">
        <v>-1.21E-2</v>
      </c>
      <c r="U224" s="38">
        <v>-0.1207</v>
      </c>
      <c r="V224" s="38">
        <v>0</v>
      </c>
      <c r="W224" s="38">
        <v>0</v>
      </c>
      <c r="X224" s="38" t="s">
        <v>923</v>
      </c>
      <c r="Y224" s="154">
        <v>2010</v>
      </c>
      <c r="AA224" s="38"/>
      <c r="AB224" s="38"/>
      <c r="AC224" s="38"/>
      <c r="AD224" s="38"/>
    </row>
    <row r="225" spans="1:30">
      <c r="A225" s="38">
        <v>8</v>
      </c>
      <c r="B225" s="38">
        <v>1</v>
      </c>
      <c r="C225" s="38">
        <v>2</v>
      </c>
      <c r="D225" s="39">
        <v>2014</v>
      </c>
      <c r="E225" s="39">
        <v>2050</v>
      </c>
      <c r="F225" s="38">
        <v>1</v>
      </c>
      <c r="G225" s="38">
        <v>0</v>
      </c>
      <c r="H225" s="38">
        <v>0</v>
      </c>
      <c r="I225" s="38">
        <v>0</v>
      </c>
      <c r="J225" s="38">
        <v>0</v>
      </c>
      <c r="K225" s="39">
        <v>342</v>
      </c>
      <c r="L225" s="39">
        <v>600</v>
      </c>
      <c r="M225" s="38">
        <v>550</v>
      </c>
      <c r="N225" s="38">
        <v>0</v>
      </c>
      <c r="O225" s="38">
        <v>0</v>
      </c>
      <c r="P225" s="38" t="s">
        <v>13</v>
      </c>
      <c r="Q225" s="38">
        <v>1993</v>
      </c>
      <c r="R225" s="38">
        <v>1</v>
      </c>
      <c r="S225" s="38">
        <v>0</v>
      </c>
      <c r="T225" s="38">
        <v>-1.21E-2</v>
      </c>
      <c r="U225" s="38">
        <v>-0.1207</v>
      </c>
      <c r="V225" s="38">
        <v>0</v>
      </c>
      <c r="W225" s="38">
        <v>0</v>
      </c>
      <c r="X225" s="38" t="s">
        <v>923</v>
      </c>
      <c r="Y225" s="154">
        <v>2015</v>
      </c>
      <c r="AA225" s="38"/>
      <c r="AB225" s="38"/>
      <c r="AC225" s="38"/>
      <c r="AD225" s="38"/>
    </row>
    <row r="226" spans="1:30">
      <c r="A226" s="38">
        <v>8</v>
      </c>
      <c r="B226" s="38">
        <v>1</v>
      </c>
      <c r="C226" s="38">
        <v>3</v>
      </c>
      <c r="D226" s="39">
        <v>2010</v>
      </c>
      <c r="E226" s="39">
        <v>2010</v>
      </c>
      <c r="F226" s="38">
        <v>1</v>
      </c>
      <c r="G226" s="38">
        <v>0</v>
      </c>
      <c r="H226" s="38">
        <v>0</v>
      </c>
      <c r="I226" s="38">
        <v>0</v>
      </c>
      <c r="J226" s="38">
        <v>0</v>
      </c>
      <c r="K226" s="39">
        <v>342</v>
      </c>
      <c r="L226" s="39">
        <v>1050</v>
      </c>
      <c r="M226" s="38">
        <v>1000</v>
      </c>
      <c r="N226" s="38">
        <v>200</v>
      </c>
      <c r="O226" s="38">
        <v>200</v>
      </c>
      <c r="P226" s="38" t="s">
        <v>13</v>
      </c>
      <c r="Q226" s="38">
        <v>1993</v>
      </c>
      <c r="R226" s="38">
        <v>1</v>
      </c>
      <c r="S226" s="38">
        <v>0</v>
      </c>
      <c r="T226" s="38">
        <v>-1.21E-2</v>
      </c>
      <c r="U226" s="38">
        <v>-0.1207</v>
      </c>
      <c r="V226" s="38">
        <v>0</v>
      </c>
      <c r="W226" s="38">
        <v>0</v>
      </c>
      <c r="X226" s="38" t="s">
        <v>924</v>
      </c>
      <c r="Y226" s="154"/>
      <c r="AA226" s="38"/>
      <c r="AB226" s="38"/>
      <c r="AC226" s="38"/>
      <c r="AD226" s="38"/>
    </row>
    <row r="227" spans="1:30">
      <c r="A227" s="38">
        <v>8</v>
      </c>
      <c r="B227" s="38">
        <v>1</v>
      </c>
      <c r="C227" s="38">
        <v>3</v>
      </c>
      <c r="D227" s="39">
        <v>2011</v>
      </c>
      <c r="E227" s="39">
        <v>2011</v>
      </c>
      <c r="F227" s="38">
        <v>1</v>
      </c>
      <c r="G227" s="38">
        <v>0</v>
      </c>
      <c r="H227" s="38">
        <v>0</v>
      </c>
      <c r="I227" s="38">
        <v>0</v>
      </c>
      <c r="J227" s="38">
        <v>0</v>
      </c>
      <c r="K227" s="39">
        <v>342</v>
      </c>
      <c r="L227" s="39">
        <v>1050</v>
      </c>
      <c r="M227" s="38">
        <v>1000</v>
      </c>
      <c r="N227" s="38">
        <v>150</v>
      </c>
      <c r="O227" s="38">
        <v>150</v>
      </c>
      <c r="P227" s="38" t="s">
        <v>13</v>
      </c>
      <c r="Q227" s="38">
        <v>1993</v>
      </c>
      <c r="R227" s="38">
        <v>1</v>
      </c>
      <c r="S227" s="38">
        <v>0</v>
      </c>
      <c r="T227" s="38">
        <v>-1.21E-2</v>
      </c>
      <c r="U227" s="38">
        <v>-0.1207</v>
      </c>
      <c r="V227" s="38">
        <v>0</v>
      </c>
      <c r="W227" s="38">
        <v>0</v>
      </c>
      <c r="X227" s="38" t="s">
        <v>924</v>
      </c>
      <c r="Y227" s="154"/>
      <c r="AA227" s="38"/>
      <c r="AB227" s="38"/>
      <c r="AC227" s="38"/>
      <c r="AD227" s="38"/>
    </row>
    <row r="228" spans="1:30">
      <c r="A228" s="38">
        <v>8</v>
      </c>
      <c r="B228" s="38">
        <v>1</v>
      </c>
      <c r="C228" s="38">
        <v>3</v>
      </c>
      <c r="D228" s="39">
        <v>2012</v>
      </c>
      <c r="E228" s="39">
        <v>2012</v>
      </c>
      <c r="F228" s="38">
        <v>1</v>
      </c>
      <c r="G228" s="38">
        <v>0</v>
      </c>
      <c r="H228" s="38">
        <v>0</v>
      </c>
      <c r="I228" s="38">
        <v>0</v>
      </c>
      <c r="J228" s="38">
        <v>0</v>
      </c>
      <c r="K228" s="39">
        <v>342</v>
      </c>
      <c r="L228" s="39">
        <v>1050</v>
      </c>
      <c r="M228" s="38">
        <v>1000</v>
      </c>
      <c r="N228" s="38">
        <v>0</v>
      </c>
      <c r="O228" s="38">
        <v>0</v>
      </c>
      <c r="P228" s="38" t="s">
        <v>13</v>
      </c>
      <c r="Q228" s="38">
        <v>1993</v>
      </c>
      <c r="R228" s="38">
        <v>1</v>
      </c>
      <c r="S228" s="38">
        <v>0</v>
      </c>
      <c r="T228" s="38">
        <v>-1.21E-2</v>
      </c>
      <c r="U228" s="38">
        <v>-0.1207</v>
      </c>
      <c r="V228" s="38">
        <v>0</v>
      </c>
      <c r="W228" s="38">
        <v>0</v>
      </c>
      <c r="X228" s="38" t="s">
        <v>924</v>
      </c>
      <c r="Y228" s="154"/>
      <c r="AA228" s="38"/>
      <c r="AB228" s="38"/>
      <c r="AC228" s="38"/>
      <c r="AD228" s="38"/>
    </row>
    <row r="229" spans="1:30">
      <c r="A229" s="38">
        <v>8</v>
      </c>
      <c r="B229" s="38">
        <v>1</v>
      </c>
      <c r="C229" s="38">
        <v>3</v>
      </c>
      <c r="D229" s="39">
        <v>2013</v>
      </c>
      <c r="E229" s="39">
        <v>2013</v>
      </c>
      <c r="F229" s="38">
        <v>1</v>
      </c>
      <c r="G229" s="38">
        <v>0</v>
      </c>
      <c r="H229" s="38">
        <v>0</v>
      </c>
      <c r="I229" s="38">
        <v>0</v>
      </c>
      <c r="J229" s="38">
        <v>0</v>
      </c>
      <c r="K229" s="39">
        <v>342</v>
      </c>
      <c r="L229" s="39">
        <v>1050</v>
      </c>
      <c r="M229" s="38">
        <v>1000</v>
      </c>
      <c r="N229" s="38">
        <v>150</v>
      </c>
      <c r="O229" s="38">
        <v>150</v>
      </c>
      <c r="P229" s="38" t="s">
        <v>13</v>
      </c>
      <c r="Q229" s="38">
        <v>1993</v>
      </c>
      <c r="R229" s="38">
        <v>1</v>
      </c>
      <c r="S229" s="38">
        <v>0</v>
      </c>
      <c r="T229" s="38">
        <v>-1.21E-2</v>
      </c>
      <c r="U229" s="38">
        <v>-0.1207</v>
      </c>
      <c r="V229" s="38">
        <v>0</v>
      </c>
      <c r="W229" s="38">
        <v>0</v>
      </c>
      <c r="X229" s="38" t="s">
        <v>924</v>
      </c>
      <c r="Y229" s="154">
        <v>2010</v>
      </c>
      <c r="AA229" s="38"/>
      <c r="AB229" s="38"/>
      <c r="AC229" s="38"/>
      <c r="AD229" s="38"/>
    </row>
    <row r="230" spans="1:30">
      <c r="A230" s="38">
        <v>8</v>
      </c>
      <c r="B230" s="38">
        <v>1</v>
      </c>
      <c r="C230" s="38">
        <v>3</v>
      </c>
      <c r="D230" s="39">
        <v>2014</v>
      </c>
      <c r="E230" s="39">
        <v>2050</v>
      </c>
      <c r="F230" s="38">
        <v>1</v>
      </c>
      <c r="G230" s="38">
        <v>0</v>
      </c>
      <c r="H230" s="38">
        <v>0</v>
      </c>
      <c r="I230" s="38">
        <v>0</v>
      </c>
      <c r="J230" s="38">
        <v>0</v>
      </c>
      <c r="K230" s="39">
        <v>327</v>
      </c>
      <c r="L230" s="39">
        <v>1250</v>
      </c>
      <c r="M230" s="38">
        <v>1200</v>
      </c>
      <c r="N230" s="38">
        <v>0</v>
      </c>
      <c r="O230" s="38">
        <v>0</v>
      </c>
      <c r="P230" s="38" t="s">
        <v>13</v>
      </c>
      <c r="Q230" s="38">
        <v>1993</v>
      </c>
      <c r="R230" s="38">
        <v>1</v>
      </c>
      <c r="S230" s="38">
        <v>0</v>
      </c>
      <c r="T230" s="38">
        <v>-1.21E-2</v>
      </c>
      <c r="U230" s="38">
        <v>-0.1207</v>
      </c>
      <c r="V230" s="38">
        <v>0</v>
      </c>
      <c r="W230" s="38">
        <v>0</v>
      </c>
      <c r="X230" s="38" t="s">
        <v>924</v>
      </c>
      <c r="Y230" s="154">
        <v>2015</v>
      </c>
      <c r="AA230" s="38"/>
      <c r="AB230" s="38"/>
      <c r="AC230" s="38"/>
      <c r="AD230" s="38"/>
    </row>
    <row r="231" spans="1:30">
      <c r="A231" s="38">
        <v>8</v>
      </c>
      <c r="B231" s="38">
        <v>1</v>
      </c>
      <c r="C231" s="38">
        <v>4</v>
      </c>
      <c r="D231" s="39">
        <v>2010</v>
      </c>
      <c r="E231" s="39">
        <v>2013</v>
      </c>
      <c r="F231" s="38">
        <v>1</v>
      </c>
      <c r="G231" s="38">
        <v>0</v>
      </c>
      <c r="H231" s="38">
        <v>0</v>
      </c>
      <c r="I231" s="38">
        <v>0</v>
      </c>
      <c r="J231" s="38">
        <v>0</v>
      </c>
      <c r="K231" s="39">
        <v>813</v>
      </c>
      <c r="L231" s="39">
        <v>1450</v>
      </c>
      <c r="M231" s="38">
        <v>1400</v>
      </c>
      <c r="N231" s="38">
        <v>0</v>
      </c>
      <c r="O231" s="38">
        <v>0</v>
      </c>
      <c r="P231" s="38" t="s">
        <v>13</v>
      </c>
      <c r="Q231" s="38">
        <v>1993</v>
      </c>
      <c r="R231" s="38">
        <v>1</v>
      </c>
      <c r="S231" s="38">
        <v>0</v>
      </c>
      <c r="T231" s="38">
        <v>-1.21E-2</v>
      </c>
      <c r="U231" s="38">
        <v>-0.1207</v>
      </c>
      <c r="V231" s="38">
        <v>0</v>
      </c>
      <c r="W231" s="38">
        <v>0</v>
      </c>
      <c r="X231" s="38" t="s">
        <v>925</v>
      </c>
      <c r="Y231" s="154">
        <v>2010</v>
      </c>
      <c r="AA231" s="38"/>
      <c r="AB231" s="38"/>
      <c r="AC231" s="38"/>
      <c r="AD231" s="38"/>
    </row>
    <row r="232" spans="1:30">
      <c r="A232" s="38">
        <v>8</v>
      </c>
      <c r="B232" s="38">
        <v>1</v>
      </c>
      <c r="C232" s="38">
        <v>4</v>
      </c>
      <c r="D232" s="39">
        <v>2014</v>
      </c>
      <c r="E232" s="39">
        <v>2050</v>
      </c>
      <c r="F232" s="38">
        <v>1</v>
      </c>
      <c r="G232" s="38">
        <v>0</v>
      </c>
      <c r="H232" s="38">
        <v>0</v>
      </c>
      <c r="I232" s="38">
        <v>0</v>
      </c>
      <c r="J232" s="38">
        <v>0</v>
      </c>
      <c r="K232" s="39">
        <v>716</v>
      </c>
      <c r="L232" s="39">
        <v>1650</v>
      </c>
      <c r="M232" s="38">
        <v>1600</v>
      </c>
      <c r="N232" s="38">
        <v>0</v>
      </c>
      <c r="O232" s="38">
        <v>0</v>
      </c>
      <c r="P232" s="38" t="s">
        <v>13</v>
      </c>
      <c r="Q232" s="38">
        <v>1993</v>
      </c>
      <c r="R232" s="38">
        <v>1</v>
      </c>
      <c r="S232" s="38">
        <v>0</v>
      </c>
      <c r="T232" s="38">
        <v>-1.21E-2</v>
      </c>
      <c r="U232" s="38">
        <v>-0.1207</v>
      </c>
      <c r="V232" s="38">
        <v>0</v>
      </c>
      <c r="W232" s="38">
        <v>0</v>
      </c>
      <c r="X232" s="38" t="s">
        <v>925</v>
      </c>
      <c r="Y232" s="154"/>
      <c r="AA232" s="38"/>
      <c r="AB232" s="38"/>
      <c r="AC232" s="38"/>
      <c r="AD232" s="38"/>
    </row>
    <row r="233" spans="1:30">
      <c r="A233" s="38">
        <v>8</v>
      </c>
      <c r="B233" s="38">
        <v>1</v>
      </c>
      <c r="C233" s="38">
        <v>5</v>
      </c>
      <c r="D233" s="39">
        <v>2010</v>
      </c>
      <c r="E233" s="39">
        <v>2013</v>
      </c>
      <c r="F233" s="38">
        <v>1</v>
      </c>
      <c r="G233" s="38">
        <v>0</v>
      </c>
      <c r="H233" s="38">
        <v>0</v>
      </c>
      <c r="I233" s="38">
        <v>0</v>
      </c>
      <c r="J233" s="38">
        <v>0</v>
      </c>
      <c r="K233" s="39">
        <v>716</v>
      </c>
      <c r="L233" s="39">
        <v>1650</v>
      </c>
      <c r="M233" s="38">
        <v>1600</v>
      </c>
      <c r="N233" s="38">
        <v>0</v>
      </c>
      <c r="O233" s="38">
        <v>0</v>
      </c>
      <c r="P233" s="38" t="s">
        <v>13</v>
      </c>
      <c r="Q233" s="38">
        <v>1993</v>
      </c>
      <c r="R233" s="38">
        <v>1</v>
      </c>
      <c r="S233" s="38">
        <v>0</v>
      </c>
      <c r="T233" s="38">
        <v>-1.21E-2</v>
      </c>
      <c r="U233" s="38">
        <v>-0.1207</v>
      </c>
      <c r="V233" s="38">
        <v>0</v>
      </c>
      <c r="W233" s="38">
        <v>0</v>
      </c>
      <c r="X233" s="38" t="s">
        <v>926</v>
      </c>
      <c r="Y233" s="154">
        <v>2010</v>
      </c>
      <c r="AA233" s="38"/>
      <c r="AB233" s="38"/>
      <c r="AC233" s="38"/>
      <c r="AD233" s="38"/>
    </row>
    <row r="234" spans="1:30">
      <c r="A234" s="38">
        <v>8</v>
      </c>
      <c r="B234" s="38">
        <v>1</v>
      </c>
      <c r="C234" s="38">
        <v>5</v>
      </c>
      <c r="D234" s="39">
        <v>2014</v>
      </c>
      <c r="E234" s="39">
        <v>2050</v>
      </c>
      <c r="F234" s="38">
        <v>1</v>
      </c>
      <c r="G234" s="38">
        <v>0</v>
      </c>
      <c r="H234" s="38">
        <v>0</v>
      </c>
      <c r="I234" s="38">
        <v>0</v>
      </c>
      <c r="J234" s="38">
        <v>0</v>
      </c>
      <c r="K234" s="39">
        <v>645</v>
      </c>
      <c r="L234" s="39">
        <v>1725</v>
      </c>
      <c r="M234" s="38">
        <v>1675</v>
      </c>
      <c r="N234" s="38">
        <v>0</v>
      </c>
      <c r="O234" s="38">
        <v>0</v>
      </c>
      <c r="P234" s="38" t="s">
        <v>13</v>
      </c>
      <c r="Q234" s="38">
        <v>1993</v>
      </c>
      <c r="R234" s="38">
        <v>1</v>
      </c>
      <c r="S234" s="38">
        <v>0</v>
      </c>
      <c r="T234" s="38">
        <v>-1.21E-2</v>
      </c>
      <c r="U234" s="38">
        <v>-0.1207</v>
      </c>
      <c r="V234" s="38">
        <v>0</v>
      </c>
      <c r="W234" s="38">
        <v>0</v>
      </c>
      <c r="X234" s="38" t="s">
        <v>926</v>
      </c>
      <c r="Y234" s="154">
        <v>2015</v>
      </c>
      <c r="AA234" s="38"/>
      <c r="AB234" s="38"/>
      <c r="AC234" s="38"/>
      <c r="AD234" s="38"/>
    </row>
    <row r="235" spans="1:30">
      <c r="A235" s="38">
        <v>8</v>
      </c>
      <c r="B235" s="38">
        <v>1</v>
      </c>
      <c r="C235" s="38">
        <v>6</v>
      </c>
      <c r="D235" s="39">
        <v>2010</v>
      </c>
      <c r="E235" s="39">
        <v>2013</v>
      </c>
      <c r="F235" s="38">
        <v>1</v>
      </c>
      <c r="G235" s="38">
        <v>0</v>
      </c>
      <c r="H235" s="38">
        <v>0</v>
      </c>
      <c r="I235" s="38">
        <v>0</v>
      </c>
      <c r="J235" s="38">
        <v>0</v>
      </c>
      <c r="K235" s="39">
        <v>680</v>
      </c>
      <c r="L235" s="39">
        <v>1450</v>
      </c>
      <c r="M235" s="38">
        <v>1400</v>
      </c>
      <c r="N235" s="38">
        <v>0</v>
      </c>
      <c r="O235" s="38">
        <v>0</v>
      </c>
      <c r="P235" s="38" t="s">
        <v>13</v>
      </c>
      <c r="Q235" s="38">
        <v>1993</v>
      </c>
      <c r="R235" s="38">
        <v>1</v>
      </c>
      <c r="S235" s="38">
        <v>0</v>
      </c>
      <c r="T235" s="38">
        <v>-1.21E-2</v>
      </c>
      <c r="U235" s="38">
        <v>-0.1207</v>
      </c>
      <c r="V235" s="38">
        <v>0</v>
      </c>
      <c r="W235" s="38">
        <v>0</v>
      </c>
      <c r="X235" s="38" t="s">
        <v>927</v>
      </c>
      <c r="Y235" s="154">
        <v>2010</v>
      </c>
      <c r="AA235" s="38"/>
      <c r="AB235" s="38"/>
      <c r="AC235" s="38"/>
      <c r="AD235" s="38"/>
    </row>
    <row r="236" spans="1:30">
      <c r="A236" s="38">
        <v>8</v>
      </c>
      <c r="B236" s="38">
        <v>1</v>
      </c>
      <c r="C236" s="38">
        <v>6</v>
      </c>
      <c r="D236" s="39">
        <v>2014</v>
      </c>
      <c r="E236" s="39">
        <v>2050</v>
      </c>
      <c r="F236" s="38">
        <v>1</v>
      </c>
      <c r="G236" s="38">
        <v>0</v>
      </c>
      <c r="H236" s="38">
        <v>0</v>
      </c>
      <c r="I236" s="38">
        <v>0</v>
      </c>
      <c r="J236" s="38">
        <v>0</v>
      </c>
      <c r="K236" s="39">
        <v>672</v>
      </c>
      <c r="L236" s="39">
        <v>1850</v>
      </c>
      <c r="M236" s="38">
        <v>1800</v>
      </c>
      <c r="N236" s="38">
        <v>0</v>
      </c>
      <c r="O236" s="38">
        <v>0</v>
      </c>
      <c r="P236" s="38" t="s">
        <v>13</v>
      </c>
      <c r="Q236" s="38">
        <v>1993</v>
      </c>
      <c r="R236" s="38">
        <v>1</v>
      </c>
      <c r="S236" s="38">
        <v>0</v>
      </c>
      <c r="T236" s="38">
        <v>-1.21E-2</v>
      </c>
      <c r="U236" s="38">
        <v>-0.1207</v>
      </c>
      <c r="V236" s="38">
        <v>0</v>
      </c>
      <c r="W236" s="38">
        <v>0</v>
      </c>
      <c r="X236" s="38" t="s">
        <v>927</v>
      </c>
      <c r="Y236" s="154"/>
      <c r="AA236" s="38"/>
      <c r="AB236" s="38"/>
      <c r="AC236" s="38"/>
      <c r="AD236" s="38"/>
    </row>
    <row r="237" spans="1:30">
      <c r="A237" s="38">
        <v>8</v>
      </c>
      <c r="B237" s="38">
        <v>1</v>
      </c>
      <c r="C237" s="38">
        <v>7</v>
      </c>
      <c r="D237" s="39">
        <v>2010</v>
      </c>
      <c r="E237" s="39">
        <v>2013</v>
      </c>
      <c r="F237" s="38">
        <v>1</v>
      </c>
      <c r="G237" s="38">
        <v>0</v>
      </c>
      <c r="H237" s="38">
        <v>0</v>
      </c>
      <c r="I237" s="38">
        <v>0</v>
      </c>
      <c r="J237" s="38">
        <v>0</v>
      </c>
      <c r="K237" s="39">
        <v>672</v>
      </c>
      <c r="L237" s="39">
        <v>1850</v>
      </c>
      <c r="M237" s="38">
        <v>1800</v>
      </c>
      <c r="N237" s="38">
        <v>0</v>
      </c>
      <c r="O237" s="38">
        <v>0</v>
      </c>
      <c r="P237" s="38" t="s">
        <v>13</v>
      </c>
      <c r="Q237" s="38">
        <v>1993</v>
      </c>
      <c r="R237" s="38">
        <v>1</v>
      </c>
      <c r="S237" s="38">
        <v>0</v>
      </c>
      <c r="T237" s="38">
        <v>-1.21E-2</v>
      </c>
      <c r="U237" s="38">
        <v>-0.1207</v>
      </c>
      <c r="V237" s="38">
        <v>0</v>
      </c>
      <c r="W237" s="38">
        <v>0</v>
      </c>
      <c r="X237" s="38" t="s">
        <v>928</v>
      </c>
      <c r="Y237" s="154">
        <v>2010</v>
      </c>
      <c r="AA237" s="38"/>
      <c r="AB237" s="38"/>
      <c r="AC237" s="38"/>
      <c r="AD237" s="38"/>
    </row>
    <row r="238" spans="1:30">
      <c r="A238" s="38">
        <v>8</v>
      </c>
      <c r="B238" s="38">
        <v>1</v>
      </c>
      <c r="C238" s="38">
        <v>7</v>
      </c>
      <c r="D238" s="39">
        <v>2014</v>
      </c>
      <c r="E238" s="39">
        <v>2050</v>
      </c>
      <c r="F238" s="38">
        <v>1</v>
      </c>
      <c r="G238" s="38">
        <v>0</v>
      </c>
      <c r="H238" s="38">
        <v>0</v>
      </c>
      <c r="I238" s="38">
        <v>0</v>
      </c>
      <c r="J238" s="38">
        <v>0</v>
      </c>
      <c r="K238" s="39">
        <v>605</v>
      </c>
      <c r="L238" s="39">
        <v>1925</v>
      </c>
      <c r="M238" s="38">
        <v>1875</v>
      </c>
      <c r="N238" s="38">
        <v>0</v>
      </c>
      <c r="O238" s="38">
        <v>0</v>
      </c>
      <c r="P238" s="38" t="s">
        <v>13</v>
      </c>
      <c r="Q238" s="38">
        <v>1993</v>
      </c>
      <c r="R238" s="38">
        <v>1</v>
      </c>
      <c r="S238" s="38">
        <v>0</v>
      </c>
      <c r="T238" s="38">
        <v>-1.21E-2</v>
      </c>
      <c r="U238" s="38">
        <v>-0.1207</v>
      </c>
      <c r="V238" s="38">
        <v>0</v>
      </c>
      <c r="W238" s="38">
        <v>0</v>
      </c>
      <c r="X238" s="38" t="s">
        <v>928</v>
      </c>
      <c r="Y238" s="154">
        <v>2015</v>
      </c>
      <c r="AA238" s="38"/>
      <c r="AB238" s="38"/>
      <c r="AC238" s="38"/>
      <c r="AD238" s="38"/>
    </row>
    <row r="239" spans="1:30">
      <c r="A239" s="38">
        <v>9</v>
      </c>
      <c r="B239" s="38">
        <v>1</v>
      </c>
      <c r="C239" s="38">
        <v>1</v>
      </c>
      <c r="D239" s="39">
        <v>2010</v>
      </c>
      <c r="E239" s="39">
        <v>2013</v>
      </c>
      <c r="F239" s="38">
        <v>1</v>
      </c>
      <c r="G239" s="38">
        <v>0</v>
      </c>
      <c r="H239" s="38">
        <v>0</v>
      </c>
      <c r="I239" s="38">
        <v>0</v>
      </c>
      <c r="J239" s="38">
        <v>0</v>
      </c>
      <c r="K239" s="39">
        <v>397</v>
      </c>
      <c r="L239" s="39">
        <v>450</v>
      </c>
      <c r="M239" s="38">
        <v>400</v>
      </c>
      <c r="N239" s="38">
        <v>0</v>
      </c>
      <c r="O239" s="38">
        <v>0</v>
      </c>
      <c r="P239" s="38" t="s">
        <v>13</v>
      </c>
      <c r="Q239" s="38">
        <v>1993</v>
      </c>
      <c r="R239" s="38">
        <v>1</v>
      </c>
      <c r="S239" s="38">
        <v>0</v>
      </c>
      <c r="T239" s="38">
        <v>-2.3990000000000001E-2</v>
      </c>
      <c r="U239" s="38">
        <v>-6.5079999999999999E-2</v>
      </c>
      <c r="V239" s="38">
        <v>0</v>
      </c>
      <c r="W239" s="38">
        <v>0</v>
      </c>
      <c r="X239" s="38" t="s">
        <v>929</v>
      </c>
      <c r="Y239" s="154">
        <v>2010</v>
      </c>
      <c r="AA239" s="38"/>
      <c r="AB239" s="38"/>
      <c r="AC239" s="38"/>
      <c r="AD239" s="38"/>
    </row>
    <row r="240" spans="1:30">
      <c r="A240" s="38">
        <v>9</v>
      </c>
      <c r="B240" s="38">
        <v>1</v>
      </c>
      <c r="C240" s="38">
        <v>1</v>
      </c>
      <c r="D240" s="39">
        <v>2014</v>
      </c>
      <c r="E240" s="39">
        <v>2050</v>
      </c>
      <c r="F240" s="38">
        <v>1</v>
      </c>
      <c r="G240" s="38">
        <v>0</v>
      </c>
      <c r="H240" s="38">
        <v>0</v>
      </c>
      <c r="I240" s="38">
        <v>0</v>
      </c>
      <c r="J240" s="38">
        <v>0</v>
      </c>
      <c r="K240" s="39">
        <v>298</v>
      </c>
      <c r="L240" s="39">
        <v>600</v>
      </c>
      <c r="M240" s="38">
        <v>550</v>
      </c>
      <c r="N240" s="38">
        <v>0</v>
      </c>
      <c r="O240" s="38">
        <v>0</v>
      </c>
      <c r="P240" s="38" t="s">
        <v>13</v>
      </c>
      <c r="Q240" s="38">
        <v>1993</v>
      </c>
      <c r="R240" s="38">
        <v>1</v>
      </c>
      <c r="S240" s="38">
        <v>0</v>
      </c>
      <c r="T240" s="38">
        <v>-2.3990000000000001E-2</v>
      </c>
      <c r="U240" s="38">
        <v>-6.5079999999999999E-2</v>
      </c>
      <c r="V240" s="38">
        <v>0</v>
      </c>
      <c r="W240" s="38">
        <v>0</v>
      </c>
      <c r="X240" s="38" t="s">
        <v>929</v>
      </c>
      <c r="Y240" s="154"/>
      <c r="AA240" s="38"/>
      <c r="AB240" s="38"/>
      <c r="AC240" s="38"/>
      <c r="AD240" s="38"/>
    </row>
    <row r="241" spans="1:30">
      <c r="A241" s="38">
        <v>9</v>
      </c>
      <c r="B241" s="38">
        <v>1</v>
      </c>
      <c r="C241" s="38">
        <v>2</v>
      </c>
      <c r="D241" s="39">
        <v>2010</v>
      </c>
      <c r="E241" s="39">
        <v>2013</v>
      </c>
      <c r="F241" s="38">
        <v>1</v>
      </c>
      <c r="G241" s="38">
        <v>0</v>
      </c>
      <c r="H241" s="38">
        <v>0</v>
      </c>
      <c r="I241" s="38">
        <v>0</v>
      </c>
      <c r="J241" s="38">
        <v>0</v>
      </c>
      <c r="K241" s="39">
        <v>298</v>
      </c>
      <c r="L241" s="39">
        <v>600</v>
      </c>
      <c r="M241" s="38">
        <v>550</v>
      </c>
      <c r="N241" s="38">
        <v>0</v>
      </c>
      <c r="O241" s="38">
        <v>0</v>
      </c>
      <c r="P241" s="38" t="s">
        <v>13</v>
      </c>
      <c r="Q241" s="38">
        <v>1993</v>
      </c>
      <c r="R241" s="38">
        <v>1</v>
      </c>
      <c r="S241" s="38">
        <v>0</v>
      </c>
      <c r="T241" s="38">
        <v>-2.3990000000000001E-2</v>
      </c>
      <c r="U241" s="38">
        <v>-6.5079999999999999E-2</v>
      </c>
      <c r="V241" s="38">
        <v>0</v>
      </c>
      <c r="W241" s="38">
        <v>0</v>
      </c>
      <c r="X241" s="38" t="s">
        <v>930</v>
      </c>
      <c r="Y241" s="154">
        <v>2010</v>
      </c>
      <c r="AA241" s="38"/>
      <c r="AB241" s="38"/>
      <c r="AC241" s="38"/>
      <c r="AD241" s="38"/>
    </row>
    <row r="242" spans="1:30">
      <c r="A242" s="38">
        <v>9</v>
      </c>
      <c r="B242" s="38">
        <v>1</v>
      </c>
      <c r="C242" s="38">
        <v>2</v>
      </c>
      <c r="D242" s="39">
        <v>2014</v>
      </c>
      <c r="E242" s="39">
        <v>2050</v>
      </c>
      <c r="F242" s="38">
        <v>1</v>
      </c>
      <c r="G242" s="38">
        <v>0</v>
      </c>
      <c r="H242" s="38">
        <v>0</v>
      </c>
      <c r="I242" s="38">
        <v>0</v>
      </c>
      <c r="J242" s="38">
        <v>0</v>
      </c>
      <c r="K242" s="39">
        <v>238</v>
      </c>
      <c r="L242" s="39">
        <v>750</v>
      </c>
      <c r="M242" s="38">
        <v>700</v>
      </c>
      <c r="N242" s="38">
        <v>0</v>
      </c>
      <c r="O242" s="38">
        <v>0</v>
      </c>
      <c r="P242" s="38" t="s">
        <v>13</v>
      </c>
      <c r="Q242" s="38">
        <v>1993</v>
      </c>
      <c r="R242" s="38">
        <v>1</v>
      </c>
      <c r="S242" s="38">
        <v>0</v>
      </c>
      <c r="T242" s="38">
        <v>-2.3990000000000001E-2</v>
      </c>
      <c r="U242" s="38">
        <v>-6.5079999999999999E-2</v>
      </c>
      <c r="V242" s="38">
        <v>0</v>
      </c>
      <c r="W242" s="38">
        <v>0</v>
      </c>
      <c r="X242" s="38" t="s">
        <v>930</v>
      </c>
      <c r="Y242" s="154">
        <v>2015</v>
      </c>
      <c r="AA242" s="38"/>
      <c r="AB242" s="38"/>
      <c r="AC242" s="38"/>
      <c r="AD242" s="38"/>
    </row>
    <row r="243" spans="1:30">
      <c r="A243" s="38">
        <v>9</v>
      </c>
      <c r="B243" s="38">
        <v>1</v>
      </c>
      <c r="C243" s="38">
        <v>3</v>
      </c>
      <c r="D243" s="39">
        <v>2010</v>
      </c>
      <c r="E243" s="39">
        <v>2013</v>
      </c>
      <c r="F243" s="38">
        <v>1</v>
      </c>
      <c r="G243" s="38">
        <v>0</v>
      </c>
      <c r="H243" s="38">
        <v>0</v>
      </c>
      <c r="I243" s="38">
        <v>0</v>
      </c>
      <c r="J243" s="38">
        <v>0</v>
      </c>
      <c r="K243" s="39">
        <v>758</v>
      </c>
      <c r="L243" s="39">
        <v>550</v>
      </c>
      <c r="M243" s="38">
        <v>500</v>
      </c>
      <c r="N243" s="38">
        <v>0</v>
      </c>
      <c r="O243" s="38">
        <v>0</v>
      </c>
      <c r="P243" s="38" t="s">
        <v>13</v>
      </c>
      <c r="Q243" s="38">
        <v>1993</v>
      </c>
      <c r="R243" s="38">
        <v>1</v>
      </c>
      <c r="S243" s="38">
        <v>0</v>
      </c>
      <c r="T243" s="38">
        <v>-2.3990000000000001E-2</v>
      </c>
      <c r="U243" s="38">
        <v>-6.5079999999999999E-2</v>
      </c>
      <c r="V243" s="38">
        <v>0</v>
      </c>
      <c r="W243" s="38">
        <v>0</v>
      </c>
      <c r="X243" s="38" t="s">
        <v>931</v>
      </c>
      <c r="Y243" s="154">
        <v>2010</v>
      </c>
      <c r="AA243" s="38"/>
      <c r="AB243" s="38"/>
      <c r="AC243" s="38"/>
      <c r="AD243" s="38"/>
    </row>
    <row r="244" spans="1:30">
      <c r="A244" s="38">
        <v>9</v>
      </c>
      <c r="B244" s="38">
        <v>1</v>
      </c>
      <c r="C244" s="38">
        <v>3</v>
      </c>
      <c r="D244" s="39">
        <v>2014</v>
      </c>
      <c r="E244" s="39">
        <v>2050</v>
      </c>
      <c r="F244" s="38">
        <v>1</v>
      </c>
      <c r="G244" s="38">
        <v>0</v>
      </c>
      <c r="H244" s="38">
        <v>0</v>
      </c>
      <c r="I244" s="38">
        <v>0</v>
      </c>
      <c r="J244" s="38">
        <v>0</v>
      </c>
      <c r="K244" s="39">
        <v>533</v>
      </c>
      <c r="L244" s="39">
        <v>700</v>
      </c>
      <c r="M244" s="38">
        <v>650</v>
      </c>
      <c r="N244" s="38">
        <v>0</v>
      </c>
      <c r="O244" s="38">
        <v>0</v>
      </c>
      <c r="P244" s="38" t="s">
        <v>13</v>
      </c>
      <c r="Q244" s="38">
        <v>1993</v>
      </c>
      <c r="R244" s="38">
        <v>1</v>
      </c>
      <c r="S244" s="38">
        <v>0</v>
      </c>
      <c r="T244" s="38">
        <v>-2.3990000000000001E-2</v>
      </c>
      <c r="U244" s="38">
        <v>-6.5079999999999999E-2</v>
      </c>
      <c r="V244" s="38">
        <v>0</v>
      </c>
      <c r="W244" s="38">
        <v>0</v>
      </c>
      <c r="X244" s="38" t="s">
        <v>931</v>
      </c>
      <c r="Y244" s="154"/>
      <c r="AA244" s="38"/>
      <c r="AB244" s="38"/>
      <c r="AC244" s="38"/>
      <c r="AD244" s="38"/>
    </row>
    <row r="245" spans="1:30">
      <c r="A245" s="38">
        <v>9</v>
      </c>
      <c r="B245" s="38">
        <v>1</v>
      </c>
      <c r="C245" s="38">
        <v>4</v>
      </c>
      <c r="D245" s="39">
        <v>2010</v>
      </c>
      <c r="E245" s="39">
        <v>2013</v>
      </c>
      <c r="F245" s="38">
        <v>1</v>
      </c>
      <c r="G245" s="38">
        <v>0</v>
      </c>
      <c r="H245" s="38">
        <v>0</v>
      </c>
      <c r="I245" s="38">
        <v>0</v>
      </c>
      <c r="J245" s="38">
        <v>0</v>
      </c>
      <c r="K245" s="39">
        <v>533</v>
      </c>
      <c r="L245" s="39">
        <v>700</v>
      </c>
      <c r="M245" s="38">
        <v>650</v>
      </c>
      <c r="N245" s="38">
        <v>0</v>
      </c>
      <c r="O245" s="38">
        <v>0</v>
      </c>
      <c r="P245" s="38" t="s">
        <v>13</v>
      </c>
      <c r="Q245" s="38">
        <v>1993</v>
      </c>
      <c r="R245" s="38">
        <v>1</v>
      </c>
      <c r="S245" s="38">
        <v>0</v>
      </c>
      <c r="T245" s="38">
        <v>-2.3990000000000001E-2</v>
      </c>
      <c r="U245" s="38">
        <v>-6.5079999999999999E-2</v>
      </c>
      <c r="V245" s="38">
        <v>0</v>
      </c>
      <c r="W245" s="38">
        <v>0</v>
      </c>
      <c r="X245" s="38" t="s">
        <v>932</v>
      </c>
      <c r="Y245" s="154">
        <v>2010</v>
      </c>
      <c r="AA245" s="38"/>
      <c r="AB245" s="38"/>
      <c r="AC245" s="38"/>
      <c r="AD245" s="38"/>
    </row>
    <row r="246" spans="1:30">
      <c r="A246" s="38">
        <v>9</v>
      </c>
      <c r="B246" s="38">
        <v>1</v>
      </c>
      <c r="C246" s="38">
        <v>4</v>
      </c>
      <c r="D246" s="39">
        <v>2014</v>
      </c>
      <c r="E246" s="39">
        <v>2050</v>
      </c>
      <c r="F246" s="38">
        <v>1</v>
      </c>
      <c r="G246" s="38">
        <v>0</v>
      </c>
      <c r="H246" s="38">
        <v>0</v>
      </c>
      <c r="I246" s="38">
        <v>0</v>
      </c>
      <c r="J246" s="38">
        <v>0</v>
      </c>
      <c r="K246" s="39">
        <v>455</v>
      </c>
      <c r="L246" s="39">
        <v>850</v>
      </c>
      <c r="M246" s="38">
        <v>800</v>
      </c>
      <c r="N246" s="38">
        <v>0</v>
      </c>
      <c r="O246" s="38">
        <v>0</v>
      </c>
      <c r="P246" s="38" t="s">
        <v>13</v>
      </c>
      <c r="Q246" s="38">
        <v>1993</v>
      </c>
      <c r="R246" s="38">
        <v>1</v>
      </c>
      <c r="S246" s="38">
        <v>0</v>
      </c>
      <c r="T246" s="38">
        <v>-2.3990000000000001E-2</v>
      </c>
      <c r="U246" s="38">
        <v>-6.5079999999999999E-2</v>
      </c>
      <c r="V246" s="38">
        <v>0</v>
      </c>
      <c r="W246" s="38">
        <v>0</v>
      </c>
      <c r="X246" s="38" t="s">
        <v>932</v>
      </c>
      <c r="Y246" s="154">
        <v>2015</v>
      </c>
      <c r="AA246" s="38"/>
      <c r="AB246" s="38"/>
      <c r="AC246" s="38"/>
      <c r="AD246" s="38"/>
    </row>
    <row r="247" spans="1:30">
      <c r="A247" s="38"/>
      <c r="B247" s="38"/>
      <c r="C247" s="38"/>
      <c r="D247" s="39"/>
      <c r="E247" s="39"/>
      <c r="F247" s="38"/>
      <c r="G247" s="38"/>
      <c r="H247" s="38"/>
      <c r="I247" s="38"/>
      <c r="J247" s="38"/>
      <c r="K247" s="39"/>
      <c r="L247" s="39"/>
      <c r="M247" s="38"/>
      <c r="N247" s="38"/>
      <c r="O247" s="38"/>
      <c r="P247" s="38"/>
      <c r="Q247" s="38"/>
      <c r="R247" s="38"/>
      <c r="S247" s="38"/>
      <c r="T247" s="38"/>
      <c r="U247" s="38"/>
      <c r="V247" s="38"/>
      <c r="W247" s="38"/>
      <c r="X247" s="38"/>
      <c r="Y247" s="154"/>
      <c r="AA247" s="38"/>
      <c r="AB247" s="38"/>
      <c r="AC247" s="38"/>
      <c r="AD247" s="38"/>
    </row>
    <row r="248" spans="1:30">
      <c r="A248" s="38">
        <v>6</v>
      </c>
      <c r="B248" s="38">
        <v>1</v>
      </c>
      <c r="C248" s="38">
        <v>1</v>
      </c>
      <c r="D248" s="39">
        <v>2010</v>
      </c>
      <c r="E248" s="39">
        <v>2050</v>
      </c>
      <c r="F248" s="38">
        <v>1</v>
      </c>
      <c r="G248" s="38">
        <v>0</v>
      </c>
      <c r="H248" s="38">
        <v>0</v>
      </c>
      <c r="I248" s="38">
        <v>0</v>
      </c>
      <c r="J248" s="38">
        <v>0</v>
      </c>
      <c r="K248" s="39">
        <v>0.39900000000000002</v>
      </c>
      <c r="L248" s="39">
        <v>400</v>
      </c>
      <c r="M248" s="38">
        <v>350</v>
      </c>
      <c r="N248" s="38">
        <v>0</v>
      </c>
      <c r="O248" s="38">
        <v>0</v>
      </c>
      <c r="P248" s="38" t="s">
        <v>13</v>
      </c>
      <c r="Q248" s="38">
        <v>1993</v>
      </c>
      <c r="R248" s="38">
        <v>1</v>
      </c>
      <c r="S248" s="38">
        <v>0</v>
      </c>
      <c r="T248" s="38">
        <v>-1.619E-2</v>
      </c>
      <c r="U248" s="38">
        <v>-1.9519999999999999E-2</v>
      </c>
      <c r="V248" s="38">
        <v>0</v>
      </c>
      <c r="W248" s="38">
        <v>0</v>
      </c>
      <c r="X248" s="38" t="s">
        <v>71</v>
      </c>
      <c r="Y248" s="154"/>
      <c r="AA248" s="38"/>
      <c r="AB248" s="38"/>
      <c r="AC248" s="38"/>
      <c r="AD248" s="38"/>
    </row>
    <row r="249" spans="1:30">
      <c r="A249" s="38">
        <v>6</v>
      </c>
      <c r="B249" s="38">
        <v>1</v>
      </c>
      <c r="C249" s="38">
        <v>2</v>
      </c>
      <c r="D249" s="39">
        <v>2010</v>
      </c>
      <c r="E249" s="39">
        <v>2050</v>
      </c>
      <c r="F249" s="38">
        <v>1</v>
      </c>
      <c r="G249" s="38">
        <v>0</v>
      </c>
      <c r="H249" s="38">
        <v>0</v>
      </c>
      <c r="I249" s="38">
        <v>0</v>
      </c>
      <c r="J249" s="38">
        <v>0</v>
      </c>
      <c r="K249" s="39">
        <v>0.42</v>
      </c>
      <c r="L249" s="39">
        <v>500</v>
      </c>
      <c r="M249" s="38">
        <v>450</v>
      </c>
      <c r="N249" s="38">
        <v>0</v>
      </c>
      <c r="O249" s="38">
        <v>0</v>
      </c>
      <c r="P249" s="38" t="s">
        <v>13</v>
      </c>
      <c r="Q249" s="38">
        <v>1993</v>
      </c>
      <c r="R249" s="38">
        <v>1</v>
      </c>
      <c r="S249" s="38">
        <v>0</v>
      </c>
      <c r="T249" s="38">
        <v>-1.619E-2</v>
      </c>
      <c r="U249" s="38">
        <v>-1.9519999999999999E-2</v>
      </c>
      <c r="V249" s="38">
        <v>0</v>
      </c>
      <c r="W249" s="38">
        <v>0</v>
      </c>
      <c r="X249" s="38" t="s">
        <v>72</v>
      </c>
      <c r="Y249" s="154"/>
      <c r="AA249" s="38"/>
      <c r="AB249" s="38"/>
      <c r="AC249" s="38"/>
      <c r="AD249" s="38"/>
    </row>
    <row r="250" spans="1:30">
      <c r="A250" s="38">
        <v>6</v>
      </c>
      <c r="B250" s="38">
        <v>2</v>
      </c>
      <c r="C250" s="38">
        <v>3</v>
      </c>
      <c r="D250" s="39">
        <v>2010</v>
      </c>
      <c r="E250" s="39">
        <v>2050</v>
      </c>
      <c r="F250" s="38">
        <v>1</v>
      </c>
      <c r="G250" s="38">
        <v>0</v>
      </c>
      <c r="H250" s="38">
        <v>0</v>
      </c>
      <c r="I250" s="38">
        <v>0</v>
      </c>
      <c r="J250" s="38">
        <v>0</v>
      </c>
      <c r="K250" s="39">
        <v>0.39900000000000002</v>
      </c>
      <c r="L250" s="39">
        <v>400</v>
      </c>
      <c r="M250" s="38">
        <v>350</v>
      </c>
      <c r="N250" s="38">
        <v>0</v>
      </c>
      <c r="O250" s="38">
        <v>0</v>
      </c>
      <c r="P250" s="38" t="s">
        <v>13</v>
      </c>
      <c r="Q250" s="38">
        <v>1993</v>
      </c>
      <c r="R250" s="38">
        <v>1</v>
      </c>
      <c r="S250" s="38">
        <v>0</v>
      </c>
      <c r="T250" s="38">
        <v>-1.619E-2</v>
      </c>
      <c r="U250" s="38">
        <v>-1.9519999999999999E-2</v>
      </c>
      <c r="V250" s="38">
        <v>0</v>
      </c>
      <c r="W250" s="38">
        <v>0</v>
      </c>
      <c r="X250" s="38" t="s">
        <v>73</v>
      </c>
      <c r="Y250" s="154"/>
      <c r="AA250" s="38"/>
      <c r="AB250" s="38"/>
      <c r="AC250" s="38"/>
      <c r="AD250" s="38"/>
    </row>
    <row r="251" spans="1:30">
      <c r="A251" s="38">
        <v>6</v>
      </c>
      <c r="B251" s="38">
        <v>2</v>
      </c>
      <c r="C251" s="38">
        <v>4</v>
      </c>
      <c r="D251" s="39">
        <v>2010</v>
      </c>
      <c r="E251" s="39">
        <v>2050</v>
      </c>
      <c r="F251" s="38">
        <v>1</v>
      </c>
      <c r="G251" s="38">
        <v>0</v>
      </c>
      <c r="H251" s="38">
        <v>0</v>
      </c>
      <c r="I251" s="38">
        <v>0</v>
      </c>
      <c r="J251" s="38">
        <v>0</v>
      </c>
      <c r="K251" s="39">
        <v>0.42</v>
      </c>
      <c r="L251" s="39">
        <v>500</v>
      </c>
      <c r="M251" s="38">
        <v>450</v>
      </c>
      <c r="N251" s="38">
        <v>0</v>
      </c>
      <c r="O251" s="38">
        <v>0</v>
      </c>
      <c r="P251" s="38" t="s">
        <v>13</v>
      </c>
      <c r="Q251" s="38">
        <v>1993</v>
      </c>
      <c r="R251" s="38">
        <v>1</v>
      </c>
      <c r="S251" s="38">
        <v>0</v>
      </c>
      <c r="T251" s="38">
        <v>-1.619E-2</v>
      </c>
      <c r="U251" s="38">
        <v>-1.9519999999999999E-2</v>
      </c>
      <c r="V251" s="38">
        <v>0</v>
      </c>
      <c r="W251" s="38">
        <v>0</v>
      </c>
      <c r="X251" s="38" t="s">
        <v>74</v>
      </c>
      <c r="Y251" s="154"/>
      <c r="AA251" s="38"/>
      <c r="AB251" s="38"/>
      <c r="AC251" s="38"/>
      <c r="AD251" s="38"/>
    </row>
    <row r="252" spans="1:30">
      <c r="A252" s="38">
        <v>6</v>
      </c>
      <c r="B252" s="38">
        <v>3</v>
      </c>
      <c r="C252" s="38">
        <v>5</v>
      </c>
      <c r="D252" s="39">
        <v>2010</v>
      </c>
      <c r="E252" s="39">
        <v>2050</v>
      </c>
      <c r="F252" s="38">
        <v>1</v>
      </c>
      <c r="G252" s="38">
        <v>0</v>
      </c>
      <c r="H252" s="38">
        <v>0</v>
      </c>
      <c r="I252" s="38">
        <v>0</v>
      </c>
      <c r="J252" s="38">
        <v>0</v>
      </c>
      <c r="K252" s="39">
        <v>601</v>
      </c>
      <c r="L252" s="39">
        <v>400</v>
      </c>
      <c r="M252" s="38">
        <v>350</v>
      </c>
      <c r="N252" s="38">
        <v>0</v>
      </c>
      <c r="O252" s="38">
        <v>0</v>
      </c>
      <c r="P252" s="38" t="s">
        <v>13</v>
      </c>
      <c r="Q252" s="38">
        <v>1993</v>
      </c>
      <c r="R252" s="38">
        <v>1</v>
      </c>
      <c r="S252" s="38">
        <v>0</v>
      </c>
      <c r="T252" s="38">
        <v>-1</v>
      </c>
      <c r="U252" s="38">
        <v>-1</v>
      </c>
      <c r="V252" s="38">
        <v>0</v>
      </c>
      <c r="W252" s="38">
        <v>0</v>
      </c>
      <c r="X252" s="38" t="s">
        <v>75</v>
      </c>
      <c r="Y252" s="154"/>
      <c r="AA252" s="38"/>
      <c r="AB252" s="38"/>
      <c r="AC252" s="38"/>
      <c r="AD252" s="38"/>
    </row>
    <row r="253" spans="1:30">
      <c r="A253" s="38">
        <v>6</v>
      </c>
      <c r="B253" s="38">
        <v>3</v>
      </c>
      <c r="C253" s="38">
        <v>6</v>
      </c>
      <c r="D253" s="39">
        <v>2010</v>
      </c>
      <c r="E253" s="39">
        <v>2050</v>
      </c>
      <c r="F253" s="38">
        <v>1</v>
      </c>
      <c r="G253" s="38">
        <v>0</v>
      </c>
      <c r="H253" s="38">
        <v>0</v>
      </c>
      <c r="I253" s="38">
        <v>0</v>
      </c>
      <c r="J253" s="38">
        <v>0</v>
      </c>
      <c r="K253" s="39">
        <v>601</v>
      </c>
      <c r="L253" s="39">
        <v>400</v>
      </c>
      <c r="M253" s="38">
        <v>350</v>
      </c>
      <c r="N253" s="38">
        <v>0</v>
      </c>
      <c r="O253" s="38">
        <v>0</v>
      </c>
      <c r="P253" s="38" t="s">
        <v>13</v>
      </c>
      <c r="Q253" s="38">
        <v>1993</v>
      </c>
      <c r="R253" s="38">
        <v>1</v>
      </c>
      <c r="S253" s="38">
        <v>0</v>
      </c>
      <c r="T253" s="38">
        <v>-1.619E-2</v>
      </c>
      <c r="U253" s="38">
        <v>-1.9519999999999999E-2</v>
      </c>
      <c r="V253" s="38">
        <v>0</v>
      </c>
      <c r="W253" s="38">
        <v>0</v>
      </c>
      <c r="X253" s="38" t="s">
        <v>76</v>
      </c>
      <c r="Y253" s="154"/>
      <c r="AA253" s="38"/>
      <c r="AB253" s="38"/>
      <c r="AC253" s="38"/>
      <c r="AD253" s="38"/>
    </row>
    <row r="254" spans="1:30">
      <c r="A254" s="38"/>
      <c r="B254" s="38"/>
      <c r="C254" s="38"/>
      <c r="D254" s="39"/>
      <c r="E254" s="39"/>
      <c r="F254" s="38"/>
      <c r="G254" s="38"/>
      <c r="H254" s="38"/>
      <c r="I254" s="38"/>
      <c r="J254" s="38"/>
      <c r="K254" s="39"/>
      <c r="L254" s="39"/>
      <c r="M254" s="38"/>
      <c r="N254" s="38"/>
      <c r="O254" s="38"/>
      <c r="P254" s="38"/>
      <c r="Q254" s="38"/>
      <c r="R254" s="38"/>
      <c r="S254" s="38"/>
      <c r="T254" s="38"/>
      <c r="U254" s="38"/>
      <c r="V254" s="38"/>
      <c r="W254" s="38"/>
      <c r="X254" s="38"/>
      <c r="Y254" s="154"/>
      <c r="AA254" s="38"/>
      <c r="AB254" s="38"/>
      <c r="AC254" s="38"/>
      <c r="AD254" s="38"/>
    </row>
    <row r="255" spans="1:30">
      <c r="A255" s="38"/>
      <c r="B255" s="38"/>
      <c r="C255" s="38"/>
      <c r="D255" s="39"/>
      <c r="E255" s="39"/>
      <c r="F255" s="38"/>
      <c r="G255" s="38"/>
      <c r="H255" s="38"/>
      <c r="I255" s="38"/>
      <c r="J255" s="38"/>
      <c r="K255" s="39"/>
      <c r="L255" s="39"/>
      <c r="M255" s="38"/>
      <c r="N255" s="38"/>
      <c r="O255" s="38"/>
      <c r="P255" s="38"/>
      <c r="Q255" s="38"/>
      <c r="R255" s="38"/>
      <c r="S255" s="38"/>
      <c r="T255" s="38"/>
      <c r="U255" s="38"/>
      <c r="V255" s="38"/>
      <c r="W255" s="38"/>
      <c r="X255" s="38"/>
      <c r="Y255" s="154"/>
      <c r="AA255" s="38"/>
      <c r="AB255" s="38"/>
      <c r="AC255" s="38"/>
      <c r="AD255" s="38"/>
    </row>
    <row r="256" spans="1:30">
      <c r="A256" s="38"/>
      <c r="B256" s="38"/>
      <c r="C256" s="38"/>
      <c r="D256" s="39"/>
      <c r="E256" s="39"/>
      <c r="F256" s="38"/>
      <c r="G256" s="38"/>
      <c r="H256" s="38"/>
      <c r="I256" s="38"/>
      <c r="J256" s="38"/>
      <c r="K256" s="39"/>
      <c r="L256" s="39"/>
      <c r="M256" s="38"/>
      <c r="N256" s="38"/>
      <c r="O256" s="38"/>
      <c r="P256" s="38"/>
      <c r="Q256" s="38"/>
      <c r="R256" s="38"/>
      <c r="S256" s="38"/>
      <c r="T256" s="38"/>
      <c r="U256" s="38"/>
      <c r="V256" s="38"/>
      <c r="W256" s="38"/>
      <c r="X256" s="38"/>
      <c r="Y256" s="154"/>
      <c r="AA256" s="38"/>
      <c r="AB256" s="38"/>
      <c r="AC256" s="38"/>
      <c r="AD256" s="38"/>
    </row>
    <row r="257" spans="1:30">
      <c r="A257" s="38"/>
      <c r="B257" s="38"/>
      <c r="C257" s="38"/>
      <c r="D257" s="39"/>
      <c r="E257" s="39"/>
      <c r="F257" s="38"/>
      <c r="G257" s="38"/>
      <c r="H257" s="38"/>
      <c r="I257" s="38"/>
      <c r="J257" s="38"/>
      <c r="K257" s="39"/>
      <c r="L257" s="39"/>
      <c r="M257" s="38"/>
      <c r="N257" s="38"/>
      <c r="O257" s="38"/>
      <c r="P257" s="38"/>
      <c r="Q257" s="38"/>
      <c r="R257" s="38"/>
      <c r="S257" s="38"/>
      <c r="T257" s="38"/>
      <c r="U257" s="38"/>
      <c r="V257" s="38"/>
      <c r="W257" s="38"/>
      <c r="X257" s="38"/>
      <c r="Y257" s="154"/>
      <c r="AA257" s="38"/>
      <c r="AB257" s="38"/>
      <c r="AC257" s="38"/>
      <c r="AD257" s="38"/>
    </row>
    <row r="258" spans="1:30">
      <c r="A258" s="38"/>
      <c r="B258" s="38"/>
      <c r="C258" s="38"/>
      <c r="D258" s="39"/>
      <c r="E258" s="39"/>
      <c r="F258" s="38"/>
      <c r="G258" s="38"/>
      <c r="H258" s="38"/>
      <c r="I258" s="38"/>
      <c r="J258" s="38"/>
      <c r="K258" s="39"/>
      <c r="L258" s="39"/>
      <c r="M258" s="38"/>
      <c r="N258" s="38"/>
      <c r="O258" s="38"/>
      <c r="P258" s="38"/>
      <c r="Q258" s="38"/>
      <c r="R258" s="38"/>
      <c r="S258" s="38"/>
      <c r="T258" s="38"/>
      <c r="U258" s="38"/>
      <c r="V258" s="38"/>
      <c r="W258" s="38"/>
      <c r="X258" s="38"/>
      <c r="Y258" s="154"/>
      <c r="AA258" s="38"/>
      <c r="AB258" s="38"/>
      <c r="AC258" s="38"/>
      <c r="AD258" s="38"/>
    </row>
    <row r="259" spans="1:30">
      <c r="A259" s="38">
        <v>3</v>
      </c>
      <c r="B259" s="38">
        <v>1</v>
      </c>
      <c r="C259" s="38">
        <v>1</v>
      </c>
      <c r="D259" s="39">
        <v>2010</v>
      </c>
      <c r="E259" s="39">
        <v>2014</v>
      </c>
      <c r="F259" s="38">
        <v>1</v>
      </c>
      <c r="G259" s="38">
        <v>0</v>
      </c>
      <c r="H259" s="38">
        <v>0</v>
      </c>
      <c r="I259" s="38">
        <v>1.26</v>
      </c>
      <c r="J259" s="38">
        <v>1</v>
      </c>
      <c r="K259" s="39">
        <v>0.19800000000000001</v>
      </c>
      <c r="L259" s="39">
        <v>500</v>
      </c>
      <c r="M259" s="38">
        <v>400</v>
      </c>
      <c r="N259" s="38">
        <v>0</v>
      </c>
      <c r="O259" s="38">
        <v>0</v>
      </c>
      <c r="P259" s="38" t="s">
        <v>13</v>
      </c>
      <c r="Q259" s="38">
        <v>1993</v>
      </c>
      <c r="R259" s="38">
        <v>1</v>
      </c>
      <c r="S259" s="38">
        <v>0</v>
      </c>
      <c r="T259" s="38">
        <v>-2.7380000000000002E-2</v>
      </c>
      <c r="U259" s="38">
        <v>-9.1270000000000004E-2</v>
      </c>
      <c r="V259" s="38">
        <v>0</v>
      </c>
      <c r="W259" s="38">
        <v>0</v>
      </c>
      <c r="X259" s="38" t="s">
        <v>49</v>
      </c>
      <c r="Y259" s="154"/>
      <c r="AA259" s="38"/>
      <c r="AB259" s="38"/>
      <c r="AC259" s="38"/>
      <c r="AD259" s="38"/>
    </row>
    <row r="260" spans="1:30">
      <c r="A260" s="38">
        <v>3</v>
      </c>
      <c r="B260" s="38">
        <v>1</v>
      </c>
      <c r="C260" s="38">
        <v>1</v>
      </c>
      <c r="D260" s="39">
        <v>2015</v>
      </c>
      <c r="E260" s="39">
        <v>2017</v>
      </c>
      <c r="F260" s="38">
        <v>1</v>
      </c>
      <c r="G260" s="38">
        <v>0</v>
      </c>
      <c r="H260" s="38">
        <v>0</v>
      </c>
      <c r="I260" s="38">
        <v>1.72</v>
      </c>
      <c r="J260" s="38">
        <v>0.84</v>
      </c>
      <c r="K260" s="39">
        <v>0.13</v>
      </c>
      <c r="L260" s="39">
        <v>750</v>
      </c>
      <c r="M260" s="38">
        <v>650</v>
      </c>
      <c r="N260" s="38">
        <v>0</v>
      </c>
      <c r="O260" s="38">
        <v>0</v>
      </c>
      <c r="P260" s="38" t="s">
        <v>13</v>
      </c>
      <c r="Q260" s="38">
        <v>1993</v>
      </c>
      <c r="R260" s="38">
        <v>1</v>
      </c>
      <c r="S260" s="38">
        <v>0</v>
      </c>
      <c r="T260" s="38">
        <v>-2.7380000000000002E-2</v>
      </c>
      <c r="U260" s="38">
        <v>-9.1270000000000004E-2</v>
      </c>
      <c r="V260" s="38">
        <v>0</v>
      </c>
      <c r="W260" s="38">
        <v>0</v>
      </c>
      <c r="X260" s="38" t="s">
        <v>49</v>
      </c>
      <c r="Y260" s="154"/>
      <c r="AA260" s="38"/>
      <c r="AB260" s="38"/>
      <c r="AC260" s="38"/>
      <c r="AD260" s="38"/>
    </row>
    <row r="261" spans="1:30">
      <c r="A261" s="38">
        <v>3</v>
      </c>
      <c r="B261" s="38">
        <v>1</v>
      </c>
      <c r="C261" s="38">
        <v>1</v>
      </c>
      <c r="D261" s="39">
        <v>2018</v>
      </c>
      <c r="E261" s="39">
        <v>2050</v>
      </c>
      <c r="F261" s="38">
        <v>1</v>
      </c>
      <c r="G261" s="38">
        <v>0</v>
      </c>
      <c r="H261" s="38">
        <v>0</v>
      </c>
      <c r="I261" s="38">
        <v>2</v>
      </c>
      <c r="J261" s="38">
        <v>0.63</v>
      </c>
      <c r="K261" s="39">
        <v>0.111</v>
      </c>
      <c r="L261" s="39">
        <v>850</v>
      </c>
      <c r="M261" s="38">
        <v>750</v>
      </c>
      <c r="N261" s="38">
        <v>0</v>
      </c>
      <c r="O261" s="38">
        <v>0</v>
      </c>
      <c r="P261" s="38" t="s">
        <v>13</v>
      </c>
      <c r="Q261" s="38">
        <v>1993</v>
      </c>
      <c r="R261" s="38">
        <v>1</v>
      </c>
      <c r="S261" s="38">
        <v>0</v>
      </c>
      <c r="T261" s="38">
        <v>-2.7380000000000002E-2</v>
      </c>
      <c r="U261" s="38">
        <v>-9.1270000000000004E-2</v>
      </c>
      <c r="V261" s="38">
        <v>0</v>
      </c>
      <c r="W261" s="38">
        <v>0</v>
      </c>
      <c r="X261" s="38" t="s">
        <v>49</v>
      </c>
      <c r="Y261" s="154"/>
      <c r="AA261" s="38"/>
      <c r="AB261" s="38"/>
      <c r="AC261" s="38"/>
      <c r="AD261" s="38"/>
    </row>
    <row r="262" spans="1:30">
      <c r="A262" s="38">
        <v>3</v>
      </c>
      <c r="B262" s="38">
        <v>1</v>
      </c>
      <c r="C262" s="38">
        <v>2</v>
      </c>
      <c r="D262" s="39">
        <v>2010</v>
      </c>
      <c r="E262" s="39">
        <v>2010</v>
      </c>
      <c r="F262" s="38">
        <v>1</v>
      </c>
      <c r="G262" s="38">
        <v>0</v>
      </c>
      <c r="H262" s="38">
        <v>0</v>
      </c>
      <c r="I262" s="38">
        <v>2</v>
      </c>
      <c r="J262" s="38">
        <v>0.63</v>
      </c>
      <c r="K262" s="39">
        <v>0.12</v>
      </c>
      <c r="L262" s="39">
        <v>700</v>
      </c>
      <c r="M262" s="38">
        <v>600</v>
      </c>
      <c r="N262" s="38">
        <v>150</v>
      </c>
      <c r="O262" s="38">
        <v>150</v>
      </c>
      <c r="P262" s="38" t="s">
        <v>13</v>
      </c>
      <c r="Q262" s="38">
        <v>1993</v>
      </c>
      <c r="R262" s="38">
        <v>1</v>
      </c>
      <c r="S262" s="38">
        <v>0</v>
      </c>
      <c r="T262" s="38">
        <v>-2.7380000000000002E-2</v>
      </c>
      <c r="U262" s="38">
        <v>-9.1270000000000004E-2</v>
      </c>
      <c r="V262" s="38">
        <v>0</v>
      </c>
      <c r="W262" s="38">
        <v>0</v>
      </c>
      <c r="X262" s="38" t="s">
        <v>50</v>
      </c>
      <c r="Y262" s="154"/>
      <c r="AA262" s="38"/>
      <c r="AB262" s="38"/>
      <c r="AC262" s="38"/>
      <c r="AD262" s="38"/>
    </row>
    <row r="263" spans="1:30">
      <c r="A263" s="38">
        <v>3</v>
      </c>
      <c r="B263" s="38">
        <v>1</v>
      </c>
      <c r="C263" s="38">
        <v>2</v>
      </c>
      <c r="D263" s="39">
        <v>2011</v>
      </c>
      <c r="E263" s="39">
        <v>2014</v>
      </c>
      <c r="F263" s="38">
        <v>1</v>
      </c>
      <c r="G263" s="38">
        <v>0</v>
      </c>
      <c r="H263" s="38">
        <v>0</v>
      </c>
      <c r="I263" s="38">
        <v>2</v>
      </c>
      <c r="J263" s="38">
        <v>0.63</v>
      </c>
      <c r="K263" s="39">
        <v>0.12</v>
      </c>
      <c r="L263" s="39">
        <v>700</v>
      </c>
      <c r="M263" s="38">
        <v>600</v>
      </c>
      <c r="N263" s="38">
        <v>0</v>
      </c>
      <c r="O263" s="38">
        <v>0</v>
      </c>
      <c r="P263" s="38" t="s">
        <v>13</v>
      </c>
      <c r="Q263" s="38">
        <v>1993</v>
      </c>
      <c r="R263" s="38">
        <v>1</v>
      </c>
      <c r="S263" s="38">
        <v>0</v>
      </c>
      <c r="T263" s="38">
        <v>-2.7380000000000002E-2</v>
      </c>
      <c r="U263" s="38">
        <v>-9.1270000000000004E-2</v>
      </c>
      <c r="V263" s="38">
        <v>0</v>
      </c>
      <c r="W263" s="38">
        <v>0</v>
      </c>
      <c r="X263" s="38" t="s">
        <v>50</v>
      </c>
      <c r="Y263" s="154"/>
      <c r="AA263" s="38"/>
      <c r="AB263" s="38"/>
      <c r="AC263" s="38"/>
      <c r="AD263" s="38"/>
    </row>
    <row r="264" spans="1:30">
      <c r="A264" s="38">
        <v>3</v>
      </c>
      <c r="B264" s="38">
        <v>1</v>
      </c>
      <c r="C264" s="38">
        <v>2</v>
      </c>
      <c r="D264" s="39">
        <v>2015</v>
      </c>
      <c r="E264" s="39">
        <v>2050</v>
      </c>
      <c r="F264" s="38">
        <v>1</v>
      </c>
      <c r="G264" s="38">
        <v>0</v>
      </c>
      <c r="H264" s="38">
        <v>0</v>
      </c>
      <c r="I264" s="38">
        <v>2.2000000000000002</v>
      </c>
      <c r="J264" s="38">
        <v>0.47</v>
      </c>
      <c r="K264" s="39">
        <v>0.109</v>
      </c>
      <c r="L264" s="39">
        <v>725</v>
      </c>
      <c r="M264" s="38">
        <v>625</v>
      </c>
      <c r="N264" s="38">
        <v>0</v>
      </c>
      <c r="O264" s="38">
        <v>0</v>
      </c>
      <c r="P264" s="38" t="s">
        <v>13</v>
      </c>
      <c r="Q264" s="38">
        <v>1993</v>
      </c>
      <c r="R264" s="38">
        <v>1</v>
      </c>
      <c r="S264" s="38">
        <v>0</v>
      </c>
      <c r="T264" s="38">
        <v>-2.7380000000000002E-2</v>
      </c>
      <c r="U264" s="38">
        <v>-9.1270000000000004E-2</v>
      </c>
      <c r="V264" s="38">
        <v>0</v>
      </c>
      <c r="W264" s="38">
        <v>0</v>
      </c>
      <c r="X264" s="38" t="s">
        <v>50</v>
      </c>
      <c r="Y264" s="154"/>
      <c r="AA264" s="38"/>
      <c r="AB264" s="38"/>
      <c r="AC264" s="38"/>
      <c r="AD264" s="38"/>
    </row>
    <row r="265" spans="1:30">
      <c r="A265" s="38">
        <v>3</v>
      </c>
      <c r="B265" s="38">
        <v>1</v>
      </c>
      <c r="C265" s="38">
        <v>3</v>
      </c>
      <c r="D265" s="39">
        <v>2010</v>
      </c>
      <c r="E265" s="39">
        <v>2010</v>
      </c>
      <c r="F265" s="38">
        <v>1</v>
      </c>
      <c r="G265" s="38">
        <v>0</v>
      </c>
      <c r="H265" s="38">
        <v>0</v>
      </c>
      <c r="I265" s="38">
        <v>2.4</v>
      </c>
      <c r="J265" s="38">
        <v>0.44</v>
      </c>
      <c r="K265" s="39">
        <v>0.111</v>
      </c>
      <c r="L265" s="39">
        <v>950</v>
      </c>
      <c r="M265" s="38">
        <v>850</v>
      </c>
      <c r="N265" s="38">
        <v>250</v>
      </c>
      <c r="O265" s="38">
        <v>250</v>
      </c>
      <c r="P265" s="38" t="s">
        <v>13</v>
      </c>
      <c r="Q265" s="38">
        <v>1993</v>
      </c>
      <c r="R265" s="38">
        <v>1</v>
      </c>
      <c r="S265" s="38">
        <v>0</v>
      </c>
      <c r="T265" s="38">
        <v>-2.7380000000000002E-2</v>
      </c>
      <c r="U265" s="38">
        <v>-9.1270000000000004E-2</v>
      </c>
      <c r="V265" s="38">
        <v>0</v>
      </c>
      <c r="W265" s="38">
        <v>0</v>
      </c>
      <c r="X265" s="38" t="s">
        <v>51</v>
      </c>
      <c r="Y265" s="154"/>
      <c r="AA265" s="38"/>
      <c r="AB265" s="38"/>
      <c r="AC265" s="38"/>
      <c r="AD265" s="38"/>
    </row>
    <row r="266" spans="1:30">
      <c r="A266" s="38">
        <v>3</v>
      </c>
      <c r="B266" s="38">
        <v>1</v>
      </c>
      <c r="C266" s="38">
        <v>3</v>
      </c>
      <c r="D266" s="39">
        <v>2011</v>
      </c>
      <c r="E266" s="39">
        <v>2011</v>
      </c>
      <c r="F266" s="38">
        <v>1</v>
      </c>
      <c r="G266" s="38">
        <v>0</v>
      </c>
      <c r="H266" s="38">
        <v>0</v>
      </c>
      <c r="I266" s="38">
        <v>2.89</v>
      </c>
      <c r="J266" s="38">
        <v>0.35</v>
      </c>
      <c r="K266" s="39">
        <v>9.1999999999999998E-2</v>
      </c>
      <c r="L266" s="39">
        <v>950</v>
      </c>
      <c r="M266" s="38">
        <v>850</v>
      </c>
      <c r="N266" s="38">
        <v>225</v>
      </c>
      <c r="O266" s="38">
        <v>225</v>
      </c>
      <c r="P266" s="38" t="s">
        <v>13</v>
      </c>
      <c r="Q266" s="38">
        <v>1993</v>
      </c>
      <c r="R266" s="38">
        <v>1</v>
      </c>
      <c r="S266" s="38">
        <v>0</v>
      </c>
      <c r="T266" s="38">
        <v>-2.7380000000000002E-2</v>
      </c>
      <c r="U266" s="38">
        <v>-9.1270000000000004E-2</v>
      </c>
      <c r="V266" s="38">
        <v>0</v>
      </c>
      <c r="W266" s="38">
        <v>0</v>
      </c>
      <c r="X266" s="38" t="s">
        <v>51</v>
      </c>
      <c r="Y266" s="154"/>
      <c r="AA266" s="38"/>
      <c r="AB266" s="38"/>
      <c r="AC266" s="38"/>
      <c r="AD266" s="38"/>
    </row>
    <row r="267" spans="1:30">
      <c r="A267" s="38">
        <v>3</v>
      </c>
      <c r="B267" s="38">
        <v>1</v>
      </c>
      <c r="C267" s="38">
        <v>3</v>
      </c>
      <c r="D267" s="39">
        <v>2012</v>
      </c>
      <c r="E267" s="39">
        <v>2012</v>
      </c>
      <c r="F267" s="38">
        <v>1</v>
      </c>
      <c r="G267" s="38">
        <v>0</v>
      </c>
      <c r="H267" s="38">
        <v>0</v>
      </c>
      <c r="I267" s="38">
        <v>2.89</v>
      </c>
      <c r="J267" s="38">
        <v>0.35</v>
      </c>
      <c r="K267" s="39">
        <v>9.1999999999999998E-2</v>
      </c>
      <c r="L267" s="39">
        <v>950</v>
      </c>
      <c r="M267" s="38">
        <v>850</v>
      </c>
      <c r="N267" s="38">
        <v>0</v>
      </c>
      <c r="O267" s="38">
        <v>0</v>
      </c>
      <c r="P267" s="38" t="s">
        <v>13</v>
      </c>
      <c r="Q267" s="38">
        <v>1993</v>
      </c>
      <c r="R267" s="38">
        <v>1</v>
      </c>
      <c r="S267" s="38">
        <v>0</v>
      </c>
      <c r="T267" s="38">
        <v>-2.7380000000000002E-2</v>
      </c>
      <c r="U267" s="38">
        <v>-9.1270000000000004E-2</v>
      </c>
      <c r="V267" s="38">
        <v>0</v>
      </c>
      <c r="W267" s="38">
        <v>0</v>
      </c>
      <c r="X267" s="38" t="s">
        <v>51</v>
      </c>
      <c r="Y267" s="154"/>
      <c r="AA267" s="38"/>
      <c r="AB267" s="38"/>
      <c r="AC267" s="38"/>
      <c r="AD267" s="38"/>
    </row>
    <row r="268" spans="1:30">
      <c r="A268" s="38">
        <v>3</v>
      </c>
      <c r="B268" s="38">
        <v>1</v>
      </c>
      <c r="C268" s="38">
        <v>3</v>
      </c>
      <c r="D268" s="39">
        <v>2013</v>
      </c>
      <c r="E268" s="39">
        <v>2013</v>
      </c>
      <c r="F268" s="38">
        <v>1</v>
      </c>
      <c r="G268" s="38">
        <v>0</v>
      </c>
      <c r="H268" s="38">
        <v>0</v>
      </c>
      <c r="I268" s="38">
        <v>2.89</v>
      </c>
      <c r="J268" s="38">
        <v>0.35</v>
      </c>
      <c r="K268" s="39">
        <v>9.1999999999999998E-2</v>
      </c>
      <c r="L268" s="39">
        <v>950</v>
      </c>
      <c r="M268" s="38">
        <v>850</v>
      </c>
      <c r="N268" s="38">
        <v>225</v>
      </c>
      <c r="O268" s="38">
        <v>225</v>
      </c>
      <c r="P268" s="38" t="s">
        <v>13</v>
      </c>
      <c r="Q268" s="38">
        <v>1993</v>
      </c>
      <c r="R268" s="38">
        <v>1</v>
      </c>
      <c r="S268" s="38">
        <v>0</v>
      </c>
      <c r="T268" s="38">
        <v>-2.7380000000000002E-2</v>
      </c>
      <c r="U268" s="38">
        <v>-9.1270000000000004E-2</v>
      </c>
      <c r="V268" s="38">
        <v>0</v>
      </c>
      <c r="W268" s="38">
        <v>0</v>
      </c>
      <c r="X268" s="38" t="s">
        <v>51</v>
      </c>
      <c r="Y268" s="154"/>
      <c r="AA268" s="38"/>
      <c r="AB268" s="38"/>
      <c r="AC268" s="38"/>
      <c r="AD268" s="38"/>
    </row>
    <row r="269" spans="1:30">
      <c r="A269" s="38">
        <v>3</v>
      </c>
      <c r="B269" s="38">
        <v>1</v>
      </c>
      <c r="C269" s="38">
        <v>3</v>
      </c>
      <c r="D269" s="39">
        <v>2014</v>
      </c>
      <c r="E269" s="39">
        <v>2050</v>
      </c>
      <c r="F269" s="38">
        <v>1</v>
      </c>
      <c r="G269" s="38">
        <v>0</v>
      </c>
      <c r="H269" s="38">
        <v>0</v>
      </c>
      <c r="I269" s="38">
        <v>2.89</v>
      </c>
      <c r="J269" s="38">
        <v>0.35</v>
      </c>
      <c r="K269" s="39">
        <v>9.1999999999999998E-2</v>
      </c>
      <c r="L269" s="39">
        <v>950</v>
      </c>
      <c r="M269" s="38">
        <v>850</v>
      </c>
      <c r="N269" s="38">
        <v>0</v>
      </c>
      <c r="O269" s="38">
        <v>0</v>
      </c>
      <c r="P269" s="38" t="s">
        <v>13</v>
      </c>
      <c r="Q269" s="38">
        <v>1993</v>
      </c>
      <c r="R269" s="38">
        <v>1</v>
      </c>
      <c r="S269" s="38">
        <v>0</v>
      </c>
      <c r="T269" s="38">
        <v>-2.7380000000000002E-2</v>
      </c>
      <c r="U269" s="38">
        <v>-9.1270000000000004E-2</v>
      </c>
      <c r="V269" s="38">
        <v>0</v>
      </c>
      <c r="W269" s="38">
        <v>0</v>
      </c>
      <c r="X269" s="38" t="s">
        <v>51</v>
      </c>
      <c r="Y269" s="154"/>
      <c r="AA269" s="38"/>
      <c r="AB269" s="38"/>
      <c r="AC269" s="38"/>
      <c r="AD269" s="38"/>
    </row>
    <row r="270" spans="1:30">
      <c r="A270" s="38">
        <v>4</v>
      </c>
      <c r="B270" s="38">
        <v>1</v>
      </c>
      <c r="C270" s="38">
        <v>1</v>
      </c>
      <c r="D270" s="39">
        <v>2010</v>
      </c>
      <c r="E270" s="39">
        <v>2012</v>
      </c>
      <c r="F270" s="38">
        <v>1</v>
      </c>
      <c r="G270" s="38">
        <v>0</v>
      </c>
      <c r="H270" s="38">
        <v>0</v>
      </c>
      <c r="I270" s="38">
        <v>0</v>
      </c>
      <c r="J270" s="38">
        <v>0.91</v>
      </c>
      <c r="K270" s="39">
        <v>0.61</v>
      </c>
      <c r="L270" s="39">
        <v>350</v>
      </c>
      <c r="M270" s="38">
        <v>250</v>
      </c>
      <c r="N270" s="38">
        <v>0</v>
      </c>
      <c r="O270" s="38">
        <v>0</v>
      </c>
      <c r="P270" s="38" t="s">
        <v>13</v>
      </c>
      <c r="Q270" s="38">
        <v>1993</v>
      </c>
      <c r="R270" s="38">
        <v>1</v>
      </c>
      <c r="S270" s="38">
        <v>0</v>
      </c>
      <c r="T270" s="38">
        <v>-2.7380000000000002E-2</v>
      </c>
      <c r="U270" s="38">
        <v>-0.18253</v>
      </c>
      <c r="V270" s="38">
        <v>0</v>
      </c>
      <c r="W270" s="38">
        <v>0</v>
      </c>
      <c r="X270" s="38" t="s">
        <v>52</v>
      </c>
      <c r="Y270" s="154"/>
      <c r="AA270" s="38"/>
      <c r="AB270" s="38"/>
      <c r="AC270" s="38"/>
      <c r="AD270" s="38"/>
    </row>
    <row r="271" spans="1:30">
      <c r="A271" s="38">
        <v>4</v>
      </c>
      <c r="B271" s="38">
        <v>1</v>
      </c>
      <c r="C271" s="38">
        <v>1</v>
      </c>
      <c r="D271" s="39">
        <v>2013</v>
      </c>
      <c r="E271" s="39">
        <v>2050</v>
      </c>
      <c r="F271" s="38">
        <v>1</v>
      </c>
      <c r="G271" s="38">
        <v>0</v>
      </c>
      <c r="H271" s="38">
        <v>0</v>
      </c>
      <c r="I271" s="38">
        <v>0</v>
      </c>
      <c r="J271" s="38">
        <v>0.63</v>
      </c>
      <c r="K271" s="39">
        <v>0.7</v>
      </c>
      <c r="L271" s="39">
        <v>350</v>
      </c>
      <c r="M271" s="38">
        <v>250</v>
      </c>
      <c r="N271" s="38">
        <v>0</v>
      </c>
      <c r="O271" s="38">
        <v>0</v>
      </c>
      <c r="P271" s="38" t="s">
        <v>13</v>
      </c>
      <c r="Q271" s="38">
        <v>1993</v>
      </c>
      <c r="R271" s="38">
        <v>1</v>
      </c>
      <c r="S271" s="38">
        <v>0</v>
      </c>
      <c r="T271" s="38">
        <v>-2.7380000000000002E-2</v>
      </c>
      <c r="U271" s="38">
        <v>-0.18253</v>
      </c>
      <c r="V271" s="38">
        <v>0</v>
      </c>
      <c r="W271" s="38">
        <v>0</v>
      </c>
      <c r="X271" s="38" t="s">
        <v>52</v>
      </c>
      <c r="Y271" s="154"/>
      <c r="AA271" s="38"/>
      <c r="AB271" s="38"/>
      <c r="AC271" s="38"/>
      <c r="AD271" s="38"/>
    </row>
    <row r="272" spans="1:30">
      <c r="A272" s="38">
        <v>4</v>
      </c>
      <c r="B272" s="38">
        <v>1</v>
      </c>
      <c r="C272" s="38">
        <v>2</v>
      </c>
      <c r="D272" s="39">
        <v>2010</v>
      </c>
      <c r="E272" s="39">
        <v>2012</v>
      </c>
      <c r="F272" s="38">
        <v>1</v>
      </c>
      <c r="G272" s="38">
        <v>0</v>
      </c>
      <c r="H272" s="38">
        <v>0</v>
      </c>
      <c r="I272" s="38">
        <v>0</v>
      </c>
      <c r="J272" s="38">
        <v>0.65</v>
      </c>
      <c r="K272" s="39">
        <v>0.66</v>
      </c>
      <c r="L272" s="39">
        <v>750</v>
      </c>
      <c r="M272" s="38">
        <v>650</v>
      </c>
      <c r="N272" s="38">
        <v>0</v>
      </c>
      <c r="O272" s="38">
        <v>0</v>
      </c>
      <c r="P272" s="38" t="s">
        <v>13</v>
      </c>
      <c r="Q272" s="38">
        <v>1993</v>
      </c>
      <c r="R272" s="38">
        <v>1</v>
      </c>
      <c r="S272" s="38">
        <v>0</v>
      </c>
      <c r="T272" s="38">
        <v>-2.7380000000000002E-2</v>
      </c>
      <c r="U272" s="38">
        <v>-0.18253</v>
      </c>
      <c r="V272" s="38">
        <v>0</v>
      </c>
      <c r="W272" s="38">
        <v>0</v>
      </c>
      <c r="X272" s="38" t="s">
        <v>53</v>
      </c>
      <c r="Y272" s="154"/>
      <c r="AA272" s="38"/>
      <c r="AB272" s="38"/>
      <c r="AC272" s="38"/>
      <c r="AD272" s="38"/>
    </row>
    <row r="273" spans="1:30">
      <c r="A273" s="38">
        <v>4</v>
      </c>
      <c r="B273" s="38">
        <v>1</v>
      </c>
      <c r="C273" s="38">
        <v>2</v>
      </c>
      <c r="D273" s="39">
        <v>2013</v>
      </c>
      <c r="E273" s="39">
        <v>2050</v>
      </c>
      <c r="F273" s="38">
        <v>1</v>
      </c>
      <c r="G273" s="38">
        <v>0</v>
      </c>
      <c r="H273" s="38">
        <v>0</v>
      </c>
      <c r="I273" s="38">
        <v>0</v>
      </c>
      <c r="J273" s="38">
        <v>0.52</v>
      </c>
      <c r="K273" s="39">
        <v>0.7</v>
      </c>
      <c r="L273" s="39">
        <v>850</v>
      </c>
      <c r="M273" s="38">
        <v>750</v>
      </c>
      <c r="N273" s="38">
        <v>0</v>
      </c>
      <c r="O273" s="38">
        <v>0</v>
      </c>
      <c r="P273" s="38" t="s">
        <v>13</v>
      </c>
      <c r="Q273" s="38">
        <v>1993</v>
      </c>
      <c r="R273" s="38">
        <v>1</v>
      </c>
      <c r="S273" s="38">
        <v>0</v>
      </c>
      <c r="T273" s="38">
        <v>-2.7380000000000002E-2</v>
      </c>
      <c r="U273" s="38">
        <v>-0.18253</v>
      </c>
      <c r="V273" s="38">
        <v>0</v>
      </c>
      <c r="W273" s="38">
        <v>0</v>
      </c>
      <c r="X273" s="38" t="s">
        <v>53</v>
      </c>
      <c r="Y273" s="154"/>
      <c r="AA273" s="38"/>
      <c r="AB273" s="38"/>
      <c r="AC273" s="38"/>
      <c r="AD273" s="38"/>
    </row>
    <row r="274" spans="1:30">
      <c r="A274" s="38">
        <v>4</v>
      </c>
      <c r="B274" s="38">
        <v>1</v>
      </c>
      <c r="C274" s="38">
        <v>3</v>
      </c>
      <c r="D274" s="39">
        <v>2010</v>
      </c>
      <c r="E274" s="39">
        <v>2011</v>
      </c>
      <c r="F274" s="38">
        <v>1</v>
      </c>
      <c r="G274" s="38">
        <v>0</v>
      </c>
      <c r="H274" s="38">
        <v>0</v>
      </c>
      <c r="I274" s="38">
        <v>0</v>
      </c>
      <c r="J274" s="38">
        <v>0.35</v>
      </c>
      <c r="K274" s="39">
        <v>1.1299999999999999</v>
      </c>
      <c r="L274" s="39">
        <v>1000</v>
      </c>
      <c r="M274" s="38">
        <v>900</v>
      </c>
      <c r="N274" s="38">
        <v>75</v>
      </c>
      <c r="O274" s="38">
        <v>75</v>
      </c>
      <c r="P274" s="38" t="s">
        <v>13</v>
      </c>
      <c r="Q274" s="38">
        <v>1993</v>
      </c>
      <c r="R274" s="38">
        <v>1</v>
      </c>
      <c r="S274" s="38">
        <v>0</v>
      </c>
      <c r="T274" s="38">
        <v>-2.7380000000000002E-2</v>
      </c>
      <c r="U274" s="38">
        <v>-0.18253</v>
      </c>
      <c r="V274" s="38">
        <v>0</v>
      </c>
      <c r="W274" s="38">
        <v>0</v>
      </c>
      <c r="X274" s="38" t="s">
        <v>54</v>
      </c>
      <c r="Y274" s="154"/>
      <c r="AA274" s="38"/>
      <c r="AB274" s="38"/>
      <c r="AC274" s="38"/>
      <c r="AD274" s="38"/>
    </row>
    <row r="275" spans="1:30">
      <c r="A275" s="38">
        <v>4</v>
      </c>
      <c r="B275" s="38">
        <v>1</v>
      </c>
      <c r="C275" s="38">
        <v>3</v>
      </c>
      <c r="D275" s="39">
        <v>2012</v>
      </c>
      <c r="E275" s="39">
        <v>2012</v>
      </c>
      <c r="F275" s="38">
        <v>1</v>
      </c>
      <c r="G275" s="38">
        <v>0</v>
      </c>
      <c r="H275" s="38">
        <v>0</v>
      </c>
      <c r="I275" s="38">
        <v>0</v>
      </c>
      <c r="J275" s="38">
        <v>0.35</v>
      </c>
      <c r="K275" s="39">
        <v>1.1299999999999999</v>
      </c>
      <c r="L275" s="39">
        <v>1000</v>
      </c>
      <c r="M275" s="38">
        <v>900</v>
      </c>
      <c r="N275" s="38">
        <v>0</v>
      </c>
      <c r="O275" s="38">
        <v>0</v>
      </c>
      <c r="P275" s="38" t="s">
        <v>13</v>
      </c>
      <c r="Q275" s="38">
        <v>1993</v>
      </c>
      <c r="R275" s="38">
        <v>1</v>
      </c>
      <c r="S275" s="38">
        <v>0</v>
      </c>
      <c r="T275" s="38">
        <v>-2.7380000000000002E-2</v>
      </c>
      <c r="U275" s="38">
        <v>-0.18253</v>
      </c>
      <c r="V275" s="38">
        <v>0</v>
      </c>
      <c r="W275" s="38">
        <v>0</v>
      </c>
      <c r="X275" s="38" t="s">
        <v>54</v>
      </c>
      <c r="Y275" s="154"/>
      <c r="AA275" s="38"/>
      <c r="AB275" s="38"/>
      <c r="AC275" s="38"/>
      <c r="AD275" s="38"/>
    </row>
    <row r="276" spans="1:30">
      <c r="A276" s="38">
        <v>4</v>
      </c>
      <c r="B276" s="38">
        <v>1</v>
      </c>
      <c r="C276" s="38">
        <v>3</v>
      </c>
      <c r="D276" s="39">
        <v>2013</v>
      </c>
      <c r="E276" s="39">
        <v>2013</v>
      </c>
      <c r="F276" s="38">
        <v>1</v>
      </c>
      <c r="G276" s="38">
        <v>0</v>
      </c>
      <c r="H276" s="38">
        <v>0</v>
      </c>
      <c r="I276" s="38">
        <v>0</v>
      </c>
      <c r="J276" s="38">
        <v>0.35</v>
      </c>
      <c r="K276" s="39">
        <v>1.1299999999999999</v>
      </c>
      <c r="L276" s="39">
        <v>1000</v>
      </c>
      <c r="M276" s="38">
        <v>900</v>
      </c>
      <c r="N276" s="38">
        <v>75</v>
      </c>
      <c r="O276" s="38">
        <v>75</v>
      </c>
      <c r="P276" s="38" t="s">
        <v>13</v>
      </c>
      <c r="Q276" s="38">
        <v>1993</v>
      </c>
      <c r="R276" s="38">
        <v>1</v>
      </c>
      <c r="S276" s="38">
        <v>0</v>
      </c>
      <c r="T276" s="38">
        <v>-2.7380000000000002E-2</v>
      </c>
      <c r="U276" s="38">
        <v>-0.18253</v>
      </c>
      <c r="V276" s="38">
        <v>0</v>
      </c>
      <c r="W276" s="38">
        <v>0</v>
      </c>
      <c r="X276" s="38" t="s">
        <v>54</v>
      </c>
      <c r="Y276" s="154"/>
      <c r="AA276" s="38"/>
      <c r="AB276" s="38"/>
      <c r="AC276" s="38"/>
      <c r="AD276" s="38"/>
    </row>
    <row r="277" spans="1:30">
      <c r="A277" s="38">
        <v>4</v>
      </c>
      <c r="B277" s="38">
        <v>1</v>
      </c>
      <c r="C277" s="38">
        <v>3</v>
      </c>
      <c r="D277" s="39">
        <v>2014</v>
      </c>
      <c r="E277" s="39">
        <v>2050</v>
      </c>
      <c r="F277" s="38">
        <v>1</v>
      </c>
      <c r="G277" s="38">
        <v>0</v>
      </c>
      <c r="H277" s="38">
        <v>0</v>
      </c>
      <c r="I277" s="38">
        <v>0</v>
      </c>
      <c r="J277" s="38">
        <v>0.35</v>
      </c>
      <c r="K277" s="39">
        <v>1.1299999999999999</v>
      </c>
      <c r="L277" s="39">
        <v>1000</v>
      </c>
      <c r="M277" s="38">
        <v>900</v>
      </c>
      <c r="N277" s="38">
        <v>0</v>
      </c>
      <c r="O277" s="38">
        <v>0</v>
      </c>
      <c r="P277" s="38" t="s">
        <v>13</v>
      </c>
      <c r="Q277" s="38">
        <v>1993</v>
      </c>
      <c r="R277" s="38">
        <v>1</v>
      </c>
      <c r="S277" s="38">
        <v>0</v>
      </c>
      <c r="T277" s="38">
        <v>-2.7380000000000002E-2</v>
      </c>
      <c r="U277" s="38">
        <v>-0.18253</v>
      </c>
      <c r="V277" s="38">
        <v>0</v>
      </c>
      <c r="W277" s="38">
        <v>0</v>
      </c>
      <c r="X277" s="38" t="s">
        <v>54</v>
      </c>
      <c r="Y277" s="154"/>
      <c r="AA277" s="38"/>
      <c r="AB277" s="38"/>
      <c r="AC277" s="38"/>
      <c r="AD277" s="38"/>
    </row>
    <row r="278" spans="1:30">
      <c r="A278" s="38">
        <v>7</v>
      </c>
      <c r="B278" s="38">
        <v>1</v>
      </c>
      <c r="C278" s="38">
        <v>1</v>
      </c>
      <c r="D278" s="39">
        <v>2010</v>
      </c>
      <c r="E278" s="39">
        <v>2014</v>
      </c>
      <c r="F278" s="38">
        <v>1</v>
      </c>
      <c r="G278" s="38">
        <v>0</v>
      </c>
      <c r="H278" s="38">
        <v>0</v>
      </c>
      <c r="I278" s="38">
        <v>0</v>
      </c>
      <c r="J278" s="38">
        <v>0</v>
      </c>
      <c r="K278" s="39">
        <v>0.78300000000000003</v>
      </c>
      <c r="L278" s="39">
        <v>450</v>
      </c>
      <c r="M278" s="38">
        <v>350</v>
      </c>
      <c r="N278" s="38">
        <v>0</v>
      </c>
      <c r="O278" s="38">
        <v>0</v>
      </c>
      <c r="P278" s="38" t="s">
        <v>13</v>
      </c>
      <c r="Q278" s="38">
        <v>1993</v>
      </c>
      <c r="R278" s="38">
        <v>1</v>
      </c>
      <c r="S278" s="38">
        <v>0</v>
      </c>
      <c r="T278" s="38">
        <v>-4.65E-2</v>
      </c>
      <c r="U278" s="38">
        <v>-0.1</v>
      </c>
      <c r="V278" s="38">
        <v>0</v>
      </c>
      <c r="W278" s="38">
        <v>0</v>
      </c>
      <c r="X278" s="38" t="s">
        <v>77</v>
      </c>
      <c r="Y278" s="154"/>
      <c r="AA278" s="38"/>
      <c r="AB278" s="38"/>
      <c r="AC278" s="38"/>
      <c r="AD278" s="38"/>
    </row>
    <row r="279" spans="1:30">
      <c r="A279" s="38">
        <v>7</v>
      </c>
      <c r="B279" s="38">
        <v>1</v>
      </c>
      <c r="C279" s="38">
        <v>1</v>
      </c>
      <c r="D279" s="39">
        <v>2015</v>
      </c>
      <c r="E279" s="39">
        <v>2050</v>
      </c>
      <c r="F279" s="38">
        <v>1</v>
      </c>
      <c r="G279" s="38">
        <v>0</v>
      </c>
      <c r="H279" s="38">
        <v>0</v>
      </c>
      <c r="I279" s="38">
        <v>0</v>
      </c>
      <c r="J279" s="38">
        <v>0</v>
      </c>
      <c r="K279" s="39">
        <v>0.82399999999999995</v>
      </c>
      <c r="L279" s="39">
        <v>500</v>
      </c>
      <c r="M279" s="38">
        <v>400</v>
      </c>
      <c r="N279" s="38">
        <v>0</v>
      </c>
      <c r="O279" s="38">
        <v>0</v>
      </c>
      <c r="P279" s="38" t="s">
        <v>13</v>
      </c>
      <c r="Q279" s="38">
        <v>1993</v>
      </c>
      <c r="R279" s="38">
        <v>1</v>
      </c>
      <c r="S279" s="38">
        <v>0</v>
      </c>
      <c r="T279" s="38">
        <v>-4.65E-2</v>
      </c>
      <c r="U279" s="38">
        <v>-0.1</v>
      </c>
      <c r="V279" s="38">
        <v>0</v>
      </c>
      <c r="W279" s="38">
        <v>0</v>
      </c>
      <c r="X279" s="38" t="s">
        <v>77</v>
      </c>
      <c r="Y279" s="154"/>
      <c r="AA279" s="38"/>
      <c r="AB279" s="38"/>
      <c r="AC279" s="38"/>
      <c r="AD279" s="38"/>
    </row>
    <row r="280" spans="1:30">
      <c r="A280" s="38">
        <v>7</v>
      </c>
      <c r="B280" s="38">
        <v>1</v>
      </c>
      <c r="C280" s="38">
        <v>2</v>
      </c>
      <c r="D280" s="39">
        <v>2010</v>
      </c>
      <c r="E280" s="39">
        <v>2014</v>
      </c>
      <c r="F280" s="38">
        <v>1</v>
      </c>
      <c r="G280" s="38">
        <v>0</v>
      </c>
      <c r="H280" s="38">
        <v>0</v>
      </c>
      <c r="I280" s="38">
        <v>0</v>
      </c>
      <c r="J280" s="38">
        <v>0</v>
      </c>
      <c r="K280" s="39">
        <v>0.82399999999999995</v>
      </c>
      <c r="L280" s="39">
        <v>500</v>
      </c>
      <c r="M280" s="38">
        <v>400</v>
      </c>
      <c r="N280" s="38">
        <v>0</v>
      </c>
      <c r="O280" s="38">
        <v>0</v>
      </c>
      <c r="P280" s="38" t="s">
        <v>13</v>
      </c>
      <c r="Q280" s="38">
        <v>1993</v>
      </c>
      <c r="R280" s="38">
        <v>1</v>
      </c>
      <c r="S280" s="38">
        <v>0</v>
      </c>
      <c r="T280" s="38">
        <v>-4.65E-2</v>
      </c>
      <c r="U280" s="38">
        <v>-0.1</v>
      </c>
      <c r="V280" s="38">
        <v>0</v>
      </c>
      <c r="W280" s="38">
        <v>0</v>
      </c>
      <c r="X280" s="38" t="s">
        <v>78</v>
      </c>
      <c r="Y280" s="154"/>
      <c r="AA280" s="38"/>
      <c r="AB280" s="38"/>
      <c r="AC280" s="38"/>
      <c r="AD280" s="38"/>
    </row>
    <row r="281" spans="1:30">
      <c r="A281" s="38">
        <v>7</v>
      </c>
      <c r="B281" s="38">
        <v>1</v>
      </c>
      <c r="C281" s="38">
        <v>2</v>
      </c>
      <c r="D281" s="39">
        <v>2015</v>
      </c>
      <c r="E281" s="39">
        <v>2050</v>
      </c>
      <c r="F281" s="38">
        <v>1</v>
      </c>
      <c r="G281" s="38">
        <v>0</v>
      </c>
      <c r="H281" s="38">
        <v>0</v>
      </c>
      <c r="I281" s="38">
        <v>0</v>
      </c>
      <c r="J281" s="38">
        <v>0</v>
      </c>
      <c r="K281" s="39">
        <v>0.88500000000000001</v>
      </c>
      <c r="L281" s="39">
        <v>575</v>
      </c>
      <c r="M281" s="38">
        <v>475</v>
      </c>
      <c r="N281" s="38">
        <v>0</v>
      </c>
      <c r="O281" s="38">
        <v>0</v>
      </c>
      <c r="P281" s="38" t="s">
        <v>13</v>
      </c>
      <c r="Q281" s="38">
        <v>1993</v>
      </c>
      <c r="R281" s="38">
        <v>1</v>
      </c>
      <c r="S281" s="38">
        <v>0</v>
      </c>
      <c r="T281" s="38">
        <v>-4.65E-2</v>
      </c>
      <c r="U281" s="38">
        <v>-0.1</v>
      </c>
      <c r="V281" s="38">
        <v>0</v>
      </c>
      <c r="W281" s="38">
        <v>0</v>
      </c>
      <c r="X281" s="38" t="s">
        <v>78</v>
      </c>
      <c r="Y281" s="154"/>
      <c r="AA281" s="38"/>
      <c r="AB281" s="38"/>
      <c r="AC281" s="38"/>
      <c r="AD281" s="38"/>
    </row>
    <row r="282" spans="1:30">
      <c r="A282" s="38">
        <v>7</v>
      </c>
      <c r="B282" s="38">
        <v>2</v>
      </c>
      <c r="C282" s="38">
        <v>3</v>
      </c>
      <c r="D282" s="39">
        <v>2010</v>
      </c>
      <c r="E282" s="39">
        <v>2014</v>
      </c>
      <c r="F282" s="38">
        <v>1</v>
      </c>
      <c r="G282" s="38">
        <v>0</v>
      </c>
      <c r="H282" s="38">
        <v>0</v>
      </c>
      <c r="I282" s="38">
        <v>0</v>
      </c>
      <c r="J282" s="38">
        <v>0</v>
      </c>
      <c r="K282" s="39">
        <v>3.01</v>
      </c>
      <c r="L282" s="39">
        <v>400</v>
      </c>
      <c r="M282" s="38">
        <v>300</v>
      </c>
      <c r="N282" s="38">
        <v>0</v>
      </c>
      <c r="O282" s="38">
        <v>0</v>
      </c>
      <c r="P282" s="38" t="s">
        <v>13</v>
      </c>
      <c r="Q282" s="38">
        <v>1993</v>
      </c>
      <c r="R282" s="38">
        <v>1</v>
      </c>
      <c r="S282" s="38">
        <v>0</v>
      </c>
      <c r="T282" s="38">
        <v>-0.09</v>
      </c>
      <c r="U282" s="38">
        <v>-0.1</v>
      </c>
      <c r="V282" s="38">
        <v>0</v>
      </c>
      <c r="W282" s="38">
        <v>0</v>
      </c>
      <c r="X282" s="38" t="s">
        <v>79</v>
      </c>
      <c r="Y282" s="154"/>
      <c r="AA282" s="38"/>
      <c r="AB282" s="38"/>
      <c r="AC282" s="38"/>
      <c r="AD282" s="38"/>
    </row>
    <row r="283" spans="1:30">
      <c r="A283" s="38">
        <v>7</v>
      </c>
      <c r="B283" s="38">
        <v>2</v>
      </c>
      <c r="C283" s="38">
        <v>3</v>
      </c>
      <c r="D283" s="39">
        <v>2015</v>
      </c>
      <c r="E283" s="39">
        <v>2050</v>
      </c>
      <c r="F283" s="38">
        <v>1</v>
      </c>
      <c r="G283" s="38">
        <v>0</v>
      </c>
      <c r="H283" s="38">
        <v>0</v>
      </c>
      <c r="I283" s="38">
        <v>0</v>
      </c>
      <c r="J283" s="38">
        <v>0</v>
      </c>
      <c r="K283" s="39">
        <v>3.17</v>
      </c>
      <c r="L283" s="39">
        <v>430</v>
      </c>
      <c r="M283" s="38">
        <v>330</v>
      </c>
      <c r="N283" s="38">
        <v>0</v>
      </c>
      <c r="O283" s="38">
        <v>0</v>
      </c>
      <c r="P283" s="38" t="s">
        <v>13</v>
      </c>
      <c r="Q283" s="38">
        <v>1993</v>
      </c>
      <c r="R283" s="38">
        <v>1</v>
      </c>
      <c r="S283" s="38">
        <v>0</v>
      </c>
      <c r="T283" s="38">
        <v>-0.09</v>
      </c>
      <c r="U283" s="38">
        <v>-0.1</v>
      </c>
      <c r="V283" s="38">
        <v>0</v>
      </c>
      <c r="W283" s="38">
        <v>0</v>
      </c>
      <c r="X283" s="38" t="s">
        <v>79</v>
      </c>
      <c r="Y283" s="154"/>
      <c r="AA283" s="38"/>
      <c r="AB283" s="38"/>
      <c r="AC283" s="38"/>
      <c r="AD283" s="38"/>
    </row>
    <row r="284" spans="1:30">
      <c r="A284" s="38">
        <v>7</v>
      </c>
      <c r="B284" s="38">
        <v>2</v>
      </c>
      <c r="C284" s="38">
        <v>4</v>
      </c>
      <c r="D284" s="39">
        <v>2010</v>
      </c>
      <c r="E284" s="39">
        <v>2014</v>
      </c>
      <c r="F284" s="38">
        <v>1</v>
      </c>
      <c r="G284" s="38">
        <v>0</v>
      </c>
      <c r="H284" s="38">
        <v>0</v>
      </c>
      <c r="I284" s="38">
        <v>0</v>
      </c>
      <c r="J284" s="38">
        <v>0</v>
      </c>
      <c r="K284" s="39">
        <v>3.17</v>
      </c>
      <c r="L284" s="39">
        <v>430</v>
      </c>
      <c r="M284" s="38">
        <v>330</v>
      </c>
      <c r="N284" s="38">
        <v>0</v>
      </c>
      <c r="O284" s="38">
        <v>0</v>
      </c>
      <c r="P284" s="38" t="s">
        <v>13</v>
      </c>
      <c r="Q284" s="38">
        <v>1993</v>
      </c>
      <c r="R284" s="38">
        <v>1</v>
      </c>
      <c r="S284" s="38">
        <v>0</v>
      </c>
      <c r="T284" s="38">
        <v>-0.09</v>
      </c>
      <c r="U284" s="38">
        <v>-0.1</v>
      </c>
      <c r="V284" s="38">
        <v>0</v>
      </c>
      <c r="W284" s="38">
        <v>0</v>
      </c>
      <c r="X284" s="38" t="s">
        <v>80</v>
      </c>
      <c r="Y284" s="154"/>
      <c r="AA284" s="38"/>
      <c r="AB284" s="38"/>
      <c r="AC284" s="38"/>
      <c r="AD284" s="38"/>
    </row>
    <row r="285" spans="1:30">
      <c r="A285" s="38">
        <v>7</v>
      </c>
      <c r="B285" s="38">
        <v>2</v>
      </c>
      <c r="C285" s="38">
        <v>4</v>
      </c>
      <c r="D285" s="39">
        <v>2015</v>
      </c>
      <c r="E285" s="39">
        <v>2050</v>
      </c>
      <c r="F285" s="38">
        <v>1</v>
      </c>
      <c r="G285" s="38">
        <v>0</v>
      </c>
      <c r="H285" s="38">
        <v>0</v>
      </c>
      <c r="I285" s="38">
        <v>0</v>
      </c>
      <c r="J285" s="38">
        <v>0</v>
      </c>
      <c r="K285" s="39">
        <v>4.51</v>
      </c>
      <c r="L285" s="39">
        <v>750</v>
      </c>
      <c r="M285" s="38">
        <v>650</v>
      </c>
      <c r="N285" s="38">
        <v>0</v>
      </c>
      <c r="O285" s="38">
        <v>0</v>
      </c>
      <c r="P285" s="38" t="s">
        <v>13</v>
      </c>
      <c r="Q285" s="38">
        <v>1993</v>
      </c>
      <c r="R285" s="38">
        <v>1</v>
      </c>
      <c r="S285" s="38">
        <v>0</v>
      </c>
      <c r="T285" s="38">
        <v>-0.09</v>
      </c>
      <c r="U285" s="38">
        <v>-0.1</v>
      </c>
      <c r="V285" s="38">
        <v>0</v>
      </c>
      <c r="W285" s="38">
        <v>0</v>
      </c>
      <c r="X285" s="38" t="s">
        <v>80</v>
      </c>
      <c r="Y285" s="154"/>
      <c r="AA285" s="38"/>
      <c r="AB285" s="38"/>
      <c r="AC285" s="38"/>
      <c r="AD285" s="38"/>
    </row>
    <row r="286" spans="1:30">
      <c r="A286" s="38"/>
      <c r="B286" s="38"/>
      <c r="C286" s="38"/>
      <c r="D286" s="39"/>
      <c r="E286" s="39"/>
      <c r="F286" s="38"/>
      <c r="G286" s="38"/>
      <c r="H286" s="38"/>
      <c r="I286" s="38"/>
      <c r="J286" s="38"/>
      <c r="K286" s="39"/>
      <c r="L286" s="39"/>
      <c r="M286" s="38"/>
      <c r="N286" s="38"/>
      <c r="O286" s="38"/>
      <c r="P286" s="38"/>
      <c r="Q286" s="38"/>
      <c r="R286" s="38"/>
      <c r="S286" s="38"/>
      <c r="T286" s="38"/>
      <c r="U286" s="38"/>
      <c r="V286" s="38"/>
      <c r="W286" s="38"/>
      <c r="X286" s="38"/>
      <c r="Y286" s="154"/>
      <c r="AA286" s="38"/>
      <c r="AB286" s="38"/>
      <c r="AC286" s="38"/>
      <c r="AD286" s="38"/>
    </row>
    <row r="287" spans="1:30">
      <c r="A287" s="38"/>
      <c r="B287" s="38"/>
      <c r="C287" s="38"/>
      <c r="D287" s="39"/>
      <c r="E287" s="39"/>
      <c r="F287" s="38"/>
      <c r="G287" s="38"/>
      <c r="H287" s="38"/>
      <c r="I287" s="38"/>
      <c r="J287" s="38"/>
      <c r="K287" s="39"/>
      <c r="L287" s="39"/>
      <c r="M287" s="38"/>
      <c r="N287" s="38"/>
      <c r="O287" s="38"/>
      <c r="P287" s="38"/>
      <c r="Q287" s="38"/>
      <c r="R287" s="38"/>
      <c r="S287" s="38"/>
      <c r="T287" s="38"/>
      <c r="U287" s="38"/>
      <c r="V287" s="38"/>
      <c r="W287" s="38"/>
      <c r="X287" s="38"/>
      <c r="Y287" s="154"/>
      <c r="AA287" s="38"/>
      <c r="AB287" s="38"/>
      <c r="AC287" s="38"/>
      <c r="AD287" s="38"/>
    </row>
    <row r="288" spans="1:30">
      <c r="A288" s="38"/>
      <c r="B288" s="38"/>
      <c r="C288" s="38"/>
      <c r="D288" s="39"/>
      <c r="E288" s="39"/>
      <c r="F288" s="38"/>
      <c r="G288" s="38"/>
      <c r="H288" s="38"/>
      <c r="I288" s="38"/>
      <c r="J288" s="38"/>
      <c r="K288" s="39"/>
      <c r="L288" s="39"/>
      <c r="M288" s="38"/>
      <c r="N288" s="38"/>
      <c r="O288" s="38"/>
      <c r="P288" s="38"/>
      <c r="Q288" s="38"/>
      <c r="R288" s="38"/>
      <c r="S288" s="38"/>
      <c r="T288" s="38"/>
      <c r="U288" s="38"/>
      <c r="V288" s="38"/>
      <c r="W288" s="38"/>
      <c r="X288" s="38"/>
      <c r="Y288" s="154"/>
      <c r="AA288" s="38"/>
      <c r="AB288" s="38"/>
      <c r="AC288" s="38"/>
      <c r="AD288" s="38"/>
    </row>
    <row r="289" spans="1:30">
      <c r="A289" s="38"/>
      <c r="B289" s="38"/>
      <c r="C289" s="38"/>
      <c r="D289" s="39"/>
      <c r="E289" s="39"/>
      <c r="F289" s="38"/>
      <c r="G289" s="38"/>
      <c r="H289" s="38"/>
      <c r="I289" s="38"/>
      <c r="J289" s="38"/>
      <c r="K289" s="39"/>
      <c r="L289" s="39"/>
      <c r="M289" s="38"/>
      <c r="N289" s="38"/>
      <c r="O289" s="38"/>
      <c r="P289" s="38"/>
      <c r="Q289" s="38"/>
      <c r="R289" s="38"/>
      <c r="S289" s="38"/>
      <c r="T289" s="38"/>
      <c r="U289" s="38"/>
      <c r="V289" s="38"/>
      <c r="W289" s="38"/>
      <c r="X289" s="38"/>
      <c r="Y289" s="154"/>
      <c r="AA289" s="38"/>
      <c r="AB289" s="38"/>
      <c r="AC289" s="38"/>
      <c r="AD289" s="38"/>
    </row>
    <row r="290" spans="1:30">
      <c r="A290" s="38"/>
      <c r="B290" s="38"/>
      <c r="C290" s="38"/>
      <c r="D290" s="39"/>
      <c r="E290" s="39"/>
      <c r="F290" s="38"/>
      <c r="G290" s="38"/>
      <c r="H290" s="38"/>
      <c r="I290" s="38"/>
      <c r="J290" s="38"/>
      <c r="K290" s="39"/>
      <c r="L290" s="39"/>
      <c r="M290" s="38"/>
      <c r="N290" s="38"/>
      <c r="O290" s="38"/>
      <c r="P290" s="38"/>
      <c r="Q290" s="38"/>
      <c r="R290" s="38"/>
      <c r="S290" s="38"/>
      <c r="T290" s="38"/>
      <c r="U290" s="38"/>
      <c r="V290" s="38"/>
      <c r="W290" s="38"/>
      <c r="X290" s="38"/>
      <c r="Y290" s="154"/>
      <c r="AA290" s="38"/>
      <c r="AB290" s="38"/>
      <c r="AC290" s="38"/>
      <c r="AD290" s="38"/>
    </row>
    <row r="291" spans="1:30">
      <c r="A291" s="38"/>
      <c r="B291" s="38"/>
      <c r="C291" s="38"/>
      <c r="D291" s="39"/>
      <c r="E291" s="39"/>
      <c r="F291" s="38"/>
      <c r="G291" s="38"/>
      <c r="H291" s="38"/>
      <c r="I291" s="38"/>
      <c r="J291" s="38"/>
      <c r="K291" s="39"/>
      <c r="L291" s="39"/>
      <c r="M291" s="38"/>
      <c r="N291" s="38"/>
      <c r="O291" s="38"/>
      <c r="P291" s="38"/>
      <c r="Q291" s="38"/>
      <c r="R291" s="38"/>
      <c r="S291" s="38"/>
      <c r="T291" s="38"/>
      <c r="U291" s="38"/>
      <c r="V291" s="38"/>
      <c r="W291" s="38"/>
      <c r="X291" s="38"/>
      <c r="Y291" s="154"/>
      <c r="AA291" s="38"/>
      <c r="AB291" s="38"/>
      <c r="AC291" s="38"/>
      <c r="AD291" s="38"/>
    </row>
    <row r="292" spans="1:30">
      <c r="A292" s="38"/>
      <c r="B292" s="38"/>
      <c r="C292" s="38"/>
      <c r="D292" s="39"/>
      <c r="E292" s="39"/>
      <c r="F292" s="38"/>
      <c r="G292" s="38"/>
      <c r="H292" s="38"/>
      <c r="I292" s="38"/>
      <c r="J292" s="38"/>
      <c r="K292" s="39"/>
      <c r="L292" s="39"/>
      <c r="M292" s="38"/>
      <c r="N292" s="38"/>
      <c r="O292" s="38"/>
      <c r="P292" s="38"/>
      <c r="Q292" s="38"/>
      <c r="R292" s="38"/>
      <c r="S292" s="38"/>
      <c r="T292" s="38"/>
      <c r="U292" s="38"/>
      <c r="V292" s="38"/>
      <c r="W292" s="38"/>
      <c r="X292" s="38"/>
      <c r="Y292" s="154"/>
      <c r="AA292" s="38"/>
      <c r="AB292" s="38"/>
      <c r="AC292" s="38"/>
      <c r="AD292" s="38"/>
    </row>
    <row r="293" spans="1:30">
      <c r="A293" s="38"/>
      <c r="B293" s="38"/>
      <c r="C293" s="38"/>
      <c r="D293" s="39"/>
      <c r="E293" s="39"/>
      <c r="F293" s="38"/>
      <c r="G293" s="38"/>
      <c r="H293" s="38"/>
      <c r="I293" s="38"/>
      <c r="J293" s="38"/>
      <c r="K293" s="39"/>
      <c r="L293" s="39"/>
      <c r="M293" s="38"/>
      <c r="N293" s="38"/>
      <c r="O293" s="38"/>
      <c r="P293" s="38"/>
      <c r="Q293" s="38"/>
      <c r="R293" s="38"/>
      <c r="S293" s="38"/>
      <c r="T293" s="38"/>
      <c r="U293" s="38"/>
      <c r="V293" s="38"/>
      <c r="W293" s="38"/>
      <c r="X293" s="38"/>
      <c r="Y293" s="154"/>
      <c r="AA293" s="38"/>
      <c r="AB293" s="38"/>
      <c r="AC293" s="38"/>
      <c r="AD293" s="38"/>
    </row>
    <row r="294" spans="1:30">
      <c r="A294" s="38"/>
      <c r="B294" s="38"/>
      <c r="C294" s="38"/>
      <c r="D294" s="39"/>
      <c r="E294" s="39"/>
      <c r="F294" s="38"/>
      <c r="G294" s="38"/>
      <c r="H294" s="38"/>
      <c r="I294" s="38"/>
      <c r="J294" s="38"/>
      <c r="K294" s="39"/>
      <c r="L294" s="39"/>
      <c r="M294" s="38"/>
      <c r="N294" s="38"/>
      <c r="O294" s="38"/>
      <c r="P294" s="38"/>
      <c r="Q294" s="38"/>
      <c r="R294" s="38"/>
      <c r="S294" s="38"/>
      <c r="T294" s="38"/>
      <c r="U294" s="38"/>
      <c r="V294" s="38"/>
      <c r="W294" s="38"/>
      <c r="X294" s="38"/>
      <c r="Y294" s="154"/>
      <c r="AA294" s="38"/>
      <c r="AB294" s="38"/>
      <c r="AC294" s="38"/>
      <c r="AD294" s="38"/>
    </row>
    <row r="295" spans="1:30">
      <c r="A295" s="38"/>
      <c r="B295" s="38"/>
      <c r="C295" s="38"/>
      <c r="D295" s="39"/>
      <c r="E295" s="39"/>
      <c r="F295" s="38"/>
      <c r="G295" s="38"/>
      <c r="H295" s="38"/>
      <c r="I295" s="38"/>
      <c r="J295" s="38"/>
      <c r="K295" s="39"/>
      <c r="L295" s="39"/>
      <c r="M295" s="38"/>
      <c r="N295" s="38"/>
      <c r="O295" s="38"/>
      <c r="P295" s="38"/>
      <c r="Q295" s="38"/>
      <c r="R295" s="38"/>
      <c r="S295" s="38"/>
      <c r="T295" s="38"/>
      <c r="U295" s="38"/>
      <c r="V295" s="38"/>
      <c r="W295" s="38"/>
      <c r="X295" s="38"/>
      <c r="Y295" s="154"/>
      <c r="AA295" s="38"/>
      <c r="AB295" s="38"/>
      <c r="AC295" s="38"/>
      <c r="AD295" s="38"/>
    </row>
    <row r="296" spans="1:30">
      <c r="A296" s="38"/>
      <c r="B296" s="38"/>
      <c r="C296" s="38"/>
      <c r="D296" s="39"/>
      <c r="E296" s="39"/>
      <c r="F296" s="38"/>
      <c r="G296" s="38"/>
      <c r="H296" s="38"/>
      <c r="I296" s="38"/>
      <c r="J296" s="38"/>
      <c r="K296" s="39"/>
      <c r="L296" s="39"/>
      <c r="M296" s="38"/>
      <c r="N296" s="38"/>
      <c r="O296" s="38"/>
      <c r="P296" s="38"/>
      <c r="Q296" s="38"/>
      <c r="R296" s="38"/>
      <c r="S296" s="38"/>
      <c r="T296" s="38"/>
      <c r="U296" s="38"/>
      <c r="V296" s="38"/>
      <c r="W296" s="38"/>
      <c r="X296" s="38"/>
      <c r="Y296" s="154"/>
      <c r="AA296" s="38"/>
      <c r="AB296" s="38"/>
      <c r="AC296" s="38"/>
      <c r="AD296" s="38"/>
    </row>
    <row r="297" spans="1:30">
      <c r="A297" s="38"/>
      <c r="B297" s="38"/>
      <c r="C297" s="38"/>
      <c r="D297" s="39"/>
      <c r="E297" s="39"/>
      <c r="F297" s="38"/>
      <c r="G297" s="38"/>
      <c r="H297" s="38"/>
      <c r="I297" s="38"/>
      <c r="J297" s="38"/>
      <c r="K297" s="39"/>
      <c r="L297" s="39"/>
      <c r="M297" s="38"/>
      <c r="N297" s="38"/>
      <c r="O297" s="38"/>
      <c r="P297" s="38"/>
      <c r="Q297" s="38"/>
      <c r="R297" s="38"/>
      <c r="S297" s="38"/>
      <c r="T297" s="38"/>
      <c r="U297" s="38"/>
      <c r="V297" s="38"/>
      <c r="W297" s="38"/>
      <c r="X297" s="38"/>
      <c r="Y297" s="154"/>
      <c r="AA297" s="38"/>
      <c r="AB297" s="38"/>
      <c r="AC297" s="38"/>
      <c r="AD297" s="38"/>
    </row>
    <row r="298" spans="1:30">
      <c r="A298" s="38"/>
      <c r="B298" s="38"/>
      <c r="C298" s="38"/>
      <c r="D298" s="39"/>
      <c r="E298" s="39"/>
      <c r="F298" s="38"/>
      <c r="G298" s="38"/>
      <c r="H298" s="38"/>
      <c r="I298" s="38"/>
      <c r="J298" s="38"/>
      <c r="K298" s="39"/>
      <c r="L298" s="39"/>
      <c r="M298" s="38"/>
      <c r="N298" s="38"/>
      <c r="O298" s="38"/>
      <c r="P298" s="38"/>
      <c r="Q298" s="38"/>
      <c r="R298" s="38"/>
      <c r="S298" s="38"/>
      <c r="T298" s="38"/>
      <c r="U298" s="38"/>
      <c r="V298" s="38"/>
      <c r="W298" s="38"/>
      <c r="X298" s="38"/>
      <c r="Y298" s="154"/>
      <c r="AA298" s="38"/>
      <c r="AB298" s="38"/>
      <c r="AC298" s="38"/>
      <c r="AD298" s="38"/>
    </row>
    <row r="299" spans="1:30">
      <c r="A299" s="38"/>
      <c r="B299" s="38"/>
      <c r="C299" s="38"/>
      <c r="D299" s="39"/>
      <c r="E299" s="39"/>
      <c r="F299" s="38"/>
      <c r="G299" s="38"/>
      <c r="H299" s="38"/>
      <c r="I299" s="38"/>
      <c r="J299" s="38"/>
      <c r="K299" s="39"/>
      <c r="L299" s="39"/>
      <c r="M299" s="38"/>
      <c r="N299" s="38"/>
      <c r="O299" s="38"/>
      <c r="P299" s="38"/>
      <c r="Q299" s="38"/>
      <c r="R299" s="38"/>
      <c r="S299" s="38"/>
      <c r="T299" s="38"/>
      <c r="U299" s="38"/>
      <c r="V299" s="38"/>
      <c r="W299" s="38"/>
      <c r="X299" s="38"/>
      <c r="Y299" s="154"/>
      <c r="AA299" s="38"/>
      <c r="AB299" s="38"/>
      <c r="AC299" s="38"/>
      <c r="AD299" s="38"/>
    </row>
    <row r="300" spans="1:30">
      <c r="A300" s="38"/>
      <c r="B300" s="38"/>
      <c r="C300" s="38"/>
      <c r="D300" s="39"/>
      <c r="E300" s="39"/>
      <c r="F300" s="38"/>
      <c r="G300" s="38"/>
      <c r="H300" s="38"/>
      <c r="I300" s="38"/>
      <c r="J300" s="38"/>
      <c r="K300" s="39"/>
      <c r="L300" s="39"/>
      <c r="M300" s="38"/>
      <c r="N300" s="38"/>
      <c r="O300" s="38"/>
      <c r="P300" s="38"/>
      <c r="Q300" s="38"/>
      <c r="R300" s="38"/>
      <c r="S300" s="38"/>
      <c r="T300" s="38"/>
      <c r="U300" s="38"/>
      <c r="V300" s="38"/>
      <c r="W300" s="38"/>
      <c r="X300" s="38"/>
      <c r="Y300" s="154"/>
      <c r="AA300" s="38"/>
      <c r="AB300" s="38"/>
      <c r="AC300" s="38"/>
      <c r="AD300" s="38"/>
    </row>
    <row r="301" spans="1:30">
      <c r="A301" s="38"/>
      <c r="B301" s="38"/>
      <c r="C301" s="38"/>
      <c r="D301" s="39"/>
      <c r="E301" s="39"/>
      <c r="F301" s="38"/>
      <c r="G301" s="38"/>
      <c r="H301" s="38"/>
      <c r="I301" s="38"/>
      <c r="J301" s="38"/>
      <c r="K301" s="39"/>
      <c r="L301" s="39"/>
      <c r="M301" s="38"/>
      <c r="N301" s="38"/>
      <c r="O301" s="38"/>
      <c r="P301" s="38"/>
      <c r="Q301" s="38"/>
      <c r="R301" s="38"/>
      <c r="S301" s="38"/>
      <c r="T301" s="38"/>
      <c r="U301" s="38"/>
      <c r="V301" s="38"/>
      <c r="W301" s="38"/>
      <c r="X301" s="38"/>
      <c r="Y301" s="154"/>
      <c r="AA301" s="38"/>
      <c r="AB301" s="38"/>
      <c r="AC301" s="38"/>
      <c r="AD301" s="38"/>
    </row>
    <row r="302" spans="1:30">
      <c r="A302" s="38"/>
      <c r="B302" s="38"/>
      <c r="C302" s="38"/>
      <c r="D302" s="39"/>
      <c r="E302" s="39"/>
      <c r="F302" s="38"/>
      <c r="G302" s="38"/>
      <c r="H302" s="38"/>
      <c r="I302" s="38"/>
      <c r="J302" s="38"/>
      <c r="K302" s="39"/>
      <c r="L302" s="39"/>
      <c r="M302" s="38"/>
      <c r="N302" s="38"/>
      <c r="O302" s="38"/>
      <c r="P302" s="38"/>
      <c r="Q302" s="38"/>
      <c r="R302" s="38"/>
      <c r="S302" s="38"/>
      <c r="T302" s="38"/>
      <c r="U302" s="38"/>
      <c r="V302" s="38"/>
      <c r="W302" s="38"/>
      <c r="X302" s="38"/>
      <c r="Y302" s="154"/>
      <c r="AA302" s="38"/>
      <c r="AB302" s="38"/>
      <c r="AC302" s="38"/>
      <c r="AD302" s="38"/>
    </row>
    <row r="303" spans="1:30">
      <c r="A303" s="38"/>
      <c r="B303" s="38"/>
      <c r="C303" s="38"/>
      <c r="D303" s="39"/>
      <c r="E303" s="39"/>
      <c r="F303" s="38"/>
      <c r="G303" s="38"/>
      <c r="H303" s="38"/>
      <c r="I303" s="38"/>
      <c r="J303" s="38"/>
      <c r="K303" s="39"/>
      <c r="L303" s="39"/>
      <c r="M303" s="38"/>
      <c r="N303" s="38"/>
      <c r="O303" s="38"/>
      <c r="P303" s="38"/>
      <c r="Q303" s="38"/>
      <c r="R303" s="38"/>
      <c r="S303" s="38"/>
      <c r="T303" s="38"/>
      <c r="U303" s="38"/>
      <c r="V303" s="38"/>
      <c r="W303" s="38"/>
      <c r="X303" s="38"/>
      <c r="Y303" s="154"/>
      <c r="AA303" s="38"/>
      <c r="AB303" s="38"/>
      <c r="AC303" s="38"/>
      <c r="AD303" s="38"/>
    </row>
    <row r="304" spans="1:30">
      <c r="A304" s="38"/>
      <c r="B304" s="38"/>
      <c r="C304" s="38"/>
      <c r="D304" s="39"/>
      <c r="E304" s="39"/>
      <c r="F304" s="38"/>
      <c r="G304" s="38"/>
      <c r="H304" s="38"/>
      <c r="I304" s="38"/>
      <c r="J304" s="38"/>
      <c r="K304" s="39"/>
      <c r="L304" s="39"/>
      <c r="M304" s="38"/>
      <c r="N304" s="38"/>
      <c r="O304" s="38"/>
      <c r="P304" s="38"/>
      <c r="Q304" s="38"/>
      <c r="R304" s="38"/>
      <c r="S304" s="38"/>
      <c r="T304" s="38"/>
      <c r="U304" s="38"/>
      <c r="V304" s="38"/>
      <c r="W304" s="38"/>
      <c r="X304" s="38"/>
      <c r="Y304" s="154"/>
      <c r="AA304" s="38"/>
      <c r="AB304" s="38"/>
      <c r="AC304" s="38"/>
      <c r="AD304" s="38"/>
    </row>
    <row r="305" spans="1:30">
      <c r="A305" s="38"/>
      <c r="B305" s="38"/>
      <c r="C305" s="38"/>
      <c r="D305" s="39"/>
      <c r="E305" s="39"/>
      <c r="F305" s="38"/>
      <c r="G305" s="38"/>
      <c r="H305" s="38"/>
      <c r="I305" s="38"/>
      <c r="J305" s="38"/>
      <c r="K305" s="39"/>
      <c r="L305" s="39"/>
      <c r="M305" s="38"/>
      <c r="N305" s="38"/>
      <c r="O305" s="38"/>
      <c r="P305" s="38"/>
      <c r="Q305" s="38"/>
      <c r="R305" s="38"/>
      <c r="S305" s="38"/>
      <c r="T305" s="38"/>
      <c r="U305" s="38"/>
      <c r="V305" s="38"/>
      <c r="W305" s="38"/>
      <c r="X305" s="38"/>
      <c r="Y305" s="154"/>
      <c r="AA305" s="38"/>
      <c r="AB305" s="38"/>
      <c r="AC305" s="38"/>
      <c r="AD305" s="38"/>
    </row>
    <row r="306" spans="1:30">
      <c r="A306" s="38"/>
      <c r="B306" s="38"/>
      <c r="C306" s="38"/>
      <c r="D306" s="39"/>
      <c r="E306" s="39"/>
      <c r="F306" s="38"/>
      <c r="G306" s="38"/>
      <c r="H306" s="38"/>
      <c r="I306" s="38"/>
      <c r="J306" s="38"/>
      <c r="K306" s="39"/>
      <c r="L306" s="39"/>
      <c r="M306" s="38"/>
      <c r="N306" s="38"/>
      <c r="O306" s="38"/>
      <c r="P306" s="38"/>
      <c r="Q306" s="38"/>
      <c r="R306" s="38"/>
      <c r="S306" s="38"/>
      <c r="T306" s="38"/>
      <c r="U306" s="38"/>
      <c r="V306" s="38"/>
      <c r="W306" s="38"/>
      <c r="X306" s="38"/>
      <c r="Y306" s="154"/>
      <c r="AA306" s="38"/>
      <c r="AB306" s="38"/>
      <c r="AC306" s="38"/>
      <c r="AD306" s="38"/>
    </row>
    <row r="307" spans="1:30">
      <c r="A307" s="38"/>
      <c r="B307" s="38"/>
      <c r="C307" s="38"/>
      <c r="D307" s="39"/>
      <c r="E307" s="39"/>
      <c r="F307" s="38"/>
      <c r="G307" s="38"/>
      <c r="H307" s="38"/>
      <c r="I307" s="38"/>
      <c r="J307" s="38"/>
      <c r="K307" s="39"/>
      <c r="L307" s="39"/>
      <c r="M307" s="38"/>
      <c r="N307" s="38"/>
      <c r="O307" s="38"/>
      <c r="P307" s="38"/>
      <c r="Q307" s="38"/>
      <c r="R307" s="38"/>
      <c r="S307" s="38"/>
      <c r="T307" s="38"/>
      <c r="U307" s="38"/>
      <c r="V307" s="38"/>
      <c r="W307" s="38"/>
      <c r="X307" s="38"/>
      <c r="Y307" s="154"/>
      <c r="AA307" s="38"/>
      <c r="AB307" s="38"/>
      <c r="AC307" s="38"/>
      <c r="AD307" s="38"/>
    </row>
    <row r="308" spans="1:30">
      <c r="A308" s="38"/>
      <c r="B308" s="38"/>
      <c r="C308" s="38"/>
      <c r="D308" s="39"/>
      <c r="E308" s="39"/>
      <c r="F308" s="38"/>
      <c r="G308" s="38"/>
      <c r="H308" s="38"/>
      <c r="I308" s="38"/>
      <c r="J308" s="38"/>
      <c r="K308" s="39"/>
      <c r="L308" s="39"/>
      <c r="M308" s="38"/>
      <c r="N308" s="38"/>
      <c r="O308" s="38"/>
      <c r="P308" s="38"/>
      <c r="Q308" s="38"/>
      <c r="R308" s="38"/>
      <c r="S308" s="38"/>
      <c r="T308" s="38"/>
      <c r="U308" s="38"/>
      <c r="V308" s="38"/>
      <c r="W308" s="38"/>
      <c r="X308" s="38"/>
      <c r="Y308" s="154"/>
      <c r="AA308" s="38"/>
      <c r="AB308" s="38"/>
      <c r="AC308" s="38"/>
      <c r="AD308" s="38"/>
    </row>
    <row r="309" spans="1:30">
      <c r="A309" s="38"/>
      <c r="B309" s="38"/>
      <c r="C309" s="38"/>
      <c r="D309" s="39"/>
      <c r="E309" s="39"/>
      <c r="F309" s="38"/>
      <c r="G309" s="38"/>
      <c r="H309" s="38"/>
      <c r="I309" s="38"/>
      <c r="J309" s="38"/>
      <c r="K309" s="39"/>
      <c r="L309" s="39"/>
      <c r="M309" s="38"/>
      <c r="N309" s="38"/>
      <c r="O309" s="38"/>
      <c r="P309" s="38"/>
      <c r="Q309" s="38"/>
      <c r="R309" s="38"/>
      <c r="S309" s="38"/>
      <c r="T309" s="38"/>
      <c r="U309" s="38"/>
      <c r="V309" s="38"/>
      <c r="W309" s="38"/>
      <c r="X309" s="38"/>
      <c r="Y309" s="154"/>
      <c r="AA309" s="38"/>
      <c r="AB309" s="38"/>
      <c r="AC309" s="38"/>
      <c r="AD309" s="38"/>
    </row>
    <row r="310" spans="1:30">
      <c r="A310" s="38"/>
      <c r="B310" s="38"/>
      <c r="C310" s="38"/>
      <c r="D310" s="39"/>
      <c r="E310" s="39"/>
      <c r="F310" s="38"/>
      <c r="G310" s="38"/>
      <c r="H310" s="38"/>
      <c r="I310" s="38"/>
      <c r="J310" s="38"/>
      <c r="K310" s="39"/>
      <c r="L310" s="39"/>
      <c r="M310" s="38"/>
      <c r="N310" s="38"/>
      <c r="O310" s="38"/>
      <c r="P310" s="38"/>
      <c r="Q310" s="38"/>
      <c r="R310" s="38"/>
      <c r="S310" s="38"/>
      <c r="T310" s="38"/>
      <c r="U310" s="38"/>
      <c r="V310" s="38"/>
      <c r="W310" s="38"/>
      <c r="X310" s="38"/>
      <c r="Y310" s="154"/>
      <c r="AA310" s="38"/>
      <c r="AB310" s="38"/>
      <c r="AC310" s="38"/>
      <c r="AD310" s="38"/>
    </row>
    <row r="311" spans="1:30">
      <c r="A311" s="38"/>
      <c r="B311" s="38"/>
      <c r="C311" s="38"/>
      <c r="D311" s="39"/>
      <c r="E311" s="39"/>
      <c r="F311" s="38"/>
      <c r="G311" s="38"/>
      <c r="H311" s="38"/>
      <c r="I311" s="38"/>
      <c r="J311" s="38"/>
      <c r="K311" s="39"/>
      <c r="L311" s="39"/>
      <c r="M311" s="38"/>
      <c r="N311" s="38"/>
      <c r="O311" s="38"/>
      <c r="P311" s="38"/>
      <c r="Q311" s="38"/>
      <c r="R311" s="38"/>
      <c r="S311" s="38"/>
      <c r="T311" s="38"/>
      <c r="U311" s="38"/>
      <c r="V311" s="38"/>
      <c r="W311" s="38"/>
      <c r="X311" s="38"/>
      <c r="Y311" s="154"/>
      <c r="AA311" s="38"/>
      <c r="AB311" s="38"/>
      <c r="AC311" s="38"/>
      <c r="AD311" s="38"/>
    </row>
    <row r="312" spans="1:30">
      <c r="A312" s="38"/>
      <c r="B312" s="38"/>
      <c r="C312" s="38"/>
      <c r="D312" s="39"/>
      <c r="E312" s="39"/>
      <c r="F312" s="38"/>
      <c r="G312" s="38"/>
      <c r="H312" s="38"/>
      <c r="I312" s="38"/>
      <c r="J312" s="38"/>
      <c r="K312" s="39"/>
      <c r="L312" s="39"/>
      <c r="M312" s="38"/>
      <c r="N312" s="38"/>
      <c r="O312" s="38"/>
      <c r="P312" s="38"/>
      <c r="Q312" s="38"/>
      <c r="R312" s="38"/>
      <c r="S312" s="38"/>
      <c r="T312" s="38"/>
      <c r="U312" s="38"/>
      <c r="V312" s="38"/>
      <c r="W312" s="38"/>
      <c r="X312" s="38"/>
      <c r="Y312" s="154"/>
      <c r="AA312" s="38"/>
      <c r="AB312" s="38"/>
      <c r="AC312" s="38"/>
      <c r="AD312" s="38"/>
    </row>
    <row r="313" spans="1:30">
      <c r="A313" s="38"/>
      <c r="B313" s="38"/>
      <c r="C313" s="38"/>
      <c r="D313" s="39"/>
      <c r="E313" s="39"/>
      <c r="F313" s="38"/>
      <c r="G313" s="38"/>
      <c r="H313" s="38"/>
      <c r="I313" s="38"/>
      <c r="J313" s="38"/>
      <c r="K313" s="39"/>
      <c r="L313" s="39"/>
      <c r="M313" s="38"/>
      <c r="N313" s="38"/>
      <c r="O313" s="38"/>
      <c r="P313" s="38"/>
      <c r="Q313" s="38"/>
      <c r="R313" s="38"/>
      <c r="S313" s="38"/>
      <c r="T313" s="38"/>
      <c r="U313" s="38"/>
      <c r="V313" s="38"/>
      <c r="W313" s="38"/>
      <c r="X313" s="38"/>
      <c r="Y313" s="154"/>
      <c r="AA313" s="38"/>
      <c r="AB313" s="38"/>
      <c r="AC313" s="38"/>
      <c r="AD313" s="38"/>
    </row>
    <row r="314" spans="1:30">
      <c r="A314" s="38"/>
      <c r="B314" s="38"/>
      <c r="C314" s="38"/>
      <c r="D314" s="39"/>
      <c r="E314" s="39"/>
      <c r="F314" s="38"/>
      <c r="G314" s="38"/>
      <c r="H314" s="38"/>
      <c r="I314" s="38"/>
      <c r="J314" s="38"/>
      <c r="K314" s="39"/>
      <c r="L314" s="39"/>
      <c r="M314" s="38"/>
      <c r="N314" s="38"/>
      <c r="O314" s="38"/>
      <c r="P314" s="38"/>
      <c r="Q314" s="38"/>
      <c r="R314" s="38"/>
      <c r="S314" s="38"/>
      <c r="T314" s="38"/>
      <c r="U314" s="38"/>
      <c r="V314" s="38"/>
      <c r="W314" s="38"/>
      <c r="X314" s="38"/>
      <c r="Y314" s="154"/>
      <c r="AA314" s="38"/>
      <c r="AB314" s="38"/>
      <c r="AC314" s="38"/>
      <c r="AD314" s="38"/>
    </row>
    <row r="315" spans="1:30">
      <c r="A315" s="38"/>
      <c r="B315" s="38"/>
      <c r="C315" s="38"/>
      <c r="D315" s="39"/>
      <c r="E315" s="39"/>
      <c r="F315" s="38"/>
      <c r="G315" s="38"/>
      <c r="H315" s="38"/>
      <c r="I315" s="38"/>
      <c r="J315" s="38"/>
      <c r="K315" s="39"/>
      <c r="L315" s="39"/>
      <c r="M315" s="38"/>
      <c r="N315" s="38"/>
      <c r="O315" s="38"/>
      <c r="P315" s="38"/>
      <c r="Q315" s="38"/>
      <c r="R315" s="38"/>
      <c r="S315" s="38"/>
      <c r="T315" s="38"/>
      <c r="U315" s="38"/>
      <c r="V315" s="38"/>
      <c r="W315" s="38"/>
      <c r="X315" s="38"/>
      <c r="Y315" s="154"/>
      <c r="AA315" s="38"/>
      <c r="AB315" s="38"/>
      <c r="AC315" s="38"/>
      <c r="AD315" s="38"/>
    </row>
    <row r="316" spans="1:30">
      <c r="A316" s="38"/>
      <c r="B316" s="38"/>
      <c r="C316" s="38"/>
      <c r="D316" s="39"/>
      <c r="E316" s="39"/>
      <c r="F316" s="38"/>
      <c r="G316" s="38"/>
      <c r="H316" s="38"/>
      <c r="I316" s="38"/>
      <c r="J316" s="38"/>
      <c r="K316" s="39"/>
      <c r="L316" s="39"/>
      <c r="M316" s="38"/>
      <c r="N316" s="38"/>
      <c r="O316" s="38"/>
      <c r="P316" s="38"/>
      <c r="Q316" s="38"/>
      <c r="R316" s="38"/>
      <c r="S316" s="38"/>
      <c r="T316" s="38"/>
      <c r="U316" s="38"/>
      <c r="V316" s="38"/>
      <c r="W316" s="38"/>
      <c r="X316" s="38"/>
      <c r="Y316" s="154"/>
      <c r="AA316" s="38"/>
      <c r="AB316" s="38"/>
      <c r="AC316" s="38"/>
      <c r="AD316" s="38"/>
    </row>
    <row r="317" spans="1:30">
      <c r="A317" s="38"/>
      <c r="B317" s="38"/>
      <c r="C317" s="38"/>
      <c r="D317" s="39"/>
      <c r="E317" s="39"/>
      <c r="F317" s="38"/>
      <c r="G317" s="38"/>
      <c r="H317" s="38"/>
      <c r="I317" s="38"/>
      <c r="J317" s="38"/>
      <c r="K317" s="39"/>
      <c r="L317" s="39"/>
      <c r="M317" s="38"/>
      <c r="N317" s="38"/>
      <c r="O317" s="38"/>
      <c r="P317" s="38"/>
      <c r="Q317" s="38"/>
      <c r="R317" s="38"/>
      <c r="S317" s="38"/>
      <c r="T317" s="38"/>
      <c r="U317" s="38"/>
      <c r="V317" s="38"/>
      <c r="W317" s="38"/>
      <c r="X317" s="38"/>
      <c r="Y317" s="154"/>
      <c r="AA317" s="38"/>
      <c r="AB317" s="38"/>
      <c r="AC317" s="38"/>
      <c r="AD317" s="38"/>
    </row>
    <row r="318" spans="1:30">
      <c r="A318" s="38"/>
      <c r="B318" s="38"/>
      <c r="C318" s="38"/>
      <c r="D318" s="39"/>
      <c r="E318" s="39"/>
      <c r="F318" s="38"/>
      <c r="G318" s="38"/>
      <c r="H318" s="38"/>
      <c r="I318" s="38"/>
      <c r="J318" s="38"/>
      <c r="K318" s="39"/>
      <c r="L318" s="39"/>
      <c r="M318" s="38"/>
      <c r="N318" s="38"/>
      <c r="O318" s="38"/>
      <c r="P318" s="38"/>
      <c r="Q318" s="38"/>
      <c r="R318" s="38"/>
      <c r="S318" s="38"/>
      <c r="T318" s="38"/>
      <c r="U318" s="38"/>
      <c r="V318" s="38"/>
      <c r="W318" s="38"/>
      <c r="X318" s="38"/>
      <c r="Y318" s="154"/>
      <c r="AA318" s="38"/>
      <c r="AB318" s="38"/>
      <c r="AC318" s="38"/>
      <c r="AD318" s="38"/>
    </row>
    <row r="319" spans="1:30">
      <c r="A319" s="38"/>
      <c r="B319" s="38"/>
      <c r="C319" s="38"/>
      <c r="D319" s="39"/>
      <c r="E319" s="39"/>
      <c r="F319" s="38"/>
      <c r="G319" s="38"/>
      <c r="H319" s="38"/>
      <c r="I319" s="38"/>
      <c r="J319" s="38"/>
      <c r="K319" s="39"/>
      <c r="L319" s="39"/>
      <c r="M319" s="38"/>
      <c r="N319" s="38"/>
      <c r="O319" s="38"/>
      <c r="P319" s="38"/>
      <c r="Q319" s="38"/>
      <c r="R319" s="38"/>
      <c r="S319" s="38"/>
      <c r="T319" s="38"/>
      <c r="U319" s="38"/>
      <c r="V319" s="38"/>
      <c r="W319" s="38"/>
      <c r="X319" s="38"/>
      <c r="Y319" s="154"/>
      <c r="AA319" s="38"/>
      <c r="AB319" s="38"/>
      <c r="AC319" s="38"/>
      <c r="AD319" s="38"/>
    </row>
    <row r="320" spans="1:30">
      <c r="A320" s="38"/>
      <c r="B320" s="38"/>
      <c r="C320" s="38"/>
      <c r="D320" s="39"/>
      <c r="E320" s="39"/>
      <c r="F320" s="38"/>
      <c r="G320" s="38"/>
      <c r="H320" s="38"/>
      <c r="I320" s="38"/>
      <c r="J320" s="38"/>
      <c r="K320" s="39"/>
      <c r="L320" s="39"/>
      <c r="M320" s="38"/>
      <c r="N320" s="38"/>
      <c r="O320" s="38"/>
      <c r="P320" s="38"/>
      <c r="Q320" s="38"/>
      <c r="R320" s="38"/>
      <c r="S320" s="38"/>
      <c r="T320" s="38"/>
      <c r="U320" s="38"/>
      <c r="V320" s="38"/>
      <c r="W320" s="38"/>
      <c r="X320" s="38"/>
      <c r="Y320" s="154"/>
      <c r="AA320" s="38"/>
      <c r="AB320" s="38"/>
      <c r="AC320" s="38"/>
      <c r="AD320" s="38"/>
    </row>
    <row r="321" spans="1:30">
      <c r="A321" s="38"/>
      <c r="B321" s="38"/>
      <c r="C321" s="38"/>
      <c r="D321" s="39"/>
      <c r="E321" s="39"/>
      <c r="F321" s="38"/>
      <c r="G321" s="38"/>
      <c r="H321" s="38"/>
      <c r="I321" s="38"/>
      <c r="J321" s="38"/>
      <c r="K321" s="39"/>
      <c r="L321" s="39"/>
      <c r="M321" s="38"/>
      <c r="N321" s="38"/>
      <c r="O321" s="38"/>
      <c r="P321" s="38"/>
      <c r="Q321" s="38"/>
      <c r="R321" s="38"/>
      <c r="S321" s="38"/>
      <c r="T321" s="38"/>
      <c r="U321" s="38"/>
      <c r="V321" s="38"/>
      <c r="W321" s="38"/>
      <c r="X321" s="38"/>
      <c r="Y321" s="154"/>
      <c r="AA321" s="38"/>
      <c r="AB321" s="38"/>
      <c r="AC321" s="38"/>
      <c r="AD321" s="38"/>
    </row>
    <row r="322" spans="1:30">
      <c r="A322" s="38"/>
      <c r="B322" s="38"/>
      <c r="C322" s="38"/>
      <c r="D322" s="39"/>
      <c r="E322" s="39"/>
      <c r="F322" s="38"/>
      <c r="G322" s="38"/>
      <c r="H322" s="38"/>
      <c r="I322" s="38"/>
      <c r="J322" s="38"/>
      <c r="K322" s="39"/>
      <c r="L322" s="39"/>
      <c r="M322" s="38"/>
      <c r="N322" s="38"/>
      <c r="O322" s="38"/>
      <c r="P322" s="38"/>
      <c r="Q322" s="38"/>
      <c r="R322" s="38"/>
      <c r="S322" s="38"/>
      <c r="T322" s="38"/>
      <c r="U322" s="38"/>
      <c r="V322" s="38"/>
      <c r="W322" s="38"/>
      <c r="X322" s="38"/>
      <c r="Y322" s="154"/>
      <c r="AA322" s="38"/>
      <c r="AB322" s="38"/>
      <c r="AC322" s="38"/>
      <c r="AD322" s="38"/>
    </row>
    <row r="323" spans="1:30">
      <c r="A323" s="38"/>
      <c r="B323" s="38"/>
      <c r="C323" s="38"/>
      <c r="D323" s="39"/>
      <c r="E323" s="39"/>
      <c r="F323" s="38"/>
      <c r="G323" s="38"/>
      <c r="H323" s="38"/>
      <c r="I323" s="38"/>
      <c r="J323" s="38"/>
      <c r="K323" s="39"/>
      <c r="L323" s="39"/>
      <c r="M323" s="38"/>
      <c r="N323" s="38"/>
      <c r="O323" s="38"/>
      <c r="P323" s="38"/>
      <c r="Q323" s="38"/>
      <c r="R323" s="38"/>
      <c r="S323" s="38"/>
      <c r="T323" s="38"/>
      <c r="U323" s="38"/>
      <c r="V323" s="38"/>
      <c r="W323" s="38"/>
      <c r="X323" s="38"/>
      <c r="Y323" s="154"/>
      <c r="AA323" s="38"/>
      <c r="AB323" s="38"/>
      <c r="AC323" s="38"/>
      <c r="AD323" s="38"/>
    </row>
    <row r="324" spans="1:30">
      <c r="A324" s="38"/>
      <c r="B324" s="38"/>
      <c r="C324" s="38"/>
      <c r="D324" s="39"/>
      <c r="E324" s="39"/>
      <c r="F324" s="38"/>
      <c r="G324" s="38"/>
      <c r="H324" s="38"/>
      <c r="I324" s="38"/>
      <c r="J324" s="38"/>
      <c r="K324" s="39"/>
      <c r="L324" s="39"/>
      <c r="M324" s="38"/>
      <c r="N324" s="38"/>
      <c r="O324" s="38"/>
      <c r="P324" s="38"/>
      <c r="Q324" s="38"/>
      <c r="R324" s="38"/>
      <c r="S324" s="38"/>
      <c r="T324" s="38"/>
      <c r="U324" s="38"/>
      <c r="V324" s="38"/>
      <c r="W324" s="38"/>
      <c r="X324" s="38"/>
      <c r="Y324" s="154"/>
      <c r="AA324" s="38"/>
      <c r="AB324" s="38"/>
      <c r="AC324" s="38"/>
      <c r="AD324" s="38"/>
    </row>
    <row r="325" spans="1:30">
      <c r="A325" s="38"/>
      <c r="B325" s="38"/>
      <c r="C325" s="38"/>
      <c r="D325" s="39"/>
      <c r="E325" s="39"/>
      <c r="F325" s="38"/>
      <c r="G325" s="38"/>
      <c r="H325" s="38"/>
      <c r="I325" s="38"/>
      <c r="J325" s="38"/>
      <c r="K325" s="39"/>
      <c r="L325" s="39"/>
      <c r="M325" s="38"/>
      <c r="N325" s="38"/>
      <c r="O325" s="38"/>
      <c r="P325" s="38"/>
      <c r="Q325" s="38"/>
      <c r="R325" s="38"/>
      <c r="S325" s="38"/>
      <c r="T325" s="38"/>
      <c r="U325" s="38"/>
      <c r="V325" s="38"/>
      <c r="W325" s="38"/>
      <c r="X325" s="38"/>
      <c r="Y325" s="154"/>
      <c r="AA325" s="38"/>
      <c r="AB325" s="38"/>
      <c r="AC325" s="38"/>
      <c r="AD325" s="38"/>
    </row>
    <row r="326" spans="1:30">
      <c r="A326" s="38"/>
      <c r="B326" s="38"/>
      <c r="C326" s="38"/>
      <c r="D326" s="39"/>
      <c r="E326" s="39"/>
      <c r="F326" s="38"/>
      <c r="G326" s="38"/>
      <c r="H326" s="38"/>
      <c r="I326" s="38"/>
      <c r="J326" s="38"/>
      <c r="K326" s="39"/>
      <c r="L326" s="39"/>
      <c r="M326" s="38"/>
      <c r="N326" s="38"/>
      <c r="O326" s="38"/>
      <c r="P326" s="38"/>
      <c r="Q326" s="38"/>
      <c r="R326" s="38"/>
      <c r="S326" s="38"/>
      <c r="T326" s="38"/>
      <c r="U326" s="38"/>
      <c r="V326" s="38"/>
      <c r="W326" s="38"/>
      <c r="X326" s="38"/>
      <c r="Y326" s="154"/>
      <c r="AA326" s="38"/>
      <c r="AB326" s="38"/>
      <c r="AC326" s="38"/>
      <c r="AD326" s="38"/>
    </row>
    <row r="327" spans="1:30">
      <c r="A327" s="38"/>
      <c r="B327" s="38"/>
      <c r="C327" s="38"/>
      <c r="D327" s="39"/>
      <c r="E327" s="39"/>
      <c r="F327" s="38"/>
      <c r="G327" s="38"/>
      <c r="H327" s="38"/>
      <c r="I327" s="38"/>
      <c r="J327" s="38"/>
      <c r="K327" s="39"/>
      <c r="L327" s="39"/>
      <c r="M327" s="38"/>
      <c r="N327" s="38"/>
      <c r="O327" s="38"/>
      <c r="P327" s="38"/>
      <c r="Q327" s="38"/>
      <c r="R327" s="38"/>
      <c r="S327" s="38"/>
      <c r="T327" s="38"/>
      <c r="U327" s="38"/>
      <c r="V327" s="38"/>
      <c r="W327" s="38"/>
      <c r="X327" s="38"/>
      <c r="Y327" s="154"/>
      <c r="AA327" s="38"/>
      <c r="AB327" s="38"/>
      <c r="AC327" s="38"/>
      <c r="AD327" s="38"/>
    </row>
    <row r="328" spans="1:30">
      <c r="A328" s="38"/>
      <c r="B328" s="38"/>
      <c r="C328" s="38"/>
      <c r="D328" s="39"/>
      <c r="E328" s="39"/>
      <c r="F328" s="38"/>
      <c r="G328" s="38"/>
      <c r="H328" s="38"/>
      <c r="I328" s="38"/>
      <c r="J328" s="38"/>
      <c r="K328" s="39"/>
      <c r="L328" s="39"/>
      <c r="M328" s="38"/>
      <c r="N328" s="38"/>
      <c r="O328" s="38"/>
      <c r="P328" s="38"/>
      <c r="Q328" s="38"/>
      <c r="R328" s="38"/>
      <c r="S328" s="38"/>
      <c r="T328" s="38"/>
      <c r="U328" s="38"/>
      <c r="V328" s="38"/>
      <c r="W328" s="38"/>
      <c r="X328" s="38"/>
      <c r="Y328" s="154"/>
      <c r="AA328" s="38"/>
      <c r="AB328" s="38"/>
      <c r="AC328" s="38"/>
      <c r="AD328" s="38"/>
    </row>
    <row r="329" spans="1:30">
      <c r="A329" s="38"/>
      <c r="B329" s="38"/>
      <c r="C329" s="38"/>
      <c r="D329" s="39"/>
      <c r="E329" s="39"/>
      <c r="F329" s="38"/>
      <c r="G329" s="38"/>
      <c r="H329" s="38"/>
      <c r="I329" s="38"/>
      <c r="J329" s="38"/>
      <c r="K329" s="39"/>
      <c r="L329" s="39"/>
      <c r="M329" s="38"/>
      <c r="N329" s="38"/>
      <c r="O329" s="38"/>
      <c r="P329" s="38"/>
      <c r="Q329" s="38"/>
      <c r="R329" s="38"/>
      <c r="S329" s="38"/>
      <c r="T329" s="38"/>
      <c r="U329" s="38"/>
      <c r="V329" s="38"/>
      <c r="W329" s="38"/>
      <c r="X329" s="38"/>
      <c r="Y329" s="154"/>
      <c r="AA329" s="38"/>
      <c r="AB329" s="38"/>
      <c r="AC329" s="38"/>
      <c r="AD329" s="38"/>
    </row>
    <row r="330" spans="1:30">
      <c r="A330" s="38"/>
      <c r="B330" s="38"/>
      <c r="C330" s="38"/>
      <c r="D330" s="39"/>
      <c r="E330" s="39"/>
      <c r="F330" s="38"/>
      <c r="G330" s="38"/>
      <c r="H330" s="38"/>
      <c r="I330" s="38"/>
      <c r="J330" s="38"/>
      <c r="K330" s="39"/>
      <c r="L330" s="39"/>
      <c r="M330" s="38"/>
      <c r="N330" s="38"/>
      <c r="O330" s="38"/>
      <c r="P330" s="38"/>
      <c r="Q330" s="38"/>
      <c r="R330" s="38"/>
      <c r="S330" s="38"/>
      <c r="T330" s="38"/>
      <c r="U330" s="38"/>
      <c r="V330" s="38"/>
      <c r="W330" s="38"/>
      <c r="X330" s="38"/>
      <c r="Y330" s="154"/>
      <c r="AA330" s="38"/>
      <c r="AB330" s="38"/>
      <c r="AC330" s="38"/>
      <c r="AD330" s="38"/>
    </row>
    <row r="331" spans="1:30">
      <c r="A331" s="38"/>
      <c r="B331" s="38"/>
      <c r="C331" s="38"/>
      <c r="D331" s="39"/>
      <c r="E331" s="39"/>
      <c r="F331" s="38"/>
      <c r="G331" s="38"/>
      <c r="H331" s="38"/>
      <c r="I331" s="38"/>
      <c r="J331" s="38"/>
      <c r="K331" s="39"/>
      <c r="L331" s="39"/>
      <c r="M331" s="38"/>
      <c r="N331" s="38"/>
      <c r="O331" s="38"/>
      <c r="P331" s="38"/>
      <c r="Q331" s="38"/>
      <c r="R331" s="38"/>
      <c r="S331" s="38"/>
      <c r="T331" s="38"/>
      <c r="U331" s="38"/>
      <c r="V331" s="38"/>
      <c r="W331" s="38"/>
      <c r="X331" s="38"/>
      <c r="Y331" s="154"/>
      <c r="AA331" s="38"/>
      <c r="AB331" s="38"/>
      <c r="AC331" s="38"/>
      <c r="AD331" s="38"/>
    </row>
    <row r="332" spans="1:30">
      <c r="A332" s="38"/>
      <c r="B332" s="38"/>
      <c r="C332" s="38"/>
      <c r="D332" s="39"/>
      <c r="E332" s="39"/>
      <c r="F332" s="38"/>
      <c r="G332" s="38"/>
      <c r="H332" s="38"/>
      <c r="I332" s="38"/>
      <c r="J332" s="38"/>
      <c r="K332" s="39"/>
      <c r="L332" s="39"/>
      <c r="M332" s="38"/>
      <c r="N332" s="38"/>
      <c r="O332" s="38"/>
      <c r="P332" s="38"/>
      <c r="Q332" s="38"/>
      <c r="R332" s="38"/>
      <c r="S332" s="38"/>
      <c r="T332" s="38"/>
      <c r="U332" s="38"/>
      <c r="V332" s="38"/>
      <c r="W332" s="38"/>
      <c r="X332" s="38"/>
      <c r="Y332" s="154"/>
      <c r="AA332" s="38"/>
      <c r="AB332" s="38"/>
      <c r="AC332" s="38"/>
      <c r="AD332" s="38"/>
    </row>
    <row r="333" spans="1:30">
      <c r="A333" s="38"/>
      <c r="B333" s="38"/>
      <c r="C333" s="38"/>
      <c r="D333" s="39"/>
      <c r="E333" s="39"/>
      <c r="F333" s="38"/>
      <c r="G333" s="38"/>
      <c r="H333" s="38"/>
      <c r="I333" s="38"/>
      <c r="J333" s="38"/>
      <c r="K333" s="39"/>
      <c r="L333" s="39"/>
      <c r="M333" s="38"/>
      <c r="N333" s="38"/>
      <c r="O333" s="38"/>
      <c r="P333" s="38"/>
      <c r="Q333" s="38"/>
      <c r="R333" s="38"/>
      <c r="S333" s="38"/>
      <c r="T333" s="38"/>
      <c r="U333" s="38"/>
      <c r="V333" s="38"/>
      <c r="W333" s="38"/>
      <c r="X333" s="38"/>
      <c r="Y333" s="154"/>
      <c r="AA333" s="38"/>
      <c r="AB333" s="38"/>
      <c r="AC333" s="38"/>
      <c r="AD333" s="38"/>
    </row>
    <row r="334" spans="1:30">
      <c r="A334" s="38"/>
      <c r="B334" s="38"/>
      <c r="C334" s="38"/>
      <c r="D334" s="39"/>
      <c r="E334" s="39"/>
      <c r="F334" s="38"/>
      <c r="G334" s="38"/>
      <c r="H334" s="38"/>
      <c r="I334" s="38"/>
      <c r="J334" s="38"/>
      <c r="K334" s="39"/>
      <c r="L334" s="39"/>
      <c r="M334" s="38"/>
      <c r="N334" s="38"/>
      <c r="O334" s="38"/>
      <c r="P334" s="38"/>
      <c r="Q334" s="38"/>
      <c r="R334" s="38"/>
      <c r="S334" s="38"/>
      <c r="T334" s="38"/>
      <c r="U334" s="38"/>
      <c r="V334" s="38"/>
      <c r="W334" s="38"/>
      <c r="X334" s="38"/>
      <c r="Y334" s="154"/>
      <c r="AA334" s="38"/>
      <c r="AB334" s="38"/>
      <c r="AC334" s="38"/>
      <c r="AD334" s="38"/>
    </row>
    <row r="335" spans="1:30">
      <c r="A335" s="38"/>
      <c r="B335" s="38"/>
      <c r="C335" s="38"/>
      <c r="D335" s="39"/>
      <c r="E335" s="39"/>
      <c r="F335" s="38"/>
      <c r="G335" s="38"/>
      <c r="H335" s="38"/>
      <c r="I335" s="38"/>
      <c r="J335" s="38"/>
      <c r="K335" s="39"/>
      <c r="L335" s="39"/>
      <c r="M335" s="38"/>
      <c r="N335" s="38"/>
      <c r="O335" s="38"/>
      <c r="P335" s="38"/>
      <c r="Q335" s="38"/>
      <c r="R335" s="38"/>
      <c r="S335" s="38"/>
      <c r="T335" s="38"/>
      <c r="U335" s="38"/>
      <c r="V335" s="38"/>
      <c r="W335" s="38"/>
      <c r="X335" s="38"/>
      <c r="Y335" s="154"/>
      <c r="AA335" s="38"/>
      <c r="AB335" s="38"/>
      <c r="AC335" s="38"/>
      <c r="AD335" s="38"/>
    </row>
    <row r="336" spans="1:30">
      <c r="A336" s="38"/>
      <c r="B336" s="38"/>
      <c r="C336" s="38"/>
      <c r="D336" s="39"/>
      <c r="E336" s="39"/>
      <c r="F336" s="38"/>
      <c r="G336" s="38"/>
      <c r="H336" s="38"/>
      <c r="I336" s="38"/>
      <c r="J336" s="38"/>
      <c r="K336" s="39"/>
      <c r="L336" s="39"/>
      <c r="M336" s="38"/>
      <c r="N336" s="38"/>
      <c r="O336" s="38"/>
      <c r="P336" s="38"/>
      <c r="Q336" s="38"/>
      <c r="R336" s="38"/>
      <c r="S336" s="38"/>
      <c r="T336" s="38"/>
      <c r="U336" s="38"/>
      <c r="V336" s="38"/>
      <c r="W336" s="38"/>
      <c r="X336" s="38"/>
      <c r="Y336" s="154"/>
      <c r="AA336" s="38"/>
      <c r="AB336" s="38"/>
      <c r="AC336" s="38"/>
      <c r="AD336" s="38"/>
    </row>
    <row r="337" spans="1:30">
      <c r="A337" s="38"/>
      <c r="B337" s="38"/>
      <c r="C337" s="38"/>
      <c r="D337" s="39"/>
      <c r="E337" s="39"/>
      <c r="F337" s="38"/>
      <c r="G337" s="38"/>
      <c r="H337" s="38"/>
      <c r="I337" s="38"/>
      <c r="J337" s="38"/>
      <c r="K337" s="39"/>
      <c r="L337" s="39"/>
      <c r="M337" s="38"/>
      <c r="N337" s="38"/>
      <c r="O337" s="38"/>
      <c r="P337" s="38"/>
      <c r="Q337" s="38"/>
      <c r="R337" s="38"/>
      <c r="S337" s="38"/>
      <c r="T337" s="38"/>
      <c r="U337" s="38"/>
      <c r="V337" s="38"/>
      <c r="W337" s="38"/>
      <c r="X337" s="38"/>
      <c r="Y337" s="154"/>
      <c r="AA337" s="38"/>
      <c r="AB337" s="38"/>
      <c r="AC337" s="38"/>
      <c r="AD337" s="38"/>
    </row>
    <row r="338" spans="1:30">
      <c r="A338" s="38"/>
      <c r="B338" s="38"/>
      <c r="C338" s="38"/>
      <c r="D338" s="39"/>
      <c r="E338" s="39"/>
      <c r="F338" s="38"/>
      <c r="G338" s="38"/>
      <c r="H338" s="38"/>
      <c r="I338" s="38"/>
      <c r="J338" s="38"/>
      <c r="K338" s="39"/>
      <c r="L338" s="39"/>
      <c r="M338" s="38"/>
      <c r="N338" s="38"/>
      <c r="O338" s="38"/>
      <c r="P338" s="38"/>
      <c r="Q338" s="38"/>
      <c r="R338" s="38"/>
      <c r="S338" s="38"/>
      <c r="T338" s="38"/>
      <c r="U338" s="38"/>
      <c r="V338" s="38"/>
      <c r="W338" s="38"/>
      <c r="X338" s="38"/>
      <c r="Y338" s="154"/>
      <c r="AA338" s="38"/>
      <c r="AB338" s="38"/>
      <c r="AC338" s="38"/>
      <c r="AD338" s="38"/>
    </row>
    <row r="339" spans="1:30">
      <c r="A339" s="38"/>
      <c r="B339" s="38"/>
      <c r="C339" s="38"/>
      <c r="D339" s="39"/>
      <c r="E339" s="39"/>
      <c r="F339" s="38"/>
      <c r="G339" s="38"/>
      <c r="H339" s="38"/>
      <c r="I339" s="38"/>
      <c r="J339" s="38"/>
      <c r="K339" s="39"/>
      <c r="L339" s="39"/>
      <c r="M339" s="38"/>
      <c r="N339" s="38"/>
      <c r="O339" s="38"/>
      <c r="P339" s="38"/>
      <c r="Q339" s="38"/>
      <c r="R339" s="38"/>
      <c r="S339" s="38"/>
      <c r="T339" s="38"/>
      <c r="U339" s="38"/>
      <c r="V339" s="38"/>
      <c r="W339" s="38"/>
      <c r="X339" s="38"/>
      <c r="Y339" s="154"/>
      <c r="AA339" s="38"/>
      <c r="AB339" s="38"/>
      <c r="AC339" s="38"/>
      <c r="AD339" s="38"/>
    </row>
    <row r="340" spans="1:30">
      <c r="A340" s="38"/>
      <c r="B340" s="38"/>
      <c r="C340" s="38"/>
      <c r="D340" s="39"/>
      <c r="E340" s="39"/>
      <c r="F340" s="38"/>
      <c r="G340" s="38"/>
      <c r="H340" s="38"/>
      <c r="I340" s="38"/>
      <c r="J340" s="38"/>
      <c r="K340" s="39"/>
      <c r="L340" s="39"/>
      <c r="M340" s="38"/>
      <c r="N340" s="38"/>
      <c r="O340" s="38"/>
      <c r="P340" s="38"/>
      <c r="Q340" s="38"/>
      <c r="R340" s="38"/>
      <c r="S340" s="38"/>
      <c r="T340" s="38"/>
      <c r="U340" s="38"/>
      <c r="V340" s="38"/>
      <c r="W340" s="38"/>
      <c r="X340" s="38"/>
      <c r="Y340" s="154"/>
      <c r="AA340" s="38"/>
      <c r="AB340" s="38"/>
      <c r="AC340" s="38"/>
      <c r="AD340" s="38"/>
    </row>
    <row r="341" spans="1:30">
      <c r="A341" s="38"/>
      <c r="B341" s="38"/>
      <c r="C341" s="38"/>
      <c r="D341" s="39"/>
      <c r="E341" s="39"/>
      <c r="F341" s="38"/>
      <c r="G341" s="38"/>
      <c r="H341" s="38"/>
      <c r="I341" s="38"/>
      <c r="J341" s="38"/>
      <c r="K341" s="39"/>
      <c r="L341" s="39"/>
      <c r="M341" s="38"/>
      <c r="N341" s="38"/>
      <c r="O341" s="38"/>
      <c r="P341" s="38"/>
      <c r="Q341" s="38"/>
      <c r="R341" s="38"/>
      <c r="S341" s="38"/>
      <c r="T341" s="38"/>
      <c r="U341" s="38"/>
      <c r="V341" s="38"/>
      <c r="W341" s="38"/>
      <c r="X341" s="38"/>
      <c r="Y341" s="154"/>
      <c r="AA341" s="38"/>
      <c r="AB341" s="38"/>
      <c r="AC341" s="38"/>
      <c r="AD341" s="38"/>
    </row>
    <row r="342" spans="1:30">
      <c r="A342" s="38"/>
      <c r="B342" s="38"/>
      <c r="C342" s="38"/>
      <c r="D342" s="39"/>
      <c r="E342" s="39"/>
      <c r="F342" s="38"/>
      <c r="G342" s="38"/>
      <c r="H342" s="38"/>
      <c r="I342" s="38"/>
      <c r="J342" s="38"/>
      <c r="K342" s="39"/>
      <c r="L342" s="39"/>
      <c r="M342" s="38"/>
      <c r="N342" s="38"/>
      <c r="O342" s="38"/>
      <c r="P342" s="38"/>
      <c r="Q342" s="38"/>
      <c r="R342" s="38"/>
      <c r="S342" s="38"/>
      <c r="T342" s="38"/>
      <c r="U342" s="38"/>
      <c r="V342" s="38"/>
      <c r="W342" s="38"/>
      <c r="X342" s="38"/>
      <c r="Y342" s="154"/>
      <c r="AA342" s="38"/>
      <c r="AB342" s="38"/>
      <c r="AC342" s="38"/>
      <c r="AD342" s="38"/>
    </row>
    <row r="343" spans="1:30">
      <c r="A343" s="38"/>
      <c r="B343" s="38"/>
      <c r="C343" s="38"/>
      <c r="D343" s="39"/>
      <c r="E343" s="39"/>
      <c r="F343" s="38"/>
      <c r="G343" s="38"/>
      <c r="H343" s="38"/>
      <c r="I343" s="38"/>
      <c r="J343" s="38"/>
      <c r="K343" s="39"/>
      <c r="L343" s="39"/>
      <c r="M343" s="38"/>
      <c r="N343" s="38"/>
      <c r="O343" s="38"/>
      <c r="P343" s="38"/>
      <c r="Q343" s="38"/>
      <c r="R343" s="38"/>
      <c r="S343" s="38"/>
      <c r="T343" s="38"/>
      <c r="U343" s="38"/>
      <c r="V343" s="38"/>
      <c r="W343" s="38"/>
      <c r="X343" s="38"/>
      <c r="Y343" s="154"/>
      <c r="AA343" s="38"/>
      <c r="AB343" s="38"/>
      <c r="AC343" s="38"/>
      <c r="AD343" s="38"/>
    </row>
    <row r="344" spans="1:30">
      <c r="A344" s="38"/>
      <c r="B344" s="38"/>
      <c r="C344" s="38"/>
      <c r="D344" s="39"/>
      <c r="E344" s="39"/>
      <c r="F344" s="38"/>
      <c r="G344" s="38"/>
      <c r="H344" s="38"/>
      <c r="I344" s="38"/>
      <c r="J344" s="38"/>
      <c r="K344" s="39"/>
      <c r="L344" s="39"/>
      <c r="M344" s="38"/>
      <c r="N344" s="38"/>
      <c r="O344" s="38"/>
      <c r="P344" s="38"/>
      <c r="Q344" s="38"/>
      <c r="R344" s="38"/>
      <c r="S344" s="38"/>
      <c r="T344" s="38"/>
      <c r="U344" s="38"/>
      <c r="V344" s="38"/>
      <c r="W344" s="38"/>
      <c r="X344" s="38"/>
      <c r="Y344" s="154"/>
      <c r="AA344" s="38"/>
      <c r="AB344" s="38"/>
      <c r="AC344" s="38"/>
      <c r="AD344" s="38"/>
    </row>
    <row r="345" spans="1:30">
      <c r="A345" s="38"/>
      <c r="B345" s="38"/>
      <c r="C345" s="38"/>
      <c r="D345" s="39"/>
      <c r="E345" s="39"/>
      <c r="F345" s="38"/>
      <c r="G345" s="38"/>
      <c r="H345" s="38"/>
      <c r="I345" s="38"/>
      <c r="J345" s="38"/>
      <c r="K345" s="39"/>
      <c r="L345" s="39"/>
      <c r="M345" s="38"/>
      <c r="N345" s="38"/>
      <c r="O345" s="38"/>
      <c r="P345" s="38"/>
      <c r="Q345" s="38"/>
      <c r="R345" s="38"/>
      <c r="S345" s="38"/>
      <c r="T345" s="38"/>
      <c r="U345" s="38"/>
      <c r="V345" s="38"/>
      <c r="W345" s="38"/>
      <c r="X345" s="38"/>
      <c r="Y345" s="154"/>
      <c r="AA345" s="38"/>
      <c r="AB345" s="38"/>
      <c r="AC345" s="38"/>
      <c r="AD345" s="38"/>
    </row>
    <row r="346" spans="1:30">
      <c r="A346" s="38"/>
      <c r="B346" s="38"/>
      <c r="C346" s="38"/>
      <c r="D346" s="39"/>
      <c r="E346" s="39"/>
      <c r="F346" s="38"/>
      <c r="G346" s="38"/>
      <c r="H346" s="38"/>
      <c r="I346" s="38"/>
      <c r="J346" s="38"/>
      <c r="K346" s="39"/>
      <c r="L346" s="39"/>
      <c r="M346" s="38"/>
      <c r="N346" s="38"/>
      <c r="O346" s="38"/>
      <c r="P346" s="38"/>
      <c r="Q346" s="38"/>
      <c r="R346" s="38"/>
      <c r="S346" s="38"/>
      <c r="T346" s="38"/>
      <c r="U346" s="38"/>
      <c r="V346" s="38"/>
      <c r="W346" s="38"/>
      <c r="X346" s="38"/>
      <c r="Y346" s="154"/>
      <c r="AA346" s="38"/>
      <c r="AB346" s="38"/>
      <c r="AC346" s="38"/>
      <c r="AD346" s="38"/>
    </row>
    <row r="347" spans="1:30">
      <c r="A347" s="38"/>
      <c r="B347" s="38"/>
      <c r="C347" s="38"/>
      <c r="D347" s="39"/>
      <c r="E347" s="39"/>
      <c r="F347" s="38"/>
      <c r="G347" s="38"/>
      <c r="H347" s="38"/>
      <c r="I347" s="38"/>
      <c r="J347" s="38"/>
      <c r="K347" s="39"/>
      <c r="L347" s="39"/>
      <c r="M347" s="38"/>
      <c r="N347" s="38"/>
      <c r="O347" s="38"/>
      <c r="P347" s="38"/>
      <c r="Q347" s="38"/>
      <c r="R347" s="38"/>
      <c r="S347" s="38"/>
      <c r="T347" s="38"/>
      <c r="U347" s="38"/>
      <c r="V347" s="38"/>
      <c r="W347" s="38"/>
      <c r="X347" s="38"/>
      <c r="Y347" s="154"/>
      <c r="AA347" s="38"/>
      <c r="AB347" s="38"/>
      <c r="AC347" s="38"/>
      <c r="AD347" s="38"/>
    </row>
    <row r="348" spans="1:30">
      <c r="A348" s="38"/>
      <c r="B348" s="38"/>
      <c r="C348" s="38"/>
      <c r="D348" s="39"/>
      <c r="E348" s="39"/>
      <c r="F348" s="38"/>
      <c r="G348" s="38"/>
      <c r="H348" s="38"/>
      <c r="I348" s="38"/>
      <c r="J348" s="38"/>
      <c r="K348" s="39"/>
      <c r="L348" s="39"/>
      <c r="M348" s="38"/>
      <c r="N348" s="38"/>
      <c r="O348" s="38"/>
      <c r="P348" s="38"/>
      <c r="Q348" s="38"/>
      <c r="R348" s="38"/>
      <c r="S348" s="38"/>
      <c r="T348" s="38"/>
      <c r="U348" s="38"/>
      <c r="V348" s="38"/>
      <c r="W348" s="38"/>
      <c r="X348" s="38"/>
      <c r="Y348" s="154"/>
      <c r="AA348" s="38"/>
      <c r="AB348" s="38"/>
      <c r="AC348" s="38"/>
      <c r="AD348" s="38"/>
    </row>
    <row r="349" spans="1:30">
      <c r="A349" s="38"/>
      <c r="B349" s="38"/>
      <c r="C349" s="38"/>
      <c r="D349" s="39"/>
      <c r="E349" s="39"/>
      <c r="F349" s="38"/>
      <c r="G349" s="38"/>
      <c r="H349" s="38"/>
      <c r="I349" s="38"/>
      <c r="J349" s="38"/>
      <c r="K349" s="39"/>
      <c r="L349" s="39"/>
      <c r="M349" s="38"/>
      <c r="N349" s="38"/>
      <c r="O349" s="38"/>
      <c r="P349" s="38"/>
      <c r="Q349" s="38"/>
      <c r="R349" s="38"/>
      <c r="S349" s="38"/>
      <c r="T349" s="38"/>
      <c r="U349" s="38"/>
      <c r="V349" s="38"/>
      <c r="W349" s="38"/>
      <c r="X349" s="38"/>
      <c r="Y349" s="154"/>
      <c r="AA349" s="38"/>
      <c r="AB349" s="38"/>
      <c r="AC349" s="38"/>
      <c r="AD349" s="38"/>
    </row>
    <row r="350" spans="1:30">
      <c r="A350" s="38"/>
      <c r="B350" s="38"/>
      <c r="C350" s="38"/>
      <c r="D350" s="39"/>
      <c r="E350" s="39"/>
      <c r="F350" s="38"/>
      <c r="G350" s="38"/>
      <c r="H350" s="38"/>
      <c r="I350" s="38"/>
      <c r="J350" s="38"/>
      <c r="K350" s="39"/>
      <c r="L350" s="39"/>
      <c r="M350" s="38"/>
      <c r="N350" s="38"/>
      <c r="O350" s="38"/>
      <c r="P350" s="38"/>
      <c r="Q350" s="38"/>
      <c r="R350" s="38"/>
      <c r="S350" s="38"/>
      <c r="T350" s="38"/>
      <c r="U350" s="38"/>
      <c r="V350" s="38"/>
      <c r="W350" s="38"/>
      <c r="X350" s="38"/>
      <c r="Y350" s="154"/>
      <c r="AA350" s="38"/>
      <c r="AB350" s="38"/>
      <c r="AC350" s="38"/>
      <c r="AD350" s="38"/>
    </row>
    <row r="351" spans="1:30">
      <c r="A351" s="38"/>
      <c r="B351" s="38"/>
      <c r="C351" s="38"/>
      <c r="D351" s="39"/>
      <c r="E351" s="39"/>
      <c r="F351" s="38"/>
      <c r="G351" s="38"/>
      <c r="H351" s="38"/>
      <c r="I351" s="38"/>
      <c r="J351" s="38"/>
      <c r="K351" s="39"/>
      <c r="L351" s="39"/>
      <c r="M351" s="38"/>
      <c r="N351" s="38"/>
      <c r="O351" s="38"/>
      <c r="P351" s="38"/>
      <c r="Q351" s="38"/>
      <c r="R351" s="38"/>
      <c r="S351" s="38"/>
      <c r="T351" s="38"/>
      <c r="U351" s="38"/>
      <c r="V351" s="38"/>
      <c r="W351" s="38"/>
      <c r="X351" s="38"/>
      <c r="Y351" s="154"/>
      <c r="AA351" s="38"/>
      <c r="AB351" s="38"/>
      <c r="AC351" s="38"/>
      <c r="AD351" s="38"/>
    </row>
    <row r="352" spans="1:30">
      <c r="A352" s="38"/>
      <c r="B352" s="38"/>
      <c r="C352" s="38"/>
      <c r="D352" s="39"/>
      <c r="E352" s="39"/>
      <c r="F352" s="38"/>
      <c r="G352" s="38"/>
      <c r="H352" s="38"/>
      <c r="I352" s="38"/>
      <c r="J352" s="38"/>
      <c r="K352" s="39"/>
      <c r="L352" s="39"/>
      <c r="M352" s="38"/>
      <c r="N352" s="38"/>
      <c r="O352" s="38"/>
      <c r="P352" s="38"/>
      <c r="Q352" s="38"/>
      <c r="R352" s="38"/>
      <c r="S352" s="38"/>
      <c r="T352" s="38"/>
      <c r="U352" s="38"/>
      <c r="V352" s="38"/>
      <c r="W352" s="38"/>
      <c r="X352" s="38"/>
      <c r="Y352" s="154"/>
      <c r="AA352" s="38"/>
      <c r="AB352" s="38"/>
      <c r="AC352" s="38"/>
      <c r="AD352" s="38"/>
    </row>
    <row r="353" spans="1:30">
      <c r="A353" s="38"/>
      <c r="B353" s="38"/>
      <c r="C353" s="38"/>
      <c r="D353" s="39"/>
      <c r="E353" s="39"/>
      <c r="F353" s="38"/>
      <c r="G353" s="38"/>
      <c r="H353" s="38"/>
      <c r="I353" s="38"/>
      <c r="J353" s="38"/>
      <c r="K353" s="39"/>
      <c r="L353" s="39"/>
      <c r="M353" s="38"/>
      <c r="N353" s="38"/>
      <c r="O353" s="38"/>
      <c r="P353" s="38"/>
      <c r="Q353" s="38"/>
      <c r="R353" s="38"/>
      <c r="S353" s="38"/>
      <c r="T353" s="38"/>
      <c r="U353" s="38"/>
      <c r="V353" s="38"/>
      <c r="W353" s="38"/>
      <c r="X353" s="38"/>
      <c r="Y353" s="154"/>
      <c r="AA353" s="38"/>
      <c r="AB353" s="38"/>
      <c r="AC353" s="38"/>
      <c r="AD353" s="38"/>
    </row>
    <row r="354" spans="1:30">
      <c r="A354" s="38"/>
      <c r="B354" s="38"/>
      <c r="C354" s="38"/>
      <c r="D354" s="39"/>
      <c r="E354" s="39"/>
      <c r="F354" s="38"/>
      <c r="G354" s="38"/>
      <c r="H354" s="38"/>
      <c r="I354" s="38"/>
      <c r="J354" s="38"/>
      <c r="K354" s="39"/>
      <c r="L354" s="39"/>
      <c r="M354" s="38"/>
      <c r="N354" s="38"/>
      <c r="O354" s="38"/>
      <c r="P354" s="38"/>
      <c r="Q354" s="38"/>
      <c r="R354" s="38"/>
      <c r="S354" s="38"/>
      <c r="T354" s="38"/>
      <c r="U354" s="38"/>
      <c r="V354" s="38"/>
      <c r="W354" s="38"/>
      <c r="X354" s="38"/>
      <c r="Y354" s="154"/>
      <c r="AA354" s="38"/>
      <c r="AB354" s="38"/>
      <c r="AC354" s="38"/>
      <c r="AD354" s="38"/>
    </row>
    <row r="355" spans="1:30">
      <c r="A355" s="38"/>
      <c r="B355" s="38"/>
      <c r="C355" s="38"/>
      <c r="D355" s="39"/>
      <c r="E355" s="39"/>
      <c r="F355" s="38"/>
      <c r="G355" s="38"/>
      <c r="H355" s="38"/>
      <c r="I355" s="38"/>
      <c r="J355" s="38"/>
      <c r="K355" s="39"/>
      <c r="L355" s="39"/>
      <c r="M355" s="38"/>
      <c r="N355" s="38"/>
      <c r="O355" s="38"/>
      <c r="P355" s="38"/>
      <c r="Q355" s="38"/>
      <c r="R355" s="38"/>
      <c r="S355" s="38"/>
      <c r="T355" s="38"/>
      <c r="U355" s="38"/>
      <c r="V355" s="38"/>
      <c r="W355" s="38"/>
      <c r="X355" s="38"/>
      <c r="Y355" s="154"/>
      <c r="AA355" s="38"/>
      <c r="AB355" s="38"/>
      <c r="AC355" s="38"/>
      <c r="AD355" s="38"/>
    </row>
    <row r="356" spans="1:30">
      <c r="A356" s="38"/>
      <c r="B356" s="38"/>
      <c r="C356" s="38"/>
      <c r="D356" s="39"/>
      <c r="E356" s="39"/>
      <c r="F356" s="38"/>
      <c r="G356" s="38"/>
      <c r="H356" s="38"/>
      <c r="I356" s="38"/>
      <c r="J356" s="38"/>
      <c r="K356" s="39"/>
      <c r="L356" s="39"/>
      <c r="M356" s="38"/>
      <c r="N356" s="38"/>
      <c r="O356" s="38"/>
      <c r="P356" s="38"/>
      <c r="Q356" s="38"/>
      <c r="R356" s="38"/>
      <c r="S356" s="38"/>
      <c r="T356" s="38"/>
      <c r="U356" s="38"/>
      <c r="V356" s="38"/>
      <c r="W356" s="38"/>
      <c r="X356" s="38"/>
      <c r="Y356" s="154"/>
      <c r="AA356" s="38"/>
      <c r="AB356" s="38"/>
      <c r="AC356" s="38"/>
      <c r="AD356" s="38"/>
    </row>
    <row r="357" spans="1:30">
      <c r="A357" s="38"/>
      <c r="B357" s="38"/>
      <c r="C357" s="38"/>
      <c r="D357" s="39"/>
      <c r="E357" s="39"/>
      <c r="F357" s="38"/>
      <c r="G357" s="38"/>
      <c r="H357" s="38"/>
      <c r="I357" s="38"/>
      <c r="J357" s="38"/>
      <c r="K357" s="39"/>
      <c r="L357" s="39"/>
      <c r="M357" s="38"/>
      <c r="N357" s="38"/>
      <c r="O357" s="38"/>
      <c r="P357" s="38"/>
      <c r="Q357" s="38"/>
      <c r="R357" s="38"/>
      <c r="S357" s="38"/>
      <c r="T357" s="38"/>
      <c r="U357" s="38"/>
      <c r="V357" s="38"/>
      <c r="W357" s="38"/>
      <c r="X357" s="38"/>
      <c r="Y357" s="154"/>
      <c r="AA357" s="38"/>
      <c r="AB357" s="38"/>
      <c r="AC357" s="38"/>
      <c r="AD357" s="38"/>
    </row>
    <row r="358" spans="1:30">
      <c r="A358" s="38"/>
      <c r="B358" s="38"/>
      <c r="C358" s="38"/>
      <c r="D358" s="39"/>
      <c r="E358" s="39"/>
      <c r="F358" s="38"/>
      <c r="G358" s="38"/>
      <c r="H358" s="38"/>
      <c r="I358" s="38"/>
      <c r="J358" s="38"/>
      <c r="K358" s="39"/>
      <c r="L358" s="39"/>
      <c r="M358" s="38"/>
      <c r="N358" s="38"/>
      <c r="O358" s="38"/>
      <c r="P358" s="38"/>
      <c r="Q358" s="38"/>
      <c r="R358" s="38"/>
      <c r="S358" s="38"/>
      <c r="T358" s="38"/>
      <c r="U358" s="38"/>
      <c r="V358" s="38"/>
      <c r="W358" s="38"/>
      <c r="X358" s="38"/>
      <c r="Y358" s="154"/>
      <c r="AA358" s="38"/>
      <c r="AB358" s="38"/>
      <c r="AC358" s="38"/>
      <c r="AD358" s="38"/>
    </row>
    <row r="359" spans="1:30">
      <c r="A359" s="38"/>
      <c r="B359" s="38"/>
      <c r="C359" s="38"/>
      <c r="D359" s="39"/>
      <c r="E359" s="39"/>
      <c r="F359" s="38"/>
      <c r="G359" s="38"/>
      <c r="H359" s="38"/>
      <c r="I359" s="38"/>
      <c r="J359" s="38"/>
      <c r="K359" s="39"/>
      <c r="L359" s="39"/>
      <c r="M359" s="38"/>
      <c r="N359" s="38"/>
      <c r="O359" s="38"/>
      <c r="P359" s="38"/>
      <c r="Q359" s="38"/>
      <c r="R359" s="38"/>
      <c r="S359" s="38"/>
      <c r="T359" s="38"/>
      <c r="U359" s="38"/>
      <c r="V359" s="38"/>
      <c r="W359" s="38"/>
      <c r="X359" s="38"/>
      <c r="Y359" s="154"/>
      <c r="AA359" s="38"/>
      <c r="AB359" s="38"/>
      <c r="AC359" s="38"/>
      <c r="AD359" s="38"/>
    </row>
    <row r="360" spans="1:30">
      <c r="A360" s="38"/>
      <c r="B360" s="38"/>
      <c r="C360" s="38"/>
      <c r="D360" s="39"/>
      <c r="E360" s="39"/>
      <c r="F360" s="38"/>
      <c r="G360" s="38"/>
      <c r="H360" s="38"/>
      <c r="I360" s="38"/>
      <c r="J360" s="38"/>
      <c r="K360" s="39"/>
      <c r="L360" s="39"/>
      <c r="M360" s="38"/>
      <c r="N360" s="38"/>
      <c r="O360" s="38"/>
      <c r="P360" s="38"/>
      <c r="Q360" s="38"/>
      <c r="R360" s="38"/>
      <c r="S360" s="38"/>
      <c r="T360" s="38"/>
      <c r="U360" s="38"/>
      <c r="V360" s="38"/>
      <c r="W360" s="38"/>
      <c r="X360" s="38"/>
      <c r="Y360" s="154"/>
      <c r="AA360" s="38"/>
      <c r="AB360" s="38"/>
      <c r="AC360" s="38"/>
      <c r="AD360" s="38"/>
    </row>
    <row r="361" spans="1:30">
      <c r="A361" s="38"/>
      <c r="B361" s="38"/>
      <c r="C361" s="38"/>
      <c r="D361" s="39"/>
      <c r="E361" s="39"/>
      <c r="F361" s="38"/>
      <c r="G361" s="38"/>
      <c r="H361" s="38"/>
      <c r="I361" s="38"/>
      <c r="J361" s="38"/>
      <c r="K361" s="39"/>
      <c r="L361" s="39"/>
      <c r="M361" s="38"/>
      <c r="N361" s="38"/>
      <c r="O361" s="38"/>
      <c r="P361" s="38"/>
      <c r="Q361" s="38"/>
      <c r="R361" s="38"/>
      <c r="S361" s="38"/>
      <c r="T361" s="38"/>
      <c r="U361" s="38"/>
      <c r="V361" s="38"/>
      <c r="W361" s="38"/>
      <c r="X361" s="38"/>
      <c r="Y361" s="154"/>
      <c r="AA361" s="38"/>
      <c r="AB361" s="38"/>
      <c r="AC361" s="38"/>
      <c r="AD361" s="38"/>
    </row>
    <row r="362" spans="1:30">
      <c r="A362" s="38"/>
      <c r="B362" s="38"/>
      <c r="C362" s="38"/>
      <c r="D362" s="39"/>
      <c r="E362" s="39"/>
      <c r="F362" s="38"/>
      <c r="G362" s="38"/>
      <c r="H362" s="38"/>
      <c r="I362" s="38"/>
      <c r="J362" s="38"/>
      <c r="K362" s="39"/>
      <c r="L362" s="39"/>
      <c r="M362" s="38"/>
      <c r="N362" s="38"/>
      <c r="O362" s="38"/>
      <c r="P362" s="38"/>
      <c r="Q362" s="38"/>
      <c r="R362" s="38"/>
      <c r="S362" s="38"/>
      <c r="T362" s="38"/>
      <c r="U362" s="38"/>
      <c r="V362" s="38"/>
      <c r="W362" s="38"/>
      <c r="X362" s="38"/>
      <c r="Y362" s="154"/>
      <c r="AA362" s="38"/>
      <c r="AB362" s="38"/>
      <c r="AC362" s="38"/>
      <c r="AD362" s="38"/>
    </row>
    <row r="363" spans="1:30">
      <c r="A363" s="38"/>
      <c r="B363" s="38"/>
      <c r="C363" s="38"/>
      <c r="D363" s="39"/>
      <c r="E363" s="39"/>
      <c r="F363" s="38"/>
      <c r="G363" s="38"/>
      <c r="H363" s="38"/>
      <c r="I363" s="38"/>
      <c r="J363" s="38"/>
      <c r="K363" s="39"/>
      <c r="L363" s="39"/>
      <c r="M363" s="38"/>
      <c r="N363" s="38"/>
      <c r="O363" s="38"/>
      <c r="P363" s="38"/>
      <c r="Q363" s="38"/>
      <c r="R363" s="38"/>
      <c r="S363" s="38"/>
      <c r="T363" s="38"/>
      <c r="U363" s="38"/>
      <c r="V363" s="38"/>
      <c r="W363" s="38"/>
      <c r="X363" s="38"/>
      <c r="Y363" s="154"/>
      <c r="AA363" s="38"/>
      <c r="AB363" s="38"/>
      <c r="AC363" s="38"/>
      <c r="AD363" s="38"/>
    </row>
    <row r="364" spans="1:30">
      <c r="A364" s="38"/>
      <c r="B364" s="38"/>
      <c r="C364" s="38"/>
      <c r="D364" s="39"/>
      <c r="E364" s="39"/>
      <c r="F364" s="38"/>
      <c r="G364" s="38"/>
      <c r="H364" s="38"/>
      <c r="I364" s="38"/>
      <c r="J364" s="38"/>
      <c r="K364" s="39"/>
      <c r="L364" s="39"/>
      <c r="M364" s="38"/>
      <c r="N364" s="38"/>
      <c r="O364" s="38"/>
      <c r="P364" s="38"/>
      <c r="Q364" s="38"/>
      <c r="R364" s="38"/>
      <c r="S364" s="38"/>
      <c r="T364" s="38"/>
      <c r="U364" s="38"/>
      <c r="V364" s="38"/>
      <c r="W364" s="38"/>
      <c r="X364" s="38"/>
      <c r="Y364" s="154"/>
      <c r="AA364" s="38"/>
      <c r="AB364" s="38"/>
      <c r="AC364" s="38"/>
      <c r="AD364" s="38"/>
    </row>
    <row r="365" spans="1:30">
      <c r="A365" s="38"/>
      <c r="B365" s="38"/>
      <c r="C365" s="38"/>
      <c r="D365" s="39"/>
      <c r="E365" s="39"/>
      <c r="F365" s="38"/>
      <c r="G365" s="38"/>
      <c r="H365" s="38"/>
      <c r="I365" s="38"/>
      <c r="J365" s="38"/>
      <c r="K365" s="39"/>
      <c r="L365" s="39"/>
      <c r="M365" s="38"/>
      <c r="N365" s="38"/>
      <c r="O365" s="38"/>
      <c r="P365" s="38"/>
      <c r="Q365" s="38"/>
      <c r="R365" s="38"/>
      <c r="S365" s="38"/>
      <c r="T365" s="38"/>
      <c r="U365" s="38"/>
      <c r="V365" s="38"/>
      <c r="W365" s="38"/>
      <c r="X365" s="38"/>
      <c r="Y365" s="154"/>
      <c r="AA365" s="38"/>
      <c r="AB365" s="38"/>
      <c r="AC365" s="38"/>
      <c r="AD365" s="38"/>
    </row>
    <row r="366" spans="1:30">
      <c r="A366" s="38"/>
      <c r="B366" s="38"/>
      <c r="C366" s="38"/>
      <c r="D366" s="39"/>
      <c r="E366" s="39"/>
      <c r="F366" s="38"/>
      <c r="G366" s="38"/>
      <c r="H366" s="38"/>
      <c r="I366" s="38"/>
      <c r="J366" s="38"/>
      <c r="K366" s="39"/>
      <c r="L366" s="39"/>
      <c r="M366" s="38"/>
      <c r="N366" s="38"/>
      <c r="O366" s="38"/>
      <c r="P366" s="38"/>
      <c r="Q366" s="38"/>
      <c r="R366" s="38"/>
      <c r="S366" s="38"/>
      <c r="T366" s="38"/>
      <c r="U366" s="38"/>
      <c r="V366" s="38"/>
      <c r="W366" s="38"/>
      <c r="X366" s="38"/>
      <c r="Y366" s="154"/>
      <c r="AA366" s="38"/>
      <c r="AB366" s="38"/>
      <c r="AC366" s="38"/>
      <c r="AD366" s="38"/>
    </row>
    <row r="367" spans="1:30">
      <c r="A367" s="38"/>
      <c r="B367" s="38"/>
      <c r="C367" s="38"/>
      <c r="D367" s="39"/>
      <c r="E367" s="39"/>
      <c r="F367" s="38"/>
      <c r="G367" s="38"/>
      <c r="H367" s="38"/>
      <c r="I367" s="38"/>
      <c r="J367" s="38"/>
      <c r="K367" s="39"/>
      <c r="L367" s="39"/>
      <c r="M367" s="38"/>
      <c r="N367" s="38"/>
      <c r="O367" s="38"/>
      <c r="P367" s="38"/>
      <c r="Q367" s="38"/>
      <c r="R367" s="38"/>
      <c r="S367" s="38"/>
      <c r="T367" s="38"/>
      <c r="U367" s="38"/>
      <c r="V367" s="38"/>
      <c r="W367" s="38"/>
      <c r="X367" s="38"/>
      <c r="Y367" s="154"/>
      <c r="AA367" s="38"/>
      <c r="AB367" s="38"/>
      <c r="AC367" s="38"/>
      <c r="AD367" s="38"/>
    </row>
    <row r="368" spans="1:30">
      <c r="A368" s="38"/>
      <c r="B368" s="38"/>
      <c r="C368" s="38"/>
      <c r="D368" s="39"/>
      <c r="E368" s="39"/>
      <c r="F368" s="38"/>
      <c r="G368" s="38"/>
      <c r="H368" s="38"/>
      <c r="I368" s="38"/>
      <c r="J368" s="38"/>
      <c r="K368" s="39"/>
      <c r="L368" s="39"/>
      <c r="M368" s="38"/>
      <c r="N368" s="38"/>
      <c r="O368" s="38"/>
      <c r="P368" s="38"/>
      <c r="Q368" s="38"/>
      <c r="R368" s="38"/>
      <c r="S368" s="38"/>
      <c r="T368" s="38"/>
      <c r="U368" s="38"/>
      <c r="V368" s="38"/>
      <c r="W368" s="38"/>
      <c r="X368" s="38"/>
      <c r="Y368" s="154"/>
      <c r="AA368" s="38"/>
      <c r="AB368" s="38"/>
      <c r="AC368" s="38"/>
      <c r="AD368" s="38"/>
    </row>
    <row r="369" spans="1:30">
      <c r="A369" s="38"/>
      <c r="B369" s="38"/>
      <c r="C369" s="38"/>
      <c r="D369" s="39"/>
      <c r="E369" s="39"/>
      <c r="F369" s="38"/>
      <c r="G369" s="38"/>
      <c r="H369" s="38"/>
      <c r="I369" s="38"/>
      <c r="J369" s="38"/>
      <c r="K369" s="39"/>
      <c r="L369" s="39"/>
      <c r="M369" s="38"/>
      <c r="N369" s="38"/>
      <c r="O369" s="38"/>
      <c r="P369" s="38"/>
      <c r="Q369" s="38"/>
      <c r="R369" s="38"/>
      <c r="S369" s="38"/>
      <c r="T369" s="38"/>
      <c r="U369" s="38"/>
      <c r="V369" s="38"/>
      <c r="W369" s="38"/>
      <c r="X369" s="38"/>
      <c r="Y369" s="154"/>
      <c r="AA369" s="38"/>
      <c r="AB369" s="38"/>
      <c r="AC369" s="38"/>
      <c r="AD369" s="38"/>
    </row>
    <row r="370" spans="1:30">
      <c r="A370" s="38"/>
      <c r="B370" s="38"/>
      <c r="C370" s="38"/>
      <c r="D370" s="39"/>
      <c r="E370" s="39"/>
      <c r="F370" s="38"/>
      <c r="G370" s="38"/>
      <c r="H370" s="38"/>
      <c r="I370" s="38"/>
      <c r="J370" s="38"/>
      <c r="K370" s="39"/>
      <c r="L370" s="39"/>
      <c r="M370" s="38"/>
      <c r="N370" s="38"/>
      <c r="O370" s="38"/>
      <c r="P370" s="38"/>
      <c r="Q370" s="38"/>
      <c r="R370" s="38"/>
      <c r="S370" s="38"/>
      <c r="T370" s="38"/>
      <c r="U370" s="38"/>
      <c r="V370" s="38"/>
      <c r="W370" s="38"/>
      <c r="X370" s="38"/>
      <c r="Y370" s="154"/>
      <c r="AA370" s="38"/>
      <c r="AB370" s="38"/>
      <c r="AC370" s="38"/>
      <c r="AD370" s="38"/>
    </row>
    <row r="371" spans="1:30">
      <c r="A371" s="38"/>
      <c r="B371" s="38"/>
      <c r="C371" s="38"/>
      <c r="D371" s="39"/>
      <c r="E371" s="39"/>
      <c r="F371" s="38"/>
      <c r="G371" s="38"/>
      <c r="H371" s="38"/>
      <c r="I371" s="38"/>
      <c r="J371" s="38"/>
      <c r="K371" s="39"/>
      <c r="L371" s="39"/>
      <c r="M371" s="38"/>
      <c r="N371" s="38"/>
      <c r="O371" s="38"/>
      <c r="P371" s="38"/>
      <c r="Q371" s="38"/>
      <c r="R371" s="38"/>
      <c r="S371" s="38"/>
      <c r="T371" s="38"/>
      <c r="U371" s="38"/>
      <c r="V371" s="38"/>
      <c r="W371" s="38"/>
      <c r="X371" s="38"/>
      <c r="Y371" s="154"/>
      <c r="AA371" s="38"/>
      <c r="AB371" s="38"/>
      <c r="AC371" s="38"/>
      <c r="AD371" s="38"/>
    </row>
    <row r="372" spans="1:30">
      <c r="A372" s="38"/>
      <c r="B372" s="38"/>
      <c r="C372" s="38"/>
      <c r="D372" s="39"/>
      <c r="E372" s="39"/>
      <c r="F372" s="38"/>
      <c r="G372" s="38"/>
      <c r="H372" s="38"/>
      <c r="I372" s="38"/>
      <c r="J372" s="38"/>
      <c r="K372" s="39"/>
      <c r="L372" s="39"/>
      <c r="M372" s="38"/>
      <c r="N372" s="38"/>
      <c r="O372" s="38"/>
      <c r="P372" s="38"/>
      <c r="Q372" s="38"/>
      <c r="R372" s="38"/>
      <c r="S372" s="38"/>
      <c r="T372" s="38"/>
      <c r="U372" s="38"/>
      <c r="V372" s="38"/>
      <c r="W372" s="38"/>
      <c r="X372" s="38"/>
      <c r="Y372" s="154"/>
      <c r="AA372" s="38"/>
      <c r="AB372" s="38"/>
      <c r="AC372" s="38"/>
      <c r="AD372" s="38"/>
    </row>
    <row r="373" spans="1:30">
      <c r="A373" s="38"/>
      <c r="B373" s="38"/>
      <c r="C373" s="38"/>
      <c r="D373" s="39"/>
      <c r="E373" s="39"/>
      <c r="F373" s="38"/>
      <c r="G373" s="38"/>
      <c r="H373" s="38"/>
      <c r="I373" s="38"/>
      <c r="J373" s="38"/>
      <c r="K373" s="39"/>
      <c r="L373" s="39"/>
      <c r="M373" s="38"/>
      <c r="N373" s="38"/>
      <c r="O373" s="38"/>
      <c r="P373" s="38"/>
      <c r="Q373" s="38"/>
      <c r="R373" s="38"/>
      <c r="S373" s="38"/>
      <c r="T373" s="38"/>
      <c r="U373" s="38"/>
      <c r="V373" s="38"/>
      <c r="W373" s="38"/>
      <c r="X373" s="38"/>
      <c r="Y373" s="154"/>
      <c r="AA373" s="38"/>
      <c r="AB373" s="38"/>
      <c r="AC373" s="38"/>
      <c r="AD373" s="38"/>
    </row>
    <row r="374" spans="1:30">
      <c r="A374" s="38"/>
      <c r="B374" s="38"/>
      <c r="C374" s="38"/>
      <c r="D374" s="39"/>
      <c r="E374" s="39"/>
      <c r="F374" s="38"/>
      <c r="G374" s="38"/>
      <c r="H374" s="38"/>
      <c r="I374" s="38"/>
      <c r="J374" s="38"/>
      <c r="K374" s="39"/>
      <c r="L374" s="39"/>
      <c r="M374" s="38"/>
      <c r="N374" s="38"/>
      <c r="O374" s="38"/>
      <c r="P374" s="38"/>
      <c r="Q374" s="38"/>
      <c r="R374" s="38"/>
      <c r="S374" s="38"/>
      <c r="T374" s="38"/>
      <c r="U374" s="38"/>
      <c r="V374" s="38"/>
      <c r="W374" s="38"/>
      <c r="X374" s="38"/>
      <c r="Y374" s="154"/>
      <c r="AA374" s="38"/>
      <c r="AB374" s="38"/>
      <c r="AC374" s="38"/>
      <c r="AD374" s="38"/>
    </row>
    <row r="375" spans="1:30">
      <c r="A375" s="38"/>
      <c r="B375" s="38"/>
      <c r="C375" s="38"/>
      <c r="D375" s="39"/>
      <c r="E375" s="39"/>
      <c r="F375" s="38"/>
      <c r="G375" s="38"/>
      <c r="H375" s="38"/>
      <c r="I375" s="38"/>
      <c r="J375" s="38"/>
      <c r="K375" s="39"/>
      <c r="L375" s="39"/>
      <c r="M375" s="38"/>
      <c r="N375" s="38"/>
      <c r="O375" s="38"/>
      <c r="P375" s="38"/>
      <c r="Q375" s="38"/>
      <c r="R375" s="38"/>
      <c r="S375" s="38"/>
      <c r="T375" s="38"/>
      <c r="U375" s="38"/>
      <c r="V375" s="38"/>
      <c r="W375" s="38"/>
      <c r="X375" s="38"/>
      <c r="Y375" s="154"/>
      <c r="AA375" s="38"/>
      <c r="AB375" s="38"/>
      <c r="AC375" s="38"/>
      <c r="AD375" s="38"/>
    </row>
    <row r="376" spans="1:30">
      <c r="A376" s="38"/>
      <c r="B376" s="38"/>
      <c r="C376" s="38"/>
      <c r="D376" s="39"/>
      <c r="E376" s="39"/>
      <c r="F376" s="38"/>
      <c r="G376" s="38"/>
      <c r="H376" s="38"/>
      <c r="I376" s="38"/>
      <c r="J376" s="38"/>
      <c r="K376" s="39"/>
      <c r="L376" s="39"/>
      <c r="M376" s="38"/>
      <c r="N376" s="38"/>
      <c r="O376" s="38"/>
      <c r="P376" s="38"/>
      <c r="Q376" s="38"/>
      <c r="R376" s="38"/>
      <c r="S376" s="38"/>
      <c r="T376" s="38"/>
      <c r="U376" s="38"/>
      <c r="V376" s="38"/>
      <c r="W376" s="38"/>
      <c r="X376" s="38"/>
      <c r="Y376" s="154"/>
      <c r="AA376" s="38"/>
      <c r="AB376" s="38"/>
      <c r="AC376" s="38"/>
      <c r="AD376" s="38"/>
    </row>
    <row r="377" spans="1:30">
      <c r="A377" s="38"/>
      <c r="B377" s="38"/>
      <c r="C377" s="38"/>
      <c r="D377" s="39"/>
      <c r="E377" s="39"/>
      <c r="F377" s="38"/>
      <c r="G377" s="38"/>
      <c r="H377" s="38"/>
      <c r="I377" s="38"/>
      <c r="J377" s="38"/>
      <c r="K377" s="39"/>
      <c r="L377" s="39"/>
      <c r="M377" s="38"/>
      <c r="N377" s="38"/>
      <c r="O377" s="38"/>
      <c r="P377" s="38"/>
      <c r="Q377" s="38"/>
      <c r="R377" s="38"/>
      <c r="S377" s="38"/>
      <c r="T377" s="38"/>
      <c r="U377" s="38"/>
      <c r="V377" s="38"/>
      <c r="W377" s="38"/>
      <c r="X377" s="38"/>
      <c r="Y377" s="154"/>
      <c r="AA377" s="38"/>
      <c r="AB377" s="38"/>
      <c r="AC377" s="38"/>
      <c r="AD377" s="38"/>
    </row>
    <row r="378" spans="1:30">
      <c r="A378" s="38"/>
      <c r="B378" s="38"/>
      <c r="C378" s="38"/>
      <c r="D378" s="39"/>
      <c r="E378" s="39"/>
      <c r="F378" s="38"/>
      <c r="G378" s="38"/>
      <c r="H378" s="38"/>
      <c r="I378" s="38"/>
      <c r="J378" s="38"/>
      <c r="K378" s="39"/>
      <c r="L378" s="39"/>
      <c r="M378" s="38"/>
      <c r="N378" s="38"/>
      <c r="O378" s="38"/>
      <c r="P378" s="38"/>
      <c r="Q378" s="38"/>
      <c r="R378" s="38"/>
      <c r="S378" s="38"/>
      <c r="T378" s="38"/>
      <c r="U378" s="38"/>
      <c r="V378" s="38"/>
      <c r="W378" s="38"/>
      <c r="X378" s="38"/>
      <c r="Y378" s="154"/>
      <c r="AA378" s="38"/>
      <c r="AB378" s="38"/>
      <c r="AC378" s="38"/>
      <c r="AD378" s="38"/>
    </row>
    <row r="379" spans="1:30">
      <c r="A379" s="38"/>
      <c r="B379" s="38"/>
      <c r="C379" s="38"/>
      <c r="D379" s="39"/>
      <c r="E379" s="39"/>
      <c r="F379" s="38"/>
      <c r="G379" s="38"/>
      <c r="H379" s="38"/>
      <c r="I379" s="38"/>
      <c r="J379" s="38"/>
      <c r="K379" s="39"/>
      <c r="L379" s="39"/>
      <c r="M379" s="38"/>
      <c r="N379" s="38"/>
      <c r="O379" s="38"/>
      <c r="P379" s="38"/>
      <c r="Q379" s="38"/>
      <c r="R379" s="38"/>
      <c r="S379" s="38"/>
      <c r="T379" s="38"/>
      <c r="U379" s="38"/>
      <c r="V379" s="38"/>
      <c r="W379" s="38"/>
      <c r="X379" s="38"/>
      <c r="Y379" s="154"/>
      <c r="AA379" s="38"/>
      <c r="AB379" s="38"/>
      <c r="AC379" s="38"/>
      <c r="AD379" s="38"/>
    </row>
    <row r="380" spans="1:30">
      <c r="A380" s="38"/>
      <c r="B380" s="38"/>
      <c r="C380" s="38"/>
      <c r="D380" s="39"/>
      <c r="E380" s="39"/>
      <c r="F380" s="38"/>
      <c r="G380" s="38"/>
      <c r="H380" s="38"/>
      <c r="I380" s="38"/>
      <c r="J380" s="38"/>
      <c r="K380" s="39"/>
      <c r="L380" s="39"/>
      <c r="M380" s="38"/>
      <c r="N380" s="38"/>
      <c r="O380" s="38"/>
      <c r="P380" s="38"/>
      <c r="Q380" s="38"/>
      <c r="R380" s="38"/>
      <c r="S380" s="38"/>
      <c r="T380" s="38"/>
      <c r="U380" s="38"/>
      <c r="V380" s="38"/>
      <c r="W380" s="38"/>
      <c r="X380" s="38"/>
      <c r="Y380" s="154"/>
      <c r="AA380" s="38"/>
      <c r="AB380" s="38"/>
      <c r="AC380" s="38"/>
      <c r="AD380" s="38"/>
    </row>
    <row r="381" spans="1:30">
      <c r="A381" s="38"/>
      <c r="B381" s="38"/>
      <c r="C381" s="38"/>
      <c r="D381" s="39"/>
      <c r="E381" s="39"/>
      <c r="F381" s="38"/>
      <c r="G381" s="38"/>
      <c r="H381" s="38"/>
      <c r="I381" s="38"/>
      <c r="J381" s="38"/>
      <c r="K381" s="39"/>
      <c r="L381" s="39"/>
      <c r="M381" s="38"/>
      <c r="N381" s="38"/>
      <c r="O381" s="38"/>
      <c r="P381" s="38"/>
      <c r="Q381" s="38"/>
      <c r="R381" s="38"/>
      <c r="S381" s="38"/>
      <c r="T381" s="38"/>
      <c r="U381" s="38"/>
      <c r="V381" s="38"/>
      <c r="W381" s="38"/>
      <c r="X381" s="38"/>
      <c r="Y381" s="154"/>
      <c r="AA381" s="38"/>
      <c r="AB381" s="38"/>
      <c r="AC381" s="38"/>
      <c r="AD381" s="38"/>
    </row>
    <row r="382" spans="1:30">
      <c r="A382" s="38"/>
      <c r="B382" s="38"/>
      <c r="C382" s="38"/>
      <c r="D382" s="39"/>
      <c r="E382" s="39"/>
      <c r="F382" s="38"/>
      <c r="G382" s="38"/>
      <c r="H382" s="38"/>
      <c r="I382" s="38"/>
      <c r="J382" s="38"/>
      <c r="K382" s="39"/>
      <c r="L382" s="39"/>
      <c r="M382" s="38"/>
      <c r="N382" s="38"/>
      <c r="O382" s="38"/>
      <c r="P382" s="38"/>
      <c r="Q382" s="38"/>
      <c r="R382" s="38"/>
      <c r="S382" s="38"/>
      <c r="T382" s="38"/>
      <c r="U382" s="38"/>
      <c r="V382" s="38"/>
      <c r="W382" s="38"/>
      <c r="X382" s="38"/>
      <c r="Y382" s="154"/>
      <c r="AA382" s="38"/>
      <c r="AB382" s="38"/>
      <c r="AC382" s="38"/>
      <c r="AD382" s="38"/>
    </row>
    <row r="383" spans="1:30">
      <c r="A383" s="38"/>
      <c r="B383" s="38"/>
      <c r="C383" s="38"/>
      <c r="D383" s="39"/>
      <c r="E383" s="39"/>
      <c r="F383" s="38"/>
      <c r="G383" s="38"/>
      <c r="H383" s="38"/>
      <c r="I383" s="38"/>
      <c r="J383" s="38"/>
      <c r="K383" s="39"/>
      <c r="L383" s="39"/>
      <c r="M383" s="38"/>
      <c r="N383" s="38"/>
      <c r="O383" s="38"/>
      <c r="P383" s="38"/>
      <c r="Q383" s="38"/>
      <c r="R383" s="38"/>
      <c r="S383" s="38"/>
      <c r="T383" s="38"/>
      <c r="U383" s="38"/>
      <c r="V383" s="38"/>
      <c r="W383" s="38"/>
      <c r="X383" s="38"/>
      <c r="Y383" s="154"/>
      <c r="AA383" s="38"/>
      <c r="AB383" s="38"/>
      <c r="AC383" s="38"/>
      <c r="AD383" s="38"/>
    </row>
    <row r="384" spans="1:30">
      <c r="A384" s="38"/>
      <c r="B384" s="38"/>
      <c r="C384" s="38"/>
      <c r="D384" s="39"/>
      <c r="E384" s="39"/>
      <c r="F384" s="38"/>
      <c r="G384" s="38"/>
      <c r="H384" s="38"/>
      <c r="I384" s="38"/>
      <c r="J384" s="38"/>
      <c r="K384" s="39"/>
      <c r="L384" s="39"/>
      <c r="M384" s="38"/>
      <c r="N384" s="38"/>
      <c r="O384" s="38"/>
      <c r="P384" s="38"/>
      <c r="Q384" s="38"/>
      <c r="R384" s="38"/>
      <c r="S384" s="38"/>
      <c r="T384" s="38"/>
      <c r="U384" s="38"/>
      <c r="V384" s="38"/>
      <c r="W384" s="38"/>
      <c r="X384" s="38"/>
      <c r="Y384" s="154"/>
      <c r="AA384" s="38"/>
      <c r="AB384" s="38"/>
      <c r="AC384" s="38"/>
      <c r="AD384" s="38"/>
    </row>
    <row r="385" spans="1:30">
      <c r="A385" s="38"/>
      <c r="B385" s="38"/>
      <c r="C385" s="38"/>
      <c r="D385" s="39"/>
      <c r="E385" s="39"/>
      <c r="F385" s="38"/>
      <c r="G385" s="38"/>
      <c r="H385" s="38"/>
      <c r="I385" s="38"/>
      <c r="J385" s="38"/>
      <c r="K385" s="39"/>
      <c r="L385" s="39"/>
      <c r="M385" s="38"/>
      <c r="N385" s="38"/>
      <c r="O385" s="38"/>
      <c r="P385" s="38"/>
      <c r="Q385" s="38"/>
      <c r="R385" s="38"/>
      <c r="S385" s="38"/>
      <c r="T385" s="38"/>
      <c r="U385" s="38"/>
      <c r="V385" s="38"/>
      <c r="W385" s="38"/>
      <c r="X385" s="38"/>
      <c r="Y385" s="154"/>
      <c r="AA385" s="38"/>
      <c r="AB385" s="38"/>
      <c r="AC385" s="38"/>
      <c r="AD385" s="38"/>
    </row>
    <row r="386" spans="1:30">
      <c r="A386" s="38"/>
      <c r="B386" s="38"/>
      <c r="C386" s="38"/>
      <c r="D386" s="39"/>
      <c r="E386" s="39"/>
      <c r="F386" s="38"/>
      <c r="G386" s="38"/>
      <c r="H386" s="38"/>
      <c r="I386" s="38"/>
      <c r="J386" s="38"/>
      <c r="K386" s="39"/>
      <c r="L386" s="39"/>
      <c r="M386" s="38"/>
      <c r="N386" s="38"/>
      <c r="O386" s="38"/>
      <c r="P386" s="38"/>
      <c r="Q386" s="38"/>
      <c r="R386" s="38"/>
      <c r="S386" s="38"/>
      <c r="T386" s="38"/>
      <c r="U386" s="38"/>
      <c r="V386" s="38"/>
      <c r="W386" s="38"/>
      <c r="X386" s="38"/>
      <c r="Y386" s="154"/>
      <c r="AA386" s="38"/>
      <c r="AB386" s="38"/>
      <c r="AC386" s="38"/>
      <c r="AD386" s="38"/>
    </row>
    <row r="387" spans="1:30">
      <c r="A387" s="38"/>
      <c r="B387" s="38"/>
      <c r="C387" s="38"/>
      <c r="D387" s="39"/>
      <c r="E387" s="39"/>
      <c r="F387" s="38"/>
      <c r="G387" s="38"/>
      <c r="H387" s="38"/>
      <c r="I387" s="38"/>
      <c r="J387" s="38"/>
      <c r="K387" s="39"/>
      <c r="L387" s="39"/>
      <c r="M387" s="38"/>
      <c r="N387" s="38"/>
      <c r="O387" s="38"/>
      <c r="P387" s="38"/>
      <c r="Q387" s="38"/>
      <c r="R387" s="38"/>
      <c r="S387" s="38"/>
      <c r="T387" s="38"/>
      <c r="U387" s="38"/>
      <c r="V387" s="38"/>
      <c r="W387" s="38"/>
      <c r="X387" s="38"/>
      <c r="Y387" s="154"/>
      <c r="AA387" s="38"/>
      <c r="AB387" s="38"/>
      <c r="AC387" s="38"/>
      <c r="AD387" s="38"/>
    </row>
    <row r="388" spans="1:30">
      <c r="A388" s="38"/>
      <c r="B388" s="38"/>
      <c r="C388" s="38"/>
      <c r="D388" s="39"/>
      <c r="E388" s="39"/>
      <c r="F388" s="38"/>
      <c r="G388" s="38"/>
      <c r="H388" s="38"/>
      <c r="I388" s="38"/>
      <c r="J388" s="38"/>
      <c r="K388" s="39"/>
      <c r="L388" s="39"/>
      <c r="M388" s="38"/>
      <c r="N388" s="38"/>
      <c r="O388" s="38"/>
      <c r="P388" s="38"/>
      <c r="Q388" s="38"/>
      <c r="R388" s="38"/>
      <c r="S388" s="38"/>
      <c r="T388" s="38"/>
      <c r="U388" s="38"/>
      <c r="V388" s="38"/>
      <c r="W388" s="38"/>
      <c r="X388" s="38"/>
      <c r="Y388" s="154"/>
      <c r="AA388" s="38"/>
      <c r="AB388" s="38"/>
      <c r="AC388" s="38"/>
      <c r="AD388" s="38"/>
    </row>
    <row r="389" spans="1:30">
      <c r="A389" s="38"/>
      <c r="B389" s="38"/>
      <c r="C389" s="38"/>
      <c r="D389" s="39"/>
      <c r="E389" s="39"/>
      <c r="F389" s="38"/>
      <c r="G389" s="38"/>
      <c r="H389" s="38"/>
      <c r="I389" s="38"/>
      <c r="J389" s="38"/>
      <c r="K389" s="39"/>
      <c r="L389" s="39"/>
      <c r="M389" s="38"/>
      <c r="N389" s="38"/>
      <c r="O389" s="38"/>
      <c r="P389" s="38"/>
      <c r="Q389" s="38"/>
      <c r="R389" s="38"/>
      <c r="S389" s="38"/>
      <c r="T389" s="38"/>
      <c r="U389" s="38"/>
      <c r="V389" s="38"/>
      <c r="W389" s="38"/>
      <c r="X389" s="38"/>
      <c r="Y389" s="154"/>
      <c r="AA389" s="38"/>
      <c r="AB389" s="38"/>
      <c r="AC389" s="38"/>
      <c r="AD389" s="38"/>
    </row>
    <row r="390" spans="1:30">
      <c r="A390" s="38"/>
      <c r="B390" s="38"/>
      <c r="C390" s="38"/>
      <c r="D390" s="39"/>
      <c r="E390" s="39"/>
      <c r="F390" s="38"/>
      <c r="G390" s="38"/>
      <c r="H390" s="38"/>
      <c r="I390" s="38"/>
      <c r="J390" s="38"/>
      <c r="K390" s="39"/>
      <c r="L390" s="39"/>
      <c r="M390" s="38"/>
      <c r="N390" s="38"/>
      <c r="O390" s="38"/>
      <c r="P390" s="38"/>
      <c r="Q390" s="38"/>
      <c r="R390" s="38"/>
      <c r="S390" s="38"/>
      <c r="T390" s="38"/>
      <c r="U390" s="38"/>
      <c r="V390" s="38"/>
      <c r="W390" s="38"/>
      <c r="X390" s="38"/>
      <c r="Y390" s="154"/>
      <c r="AA390" s="38"/>
      <c r="AB390" s="38"/>
      <c r="AC390" s="38"/>
      <c r="AD390" s="38"/>
    </row>
    <row r="391" spans="1:30">
      <c r="A391" s="38"/>
      <c r="B391" s="38"/>
      <c r="C391" s="38"/>
      <c r="D391" s="39"/>
      <c r="E391" s="39"/>
      <c r="F391" s="38"/>
      <c r="G391" s="38"/>
      <c r="H391" s="38"/>
      <c r="I391" s="38"/>
      <c r="J391" s="38"/>
      <c r="K391" s="39"/>
      <c r="L391" s="39"/>
      <c r="M391" s="38"/>
      <c r="N391" s="38"/>
      <c r="O391" s="38"/>
      <c r="P391" s="38"/>
      <c r="Q391" s="38"/>
      <c r="R391" s="38"/>
      <c r="S391" s="38"/>
      <c r="T391" s="38"/>
      <c r="U391" s="38"/>
      <c r="V391" s="38"/>
      <c r="W391" s="38"/>
      <c r="X391" s="38"/>
      <c r="Y391" s="154"/>
      <c r="AA391" s="38"/>
      <c r="AB391" s="38"/>
      <c r="AC391" s="38"/>
      <c r="AD391" s="38"/>
    </row>
    <row r="392" spans="1:30">
      <c r="A392" s="38"/>
      <c r="B392" s="38"/>
      <c r="C392" s="38"/>
      <c r="D392" s="39"/>
      <c r="E392" s="39"/>
      <c r="F392" s="38"/>
      <c r="G392" s="38"/>
      <c r="H392" s="38"/>
      <c r="I392" s="38"/>
      <c r="J392" s="38"/>
      <c r="K392" s="39"/>
      <c r="L392" s="39"/>
      <c r="M392" s="38"/>
      <c r="N392" s="38"/>
      <c r="O392" s="38"/>
      <c r="P392" s="38"/>
      <c r="Q392" s="38"/>
      <c r="R392" s="38"/>
      <c r="S392" s="38"/>
      <c r="T392" s="38"/>
      <c r="U392" s="38"/>
      <c r="V392" s="38"/>
      <c r="W392" s="38"/>
      <c r="X392" s="38"/>
      <c r="Y392" s="154"/>
      <c r="AA392" s="38"/>
      <c r="AB392" s="38"/>
      <c r="AC392" s="38"/>
      <c r="AD392" s="38"/>
    </row>
    <row r="393" spans="1:30">
      <c r="A393" s="38"/>
      <c r="B393" s="38"/>
      <c r="C393" s="38"/>
      <c r="D393" s="39"/>
      <c r="E393" s="39"/>
      <c r="F393" s="38"/>
      <c r="G393" s="38"/>
      <c r="H393" s="38"/>
      <c r="I393" s="38"/>
      <c r="J393" s="38"/>
      <c r="K393" s="39"/>
      <c r="L393" s="39"/>
      <c r="M393" s="38"/>
      <c r="N393" s="38"/>
      <c r="O393" s="38"/>
      <c r="P393" s="38"/>
      <c r="Q393" s="38"/>
      <c r="R393" s="38"/>
      <c r="S393" s="38"/>
      <c r="T393" s="38"/>
      <c r="U393" s="38"/>
      <c r="V393" s="38"/>
      <c r="W393" s="38"/>
      <c r="X393" s="38"/>
      <c r="Y393" s="154"/>
      <c r="AA393" s="38"/>
      <c r="AB393" s="38"/>
      <c r="AC393" s="38"/>
      <c r="AD393" s="38"/>
    </row>
    <row r="394" spans="1:30">
      <c r="A394" s="38"/>
      <c r="B394" s="38"/>
      <c r="C394" s="38"/>
      <c r="D394" s="39"/>
      <c r="E394" s="39"/>
      <c r="F394" s="38"/>
      <c r="G394" s="38"/>
      <c r="H394" s="38"/>
      <c r="I394" s="38"/>
      <c r="J394" s="38"/>
      <c r="K394" s="39"/>
      <c r="L394" s="39"/>
      <c r="M394" s="38"/>
      <c r="N394" s="38"/>
      <c r="O394" s="38"/>
      <c r="P394" s="38"/>
      <c r="Q394" s="38"/>
      <c r="R394" s="38"/>
      <c r="S394" s="38"/>
      <c r="T394" s="38"/>
      <c r="U394" s="38"/>
      <c r="V394" s="38"/>
      <c r="W394" s="38"/>
      <c r="X394" s="38"/>
      <c r="Y394" s="154"/>
      <c r="AA394" s="38"/>
      <c r="AB394" s="38"/>
      <c r="AC394" s="38"/>
      <c r="AD394" s="38"/>
    </row>
    <row r="395" spans="1:30">
      <c r="A395" s="38"/>
      <c r="B395" s="38"/>
      <c r="C395" s="38"/>
      <c r="D395" s="39"/>
      <c r="E395" s="39"/>
      <c r="F395" s="38"/>
      <c r="G395" s="38"/>
      <c r="H395" s="38"/>
      <c r="I395" s="38"/>
      <c r="J395" s="38"/>
      <c r="K395" s="39"/>
      <c r="L395" s="39"/>
      <c r="M395" s="38"/>
      <c r="N395" s="38"/>
      <c r="O395" s="38"/>
      <c r="P395" s="38"/>
      <c r="Q395" s="38"/>
      <c r="R395" s="38"/>
      <c r="S395" s="38"/>
      <c r="T395" s="38"/>
      <c r="U395" s="38"/>
      <c r="V395" s="38"/>
      <c r="W395" s="38"/>
      <c r="X395" s="38"/>
      <c r="Y395" s="154"/>
      <c r="AA395" s="38"/>
      <c r="AB395" s="38"/>
      <c r="AC395" s="38"/>
      <c r="AD395" s="38"/>
    </row>
    <row r="396" spans="1:30">
      <c r="A396" s="38"/>
      <c r="B396" s="38"/>
      <c r="C396" s="38"/>
      <c r="D396" s="39"/>
      <c r="E396" s="39"/>
      <c r="F396" s="38"/>
      <c r="G396" s="38"/>
      <c r="H396" s="38"/>
      <c r="I396" s="38"/>
      <c r="J396" s="38"/>
      <c r="K396" s="39"/>
      <c r="L396" s="39"/>
      <c r="M396" s="38"/>
      <c r="N396" s="38"/>
      <c r="O396" s="38"/>
      <c r="P396" s="38"/>
      <c r="Q396" s="38"/>
      <c r="R396" s="38"/>
      <c r="S396" s="38"/>
      <c r="T396" s="38"/>
      <c r="U396" s="38"/>
      <c r="V396" s="38"/>
      <c r="W396" s="38"/>
      <c r="X396" s="38"/>
      <c r="Y396" s="154"/>
      <c r="AA396" s="38"/>
      <c r="AB396" s="38"/>
      <c r="AC396" s="38"/>
      <c r="AD396" s="38"/>
    </row>
    <row r="397" spans="1:30">
      <c r="A397" s="38"/>
      <c r="B397" s="38"/>
      <c r="C397" s="38"/>
      <c r="D397" s="39"/>
      <c r="E397" s="39"/>
      <c r="F397" s="38"/>
      <c r="G397" s="38"/>
      <c r="H397" s="38"/>
      <c r="I397" s="38"/>
      <c r="J397" s="38"/>
      <c r="K397" s="39"/>
      <c r="L397" s="39"/>
      <c r="M397" s="38"/>
      <c r="N397" s="38"/>
      <c r="O397" s="38"/>
      <c r="P397" s="38"/>
      <c r="Q397" s="38"/>
      <c r="R397" s="38"/>
      <c r="S397" s="38"/>
      <c r="T397" s="38"/>
      <c r="U397" s="38"/>
      <c r="V397" s="38"/>
      <c r="W397" s="38"/>
      <c r="X397" s="38"/>
      <c r="Y397" s="154"/>
      <c r="AA397" s="38"/>
      <c r="AB397" s="38"/>
      <c r="AC397" s="38"/>
      <c r="AD397" s="38"/>
    </row>
    <row r="398" spans="1:30">
      <c r="A398" s="38"/>
      <c r="B398" s="38"/>
      <c r="C398" s="38"/>
      <c r="D398" s="39"/>
      <c r="E398" s="39"/>
      <c r="F398" s="38"/>
      <c r="G398" s="38"/>
      <c r="H398" s="38"/>
      <c r="I398" s="38"/>
      <c r="J398" s="38"/>
      <c r="K398" s="39"/>
      <c r="L398" s="39"/>
      <c r="M398" s="38"/>
      <c r="N398" s="38"/>
      <c r="O398" s="38"/>
      <c r="P398" s="38"/>
      <c r="Q398" s="38"/>
      <c r="R398" s="38"/>
      <c r="S398" s="38"/>
      <c r="T398" s="38"/>
      <c r="U398" s="38"/>
      <c r="V398" s="38"/>
      <c r="W398" s="38"/>
      <c r="X398" s="38"/>
      <c r="Y398" s="154"/>
      <c r="AA398" s="38"/>
      <c r="AB398" s="38"/>
      <c r="AC398" s="38"/>
      <c r="AD398" s="38"/>
    </row>
    <row r="399" spans="1:30">
      <c r="A399" s="38"/>
      <c r="B399" s="38"/>
      <c r="C399" s="38"/>
      <c r="D399" s="39"/>
      <c r="E399" s="39"/>
      <c r="F399" s="38"/>
      <c r="G399" s="38"/>
      <c r="H399" s="38"/>
      <c r="I399" s="38"/>
      <c r="J399" s="38"/>
      <c r="K399" s="39"/>
      <c r="L399" s="39"/>
      <c r="M399" s="38"/>
      <c r="N399" s="38"/>
      <c r="O399" s="38"/>
      <c r="P399" s="38"/>
      <c r="Q399" s="38"/>
      <c r="R399" s="38"/>
      <c r="S399" s="38"/>
      <c r="T399" s="38"/>
      <c r="U399" s="38"/>
      <c r="V399" s="38"/>
      <c r="W399" s="38"/>
      <c r="X399" s="38"/>
      <c r="Y399" s="154"/>
      <c r="AA399" s="38"/>
      <c r="AB399" s="38"/>
      <c r="AC399" s="38"/>
      <c r="AD399" s="38"/>
    </row>
    <row r="400" spans="1:30">
      <c r="A400" s="38"/>
      <c r="B400" s="38"/>
      <c r="C400" s="38"/>
      <c r="D400" s="39"/>
      <c r="E400" s="39"/>
      <c r="F400" s="38"/>
      <c r="G400" s="38"/>
      <c r="H400" s="38"/>
      <c r="I400" s="38"/>
      <c r="J400" s="38"/>
      <c r="K400" s="39"/>
      <c r="L400" s="39"/>
      <c r="M400" s="38"/>
      <c r="N400" s="38"/>
      <c r="O400" s="38"/>
      <c r="P400" s="38"/>
      <c r="Q400" s="38"/>
      <c r="R400" s="38"/>
      <c r="S400" s="38"/>
      <c r="T400" s="38"/>
      <c r="U400" s="38"/>
      <c r="V400" s="38"/>
      <c r="W400" s="38"/>
      <c r="X400" s="38"/>
      <c r="Y400" s="154"/>
      <c r="AA400" s="38"/>
      <c r="AB400" s="38"/>
      <c r="AC400" s="38"/>
      <c r="AD400" s="38"/>
    </row>
    <row r="401" spans="1:30">
      <c r="A401" s="38"/>
      <c r="B401" s="38"/>
      <c r="C401" s="38"/>
      <c r="D401" s="39"/>
      <c r="E401" s="39"/>
      <c r="F401" s="38"/>
      <c r="G401" s="38"/>
      <c r="H401" s="38"/>
      <c r="I401" s="38"/>
      <c r="J401" s="38"/>
      <c r="K401" s="39"/>
      <c r="L401" s="39"/>
      <c r="M401" s="38"/>
      <c r="N401" s="38"/>
      <c r="O401" s="38"/>
      <c r="P401" s="38"/>
      <c r="Q401" s="38"/>
      <c r="R401" s="38"/>
      <c r="S401" s="38"/>
      <c r="T401" s="38"/>
      <c r="U401" s="38"/>
      <c r="V401" s="38"/>
      <c r="W401" s="38"/>
      <c r="X401" s="38"/>
      <c r="Y401" s="154"/>
      <c r="AA401" s="38"/>
      <c r="AB401" s="38"/>
      <c r="AC401" s="38"/>
      <c r="AD401" s="38"/>
    </row>
    <row r="402" spans="1:30">
      <c r="A402" s="38"/>
      <c r="B402" s="38"/>
      <c r="C402" s="38"/>
      <c r="D402" s="39"/>
      <c r="E402" s="39"/>
      <c r="F402" s="38"/>
      <c r="G402" s="38"/>
      <c r="H402" s="38"/>
      <c r="I402" s="38"/>
      <c r="J402" s="38"/>
      <c r="K402" s="39"/>
      <c r="L402" s="39"/>
      <c r="M402" s="38"/>
      <c r="N402" s="38"/>
      <c r="O402" s="38"/>
      <c r="P402" s="38"/>
      <c r="Q402" s="38"/>
      <c r="R402" s="38"/>
      <c r="S402" s="38"/>
      <c r="T402" s="38"/>
      <c r="U402" s="38"/>
      <c r="V402" s="38"/>
      <c r="W402" s="38"/>
      <c r="X402" s="38"/>
      <c r="Y402" s="154"/>
      <c r="AA402" s="38"/>
      <c r="AB402" s="38"/>
      <c r="AC402" s="38"/>
      <c r="AD402" s="38"/>
    </row>
    <row r="403" spans="1:30">
      <c r="A403" s="38"/>
      <c r="B403" s="38"/>
      <c r="C403" s="38"/>
      <c r="D403" s="39"/>
      <c r="E403" s="39"/>
      <c r="F403" s="38"/>
      <c r="G403" s="38"/>
      <c r="H403" s="38"/>
      <c r="I403" s="38"/>
      <c r="J403" s="38"/>
      <c r="K403" s="39"/>
      <c r="L403" s="39"/>
      <c r="M403" s="38"/>
      <c r="N403" s="38"/>
      <c r="O403" s="38"/>
      <c r="P403" s="38"/>
      <c r="Q403" s="38"/>
      <c r="R403" s="38"/>
      <c r="S403" s="38"/>
      <c r="T403" s="38"/>
      <c r="U403" s="38"/>
      <c r="V403" s="38"/>
      <c r="W403" s="38"/>
      <c r="X403" s="38"/>
      <c r="Y403" s="154"/>
      <c r="AA403" s="38"/>
      <c r="AB403" s="38"/>
      <c r="AC403" s="38"/>
      <c r="AD403" s="38"/>
    </row>
    <row r="404" spans="1:30">
      <c r="A404" s="38"/>
      <c r="B404" s="38"/>
      <c r="C404" s="38"/>
      <c r="D404" s="39"/>
      <c r="E404" s="39"/>
      <c r="F404" s="38"/>
      <c r="G404" s="38"/>
      <c r="H404" s="38"/>
      <c r="I404" s="38"/>
      <c r="J404" s="38"/>
      <c r="K404" s="39"/>
      <c r="L404" s="39"/>
      <c r="M404" s="38"/>
      <c r="N404" s="38"/>
      <c r="O404" s="38"/>
      <c r="P404" s="38"/>
      <c r="Q404" s="38"/>
      <c r="R404" s="38"/>
      <c r="S404" s="38"/>
      <c r="T404" s="38"/>
      <c r="U404" s="38"/>
      <c r="V404" s="38"/>
      <c r="W404" s="38"/>
      <c r="X404" s="38"/>
      <c r="Y404" s="154"/>
      <c r="AA404" s="38"/>
      <c r="AB404" s="38"/>
      <c r="AC404" s="38"/>
      <c r="AD404" s="38"/>
    </row>
    <row r="405" spans="1:30">
      <c r="A405" s="38"/>
      <c r="B405" s="38"/>
      <c r="C405" s="38"/>
      <c r="D405" s="39"/>
      <c r="E405" s="39"/>
      <c r="F405" s="38"/>
      <c r="G405" s="38"/>
      <c r="H405" s="38"/>
      <c r="I405" s="38"/>
      <c r="J405" s="38"/>
      <c r="K405" s="39"/>
      <c r="L405" s="39"/>
      <c r="M405" s="38"/>
      <c r="N405" s="38"/>
      <c r="O405" s="38"/>
      <c r="P405" s="38"/>
      <c r="Q405" s="38"/>
      <c r="R405" s="38"/>
      <c r="S405" s="38"/>
      <c r="T405" s="38"/>
      <c r="U405" s="38"/>
      <c r="V405" s="38"/>
      <c r="W405" s="38"/>
      <c r="X405" s="38"/>
      <c r="Y405" s="154"/>
      <c r="AA405" s="38"/>
      <c r="AB405" s="38"/>
      <c r="AC405" s="38"/>
      <c r="AD405" s="38"/>
    </row>
    <row r="406" spans="1:30">
      <c r="A406" s="38"/>
      <c r="B406" s="38"/>
      <c r="C406" s="38"/>
      <c r="D406" s="39"/>
      <c r="E406" s="39"/>
      <c r="F406" s="38"/>
      <c r="G406" s="38"/>
      <c r="H406" s="38"/>
      <c r="I406" s="38"/>
      <c r="J406" s="38"/>
      <c r="K406" s="39"/>
      <c r="L406" s="39"/>
      <c r="M406" s="38"/>
      <c r="N406" s="38"/>
      <c r="O406" s="38"/>
      <c r="P406" s="38"/>
      <c r="Q406" s="38"/>
      <c r="R406" s="38"/>
      <c r="S406" s="38"/>
      <c r="T406" s="38"/>
      <c r="U406" s="38"/>
      <c r="V406" s="38"/>
      <c r="W406" s="38"/>
      <c r="X406" s="38"/>
      <c r="Y406" s="154"/>
      <c r="AA406" s="38"/>
      <c r="AB406" s="38"/>
      <c r="AC406" s="38"/>
      <c r="AD406" s="38"/>
    </row>
    <row r="407" spans="1:30">
      <c r="A407" s="38"/>
      <c r="B407" s="38"/>
      <c r="C407" s="38"/>
      <c r="D407" s="39"/>
      <c r="E407" s="39"/>
      <c r="F407" s="38"/>
      <c r="G407" s="38"/>
      <c r="H407" s="38"/>
      <c r="I407" s="38"/>
      <c r="J407" s="38"/>
      <c r="K407" s="39"/>
      <c r="L407" s="39"/>
      <c r="M407" s="38"/>
      <c r="N407" s="38"/>
      <c r="O407" s="38"/>
      <c r="P407" s="38"/>
      <c r="Q407" s="38"/>
      <c r="R407" s="38"/>
      <c r="S407" s="38"/>
      <c r="T407" s="38"/>
      <c r="U407" s="38"/>
      <c r="V407" s="38"/>
      <c r="W407" s="38"/>
      <c r="X407" s="38"/>
      <c r="Y407" s="154"/>
      <c r="AA407" s="38"/>
      <c r="AB407" s="38"/>
      <c r="AC407" s="38"/>
      <c r="AD407" s="38"/>
    </row>
    <row r="408" spans="1:30">
      <c r="A408" s="38"/>
      <c r="B408" s="38"/>
      <c r="C408" s="38"/>
      <c r="D408" s="39"/>
      <c r="E408" s="39"/>
      <c r="F408" s="38"/>
      <c r="G408" s="38"/>
      <c r="H408" s="38"/>
      <c r="I408" s="38"/>
      <c r="J408" s="38"/>
      <c r="K408" s="39"/>
      <c r="L408" s="39"/>
      <c r="M408" s="38"/>
      <c r="N408" s="38"/>
      <c r="O408" s="38"/>
      <c r="P408" s="38"/>
      <c r="Q408" s="38"/>
      <c r="R408" s="38"/>
      <c r="S408" s="38"/>
      <c r="T408" s="38"/>
      <c r="U408" s="38"/>
      <c r="V408" s="38"/>
      <c r="W408" s="38"/>
      <c r="X408" s="38"/>
      <c r="Y408" s="154"/>
      <c r="AA408" s="38"/>
      <c r="AB408" s="38"/>
      <c r="AC408" s="38"/>
      <c r="AD408" s="38"/>
    </row>
    <row r="409" spans="1:30">
      <c r="A409" s="38"/>
      <c r="B409" s="38"/>
      <c r="C409" s="38"/>
      <c r="D409" s="39"/>
      <c r="E409" s="39"/>
      <c r="F409" s="38"/>
      <c r="G409" s="38"/>
      <c r="H409" s="38"/>
      <c r="I409" s="38"/>
      <c r="J409" s="38"/>
      <c r="K409" s="39"/>
      <c r="L409" s="39"/>
      <c r="M409" s="38"/>
      <c r="N409" s="38"/>
      <c r="O409" s="38"/>
      <c r="P409" s="38"/>
      <c r="Q409" s="38"/>
      <c r="R409" s="38"/>
      <c r="S409" s="38"/>
      <c r="T409" s="38"/>
      <c r="U409" s="38"/>
      <c r="V409" s="38"/>
      <c r="W409" s="38"/>
      <c r="X409" s="38"/>
      <c r="Y409" s="154"/>
      <c r="AA409" s="38"/>
      <c r="AB409" s="38"/>
      <c r="AC409" s="38"/>
      <c r="AD409" s="38"/>
    </row>
    <row r="410" spans="1:30">
      <c r="A410" s="38"/>
      <c r="B410" s="38"/>
      <c r="C410" s="38"/>
      <c r="D410" s="39"/>
      <c r="E410" s="39"/>
      <c r="F410" s="38"/>
      <c r="G410" s="38"/>
      <c r="H410" s="38"/>
      <c r="I410" s="38"/>
      <c r="J410" s="38"/>
      <c r="K410" s="39"/>
      <c r="L410" s="39"/>
      <c r="M410" s="38"/>
      <c r="N410" s="38"/>
      <c r="O410" s="38"/>
      <c r="P410" s="38"/>
      <c r="Q410" s="38"/>
      <c r="R410" s="38"/>
      <c r="S410" s="38"/>
      <c r="T410" s="38"/>
      <c r="U410" s="38"/>
      <c r="V410" s="38"/>
      <c r="W410" s="38"/>
      <c r="X410" s="38"/>
      <c r="Y410" s="154"/>
      <c r="AA410" s="38"/>
      <c r="AB410" s="38"/>
      <c r="AC410" s="38"/>
      <c r="AD410" s="38"/>
    </row>
    <row r="411" spans="1:30">
      <c r="A411" s="38"/>
      <c r="B411" s="38"/>
      <c r="C411" s="38"/>
      <c r="D411" s="39"/>
      <c r="E411" s="39"/>
      <c r="F411" s="38"/>
      <c r="G411" s="38"/>
      <c r="H411" s="38"/>
      <c r="I411" s="38"/>
      <c r="J411" s="38"/>
      <c r="K411" s="39"/>
      <c r="L411" s="39"/>
      <c r="M411" s="38"/>
      <c r="N411" s="38"/>
      <c r="O411" s="38"/>
      <c r="P411" s="38"/>
      <c r="Q411" s="38"/>
      <c r="R411" s="38"/>
      <c r="S411" s="38"/>
      <c r="T411" s="38"/>
      <c r="U411" s="38"/>
      <c r="V411" s="38"/>
      <c r="W411" s="38"/>
      <c r="X411" s="38"/>
      <c r="Y411" s="154"/>
      <c r="AA411" s="38"/>
      <c r="AB411" s="38"/>
      <c r="AC411" s="38"/>
      <c r="AD411" s="38"/>
    </row>
    <row r="412" spans="1:30">
      <c r="A412" s="38"/>
      <c r="B412" s="38"/>
      <c r="C412" s="38"/>
      <c r="D412" s="39"/>
      <c r="E412" s="39"/>
      <c r="F412" s="38"/>
      <c r="G412" s="38"/>
      <c r="H412" s="38"/>
      <c r="I412" s="38"/>
      <c r="J412" s="38"/>
      <c r="K412" s="39"/>
      <c r="L412" s="39"/>
      <c r="M412" s="38"/>
      <c r="N412" s="38"/>
      <c r="O412" s="38"/>
      <c r="P412" s="38"/>
      <c r="Q412" s="38"/>
      <c r="R412" s="38"/>
      <c r="S412" s="38"/>
      <c r="T412" s="38"/>
      <c r="U412" s="38"/>
      <c r="V412" s="38"/>
      <c r="W412" s="38"/>
      <c r="X412" s="38"/>
      <c r="Y412" s="154"/>
      <c r="AA412" s="38"/>
      <c r="AB412" s="38"/>
      <c r="AC412" s="38"/>
      <c r="AD412" s="38"/>
    </row>
    <row r="413" spans="1:30">
      <c r="A413" s="38"/>
      <c r="B413" s="38"/>
      <c r="C413" s="38"/>
      <c r="D413" s="39"/>
      <c r="E413" s="39"/>
      <c r="F413" s="38"/>
      <c r="G413" s="38"/>
      <c r="H413" s="38"/>
      <c r="I413" s="38"/>
      <c r="J413" s="38"/>
      <c r="K413" s="39"/>
      <c r="L413" s="39"/>
      <c r="M413" s="38"/>
      <c r="N413" s="38"/>
      <c r="O413" s="38"/>
      <c r="P413" s="38"/>
      <c r="Q413" s="38"/>
      <c r="R413" s="38"/>
      <c r="S413" s="38"/>
      <c r="T413" s="38"/>
      <c r="U413" s="38"/>
      <c r="V413" s="38"/>
      <c r="W413" s="38"/>
      <c r="X413" s="38"/>
      <c r="Y413" s="154"/>
      <c r="AA413" s="38"/>
      <c r="AB413" s="38"/>
      <c r="AC413" s="38"/>
      <c r="AD413" s="38"/>
    </row>
    <row r="414" spans="1:30">
      <c r="A414" s="38"/>
      <c r="B414" s="38"/>
      <c r="C414" s="38"/>
      <c r="D414" s="39"/>
      <c r="E414" s="39"/>
      <c r="F414" s="38"/>
      <c r="G414" s="38"/>
      <c r="H414" s="38"/>
      <c r="I414" s="38"/>
      <c r="J414" s="38"/>
      <c r="K414" s="39"/>
      <c r="L414" s="39"/>
      <c r="M414" s="38"/>
      <c r="N414" s="38"/>
      <c r="O414" s="38"/>
      <c r="P414" s="38"/>
      <c r="Q414" s="38"/>
      <c r="R414" s="38"/>
      <c r="S414" s="38"/>
      <c r="T414" s="38"/>
      <c r="U414" s="38"/>
      <c r="V414" s="38"/>
      <c r="W414" s="38"/>
      <c r="X414" s="38"/>
      <c r="Y414" s="154"/>
      <c r="AA414" s="38"/>
      <c r="AB414" s="38"/>
      <c r="AC414" s="38"/>
      <c r="AD414" s="38"/>
    </row>
    <row r="415" spans="1:30">
      <c r="A415" s="38"/>
      <c r="B415" s="38"/>
      <c r="C415" s="38"/>
      <c r="D415" s="39"/>
      <c r="E415" s="39"/>
      <c r="F415" s="38"/>
      <c r="G415" s="38"/>
      <c r="H415" s="38"/>
      <c r="I415" s="38"/>
      <c r="J415" s="38"/>
      <c r="K415" s="39"/>
      <c r="L415" s="39"/>
      <c r="M415" s="38"/>
      <c r="N415" s="38"/>
      <c r="O415" s="38"/>
      <c r="P415" s="38"/>
      <c r="Q415" s="38"/>
      <c r="R415" s="38"/>
      <c r="S415" s="38"/>
      <c r="T415" s="38"/>
      <c r="U415" s="38"/>
      <c r="V415" s="38"/>
      <c r="W415" s="38"/>
      <c r="X415" s="38"/>
      <c r="Y415" s="154"/>
      <c r="AA415" s="38"/>
      <c r="AB415" s="38"/>
      <c r="AC415" s="38"/>
      <c r="AD415" s="38"/>
    </row>
    <row r="416" spans="1:30">
      <c r="A416" s="38"/>
      <c r="B416" s="38"/>
      <c r="C416" s="38"/>
      <c r="D416" s="39"/>
      <c r="E416" s="39"/>
      <c r="F416" s="38"/>
      <c r="G416" s="38"/>
      <c r="H416" s="38"/>
      <c r="I416" s="38"/>
      <c r="J416" s="38"/>
      <c r="K416" s="39"/>
      <c r="L416" s="39"/>
      <c r="M416" s="38"/>
      <c r="N416" s="38"/>
      <c r="O416" s="38"/>
      <c r="P416" s="38"/>
      <c r="Q416" s="38"/>
      <c r="R416" s="38"/>
      <c r="S416" s="38"/>
      <c r="T416" s="38"/>
      <c r="U416" s="38"/>
      <c r="V416" s="38"/>
      <c r="W416" s="38"/>
      <c r="X416" s="38"/>
      <c r="Y416" s="154"/>
      <c r="AA416" s="38"/>
      <c r="AB416" s="38"/>
      <c r="AC416" s="38"/>
      <c r="AD416" s="38"/>
    </row>
    <row r="417" spans="1:30">
      <c r="A417" s="38"/>
      <c r="B417" s="38"/>
      <c r="C417" s="38"/>
      <c r="D417" s="39"/>
      <c r="E417" s="39"/>
      <c r="F417" s="38"/>
      <c r="G417" s="38"/>
      <c r="H417" s="38"/>
      <c r="I417" s="38"/>
      <c r="J417" s="38"/>
      <c r="K417" s="39"/>
      <c r="L417" s="39"/>
      <c r="M417" s="38"/>
      <c r="N417" s="38"/>
      <c r="O417" s="38"/>
      <c r="P417" s="38"/>
      <c r="Q417" s="38"/>
      <c r="R417" s="38"/>
      <c r="S417" s="38"/>
      <c r="T417" s="38"/>
      <c r="U417" s="38"/>
      <c r="V417" s="38"/>
      <c r="W417" s="38"/>
      <c r="X417" s="38"/>
      <c r="Y417" s="154"/>
      <c r="AA417" s="38"/>
      <c r="AB417" s="38"/>
      <c r="AC417" s="38"/>
      <c r="AD417" s="38"/>
    </row>
    <row r="418" spans="1:30">
      <c r="A418" s="38"/>
      <c r="B418" s="38"/>
      <c r="C418" s="38"/>
      <c r="D418" s="39"/>
      <c r="E418" s="39"/>
      <c r="F418" s="38"/>
      <c r="G418" s="38"/>
      <c r="H418" s="38"/>
      <c r="I418" s="38"/>
      <c r="J418" s="38"/>
      <c r="K418" s="39"/>
      <c r="L418" s="39"/>
      <c r="M418" s="38"/>
      <c r="N418" s="38"/>
      <c r="O418" s="38"/>
      <c r="P418" s="38"/>
      <c r="Q418" s="38"/>
      <c r="R418" s="38"/>
      <c r="S418" s="38"/>
      <c r="T418" s="38"/>
      <c r="U418" s="38"/>
      <c r="V418" s="38"/>
      <c r="W418" s="38"/>
      <c r="X418" s="38"/>
      <c r="Y418" s="154"/>
      <c r="AA418" s="38"/>
      <c r="AB418" s="38"/>
      <c r="AC418" s="38"/>
      <c r="AD418" s="38"/>
    </row>
    <row r="419" spans="1:30">
      <c r="A419" s="38"/>
      <c r="B419" s="38"/>
      <c r="C419" s="38"/>
      <c r="D419" s="39"/>
      <c r="E419" s="39"/>
      <c r="F419" s="38"/>
      <c r="G419" s="38"/>
      <c r="H419" s="38"/>
      <c r="I419" s="38"/>
      <c r="J419" s="38"/>
      <c r="K419" s="39"/>
      <c r="L419" s="39"/>
      <c r="M419" s="38"/>
      <c r="N419" s="38"/>
      <c r="O419" s="38"/>
      <c r="P419" s="38"/>
      <c r="Q419" s="38"/>
      <c r="R419" s="38"/>
      <c r="S419" s="38"/>
      <c r="T419" s="38"/>
      <c r="U419" s="38"/>
      <c r="V419" s="38"/>
      <c r="W419" s="38"/>
      <c r="X419" s="38"/>
      <c r="Y419" s="154"/>
      <c r="AA419" s="38"/>
      <c r="AB419" s="38"/>
      <c r="AC419" s="38"/>
      <c r="AD419" s="38"/>
    </row>
    <row r="420" spans="1:30">
      <c r="A420" s="38"/>
      <c r="B420" s="38"/>
      <c r="C420" s="38"/>
      <c r="D420" s="39"/>
      <c r="E420" s="39"/>
      <c r="F420" s="38"/>
      <c r="G420" s="38"/>
      <c r="H420" s="38"/>
      <c r="I420" s="38"/>
      <c r="J420" s="38"/>
      <c r="K420" s="39"/>
      <c r="L420" s="39"/>
      <c r="M420" s="38"/>
      <c r="N420" s="38"/>
      <c r="O420" s="38"/>
      <c r="P420" s="38"/>
      <c r="Q420" s="38"/>
      <c r="R420" s="38"/>
      <c r="S420" s="38"/>
      <c r="T420" s="38"/>
      <c r="U420" s="38"/>
      <c r="V420" s="38"/>
      <c r="W420" s="38"/>
      <c r="X420" s="38"/>
      <c r="Y420" s="154"/>
      <c r="AA420" s="38"/>
      <c r="AB420" s="38"/>
      <c r="AC420" s="38"/>
      <c r="AD420" s="38"/>
    </row>
    <row r="421" spans="1:30">
      <c r="A421" s="38"/>
      <c r="B421" s="38"/>
      <c r="C421" s="38"/>
      <c r="D421" s="39"/>
      <c r="E421" s="39"/>
      <c r="F421" s="38"/>
      <c r="G421" s="38"/>
      <c r="H421" s="38"/>
      <c r="I421" s="38"/>
      <c r="J421" s="38"/>
      <c r="K421" s="39"/>
      <c r="L421" s="39"/>
      <c r="M421" s="38"/>
      <c r="N421" s="38"/>
      <c r="O421" s="38"/>
      <c r="P421" s="38"/>
      <c r="Q421" s="38"/>
      <c r="R421" s="38"/>
      <c r="S421" s="38"/>
      <c r="T421" s="38"/>
      <c r="U421" s="38"/>
      <c r="V421" s="38"/>
      <c r="W421" s="38"/>
      <c r="X421" s="38"/>
      <c r="Y421" s="154"/>
      <c r="AA421" s="38"/>
      <c r="AB421" s="38"/>
      <c r="AC421" s="38"/>
      <c r="AD421" s="38"/>
    </row>
    <row r="422" spans="1:30">
      <c r="A422" s="38"/>
      <c r="B422" s="38"/>
      <c r="C422" s="38"/>
      <c r="D422" s="39"/>
      <c r="E422" s="39"/>
      <c r="F422" s="38"/>
      <c r="G422" s="38"/>
      <c r="H422" s="38"/>
      <c r="I422" s="38"/>
      <c r="J422" s="38"/>
      <c r="K422" s="39"/>
      <c r="L422" s="39"/>
      <c r="M422" s="38"/>
      <c r="N422" s="38"/>
      <c r="O422" s="38"/>
      <c r="P422" s="38"/>
      <c r="Q422" s="38"/>
      <c r="R422" s="38"/>
      <c r="S422" s="38"/>
      <c r="T422" s="38"/>
      <c r="U422" s="38"/>
      <c r="V422" s="38"/>
      <c r="W422" s="38"/>
      <c r="X422" s="38"/>
      <c r="Y422" s="154"/>
      <c r="AA422" s="38"/>
      <c r="AB422" s="38"/>
      <c r="AC422" s="38"/>
      <c r="AD422" s="38"/>
    </row>
    <row r="423" spans="1:30">
      <c r="A423" s="38"/>
      <c r="B423" s="38"/>
      <c r="C423" s="38"/>
      <c r="D423" s="39"/>
      <c r="E423" s="39"/>
      <c r="F423" s="38"/>
      <c r="G423" s="38"/>
      <c r="H423" s="38"/>
      <c r="I423" s="38"/>
      <c r="J423" s="38"/>
      <c r="K423" s="39"/>
      <c r="L423" s="39"/>
      <c r="M423" s="38"/>
      <c r="N423" s="38"/>
      <c r="O423" s="38"/>
      <c r="P423" s="38"/>
      <c r="Q423" s="38"/>
      <c r="R423" s="38"/>
      <c r="S423" s="38"/>
      <c r="T423" s="38"/>
      <c r="U423" s="38"/>
      <c r="V423" s="38"/>
      <c r="W423" s="38"/>
      <c r="X423" s="38"/>
      <c r="Y423" s="154"/>
      <c r="AA423" s="38"/>
      <c r="AB423" s="38"/>
      <c r="AC423" s="38"/>
      <c r="AD423" s="38"/>
    </row>
    <row r="424" spans="1:30">
      <c r="A424" s="38"/>
      <c r="B424" s="38"/>
      <c r="C424" s="38"/>
      <c r="D424" s="39"/>
      <c r="E424" s="39"/>
      <c r="F424" s="38"/>
      <c r="G424" s="38"/>
      <c r="H424" s="38"/>
      <c r="I424" s="38"/>
      <c r="J424" s="38"/>
      <c r="K424" s="39"/>
      <c r="L424" s="39"/>
      <c r="M424" s="38"/>
      <c r="N424" s="38"/>
      <c r="O424" s="38"/>
      <c r="P424" s="38"/>
      <c r="Q424" s="38"/>
      <c r="R424" s="38"/>
      <c r="S424" s="38"/>
      <c r="T424" s="38"/>
      <c r="U424" s="38"/>
      <c r="V424" s="38"/>
      <c r="W424" s="38"/>
      <c r="X424" s="38"/>
      <c r="Y424" s="154"/>
      <c r="AA424" s="38"/>
      <c r="AB424" s="38"/>
      <c r="AC424" s="38"/>
      <c r="AD424" s="38"/>
    </row>
    <row r="425" spans="1:30">
      <c r="A425" s="38"/>
      <c r="B425" s="38"/>
      <c r="C425" s="38"/>
      <c r="D425" s="39"/>
      <c r="E425" s="39"/>
      <c r="F425" s="38"/>
      <c r="G425" s="38"/>
      <c r="H425" s="38"/>
      <c r="I425" s="38"/>
      <c r="J425" s="38"/>
      <c r="K425" s="39"/>
      <c r="L425" s="39"/>
      <c r="M425" s="38"/>
      <c r="N425" s="38"/>
      <c r="O425" s="38"/>
      <c r="P425" s="38"/>
      <c r="Q425" s="38"/>
      <c r="R425" s="38"/>
      <c r="S425" s="38"/>
      <c r="T425" s="38"/>
      <c r="U425" s="38"/>
      <c r="V425" s="38"/>
      <c r="W425" s="38"/>
      <c r="X425" s="38"/>
      <c r="Y425" s="154"/>
      <c r="AA425" s="38"/>
      <c r="AB425" s="38"/>
      <c r="AC425" s="38"/>
      <c r="AD425" s="38"/>
    </row>
    <row r="426" spans="1:30">
      <c r="A426" s="38"/>
      <c r="B426" s="38"/>
      <c r="C426" s="38"/>
      <c r="D426" s="39"/>
      <c r="E426" s="39"/>
      <c r="F426" s="38"/>
      <c r="G426" s="38"/>
      <c r="H426" s="38"/>
      <c r="I426" s="38"/>
      <c r="J426" s="38"/>
      <c r="K426" s="39"/>
      <c r="L426" s="39"/>
      <c r="M426" s="38"/>
      <c r="N426" s="38"/>
      <c r="O426" s="38"/>
      <c r="P426" s="38"/>
      <c r="Q426" s="38"/>
      <c r="R426" s="38"/>
      <c r="S426" s="38"/>
      <c r="T426" s="38"/>
      <c r="U426" s="38"/>
      <c r="V426" s="38"/>
      <c r="W426" s="38"/>
      <c r="X426" s="38"/>
      <c r="Y426" s="154"/>
      <c r="AA426" s="38"/>
      <c r="AB426" s="38"/>
      <c r="AC426" s="38"/>
      <c r="AD426" s="38"/>
    </row>
    <row r="427" spans="1:30">
      <c r="A427" s="38"/>
      <c r="B427" s="38"/>
      <c r="C427" s="38"/>
      <c r="D427" s="39"/>
      <c r="E427" s="39"/>
      <c r="F427" s="38"/>
      <c r="G427" s="38"/>
      <c r="H427" s="38"/>
      <c r="I427" s="38"/>
      <c r="J427" s="38"/>
      <c r="K427" s="39"/>
      <c r="L427" s="39"/>
      <c r="M427" s="38"/>
      <c r="N427" s="38"/>
      <c r="O427" s="38"/>
      <c r="P427" s="38"/>
      <c r="Q427" s="38"/>
      <c r="R427" s="38"/>
      <c r="S427" s="38"/>
      <c r="T427" s="38"/>
      <c r="U427" s="38"/>
      <c r="V427" s="38"/>
      <c r="W427" s="38"/>
      <c r="X427" s="38"/>
      <c r="Y427" s="154"/>
      <c r="AA427" s="38"/>
      <c r="AB427" s="38"/>
      <c r="AC427" s="38"/>
      <c r="AD427" s="38"/>
    </row>
    <row r="428" spans="1:30">
      <c r="A428" s="38"/>
      <c r="B428" s="38"/>
      <c r="C428" s="38"/>
      <c r="D428" s="39"/>
      <c r="E428" s="39"/>
      <c r="F428" s="38"/>
      <c r="G428" s="38"/>
      <c r="H428" s="38"/>
      <c r="I428" s="38"/>
      <c r="J428" s="38"/>
      <c r="K428" s="39"/>
      <c r="L428" s="39"/>
      <c r="M428" s="38"/>
      <c r="N428" s="38"/>
      <c r="O428" s="38"/>
      <c r="P428" s="38"/>
      <c r="Q428" s="38"/>
      <c r="R428" s="38"/>
      <c r="S428" s="38"/>
      <c r="T428" s="38"/>
      <c r="U428" s="38"/>
      <c r="V428" s="38"/>
      <c r="W428" s="38"/>
      <c r="X428" s="38"/>
      <c r="Y428" s="154"/>
      <c r="AA428" s="38"/>
      <c r="AB428" s="38"/>
      <c r="AC428" s="38"/>
      <c r="AD428" s="38"/>
    </row>
    <row r="429" spans="1:30">
      <c r="A429" s="38"/>
      <c r="B429" s="38"/>
      <c r="C429" s="38"/>
      <c r="D429" s="39"/>
      <c r="E429" s="39"/>
      <c r="F429" s="38"/>
      <c r="G429" s="38"/>
      <c r="H429" s="38"/>
      <c r="I429" s="38"/>
      <c r="J429" s="38"/>
      <c r="K429" s="39"/>
      <c r="L429" s="39"/>
      <c r="M429" s="38"/>
      <c r="N429" s="38"/>
      <c r="O429" s="38"/>
      <c r="P429" s="38"/>
      <c r="Q429" s="38"/>
      <c r="R429" s="38"/>
      <c r="S429" s="38"/>
      <c r="T429" s="38"/>
      <c r="U429" s="38"/>
      <c r="V429" s="38"/>
      <c r="W429" s="38"/>
      <c r="X429" s="38"/>
      <c r="Y429" s="154"/>
      <c r="AA429" s="38"/>
      <c r="AB429" s="38"/>
      <c r="AC429" s="38"/>
      <c r="AD429" s="38"/>
    </row>
    <row r="430" spans="1:30">
      <c r="A430" s="38"/>
      <c r="B430" s="38"/>
      <c r="C430" s="38"/>
      <c r="D430" s="39"/>
      <c r="E430" s="39"/>
      <c r="F430" s="38"/>
      <c r="G430" s="38"/>
      <c r="H430" s="38"/>
      <c r="I430" s="38"/>
      <c r="J430" s="38"/>
      <c r="K430" s="39"/>
      <c r="L430" s="39"/>
      <c r="M430" s="38"/>
      <c r="N430" s="38"/>
      <c r="O430" s="38"/>
      <c r="P430" s="38"/>
      <c r="Q430" s="38"/>
      <c r="R430" s="38"/>
      <c r="S430" s="38"/>
      <c r="T430" s="38"/>
      <c r="U430" s="38"/>
      <c r="V430" s="38"/>
      <c r="W430" s="38"/>
      <c r="X430" s="38"/>
      <c r="Y430" s="154"/>
      <c r="AA430" s="38"/>
      <c r="AB430" s="38"/>
      <c r="AC430" s="38"/>
      <c r="AD430" s="38"/>
    </row>
    <row r="431" spans="1:30">
      <c r="A431" s="38"/>
      <c r="B431" s="38"/>
      <c r="C431" s="38"/>
      <c r="D431" s="39"/>
      <c r="E431" s="39"/>
      <c r="F431" s="38"/>
      <c r="G431" s="38"/>
      <c r="H431" s="38"/>
      <c r="I431" s="38"/>
      <c r="J431" s="38"/>
      <c r="K431" s="39"/>
      <c r="L431" s="39"/>
      <c r="M431" s="38"/>
      <c r="N431" s="38"/>
      <c r="O431" s="38"/>
      <c r="P431" s="38"/>
      <c r="Q431" s="38"/>
      <c r="R431" s="38"/>
      <c r="S431" s="38"/>
      <c r="T431" s="38"/>
      <c r="U431" s="38"/>
      <c r="V431" s="38"/>
      <c r="W431" s="38"/>
      <c r="X431" s="38"/>
      <c r="Y431" s="154"/>
      <c r="AA431" s="38"/>
      <c r="AB431" s="38"/>
      <c r="AC431" s="38"/>
      <c r="AD431" s="38"/>
    </row>
    <row r="432" spans="1:30">
      <c r="A432" s="38"/>
      <c r="B432" s="38"/>
      <c r="C432" s="38"/>
      <c r="D432" s="39"/>
      <c r="E432" s="39"/>
      <c r="F432" s="38"/>
      <c r="G432" s="38"/>
      <c r="H432" s="38"/>
      <c r="I432" s="38"/>
      <c r="J432" s="38"/>
      <c r="K432" s="39"/>
      <c r="L432" s="39"/>
      <c r="M432" s="38"/>
      <c r="N432" s="38"/>
      <c r="O432" s="38"/>
      <c r="P432" s="38"/>
      <c r="Q432" s="38"/>
      <c r="R432" s="38"/>
      <c r="S432" s="38"/>
      <c r="T432" s="38"/>
      <c r="U432" s="38"/>
      <c r="V432" s="38"/>
      <c r="W432" s="38"/>
      <c r="X432" s="38"/>
      <c r="Y432" s="154"/>
      <c r="AA432" s="38"/>
      <c r="AB432" s="38"/>
      <c r="AC432" s="38"/>
      <c r="AD432" s="38"/>
    </row>
    <row r="433" spans="1:30">
      <c r="A433" s="38"/>
      <c r="B433" s="38"/>
      <c r="C433" s="38"/>
      <c r="D433" s="39"/>
      <c r="E433" s="39"/>
      <c r="F433" s="38"/>
      <c r="G433" s="38"/>
      <c r="H433" s="38"/>
      <c r="I433" s="38"/>
      <c r="J433" s="38"/>
      <c r="K433" s="39"/>
      <c r="L433" s="39"/>
      <c r="M433" s="38"/>
      <c r="N433" s="38"/>
      <c r="O433" s="38"/>
      <c r="P433" s="38"/>
      <c r="Q433" s="38"/>
      <c r="R433" s="38"/>
      <c r="S433" s="38"/>
      <c r="T433" s="38"/>
      <c r="U433" s="38"/>
      <c r="V433" s="38"/>
      <c r="W433" s="38"/>
      <c r="X433" s="38"/>
      <c r="Y433" s="154"/>
      <c r="AA433" s="38"/>
      <c r="AB433" s="38"/>
      <c r="AC433" s="38"/>
      <c r="AD433" s="38"/>
    </row>
    <row r="434" spans="1:30">
      <c r="A434" s="38"/>
      <c r="B434" s="38"/>
      <c r="C434" s="38"/>
      <c r="D434" s="39"/>
      <c r="E434" s="39"/>
      <c r="F434" s="38"/>
      <c r="G434" s="38"/>
      <c r="H434" s="38"/>
      <c r="I434" s="38"/>
      <c r="J434" s="38"/>
      <c r="K434" s="39"/>
      <c r="L434" s="39"/>
      <c r="M434" s="38"/>
      <c r="N434" s="38"/>
      <c r="O434" s="38"/>
      <c r="P434" s="38"/>
      <c r="Q434" s="38"/>
      <c r="R434" s="38"/>
      <c r="S434" s="38"/>
      <c r="T434" s="38"/>
      <c r="U434" s="38"/>
      <c r="V434" s="38"/>
      <c r="W434" s="38"/>
      <c r="X434" s="38"/>
      <c r="Y434" s="154"/>
      <c r="AA434" s="38"/>
      <c r="AB434" s="38"/>
      <c r="AC434" s="38"/>
      <c r="AD434" s="38"/>
    </row>
    <row r="435" spans="1:30">
      <c r="A435" s="38"/>
      <c r="B435" s="38"/>
      <c r="C435" s="38"/>
      <c r="D435" s="39"/>
      <c r="E435" s="39"/>
      <c r="F435" s="38"/>
      <c r="G435" s="38"/>
      <c r="H435" s="38"/>
      <c r="I435" s="38"/>
      <c r="J435" s="38"/>
      <c r="K435" s="39"/>
      <c r="L435" s="39"/>
      <c r="M435" s="38"/>
      <c r="N435" s="38"/>
      <c r="O435" s="38"/>
      <c r="P435" s="38"/>
      <c r="Q435" s="38"/>
      <c r="R435" s="38"/>
      <c r="S435" s="38"/>
      <c r="T435" s="38"/>
      <c r="U435" s="38"/>
      <c r="V435" s="38"/>
      <c r="W435" s="38"/>
      <c r="X435" s="38"/>
      <c r="Y435" s="154"/>
      <c r="AA435" s="38"/>
      <c r="AB435" s="38"/>
      <c r="AC435" s="38"/>
      <c r="AD435" s="38"/>
    </row>
    <row r="436" spans="1:30">
      <c r="A436" s="38"/>
      <c r="B436" s="38"/>
      <c r="C436" s="38"/>
      <c r="D436" s="39"/>
      <c r="E436" s="39"/>
      <c r="F436" s="38"/>
      <c r="G436" s="38"/>
      <c r="H436" s="38"/>
      <c r="I436" s="38"/>
      <c r="J436" s="38"/>
      <c r="K436" s="39"/>
      <c r="L436" s="39"/>
      <c r="M436" s="38"/>
      <c r="N436" s="38"/>
      <c r="O436" s="38"/>
      <c r="P436" s="38"/>
      <c r="Q436" s="38"/>
      <c r="R436" s="38"/>
      <c r="S436" s="38"/>
      <c r="T436" s="38"/>
      <c r="U436" s="38"/>
      <c r="V436" s="38"/>
      <c r="W436" s="38"/>
      <c r="X436" s="38"/>
      <c r="Y436" s="154"/>
      <c r="AA436" s="38"/>
      <c r="AB436" s="38"/>
      <c r="AC436" s="38"/>
      <c r="AD436" s="38"/>
    </row>
    <row r="437" spans="1:30">
      <c r="A437" s="38"/>
      <c r="B437" s="38"/>
      <c r="C437" s="38"/>
      <c r="D437" s="39"/>
      <c r="E437" s="39"/>
      <c r="F437" s="38"/>
      <c r="G437" s="38"/>
      <c r="H437" s="38"/>
      <c r="I437" s="38"/>
      <c r="J437" s="38"/>
      <c r="K437" s="39"/>
      <c r="L437" s="39"/>
      <c r="M437" s="38"/>
      <c r="N437" s="38"/>
      <c r="O437" s="38"/>
      <c r="P437" s="38"/>
      <c r="Q437" s="38"/>
      <c r="R437" s="38"/>
      <c r="S437" s="38"/>
      <c r="T437" s="38"/>
      <c r="U437" s="38"/>
      <c r="V437" s="38"/>
      <c r="W437" s="38"/>
      <c r="X437" s="38"/>
      <c r="Y437" s="154"/>
      <c r="AA437" s="38"/>
      <c r="AB437" s="38"/>
      <c r="AC437" s="38"/>
      <c r="AD437" s="38"/>
    </row>
    <row r="438" spans="1:30">
      <c r="A438" s="38"/>
      <c r="B438" s="38"/>
      <c r="C438" s="38"/>
      <c r="D438" s="39"/>
      <c r="E438" s="39"/>
      <c r="F438" s="38"/>
      <c r="G438" s="38"/>
      <c r="H438" s="38"/>
      <c r="I438" s="38"/>
      <c r="J438" s="38"/>
      <c r="K438" s="39"/>
      <c r="L438" s="39"/>
      <c r="M438" s="38"/>
      <c r="N438" s="38"/>
      <c r="O438" s="38"/>
      <c r="P438" s="38"/>
      <c r="Q438" s="38"/>
      <c r="R438" s="38"/>
      <c r="S438" s="38"/>
      <c r="T438" s="38"/>
      <c r="U438" s="38"/>
      <c r="V438" s="38"/>
      <c r="W438" s="38"/>
      <c r="X438" s="38"/>
      <c r="Y438" s="154"/>
      <c r="AA438" s="38"/>
      <c r="AB438" s="38"/>
      <c r="AC438" s="38"/>
      <c r="AD438" s="38"/>
    </row>
    <row r="439" spans="1:30">
      <c r="A439" s="38"/>
      <c r="B439" s="38"/>
      <c r="C439" s="38"/>
      <c r="D439" s="39"/>
      <c r="E439" s="39"/>
      <c r="F439" s="38"/>
      <c r="G439" s="38"/>
      <c r="H439" s="38"/>
      <c r="I439" s="38"/>
      <c r="J439" s="38"/>
      <c r="K439" s="39"/>
      <c r="L439" s="39"/>
      <c r="M439" s="38"/>
      <c r="N439" s="38"/>
      <c r="O439" s="38"/>
      <c r="P439" s="38"/>
      <c r="Q439" s="38"/>
      <c r="R439" s="38"/>
      <c r="S439" s="38"/>
      <c r="T439" s="38"/>
      <c r="U439" s="38"/>
      <c r="V439" s="38"/>
      <c r="W439" s="38"/>
      <c r="X439" s="38"/>
      <c r="Y439" s="154"/>
      <c r="AA439" s="38"/>
      <c r="AB439" s="38"/>
      <c r="AC439" s="38"/>
      <c r="AD439" s="38"/>
    </row>
    <row r="440" spans="1:30">
      <c r="A440" s="38"/>
      <c r="B440" s="38"/>
      <c r="C440" s="38"/>
      <c r="D440" s="39"/>
      <c r="E440" s="39"/>
      <c r="F440" s="38"/>
      <c r="G440" s="38"/>
      <c r="H440" s="38"/>
      <c r="I440" s="38"/>
      <c r="J440" s="38"/>
      <c r="K440" s="39"/>
      <c r="L440" s="39"/>
      <c r="M440" s="38"/>
      <c r="N440" s="38"/>
      <c r="O440" s="38"/>
      <c r="P440" s="38"/>
      <c r="Q440" s="38"/>
      <c r="R440" s="38"/>
      <c r="S440" s="38"/>
      <c r="T440" s="38"/>
      <c r="U440" s="38"/>
      <c r="V440" s="38"/>
      <c r="W440" s="38"/>
      <c r="X440" s="38"/>
      <c r="Y440" s="154"/>
      <c r="AA440" s="38"/>
      <c r="AB440" s="38"/>
      <c r="AC440" s="38"/>
      <c r="AD440" s="38"/>
    </row>
    <row r="441" spans="1:30">
      <c r="A441" s="38"/>
      <c r="B441" s="38"/>
      <c r="C441" s="38"/>
      <c r="D441" s="39"/>
      <c r="E441" s="39"/>
      <c r="F441" s="38"/>
      <c r="G441" s="38"/>
      <c r="H441" s="38"/>
      <c r="I441" s="38"/>
      <c r="J441" s="38"/>
      <c r="K441" s="39"/>
      <c r="L441" s="39"/>
      <c r="M441" s="38"/>
      <c r="N441" s="38"/>
      <c r="O441" s="38"/>
      <c r="P441" s="38"/>
      <c r="Q441" s="38"/>
      <c r="R441" s="38"/>
      <c r="S441" s="38"/>
      <c r="T441" s="38"/>
      <c r="U441" s="38"/>
      <c r="V441" s="38"/>
      <c r="W441" s="38"/>
      <c r="X441" s="38"/>
      <c r="Y441" s="154"/>
      <c r="AA441" s="38"/>
      <c r="AB441" s="38"/>
      <c r="AC441" s="38"/>
      <c r="AD441" s="38"/>
    </row>
    <row r="442" spans="1:30">
      <c r="A442" s="38"/>
      <c r="B442" s="38"/>
      <c r="C442" s="38"/>
      <c r="D442" s="39"/>
      <c r="E442" s="39"/>
      <c r="F442" s="38"/>
      <c r="G442" s="38"/>
      <c r="H442" s="38"/>
      <c r="I442" s="38"/>
      <c r="J442" s="38"/>
      <c r="K442" s="39"/>
      <c r="L442" s="39"/>
      <c r="M442" s="38"/>
      <c r="N442" s="38"/>
      <c r="O442" s="38"/>
      <c r="P442" s="38"/>
      <c r="Q442" s="38"/>
      <c r="R442" s="38"/>
      <c r="S442" s="38"/>
      <c r="T442" s="38"/>
      <c r="U442" s="38"/>
      <c r="V442" s="38"/>
      <c r="W442" s="38"/>
      <c r="X442" s="38"/>
      <c r="Y442" s="154"/>
      <c r="AA442" s="38"/>
      <c r="AB442" s="38"/>
      <c r="AC442" s="38"/>
      <c r="AD442" s="38"/>
    </row>
    <row r="443" spans="1:30">
      <c r="A443" s="38"/>
      <c r="B443" s="38"/>
      <c r="C443" s="38"/>
      <c r="D443" s="39"/>
      <c r="E443" s="39"/>
      <c r="F443" s="38"/>
      <c r="G443" s="38"/>
      <c r="H443" s="38"/>
      <c r="I443" s="38"/>
      <c r="J443" s="38"/>
      <c r="K443" s="39"/>
      <c r="L443" s="39"/>
      <c r="M443" s="38"/>
      <c r="N443" s="38"/>
      <c r="O443" s="38"/>
      <c r="P443" s="38"/>
      <c r="Q443" s="38"/>
      <c r="R443" s="38"/>
      <c r="S443" s="38"/>
      <c r="T443" s="38"/>
      <c r="U443" s="38"/>
      <c r="V443" s="38"/>
      <c r="W443" s="38"/>
      <c r="X443" s="38"/>
      <c r="Y443" s="154"/>
      <c r="AA443" s="38"/>
      <c r="AB443" s="38"/>
      <c r="AC443" s="38"/>
      <c r="AD443" s="38"/>
    </row>
    <row r="444" spans="1:30">
      <c r="A444" s="38"/>
      <c r="B444" s="38"/>
      <c r="C444" s="38"/>
      <c r="D444" s="39"/>
      <c r="E444" s="39"/>
      <c r="F444" s="38"/>
      <c r="G444" s="38"/>
      <c r="H444" s="38"/>
      <c r="I444" s="38"/>
      <c r="J444" s="38"/>
      <c r="K444" s="39"/>
      <c r="L444" s="39"/>
      <c r="M444" s="38"/>
      <c r="N444" s="38"/>
      <c r="O444" s="38"/>
      <c r="P444" s="38"/>
      <c r="Q444" s="38"/>
      <c r="R444" s="38"/>
      <c r="S444" s="38"/>
      <c r="T444" s="38"/>
      <c r="U444" s="38"/>
      <c r="V444" s="38"/>
      <c r="W444" s="38"/>
      <c r="X444" s="38"/>
      <c r="Y444" s="154"/>
      <c r="AA444" s="38"/>
      <c r="AB444" s="38"/>
      <c r="AC444" s="38"/>
      <c r="AD444" s="38"/>
    </row>
    <row r="445" spans="1:30">
      <c r="A445" s="38"/>
      <c r="B445" s="38"/>
      <c r="C445" s="38"/>
      <c r="D445" s="39"/>
      <c r="E445" s="39"/>
      <c r="F445" s="38"/>
      <c r="G445" s="38"/>
      <c r="H445" s="38"/>
      <c r="I445" s="38"/>
      <c r="J445" s="38"/>
      <c r="K445" s="39"/>
      <c r="L445" s="39"/>
      <c r="M445" s="38"/>
      <c r="N445" s="38"/>
      <c r="O445" s="38"/>
      <c r="P445" s="38"/>
      <c r="Q445" s="38"/>
      <c r="R445" s="38"/>
      <c r="S445" s="38"/>
      <c r="T445" s="38"/>
      <c r="U445" s="38"/>
      <c r="V445" s="38"/>
      <c r="W445" s="38"/>
      <c r="X445" s="38"/>
      <c r="Y445" s="154"/>
      <c r="AA445" s="38"/>
      <c r="AB445" s="38"/>
      <c r="AC445" s="38"/>
      <c r="AD445" s="38"/>
    </row>
    <row r="446" spans="1:30">
      <c r="A446" s="38"/>
      <c r="B446" s="38"/>
      <c r="C446" s="38"/>
      <c r="D446" s="39"/>
      <c r="E446" s="39"/>
      <c r="F446" s="38"/>
      <c r="G446" s="38"/>
      <c r="H446" s="38"/>
      <c r="I446" s="38"/>
      <c r="J446" s="38"/>
      <c r="K446" s="39"/>
      <c r="L446" s="39"/>
      <c r="M446" s="38"/>
      <c r="N446" s="38"/>
      <c r="O446" s="38"/>
      <c r="P446" s="38"/>
      <c r="Q446" s="38"/>
      <c r="R446" s="38"/>
      <c r="S446" s="38"/>
      <c r="T446" s="38"/>
      <c r="U446" s="38"/>
      <c r="V446" s="38"/>
      <c r="W446" s="38"/>
      <c r="X446" s="38"/>
      <c r="Y446" s="154"/>
      <c r="AA446" s="38"/>
      <c r="AB446" s="38"/>
      <c r="AC446" s="38"/>
      <c r="AD446" s="38"/>
    </row>
    <row r="447" spans="1:30">
      <c r="A447" s="38"/>
      <c r="B447" s="38"/>
      <c r="C447" s="38"/>
      <c r="D447" s="39"/>
      <c r="E447" s="39"/>
      <c r="F447" s="38"/>
      <c r="G447" s="38"/>
      <c r="H447" s="38"/>
      <c r="I447" s="38"/>
      <c r="J447" s="38"/>
      <c r="K447" s="39"/>
      <c r="L447" s="39"/>
      <c r="M447" s="38"/>
      <c r="N447" s="38"/>
      <c r="O447" s="38"/>
      <c r="P447" s="38"/>
      <c r="Q447" s="38"/>
      <c r="R447" s="38"/>
      <c r="S447" s="38"/>
      <c r="T447" s="38"/>
      <c r="U447" s="38"/>
      <c r="V447" s="38"/>
      <c r="W447" s="38"/>
      <c r="X447" s="38"/>
      <c r="Y447" s="154"/>
      <c r="AA447" s="38"/>
      <c r="AB447" s="38"/>
      <c r="AC447" s="38"/>
      <c r="AD447" s="38"/>
    </row>
    <row r="448" spans="1:30">
      <c r="A448" s="38"/>
      <c r="B448" s="38"/>
      <c r="C448" s="38"/>
      <c r="D448" s="39"/>
      <c r="E448" s="39"/>
      <c r="F448" s="38"/>
      <c r="G448" s="38"/>
      <c r="H448" s="38"/>
      <c r="I448" s="38"/>
      <c r="J448" s="38"/>
      <c r="K448" s="39"/>
      <c r="L448" s="39"/>
      <c r="M448" s="38"/>
      <c r="N448" s="38"/>
      <c r="O448" s="38"/>
      <c r="P448" s="38"/>
      <c r="Q448" s="38"/>
      <c r="R448" s="38"/>
      <c r="S448" s="38"/>
      <c r="T448" s="38"/>
      <c r="U448" s="38"/>
      <c r="V448" s="38"/>
      <c r="W448" s="38"/>
      <c r="X448" s="38"/>
      <c r="Y448" s="154"/>
      <c r="AA448" s="38"/>
      <c r="AB448" s="38"/>
      <c r="AC448" s="38"/>
      <c r="AD448" s="38"/>
    </row>
    <row r="449" spans="1:30">
      <c r="A449" s="38"/>
      <c r="B449" s="38"/>
      <c r="C449" s="38"/>
      <c r="D449" s="39"/>
      <c r="E449" s="39"/>
      <c r="F449" s="38"/>
      <c r="G449" s="38"/>
      <c r="H449" s="38"/>
      <c r="I449" s="38"/>
      <c r="J449" s="38"/>
      <c r="K449" s="39"/>
      <c r="L449" s="39"/>
      <c r="M449" s="38"/>
      <c r="N449" s="38"/>
      <c r="O449" s="38"/>
      <c r="P449" s="38"/>
      <c r="Q449" s="38"/>
      <c r="R449" s="38"/>
      <c r="S449" s="38"/>
      <c r="T449" s="38"/>
      <c r="U449" s="38"/>
      <c r="V449" s="38"/>
      <c r="W449" s="38"/>
      <c r="X449" s="38"/>
      <c r="Y449" s="154"/>
      <c r="AA449" s="38"/>
      <c r="AB449" s="38"/>
      <c r="AC449" s="38"/>
      <c r="AD449" s="38"/>
    </row>
    <row r="450" spans="1:30">
      <c r="A450" s="38"/>
      <c r="B450" s="38"/>
      <c r="C450" s="38"/>
      <c r="D450" s="39"/>
      <c r="E450" s="39"/>
      <c r="F450" s="38"/>
      <c r="G450" s="38"/>
      <c r="H450" s="38"/>
      <c r="I450" s="38"/>
      <c r="J450" s="38"/>
      <c r="K450" s="39"/>
      <c r="L450" s="39"/>
      <c r="M450" s="38"/>
      <c r="N450" s="38"/>
      <c r="O450" s="38"/>
      <c r="P450" s="38"/>
      <c r="Q450" s="38"/>
      <c r="R450" s="38"/>
      <c r="S450" s="38"/>
      <c r="T450" s="38"/>
      <c r="U450" s="38"/>
      <c r="V450" s="38"/>
      <c r="W450" s="38"/>
      <c r="X450" s="38"/>
      <c r="Y450" s="154"/>
      <c r="AA450" s="38"/>
      <c r="AB450" s="38"/>
      <c r="AC450" s="38"/>
      <c r="AD450" s="38"/>
    </row>
    <row r="451" spans="1:30">
      <c r="A451" s="38"/>
      <c r="B451" s="38"/>
      <c r="C451" s="38"/>
      <c r="D451" s="39"/>
      <c r="E451" s="39"/>
      <c r="F451" s="38"/>
      <c r="G451" s="38"/>
      <c r="H451" s="38"/>
      <c r="I451" s="38"/>
      <c r="J451" s="38"/>
      <c r="K451" s="39"/>
      <c r="L451" s="39"/>
      <c r="M451" s="38"/>
      <c r="N451" s="38"/>
      <c r="O451" s="38"/>
      <c r="P451" s="38"/>
      <c r="Q451" s="38"/>
      <c r="R451" s="38"/>
      <c r="S451" s="38"/>
      <c r="T451" s="38"/>
      <c r="U451" s="38"/>
      <c r="V451" s="38"/>
      <c r="W451" s="38"/>
      <c r="X451" s="38"/>
      <c r="Y451" s="154"/>
      <c r="AA451" s="38"/>
      <c r="AB451" s="38"/>
      <c r="AC451" s="38"/>
      <c r="AD451" s="38"/>
    </row>
    <row r="452" spans="1:30">
      <c r="A452" s="38"/>
      <c r="B452" s="38"/>
      <c r="C452" s="38"/>
      <c r="D452" s="39"/>
      <c r="E452" s="39"/>
      <c r="F452" s="38"/>
      <c r="G452" s="38"/>
      <c r="H452" s="38"/>
      <c r="I452" s="38"/>
      <c r="J452" s="38"/>
      <c r="K452" s="39"/>
      <c r="L452" s="39"/>
      <c r="M452" s="38"/>
      <c r="N452" s="38"/>
      <c r="O452" s="38"/>
      <c r="P452" s="38"/>
      <c r="Q452" s="38"/>
      <c r="R452" s="38"/>
      <c r="S452" s="38"/>
      <c r="T452" s="38"/>
      <c r="U452" s="38"/>
      <c r="V452" s="38"/>
      <c r="W452" s="38"/>
      <c r="X452" s="38"/>
      <c r="Y452" s="154"/>
      <c r="AA452" s="38"/>
      <c r="AB452" s="38"/>
      <c r="AC452" s="38"/>
      <c r="AD452" s="38"/>
    </row>
    <row r="453" spans="1:30">
      <c r="A453" s="38"/>
      <c r="B453" s="38"/>
      <c r="C453" s="38"/>
      <c r="D453" s="39"/>
      <c r="E453" s="39"/>
      <c r="F453" s="38"/>
      <c r="G453" s="38"/>
      <c r="H453" s="38"/>
      <c r="I453" s="38"/>
      <c r="J453" s="38"/>
      <c r="K453" s="39"/>
      <c r="L453" s="39"/>
      <c r="M453" s="38"/>
      <c r="N453" s="38"/>
      <c r="O453" s="38"/>
      <c r="P453" s="38"/>
      <c r="Q453" s="38"/>
      <c r="R453" s="38"/>
      <c r="S453" s="38"/>
      <c r="T453" s="38"/>
      <c r="U453" s="38"/>
      <c r="V453" s="38"/>
      <c r="W453" s="38"/>
      <c r="X453" s="38"/>
      <c r="Y453" s="154"/>
      <c r="AA453" s="38"/>
      <c r="AB453" s="38"/>
      <c r="AC453" s="38"/>
      <c r="AD453" s="38"/>
    </row>
    <row r="454" spans="1:30">
      <c r="A454" s="38"/>
      <c r="B454" s="38"/>
      <c r="C454" s="38"/>
      <c r="D454" s="39"/>
      <c r="E454" s="39"/>
      <c r="F454" s="38"/>
      <c r="G454" s="38"/>
      <c r="H454" s="38"/>
      <c r="I454" s="38"/>
      <c r="J454" s="38"/>
      <c r="K454" s="39"/>
      <c r="L454" s="39"/>
      <c r="M454" s="38"/>
      <c r="N454" s="38"/>
      <c r="O454" s="38"/>
      <c r="P454" s="38"/>
      <c r="Q454" s="38"/>
      <c r="R454" s="38"/>
      <c r="S454" s="38"/>
      <c r="T454" s="38"/>
      <c r="U454" s="38"/>
      <c r="V454" s="38"/>
      <c r="W454" s="38"/>
      <c r="X454" s="38"/>
      <c r="Y454" s="154"/>
      <c r="AA454" s="38"/>
      <c r="AB454" s="38"/>
      <c r="AC454" s="38"/>
      <c r="AD454" s="38"/>
    </row>
    <row r="455" spans="1:30">
      <c r="A455" s="38"/>
      <c r="B455" s="38"/>
      <c r="C455" s="38"/>
      <c r="D455" s="39"/>
      <c r="E455" s="39"/>
      <c r="F455" s="38"/>
      <c r="G455" s="38"/>
      <c r="H455" s="38"/>
      <c r="I455" s="38"/>
      <c r="J455" s="38"/>
      <c r="K455" s="39"/>
      <c r="L455" s="39"/>
      <c r="M455" s="38"/>
      <c r="N455" s="38"/>
      <c r="O455" s="38"/>
      <c r="P455" s="38"/>
      <c r="Q455" s="38"/>
      <c r="R455" s="38"/>
      <c r="S455" s="38"/>
      <c r="T455" s="38"/>
      <c r="U455" s="38"/>
      <c r="V455" s="38"/>
      <c r="W455" s="38"/>
      <c r="X455" s="38"/>
      <c r="Y455" s="154"/>
      <c r="AA455" s="38"/>
      <c r="AB455" s="38"/>
      <c r="AC455" s="38"/>
      <c r="AD455" s="38"/>
    </row>
    <row r="456" spans="1:30">
      <c r="A456" s="38"/>
      <c r="B456" s="38"/>
      <c r="C456" s="38"/>
      <c r="D456" s="39"/>
      <c r="E456" s="39"/>
      <c r="F456" s="38"/>
      <c r="G456" s="38"/>
      <c r="H456" s="38"/>
      <c r="I456" s="38"/>
      <c r="J456" s="38"/>
      <c r="K456" s="39"/>
      <c r="L456" s="39"/>
      <c r="M456" s="38"/>
      <c r="N456" s="38"/>
      <c r="O456" s="38"/>
      <c r="P456" s="38"/>
      <c r="Q456" s="38"/>
      <c r="R456" s="38"/>
      <c r="S456" s="38"/>
      <c r="T456" s="38"/>
      <c r="U456" s="38"/>
      <c r="V456" s="38"/>
      <c r="W456" s="38"/>
      <c r="X456" s="38"/>
      <c r="Y456" s="154"/>
      <c r="AA456" s="38"/>
      <c r="AB456" s="38"/>
      <c r="AC456" s="38"/>
      <c r="AD456" s="38"/>
    </row>
    <row r="457" spans="1:30">
      <c r="A457" s="38"/>
      <c r="B457" s="38"/>
      <c r="C457" s="38"/>
      <c r="D457" s="39"/>
      <c r="E457" s="39"/>
      <c r="F457" s="38"/>
      <c r="G457" s="38"/>
      <c r="H457" s="38"/>
      <c r="I457" s="38"/>
      <c r="J457" s="38"/>
      <c r="K457" s="39"/>
      <c r="L457" s="39"/>
      <c r="M457" s="38"/>
      <c r="N457" s="38"/>
      <c r="O457" s="38"/>
      <c r="P457" s="38"/>
      <c r="Q457" s="38"/>
      <c r="R457" s="38"/>
      <c r="S457" s="38"/>
      <c r="T457" s="38"/>
      <c r="U457" s="38"/>
      <c r="V457" s="38"/>
      <c r="W457" s="38"/>
      <c r="X457" s="38"/>
      <c r="Y457" s="154"/>
      <c r="AA457" s="38"/>
      <c r="AB457" s="38"/>
      <c r="AC457" s="38"/>
      <c r="AD457" s="38"/>
    </row>
    <row r="458" spans="1:30">
      <c r="AB458" s="38"/>
      <c r="AC458" s="38"/>
      <c r="AD458" s="38"/>
    </row>
    <row r="459" spans="1:30">
      <c r="AC459" s="38"/>
      <c r="AD459" s="38"/>
    </row>
    <row r="460" spans="1:30">
      <c r="AC460" s="38"/>
      <c r="AD460" s="38"/>
    </row>
    <row r="461" spans="1:30">
      <c r="AC461" s="38"/>
    </row>
    <row r="2036" spans="1:1">
      <c r="A2036" s="48"/>
    </row>
  </sheetData>
  <sortState xmlns:xlrd2="http://schemas.microsoft.com/office/spreadsheetml/2017/richdata2" ref="AE129:BB132">
    <sortCondition ref="BB129:BB132"/>
    <sortCondition ref="AH129:AH132"/>
  </sortState>
  <phoneticPr fontId="14" type="noConversion"/>
  <pageMargins left="0.25" right="0.25" top="0.5" bottom="0.5" header="0.5" footer="0.5"/>
  <pageSetup scale="36" fitToHeight="0"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X2360"/>
  <sheetViews>
    <sheetView workbookViewId="0">
      <selection activeCell="R107" sqref="R107"/>
    </sheetView>
  </sheetViews>
  <sheetFormatPr defaultColWidth="10.5703125" defaultRowHeight="12.75"/>
  <cols>
    <col min="1" max="9" width="10.5703125" style="27"/>
    <col min="10" max="10" width="13.42578125" style="27" customWidth="1"/>
    <col min="11" max="11" width="10.5703125" style="27"/>
    <col min="12" max="12" width="12.7109375" style="27" customWidth="1"/>
    <col min="13" max="13" width="10.5703125" style="27"/>
    <col min="14" max="14" width="12.28515625" style="27" customWidth="1"/>
    <col min="15" max="15" width="10.5703125" style="27"/>
    <col min="16" max="16" width="14" style="27" customWidth="1"/>
    <col min="17" max="19" width="10.5703125" style="27"/>
    <col min="20" max="20" width="14.28515625" style="27" customWidth="1"/>
    <col min="21" max="21" width="10.5703125" style="27"/>
    <col min="22" max="22" width="12.28515625" style="27" customWidth="1"/>
    <col min="23" max="23" width="10.5703125" style="27"/>
    <col min="24" max="24" width="12.42578125" style="27" customWidth="1"/>
    <col min="25" max="16384" width="10.5703125" style="27"/>
  </cols>
  <sheetData>
    <row r="1" spans="1:9">
      <c r="A1" s="27" t="s">
        <v>11</v>
      </c>
      <c r="I1" s="27" t="s">
        <v>2344</v>
      </c>
    </row>
    <row r="2" spans="1:9">
      <c r="A2" s="27" t="s">
        <v>1137</v>
      </c>
    </row>
    <row r="3" spans="1:9">
      <c r="A3" s="27" t="s">
        <v>988</v>
      </c>
    </row>
    <row r="4" spans="1:9">
      <c r="A4" s="27" t="s">
        <v>989</v>
      </c>
    </row>
    <row r="5" spans="1:9">
      <c r="A5" s="27" t="s">
        <v>990</v>
      </c>
    </row>
    <row r="6" spans="1:9">
      <c r="A6" s="27" t="s">
        <v>991</v>
      </c>
    </row>
    <row r="7" spans="1:9">
      <c r="A7" s="27" t="s">
        <v>992</v>
      </c>
    </row>
    <row r="8" spans="1:9">
      <c r="A8" s="27" t="s">
        <v>993</v>
      </c>
    </row>
    <row r="9" spans="1:9">
      <c r="A9" s="27" t="s">
        <v>994</v>
      </c>
    </row>
    <row r="10" spans="1:9">
      <c r="A10" s="27" t="s">
        <v>995</v>
      </c>
    </row>
    <row r="11" spans="1:9">
      <c r="B11" s="27" t="s">
        <v>996</v>
      </c>
    </row>
    <row r="12" spans="1:9">
      <c r="A12" s="27" t="s">
        <v>997</v>
      </c>
    </row>
    <row r="16" spans="1:9">
      <c r="A16" s="46" t="s">
        <v>1182</v>
      </c>
    </row>
    <row r="17" spans="1:24">
      <c r="A17" s="27" t="s">
        <v>1159</v>
      </c>
      <c r="B17" s="27" t="s">
        <v>1160</v>
      </c>
      <c r="C17" s="27" t="s">
        <v>1160</v>
      </c>
      <c r="D17" s="27" t="s">
        <v>1161</v>
      </c>
      <c r="E17" s="27" t="s">
        <v>1162</v>
      </c>
      <c r="F17" s="27" t="s">
        <v>664</v>
      </c>
      <c r="G17" s="27" t="s">
        <v>1163</v>
      </c>
      <c r="H17" s="27" t="s">
        <v>1164</v>
      </c>
      <c r="I17" s="27" t="s">
        <v>672</v>
      </c>
      <c r="J17" s="27" t="s">
        <v>1165</v>
      </c>
      <c r="L17" s="27" t="s">
        <v>1166</v>
      </c>
      <c r="M17" s="27" t="s">
        <v>1181</v>
      </c>
      <c r="N17" s="27" t="s">
        <v>1167</v>
      </c>
      <c r="O17" s="27" t="s">
        <v>1168</v>
      </c>
    </row>
    <row r="18" spans="1:24">
      <c r="A18" s="27" t="s">
        <v>1169</v>
      </c>
      <c r="B18" s="27" t="s">
        <v>1170</v>
      </c>
      <c r="C18" s="27" t="s">
        <v>1164</v>
      </c>
      <c r="D18" s="27" t="s">
        <v>12</v>
      </c>
      <c r="E18" s="27" t="s">
        <v>12</v>
      </c>
      <c r="G18" s="27" t="s">
        <v>1171</v>
      </c>
      <c r="H18" s="27" t="s">
        <v>1172</v>
      </c>
      <c r="I18" s="27" t="s">
        <v>1173</v>
      </c>
      <c r="J18" s="27" t="s">
        <v>1174</v>
      </c>
      <c r="K18" s="27" t="s">
        <v>1175</v>
      </c>
      <c r="L18" s="27" t="s">
        <v>1176</v>
      </c>
      <c r="M18" s="27" t="s">
        <v>1176</v>
      </c>
      <c r="T18" s="27" t="s">
        <v>1177</v>
      </c>
      <c r="U18" s="27" t="s">
        <v>1178</v>
      </c>
      <c r="V18" s="27" t="s">
        <v>1179</v>
      </c>
      <c r="W18" s="27" t="s">
        <v>1180</v>
      </c>
      <c r="X18" s="27" t="s">
        <v>645</v>
      </c>
    </row>
    <row r="19" spans="1:24" s="42" customFormat="1" ht="25.5">
      <c r="B19" s="42" t="s">
        <v>1139</v>
      </c>
      <c r="C19" s="42" t="s">
        <v>1138</v>
      </c>
      <c r="D19" s="42" t="s">
        <v>1140</v>
      </c>
      <c r="E19" s="42" t="s">
        <v>1141</v>
      </c>
      <c r="F19" s="42" t="s">
        <v>1142</v>
      </c>
      <c r="G19" s="42" t="s">
        <v>1143</v>
      </c>
      <c r="H19" s="42" t="s">
        <v>1144</v>
      </c>
      <c r="I19" s="42" t="s">
        <v>1145</v>
      </c>
      <c r="J19" s="42" t="s">
        <v>1146</v>
      </c>
      <c r="K19" s="42" t="s">
        <v>1147</v>
      </c>
      <c r="L19" s="42" t="s">
        <v>1148</v>
      </c>
      <c r="M19" s="42" t="s">
        <v>1149</v>
      </c>
      <c r="P19" s="42" t="s">
        <v>1150</v>
      </c>
      <c r="Q19" s="42" t="s">
        <v>1151</v>
      </c>
      <c r="R19" s="42" t="s">
        <v>1152</v>
      </c>
      <c r="S19" s="42" t="s">
        <v>1153</v>
      </c>
      <c r="T19" s="42" t="s">
        <v>1154</v>
      </c>
      <c r="U19" s="42" t="s">
        <v>1155</v>
      </c>
      <c r="V19" s="42" t="s">
        <v>1156</v>
      </c>
      <c r="W19" s="42" t="s">
        <v>1157</v>
      </c>
      <c r="X19" s="42" t="s">
        <v>1158</v>
      </c>
    </row>
    <row r="21" spans="1:24">
      <c r="A21" s="27">
        <v>1</v>
      </c>
      <c r="B21" s="27">
        <v>1</v>
      </c>
      <c r="C21" s="27">
        <v>1</v>
      </c>
      <c r="D21" s="27">
        <v>2010</v>
      </c>
      <c r="E21" s="27">
        <v>2050</v>
      </c>
      <c r="F21" s="27">
        <v>1</v>
      </c>
      <c r="G21" s="27">
        <v>1</v>
      </c>
      <c r="H21" s="27">
        <v>0</v>
      </c>
      <c r="I21" s="27">
        <v>0</v>
      </c>
      <c r="J21" s="27">
        <v>0</v>
      </c>
      <c r="K21" s="27">
        <v>1</v>
      </c>
      <c r="L21" s="27">
        <v>1900</v>
      </c>
      <c r="M21" s="27">
        <v>1620</v>
      </c>
      <c r="N21" s="27">
        <v>0</v>
      </c>
      <c r="O21" s="27">
        <v>0</v>
      </c>
      <c r="P21" s="27" t="s">
        <v>13</v>
      </c>
      <c r="Q21" s="27">
        <v>1993</v>
      </c>
      <c r="R21" s="27">
        <v>1</v>
      </c>
      <c r="S21" s="27">
        <v>0</v>
      </c>
      <c r="T21" s="27">
        <v>-1.8E-3</v>
      </c>
      <c r="U21" s="27">
        <v>-1.2E-2</v>
      </c>
      <c r="V21" s="27">
        <v>0</v>
      </c>
      <c r="W21" s="27">
        <v>0</v>
      </c>
      <c r="X21" s="27" t="s">
        <v>14</v>
      </c>
    </row>
    <row r="22" spans="1:24">
      <c r="A22" s="27">
        <v>1</v>
      </c>
      <c r="B22" s="27">
        <v>1</v>
      </c>
      <c r="C22" s="27">
        <v>1</v>
      </c>
      <c r="D22" s="27">
        <v>2010</v>
      </c>
      <c r="E22" s="27">
        <v>2050</v>
      </c>
      <c r="F22" s="27">
        <v>2</v>
      </c>
      <c r="G22" s="27">
        <v>1</v>
      </c>
      <c r="H22" s="27">
        <v>0</v>
      </c>
      <c r="I22" s="27">
        <v>0</v>
      </c>
      <c r="J22" s="27">
        <v>0</v>
      </c>
      <c r="K22" s="27">
        <v>1</v>
      </c>
      <c r="L22" s="27">
        <v>1900</v>
      </c>
      <c r="M22" s="27">
        <v>1620</v>
      </c>
      <c r="N22" s="27">
        <v>0</v>
      </c>
      <c r="O22" s="27">
        <v>0</v>
      </c>
      <c r="P22" s="27" t="s">
        <v>13</v>
      </c>
      <c r="Q22" s="27">
        <v>1993</v>
      </c>
      <c r="R22" s="27">
        <v>1</v>
      </c>
      <c r="S22" s="27">
        <v>0</v>
      </c>
      <c r="T22" s="27">
        <v>-1.8E-3</v>
      </c>
      <c r="U22" s="27">
        <v>-1.2E-2</v>
      </c>
      <c r="V22" s="27">
        <v>0</v>
      </c>
      <c r="W22" s="27">
        <v>0</v>
      </c>
      <c r="X22" s="27" t="s">
        <v>14</v>
      </c>
    </row>
    <row r="23" spans="1:24">
      <c r="A23" s="27">
        <v>1</v>
      </c>
      <c r="B23" s="27">
        <v>1</v>
      </c>
      <c r="C23" s="27">
        <v>1</v>
      </c>
      <c r="D23" s="27">
        <v>2010</v>
      </c>
      <c r="E23" s="27">
        <v>2050</v>
      </c>
      <c r="F23" s="27">
        <v>3</v>
      </c>
      <c r="G23" s="27">
        <v>1</v>
      </c>
      <c r="H23" s="27">
        <v>0</v>
      </c>
      <c r="I23" s="27">
        <v>0</v>
      </c>
      <c r="J23" s="27">
        <v>0</v>
      </c>
      <c r="K23" s="27">
        <v>1</v>
      </c>
      <c r="L23" s="27">
        <v>1900</v>
      </c>
      <c r="M23" s="27">
        <v>1620</v>
      </c>
      <c r="N23" s="27">
        <v>0</v>
      </c>
      <c r="O23" s="27">
        <v>0</v>
      </c>
      <c r="P23" s="27" t="s">
        <v>13</v>
      </c>
      <c r="Q23" s="27">
        <v>1993</v>
      </c>
      <c r="R23" s="27">
        <v>1</v>
      </c>
      <c r="S23" s="27">
        <v>0</v>
      </c>
      <c r="T23" s="27">
        <v>-1.8E-3</v>
      </c>
      <c r="U23" s="27">
        <v>-1.2E-2</v>
      </c>
      <c r="V23" s="27">
        <v>0</v>
      </c>
      <c r="W23" s="27">
        <v>0</v>
      </c>
      <c r="X23" s="27" t="s">
        <v>14</v>
      </c>
    </row>
    <row r="24" spans="1:24">
      <c r="A24" s="27">
        <v>1</v>
      </c>
      <c r="B24" s="27">
        <v>1</v>
      </c>
      <c r="C24" s="27">
        <v>1</v>
      </c>
      <c r="D24" s="27">
        <v>2010</v>
      </c>
      <c r="E24" s="27">
        <v>2050</v>
      </c>
      <c r="F24" s="27">
        <v>4</v>
      </c>
      <c r="G24" s="27">
        <v>1</v>
      </c>
      <c r="H24" s="27">
        <v>0</v>
      </c>
      <c r="I24" s="27">
        <v>0</v>
      </c>
      <c r="J24" s="27">
        <v>0</v>
      </c>
      <c r="K24" s="27">
        <v>1</v>
      </c>
      <c r="L24" s="27">
        <v>1900</v>
      </c>
      <c r="M24" s="27">
        <v>1620</v>
      </c>
      <c r="N24" s="27">
        <v>0</v>
      </c>
      <c r="O24" s="27">
        <v>0</v>
      </c>
      <c r="P24" s="27" t="s">
        <v>13</v>
      </c>
      <c r="Q24" s="27">
        <v>1993</v>
      </c>
      <c r="R24" s="27">
        <v>1</v>
      </c>
      <c r="S24" s="27">
        <v>0</v>
      </c>
      <c r="T24" s="27">
        <v>-1.8E-3</v>
      </c>
      <c r="U24" s="27">
        <v>-1.2E-2</v>
      </c>
      <c r="V24" s="27">
        <v>0</v>
      </c>
      <c r="W24" s="27">
        <v>0</v>
      </c>
      <c r="X24" s="27" t="s">
        <v>14</v>
      </c>
    </row>
    <row r="25" spans="1:24">
      <c r="A25" s="27">
        <v>1</v>
      </c>
      <c r="B25" s="27">
        <v>1</v>
      </c>
      <c r="C25" s="27">
        <v>1</v>
      </c>
      <c r="D25" s="27">
        <v>2010</v>
      </c>
      <c r="E25" s="27">
        <v>2050</v>
      </c>
      <c r="F25" s="27">
        <v>5</v>
      </c>
      <c r="G25" s="27">
        <v>1</v>
      </c>
      <c r="H25" s="27">
        <v>0</v>
      </c>
      <c r="I25" s="27">
        <v>0</v>
      </c>
      <c r="J25" s="27">
        <v>0</v>
      </c>
      <c r="K25" s="27">
        <v>1</v>
      </c>
      <c r="L25" s="27">
        <v>1900</v>
      </c>
      <c r="M25" s="27">
        <v>1620</v>
      </c>
      <c r="N25" s="27">
        <v>0</v>
      </c>
      <c r="O25" s="27">
        <v>0</v>
      </c>
      <c r="P25" s="27" t="s">
        <v>13</v>
      </c>
      <c r="Q25" s="27">
        <v>1993</v>
      </c>
      <c r="R25" s="27">
        <v>1</v>
      </c>
      <c r="S25" s="27">
        <v>0</v>
      </c>
      <c r="T25" s="27">
        <v>-1.8E-3</v>
      </c>
      <c r="U25" s="27">
        <v>-1.2E-2</v>
      </c>
      <c r="V25" s="27">
        <v>0</v>
      </c>
      <c r="W25" s="27">
        <v>0</v>
      </c>
      <c r="X25" s="27" t="s">
        <v>14</v>
      </c>
    </row>
    <row r="26" spans="1:24">
      <c r="A26" s="27">
        <v>1</v>
      </c>
      <c r="B26" s="27">
        <v>1</v>
      </c>
      <c r="C26" s="27">
        <v>1</v>
      </c>
      <c r="D26" s="27">
        <v>2010</v>
      </c>
      <c r="E26" s="27">
        <v>2050</v>
      </c>
      <c r="F26" s="27">
        <v>6</v>
      </c>
      <c r="G26" s="27">
        <v>1</v>
      </c>
      <c r="H26" s="27">
        <v>0</v>
      </c>
      <c r="I26" s="27">
        <v>0</v>
      </c>
      <c r="J26" s="27">
        <v>0</v>
      </c>
      <c r="K26" s="27">
        <v>1</v>
      </c>
      <c r="L26" s="27">
        <v>1900</v>
      </c>
      <c r="M26" s="27">
        <v>1620</v>
      </c>
      <c r="N26" s="27">
        <v>0</v>
      </c>
      <c r="O26" s="27">
        <v>0</v>
      </c>
      <c r="P26" s="27" t="s">
        <v>13</v>
      </c>
      <c r="Q26" s="27">
        <v>1993</v>
      </c>
      <c r="R26" s="27">
        <v>1</v>
      </c>
      <c r="S26" s="27">
        <v>0</v>
      </c>
      <c r="T26" s="27">
        <v>-1.8E-3</v>
      </c>
      <c r="U26" s="27">
        <v>-1.2E-2</v>
      </c>
      <c r="V26" s="27">
        <v>0</v>
      </c>
      <c r="W26" s="27">
        <v>0</v>
      </c>
      <c r="X26" s="27" t="s">
        <v>14</v>
      </c>
    </row>
    <row r="27" spans="1:24">
      <c r="A27" s="27">
        <v>1</v>
      </c>
      <c r="B27" s="27">
        <v>1</v>
      </c>
      <c r="C27" s="27">
        <v>1</v>
      </c>
      <c r="D27" s="27">
        <v>2010</v>
      </c>
      <c r="E27" s="27">
        <v>2050</v>
      </c>
      <c r="F27" s="27">
        <v>7</v>
      </c>
      <c r="G27" s="27">
        <v>1</v>
      </c>
      <c r="H27" s="27">
        <v>0</v>
      </c>
      <c r="I27" s="27">
        <v>0</v>
      </c>
      <c r="J27" s="27">
        <v>0</v>
      </c>
      <c r="K27" s="27">
        <v>1</v>
      </c>
      <c r="L27" s="27">
        <v>1900</v>
      </c>
      <c r="M27" s="27">
        <v>1620</v>
      </c>
      <c r="N27" s="27">
        <v>0</v>
      </c>
      <c r="O27" s="27">
        <v>0</v>
      </c>
      <c r="P27" s="27" t="s">
        <v>13</v>
      </c>
      <c r="Q27" s="27">
        <v>1993</v>
      </c>
      <c r="R27" s="27">
        <v>1</v>
      </c>
      <c r="S27" s="27">
        <v>0</v>
      </c>
      <c r="T27" s="27">
        <v>-1.8E-3</v>
      </c>
      <c r="U27" s="27">
        <v>-1.2E-2</v>
      </c>
      <c r="V27" s="27">
        <v>0</v>
      </c>
      <c r="W27" s="27">
        <v>0</v>
      </c>
      <c r="X27" s="27" t="s">
        <v>14</v>
      </c>
    </row>
    <row r="28" spans="1:24">
      <c r="A28" s="27">
        <v>1</v>
      </c>
      <c r="B28" s="27">
        <v>1</v>
      </c>
      <c r="C28" s="27">
        <v>1</v>
      </c>
      <c r="D28" s="27">
        <v>2010</v>
      </c>
      <c r="E28" s="27">
        <v>2050</v>
      </c>
      <c r="F28" s="27">
        <v>8</v>
      </c>
      <c r="G28" s="27">
        <v>1</v>
      </c>
      <c r="H28" s="27">
        <v>0</v>
      </c>
      <c r="I28" s="27">
        <v>0</v>
      </c>
      <c r="J28" s="27">
        <v>0</v>
      </c>
      <c r="K28" s="27">
        <v>1</v>
      </c>
      <c r="L28" s="27">
        <v>1900</v>
      </c>
      <c r="M28" s="27">
        <v>1620</v>
      </c>
      <c r="N28" s="27">
        <v>0</v>
      </c>
      <c r="O28" s="27">
        <v>0</v>
      </c>
      <c r="P28" s="27" t="s">
        <v>13</v>
      </c>
      <c r="Q28" s="27">
        <v>1993</v>
      </c>
      <c r="R28" s="27">
        <v>1</v>
      </c>
      <c r="S28" s="27">
        <v>0</v>
      </c>
      <c r="T28" s="27">
        <v>-1.8E-3</v>
      </c>
      <c r="U28" s="27">
        <v>-1.2E-2</v>
      </c>
      <c r="V28" s="27">
        <v>0</v>
      </c>
      <c r="W28" s="27">
        <v>0</v>
      </c>
      <c r="X28" s="27" t="s">
        <v>14</v>
      </c>
    </row>
    <row r="29" spans="1:24">
      <c r="A29" s="27">
        <v>1</v>
      </c>
      <c r="B29" s="27">
        <v>1</v>
      </c>
      <c r="C29" s="27">
        <v>1</v>
      </c>
      <c r="D29" s="27">
        <v>2010</v>
      </c>
      <c r="E29" s="27">
        <v>2050</v>
      </c>
      <c r="F29" s="27">
        <v>9</v>
      </c>
      <c r="G29" s="27">
        <v>1</v>
      </c>
      <c r="H29" s="27">
        <v>0</v>
      </c>
      <c r="I29" s="27">
        <v>0</v>
      </c>
      <c r="J29" s="27">
        <v>0</v>
      </c>
      <c r="K29" s="27">
        <v>1</v>
      </c>
      <c r="L29" s="27">
        <v>1900</v>
      </c>
      <c r="M29" s="27">
        <v>1620</v>
      </c>
      <c r="N29" s="27">
        <v>0</v>
      </c>
      <c r="O29" s="27">
        <v>0</v>
      </c>
      <c r="P29" s="27" t="s">
        <v>13</v>
      </c>
      <c r="Q29" s="27">
        <v>1993</v>
      </c>
      <c r="R29" s="27">
        <v>1</v>
      </c>
      <c r="S29" s="27">
        <v>0</v>
      </c>
      <c r="T29" s="27">
        <v>-1.8E-3</v>
      </c>
      <c r="U29" s="27">
        <v>-1.2E-2</v>
      </c>
      <c r="V29" s="27">
        <v>0</v>
      </c>
      <c r="W29" s="27">
        <v>0</v>
      </c>
      <c r="X29" s="27" t="s">
        <v>14</v>
      </c>
    </row>
    <row r="30" spans="1:24">
      <c r="A30" s="27">
        <v>1</v>
      </c>
      <c r="B30" s="27">
        <v>2</v>
      </c>
      <c r="C30" s="27">
        <v>2</v>
      </c>
      <c r="D30" s="27">
        <v>2010</v>
      </c>
      <c r="E30" s="27">
        <v>2014</v>
      </c>
      <c r="F30" s="27">
        <v>1</v>
      </c>
      <c r="G30" s="27">
        <v>2</v>
      </c>
      <c r="H30" s="27">
        <v>0</v>
      </c>
      <c r="I30" s="27">
        <v>0</v>
      </c>
      <c r="J30" s="27">
        <v>0</v>
      </c>
      <c r="K30" s="27">
        <v>2.2599999999999998</v>
      </c>
      <c r="L30" s="27">
        <v>2400</v>
      </c>
      <c r="M30" s="27">
        <v>3110</v>
      </c>
      <c r="N30" s="27">
        <v>0</v>
      </c>
      <c r="O30" s="27">
        <v>0</v>
      </c>
      <c r="P30" s="27" t="s">
        <v>13</v>
      </c>
      <c r="Q30" s="27">
        <v>1993</v>
      </c>
      <c r="R30" s="27">
        <v>1</v>
      </c>
      <c r="S30" s="27">
        <v>0</v>
      </c>
      <c r="T30" s="27">
        <v>-3.0000000000000001E-3</v>
      </c>
      <c r="U30" s="27">
        <v>-1.2E-2</v>
      </c>
      <c r="V30" s="27">
        <v>0</v>
      </c>
      <c r="W30" s="27">
        <v>0</v>
      </c>
      <c r="X30" s="27" t="s">
        <v>15</v>
      </c>
    </row>
    <row r="31" spans="1:24">
      <c r="A31" s="27">
        <v>1</v>
      </c>
      <c r="B31" s="27">
        <v>2</v>
      </c>
      <c r="C31" s="27">
        <v>2</v>
      </c>
      <c r="D31" s="27">
        <v>2010</v>
      </c>
      <c r="E31" s="27">
        <v>2014</v>
      </c>
      <c r="F31" s="27">
        <v>2</v>
      </c>
      <c r="G31" s="27">
        <v>2</v>
      </c>
      <c r="H31" s="27">
        <v>0</v>
      </c>
      <c r="I31" s="27">
        <v>0</v>
      </c>
      <c r="J31" s="27">
        <v>0</v>
      </c>
      <c r="K31" s="27">
        <v>2.2599999999999998</v>
      </c>
      <c r="L31" s="27">
        <v>2400</v>
      </c>
      <c r="M31" s="27">
        <v>3110</v>
      </c>
      <c r="N31" s="27">
        <v>0</v>
      </c>
      <c r="O31" s="27">
        <v>0</v>
      </c>
      <c r="P31" s="27" t="s">
        <v>13</v>
      </c>
      <c r="Q31" s="27">
        <v>1993</v>
      </c>
      <c r="R31" s="27">
        <v>1</v>
      </c>
      <c r="S31" s="27">
        <v>0</v>
      </c>
      <c r="T31" s="27">
        <v>-3.0000000000000001E-3</v>
      </c>
      <c r="U31" s="27">
        <v>-1.2E-2</v>
      </c>
      <c r="V31" s="27">
        <v>0</v>
      </c>
      <c r="W31" s="27">
        <v>0</v>
      </c>
      <c r="X31" s="27" t="s">
        <v>15</v>
      </c>
    </row>
    <row r="32" spans="1:24">
      <c r="A32" s="27">
        <v>1</v>
      </c>
      <c r="B32" s="27">
        <v>2</v>
      </c>
      <c r="C32" s="27">
        <v>2</v>
      </c>
      <c r="D32" s="27">
        <v>2010</v>
      </c>
      <c r="E32" s="27">
        <v>2014</v>
      </c>
      <c r="F32" s="27">
        <v>3</v>
      </c>
      <c r="G32" s="27">
        <v>2</v>
      </c>
      <c r="H32" s="27">
        <v>0</v>
      </c>
      <c r="I32" s="27">
        <v>0</v>
      </c>
      <c r="J32" s="27">
        <v>0</v>
      </c>
      <c r="K32" s="27">
        <v>2.2599999999999998</v>
      </c>
      <c r="L32" s="27">
        <v>2400</v>
      </c>
      <c r="M32" s="27">
        <v>3110</v>
      </c>
      <c r="N32" s="27">
        <v>0</v>
      </c>
      <c r="O32" s="27">
        <v>0</v>
      </c>
      <c r="P32" s="27" t="s">
        <v>13</v>
      </c>
      <c r="Q32" s="27">
        <v>1993</v>
      </c>
      <c r="R32" s="27">
        <v>1</v>
      </c>
      <c r="S32" s="27">
        <v>0</v>
      </c>
      <c r="T32" s="27">
        <v>-3.0000000000000001E-3</v>
      </c>
      <c r="U32" s="27">
        <v>-1.2E-2</v>
      </c>
      <c r="V32" s="27">
        <v>0</v>
      </c>
      <c r="W32" s="27">
        <v>0</v>
      </c>
      <c r="X32" s="27" t="s">
        <v>15</v>
      </c>
    </row>
    <row r="33" spans="1:24">
      <c r="A33" s="27">
        <v>1</v>
      </c>
      <c r="B33" s="27">
        <v>2</v>
      </c>
      <c r="C33" s="27">
        <v>2</v>
      </c>
      <c r="D33" s="27">
        <v>2010</v>
      </c>
      <c r="E33" s="27">
        <v>2014</v>
      </c>
      <c r="F33" s="27">
        <v>4</v>
      </c>
      <c r="G33" s="27">
        <v>2</v>
      </c>
      <c r="H33" s="27">
        <v>0</v>
      </c>
      <c r="I33" s="27">
        <v>0</v>
      </c>
      <c r="J33" s="27">
        <v>0</v>
      </c>
      <c r="K33" s="27">
        <v>2.2599999999999998</v>
      </c>
      <c r="L33" s="27">
        <v>2400</v>
      </c>
      <c r="M33" s="27">
        <v>3110</v>
      </c>
      <c r="N33" s="27">
        <v>0</v>
      </c>
      <c r="O33" s="27">
        <v>0</v>
      </c>
      <c r="P33" s="27" t="s">
        <v>13</v>
      </c>
      <c r="Q33" s="27">
        <v>1993</v>
      </c>
      <c r="R33" s="27">
        <v>1</v>
      </c>
      <c r="S33" s="27">
        <v>0</v>
      </c>
      <c r="T33" s="27">
        <v>-3.0000000000000001E-3</v>
      </c>
      <c r="U33" s="27">
        <v>-1.2E-2</v>
      </c>
      <c r="V33" s="27">
        <v>0</v>
      </c>
      <c r="W33" s="27">
        <v>0</v>
      </c>
      <c r="X33" s="27" t="s">
        <v>15</v>
      </c>
    </row>
    <row r="34" spans="1:24">
      <c r="A34" s="27">
        <v>1</v>
      </c>
      <c r="B34" s="27">
        <v>2</v>
      </c>
      <c r="C34" s="27">
        <v>2</v>
      </c>
      <c r="D34" s="27">
        <v>2010</v>
      </c>
      <c r="E34" s="27">
        <v>2014</v>
      </c>
      <c r="F34" s="27">
        <v>5</v>
      </c>
      <c r="G34" s="27">
        <v>2</v>
      </c>
      <c r="H34" s="27">
        <v>0</v>
      </c>
      <c r="I34" s="27">
        <v>0</v>
      </c>
      <c r="J34" s="27">
        <v>0</v>
      </c>
      <c r="K34" s="27">
        <v>2.2599999999999998</v>
      </c>
      <c r="L34" s="27">
        <v>2400</v>
      </c>
      <c r="M34" s="27">
        <v>3110</v>
      </c>
      <c r="N34" s="27">
        <v>0</v>
      </c>
      <c r="O34" s="27">
        <v>0</v>
      </c>
      <c r="P34" s="27" t="s">
        <v>13</v>
      </c>
      <c r="Q34" s="27">
        <v>1993</v>
      </c>
      <c r="R34" s="27">
        <v>1</v>
      </c>
      <c r="S34" s="27">
        <v>0</v>
      </c>
      <c r="T34" s="27">
        <v>-3.0000000000000001E-3</v>
      </c>
      <c r="U34" s="27">
        <v>-1.2E-2</v>
      </c>
      <c r="V34" s="27">
        <v>0</v>
      </c>
      <c r="W34" s="27">
        <v>0</v>
      </c>
      <c r="X34" s="27" t="s">
        <v>15</v>
      </c>
    </row>
    <row r="35" spans="1:24">
      <c r="A35" s="27">
        <v>1</v>
      </c>
      <c r="B35" s="27">
        <v>2</v>
      </c>
      <c r="C35" s="27">
        <v>2</v>
      </c>
      <c r="D35" s="27">
        <v>2010</v>
      </c>
      <c r="E35" s="27">
        <v>2014</v>
      </c>
      <c r="F35" s="27">
        <v>6</v>
      </c>
      <c r="G35" s="27">
        <v>2</v>
      </c>
      <c r="H35" s="27">
        <v>0</v>
      </c>
      <c r="I35" s="27">
        <v>0</v>
      </c>
      <c r="J35" s="27">
        <v>0</v>
      </c>
      <c r="K35" s="27">
        <v>2.2599999999999998</v>
      </c>
      <c r="L35" s="27">
        <v>2400</v>
      </c>
      <c r="M35" s="27">
        <v>3110</v>
      </c>
      <c r="N35" s="27">
        <v>0</v>
      </c>
      <c r="O35" s="27">
        <v>0</v>
      </c>
      <c r="P35" s="27" t="s">
        <v>13</v>
      </c>
      <c r="Q35" s="27">
        <v>1993</v>
      </c>
      <c r="R35" s="27">
        <v>1</v>
      </c>
      <c r="S35" s="27">
        <v>0</v>
      </c>
      <c r="T35" s="27">
        <v>-3.0000000000000001E-3</v>
      </c>
      <c r="U35" s="27">
        <v>-1.2E-2</v>
      </c>
      <c r="V35" s="27">
        <v>0</v>
      </c>
      <c r="W35" s="27">
        <v>0</v>
      </c>
      <c r="X35" s="27" t="s">
        <v>15</v>
      </c>
    </row>
    <row r="36" spans="1:24">
      <c r="A36" s="27">
        <v>1</v>
      </c>
      <c r="B36" s="27">
        <v>2</v>
      </c>
      <c r="C36" s="27">
        <v>2</v>
      </c>
      <c r="D36" s="27">
        <v>2010</v>
      </c>
      <c r="E36" s="27">
        <v>2014</v>
      </c>
      <c r="F36" s="27">
        <v>7</v>
      </c>
      <c r="G36" s="27">
        <v>2</v>
      </c>
      <c r="H36" s="27">
        <v>0</v>
      </c>
      <c r="I36" s="27">
        <v>0</v>
      </c>
      <c r="J36" s="27">
        <v>0</v>
      </c>
      <c r="K36" s="27">
        <v>2.2599999999999998</v>
      </c>
      <c r="L36" s="27">
        <v>2400</v>
      </c>
      <c r="M36" s="27">
        <v>3110</v>
      </c>
      <c r="N36" s="27">
        <v>0</v>
      </c>
      <c r="O36" s="27">
        <v>0</v>
      </c>
      <c r="P36" s="27" t="s">
        <v>13</v>
      </c>
      <c r="Q36" s="27">
        <v>1993</v>
      </c>
      <c r="R36" s="27">
        <v>1</v>
      </c>
      <c r="S36" s="27">
        <v>0</v>
      </c>
      <c r="T36" s="27">
        <v>-3.0000000000000001E-3</v>
      </c>
      <c r="U36" s="27">
        <v>-1.2E-2</v>
      </c>
      <c r="V36" s="27">
        <v>0</v>
      </c>
      <c r="W36" s="27">
        <v>0</v>
      </c>
      <c r="X36" s="27" t="s">
        <v>15</v>
      </c>
    </row>
    <row r="37" spans="1:24">
      <c r="A37" s="27">
        <v>1</v>
      </c>
      <c r="B37" s="27">
        <v>2</v>
      </c>
      <c r="C37" s="27">
        <v>2</v>
      </c>
      <c r="D37" s="27">
        <v>2010</v>
      </c>
      <c r="E37" s="27">
        <v>2014</v>
      </c>
      <c r="F37" s="27">
        <v>8</v>
      </c>
      <c r="G37" s="27">
        <v>2</v>
      </c>
      <c r="H37" s="27">
        <v>0</v>
      </c>
      <c r="I37" s="27">
        <v>0</v>
      </c>
      <c r="J37" s="27">
        <v>0</v>
      </c>
      <c r="K37" s="27">
        <v>2.2599999999999998</v>
      </c>
      <c r="L37" s="27">
        <v>2400</v>
      </c>
      <c r="M37" s="27">
        <v>3110</v>
      </c>
      <c r="N37" s="27">
        <v>0</v>
      </c>
      <c r="O37" s="27">
        <v>0</v>
      </c>
      <c r="P37" s="27" t="s">
        <v>13</v>
      </c>
      <c r="Q37" s="27">
        <v>1993</v>
      </c>
      <c r="R37" s="27">
        <v>1</v>
      </c>
      <c r="S37" s="27">
        <v>0</v>
      </c>
      <c r="T37" s="27">
        <v>-3.0000000000000001E-3</v>
      </c>
      <c r="U37" s="27">
        <v>-1.2E-2</v>
      </c>
      <c r="V37" s="27">
        <v>0</v>
      </c>
      <c r="W37" s="27">
        <v>0</v>
      </c>
      <c r="X37" s="27" t="s">
        <v>15</v>
      </c>
    </row>
    <row r="38" spans="1:24">
      <c r="A38" s="27">
        <v>1</v>
      </c>
      <c r="B38" s="27">
        <v>2</v>
      </c>
      <c r="C38" s="27">
        <v>2</v>
      </c>
      <c r="D38" s="27">
        <v>2010</v>
      </c>
      <c r="E38" s="27">
        <v>2014</v>
      </c>
      <c r="F38" s="27">
        <v>9</v>
      </c>
      <c r="G38" s="27">
        <v>2</v>
      </c>
      <c r="H38" s="27">
        <v>0</v>
      </c>
      <c r="I38" s="27">
        <v>0</v>
      </c>
      <c r="J38" s="27">
        <v>0</v>
      </c>
      <c r="K38" s="27">
        <v>2.2599999999999998</v>
      </c>
      <c r="L38" s="27">
        <v>2400</v>
      </c>
      <c r="M38" s="27">
        <v>3110</v>
      </c>
      <c r="N38" s="27">
        <v>0</v>
      </c>
      <c r="O38" s="27">
        <v>0</v>
      </c>
      <c r="P38" s="27" t="s">
        <v>13</v>
      </c>
      <c r="Q38" s="27">
        <v>1993</v>
      </c>
      <c r="R38" s="27">
        <v>1</v>
      </c>
      <c r="S38" s="27">
        <v>0</v>
      </c>
      <c r="T38" s="27">
        <v>-3.0000000000000001E-3</v>
      </c>
      <c r="U38" s="27">
        <v>-1.2E-2</v>
      </c>
      <c r="V38" s="27">
        <v>0</v>
      </c>
      <c r="W38" s="27">
        <v>0</v>
      </c>
      <c r="X38" s="27" t="s">
        <v>15</v>
      </c>
    </row>
    <row r="39" spans="1:24">
      <c r="A39" s="27">
        <v>1</v>
      </c>
      <c r="B39" s="27">
        <v>2</v>
      </c>
      <c r="C39" s="27">
        <v>2</v>
      </c>
      <c r="D39" s="27">
        <v>2015</v>
      </c>
      <c r="E39" s="27">
        <v>2019</v>
      </c>
      <c r="F39" s="27">
        <v>1</v>
      </c>
      <c r="G39" s="27">
        <v>2</v>
      </c>
      <c r="H39" s="27">
        <v>0</v>
      </c>
      <c r="I39" s="27">
        <v>0</v>
      </c>
      <c r="J39" s="27">
        <v>0</v>
      </c>
      <c r="K39" s="27">
        <v>2.4</v>
      </c>
      <c r="L39" s="27">
        <v>2475</v>
      </c>
      <c r="M39" s="27">
        <v>3185</v>
      </c>
      <c r="N39" s="27">
        <v>0</v>
      </c>
      <c r="O39" s="27">
        <v>0</v>
      </c>
      <c r="P39" s="27" t="s">
        <v>13</v>
      </c>
      <c r="Q39" s="27">
        <v>1993</v>
      </c>
      <c r="R39" s="27">
        <v>1</v>
      </c>
      <c r="S39" s="27">
        <v>0</v>
      </c>
      <c r="T39" s="27">
        <v>-3.0000000000000001E-3</v>
      </c>
      <c r="U39" s="27">
        <v>-1.2E-2</v>
      </c>
      <c r="V39" s="27">
        <v>0</v>
      </c>
      <c r="W39" s="27">
        <v>0</v>
      </c>
      <c r="X39" s="27" t="s">
        <v>15</v>
      </c>
    </row>
    <row r="40" spans="1:24">
      <c r="A40" s="27">
        <v>1</v>
      </c>
      <c r="B40" s="27">
        <v>2</v>
      </c>
      <c r="C40" s="27">
        <v>2</v>
      </c>
      <c r="D40" s="27">
        <v>2015</v>
      </c>
      <c r="E40" s="27">
        <v>2019</v>
      </c>
      <c r="F40" s="27">
        <v>2</v>
      </c>
      <c r="G40" s="27">
        <v>2</v>
      </c>
      <c r="H40" s="27">
        <v>0</v>
      </c>
      <c r="I40" s="27">
        <v>0</v>
      </c>
      <c r="J40" s="27">
        <v>0</v>
      </c>
      <c r="K40" s="27">
        <v>2.4</v>
      </c>
      <c r="L40" s="27">
        <v>2475</v>
      </c>
      <c r="M40" s="27">
        <v>3185</v>
      </c>
      <c r="N40" s="27">
        <v>0</v>
      </c>
      <c r="O40" s="27">
        <v>0</v>
      </c>
      <c r="P40" s="27" t="s">
        <v>13</v>
      </c>
      <c r="Q40" s="27">
        <v>1993</v>
      </c>
      <c r="R40" s="27">
        <v>1</v>
      </c>
      <c r="S40" s="27">
        <v>0</v>
      </c>
      <c r="T40" s="27">
        <v>-3.0000000000000001E-3</v>
      </c>
      <c r="U40" s="27">
        <v>-1.2E-2</v>
      </c>
      <c r="V40" s="27">
        <v>0</v>
      </c>
      <c r="W40" s="27">
        <v>0</v>
      </c>
      <c r="X40" s="27" t="s">
        <v>15</v>
      </c>
    </row>
    <row r="41" spans="1:24">
      <c r="A41" s="27">
        <v>1</v>
      </c>
      <c r="B41" s="27">
        <v>2</v>
      </c>
      <c r="C41" s="27">
        <v>2</v>
      </c>
      <c r="D41" s="27">
        <v>2015</v>
      </c>
      <c r="E41" s="27">
        <v>2019</v>
      </c>
      <c r="F41" s="27">
        <v>3</v>
      </c>
      <c r="G41" s="27">
        <v>2</v>
      </c>
      <c r="H41" s="27">
        <v>0</v>
      </c>
      <c r="I41" s="27">
        <v>0</v>
      </c>
      <c r="J41" s="27">
        <v>0</v>
      </c>
      <c r="K41" s="27">
        <v>2.4</v>
      </c>
      <c r="L41" s="27">
        <v>2475</v>
      </c>
      <c r="M41" s="27">
        <v>3185</v>
      </c>
      <c r="N41" s="27">
        <v>0</v>
      </c>
      <c r="O41" s="27">
        <v>0</v>
      </c>
      <c r="P41" s="27" t="s">
        <v>13</v>
      </c>
      <c r="Q41" s="27">
        <v>1993</v>
      </c>
      <c r="R41" s="27">
        <v>1</v>
      </c>
      <c r="S41" s="27">
        <v>0</v>
      </c>
      <c r="T41" s="27">
        <v>-3.0000000000000001E-3</v>
      </c>
      <c r="U41" s="27">
        <v>-1.2E-2</v>
      </c>
      <c r="V41" s="27">
        <v>0</v>
      </c>
      <c r="W41" s="27">
        <v>0</v>
      </c>
      <c r="X41" s="27" t="s">
        <v>15</v>
      </c>
    </row>
    <row r="42" spans="1:24">
      <c r="A42" s="27">
        <v>1</v>
      </c>
      <c r="B42" s="27">
        <v>2</v>
      </c>
      <c r="C42" s="27">
        <v>2</v>
      </c>
      <c r="D42" s="27">
        <v>2015</v>
      </c>
      <c r="E42" s="27">
        <v>2019</v>
      </c>
      <c r="F42" s="27">
        <v>4</v>
      </c>
      <c r="G42" s="27">
        <v>2</v>
      </c>
      <c r="H42" s="27">
        <v>0</v>
      </c>
      <c r="I42" s="27">
        <v>0</v>
      </c>
      <c r="J42" s="27">
        <v>0</v>
      </c>
      <c r="K42" s="27">
        <v>2.4</v>
      </c>
      <c r="L42" s="27">
        <v>2475</v>
      </c>
      <c r="M42" s="27">
        <v>3185</v>
      </c>
      <c r="N42" s="27">
        <v>0</v>
      </c>
      <c r="O42" s="27">
        <v>0</v>
      </c>
      <c r="P42" s="27" t="s">
        <v>13</v>
      </c>
      <c r="Q42" s="27">
        <v>1993</v>
      </c>
      <c r="R42" s="27">
        <v>1</v>
      </c>
      <c r="S42" s="27">
        <v>0</v>
      </c>
      <c r="T42" s="27">
        <v>-3.0000000000000001E-3</v>
      </c>
      <c r="U42" s="27">
        <v>-1.2E-2</v>
      </c>
      <c r="V42" s="27">
        <v>0</v>
      </c>
      <c r="W42" s="27">
        <v>0</v>
      </c>
      <c r="X42" s="27" t="s">
        <v>15</v>
      </c>
    </row>
    <row r="43" spans="1:24">
      <c r="A43" s="27">
        <v>1</v>
      </c>
      <c r="B43" s="27">
        <v>2</v>
      </c>
      <c r="C43" s="27">
        <v>2</v>
      </c>
      <c r="D43" s="27">
        <v>2015</v>
      </c>
      <c r="E43" s="27">
        <v>2019</v>
      </c>
      <c r="F43" s="27">
        <v>5</v>
      </c>
      <c r="G43" s="27">
        <v>2</v>
      </c>
      <c r="H43" s="27">
        <v>0</v>
      </c>
      <c r="I43" s="27">
        <v>0</v>
      </c>
      <c r="J43" s="27">
        <v>0</v>
      </c>
      <c r="K43" s="27">
        <v>2.4</v>
      </c>
      <c r="L43" s="27">
        <v>2475</v>
      </c>
      <c r="M43" s="27">
        <v>3185</v>
      </c>
      <c r="N43" s="27">
        <v>0</v>
      </c>
      <c r="O43" s="27">
        <v>0</v>
      </c>
      <c r="P43" s="27" t="s">
        <v>13</v>
      </c>
      <c r="Q43" s="27">
        <v>1993</v>
      </c>
      <c r="R43" s="27">
        <v>1</v>
      </c>
      <c r="S43" s="27">
        <v>0</v>
      </c>
      <c r="T43" s="27">
        <v>-3.0000000000000001E-3</v>
      </c>
      <c r="U43" s="27">
        <v>-1.2E-2</v>
      </c>
      <c r="V43" s="27">
        <v>0</v>
      </c>
      <c r="W43" s="27">
        <v>0</v>
      </c>
      <c r="X43" s="27" t="s">
        <v>15</v>
      </c>
    </row>
    <row r="44" spans="1:24">
      <c r="A44" s="27">
        <v>1</v>
      </c>
      <c r="B44" s="27">
        <v>2</v>
      </c>
      <c r="C44" s="27">
        <v>2</v>
      </c>
      <c r="D44" s="27">
        <v>2015</v>
      </c>
      <c r="E44" s="27">
        <v>2019</v>
      </c>
      <c r="F44" s="27">
        <v>6</v>
      </c>
      <c r="G44" s="27">
        <v>2</v>
      </c>
      <c r="H44" s="27">
        <v>0</v>
      </c>
      <c r="I44" s="27">
        <v>0</v>
      </c>
      <c r="J44" s="27">
        <v>0</v>
      </c>
      <c r="K44" s="27">
        <v>2.4</v>
      </c>
      <c r="L44" s="27">
        <v>2475</v>
      </c>
      <c r="M44" s="27">
        <v>3185</v>
      </c>
      <c r="N44" s="27">
        <v>0</v>
      </c>
      <c r="O44" s="27">
        <v>0</v>
      </c>
      <c r="P44" s="27" t="s">
        <v>13</v>
      </c>
      <c r="Q44" s="27">
        <v>1993</v>
      </c>
      <c r="R44" s="27">
        <v>1</v>
      </c>
      <c r="S44" s="27">
        <v>0</v>
      </c>
      <c r="T44" s="27">
        <v>-3.0000000000000001E-3</v>
      </c>
      <c r="U44" s="27">
        <v>-1.2E-2</v>
      </c>
      <c r="V44" s="27">
        <v>0</v>
      </c>
      <c r="W44" s="27">
        <v>0</v>
      </c>
      <c r="X44" s="27" t="s">
        <v>15</v>
      </c>
    </row>
    <row r="45" spans="1:24">
      <c r="A45" s="27">
        <v>1</v>
      </c>
      <c r="B45" s="27">
        <v>2</v>
      </c>
      <c r="C45" s="27">
        <v>2</v>
      </c>
      <c r="D45" s="27">
        <v>2015</v>
      </c>
      <c r="E45" s="27">
        <v>2019</v>
      </c>
      <c r="F45" s="27">
        <v>7</v>
      </c>
      <c r="G45" s="27">
        <v>2</v>
      </c>
      <c r="H45" s="27">
        <v>0</v>
      </c>
      <c r="I45" s="27">
        <v>0</v>
      </c>
      <c r="J45" s="27">
        <v>0</v>
      </c>
      <c r="K45" s="27">
        <v>2.4</v>
      </c>
      <c r="L45" s="27">
        <v>2475</v>
      </c>
      <c r="M45" s="27">
        <v>3185</v>
      </c>
      <c r="N45" s="27">
        <v>0</v>
      </c>
      <c r="O45" s="27">
        <v>0</v>
      </c>
      <c r="P45" s="27" t="s">
        <v>13</v>
      </c>
      <c r="Q45" s="27">
        <v>1993</v>
      </c>
      <c r="R45" s="27">
        <v>1</v>
      </c>
      <c r="S45" s="27">
        <v>0</v>
      </c>
      <c r="T45" s="27">
        <v>-3.0000000000000001E-3</v>
      </c>
      <c r="U45" s="27">
        <v>-1.2E-2</v>
      </c>
      <c r="V45" s="27">
        <v>0</v>
      </c>
      <c r="W45" s="27">
        <v>0</v>
      </c>
      <c r="X45" s="27" t="s">
        <v>15</v>
      </c>
    </row>
    <row r="46" spans="1:24">
      <c r="A46" s="27">
        <v>1</v>
      </c>
      <c r="B46" s="27">
        <v>2</v>
      </c>
      <c r="C46" s="27">
        <v>2</v>
      </c>
      <c r="D46" s="27">
        <v>2015</v>
      </c>
      <c r="E46" s="27">
        <v>2019</v>
      </c>
      <c r="F46" s="27">
        <v>8</v>
      </c>
      <c r="G46" s="27">
        <v>2</v>
      </c>
      <c r="H46" s="27">
        <v>0</v>
      </c>
      <c r="I46" s="27">
        <v>0</v>
      </c>
      <c r="J46" s="27">
        <v>0</v>
      </c>
      <c r="K46" s="27">
        <v>2.4</v>
      </c>
      <c r="L46" s="27">
        <v>2475</v>
      </c>
      <c r="M46" s="27">
        <v>3185</v>
      </c>
      <c r="N46" s="27">
        <v>0</v>
      </c>
      <c r="O46" s="27">
        <v>0</v>
      </c>
      <c r="P46" s="27" t="s">
        <v>13</v>
      </c>
      <c r="Q46" s="27">
        <v>1993</v>
      </c>
      <c r="R46" s="27">
        <v>1</v>
      </c>
      <c r="S46" s="27">
        <v>0</v>
      </c>
      <c r="T46" s="27">
        <v>-3.0000000000000001E-3</v>
      </c>
      <c r="U46" s="27">
        <v>-1.2E-2</v>
      </c>
      <c r="V46" s="27">
        <v>0</v>
      </c>
      <c r="W46" s="27">
        <v>0</v>
      </c>
      <c r="X46" s="27" t="s">
        <v>15</v>
      </c>
    </row>
    <row r="47" spans="1:24">
      <c r="A47" s="27">
        <v>1</v>
      </c>
      <c r="B47" s="27">
        <v>2</v>
      </c>
      <c r="C47" s="27">
        <v>2</v>
      </c>
      <c r="D47" s="27">
        <v>2015</v>
      </c>
      <c r="E47" s="27">
        <v>2019</v>
      </c>
      <c r="F47" s="27">
        <v>9</v>
      </c>
      <c r="G47" s="27">
        <v>2</v>
      </c>
      <c r="H47" s="27">
        <v>0</v>
      </c>
      <c r="I47" s="27">
        <v>0</v>
      </c>
      <c r="J47" s="27">
        <v>0</v>
      </c>
      <c r="K47" s="27">
        <v>2.4</v>
      </c>
      <c r="L47" s="27">
        <v>2475</v>
      </c>
      <c r="M47" s="27">
        <v>3185</v>
      </c>
      <c r="N47" s="27">
        <v>0</v>
      </c>
      <c r="O47" s="27">
        <v>0</v>
      </c>
      <c r="P47" s="27" t="s">
        <v>13</v>
      </c>
      <c r="Q47" s="27">
        <v>1993</v>
      </c>
      <c r="R47" s="27">
        <v>1</v>
      </c>
      <c r="S47" s="27">
        <v>0</v>
      </c>
      <c r="T47" s="27">
        <v>-3.0000000000000001E-3</v>
      </c>
      <c r="U47" s="27">
        <v>-1.2E-2</v>
      </c>
      <c r="V47" s="27">
        <v>0</v>
      </c>
      <c r="W47" s="27">
        <v>0</v>
      </c>
      <c r="X47" s="27" t="s">
        <v>15</v>
      </c>
    </row>
    <row r="48" spans="1:24">
      <c r="A48" s="27">
        <v>1</v>
      </c>
      <c r="B48" s="27">
        <v>2</v>
      </c>
      <c r="C48" s="27">
        <v>2</v>
      </c>
      <c r="D48" s="27">
        <v>2020</v>
      </c>
      <c r="E48" s="27">
        <v>2050</v>
      </c>
      <c r="F48" s="27">
        <v>1</v>
      </c>
      <c r="G48" s="27">
        <v>2</v>
      </c>
      <c r="H48" s="27">
        <v>0</v>
      </c>
      <c r="I48" s="27">
        <v>0</v>
      </c>
      <c r="J48" s="27">
        <v>0</v>
      </c>
      <c r="K48" s="27">
        <v>2.4</v>
      </c>
      <c r="L48" s="27">
        <v>2475</v>
      </c>
      <c r="M48" s="27">
        <v>3185</v>
      </c>
      <c r="N48" s="27">
        <v>0</v>
      </c>
      <c r="O48" s="27">
        <v>0</v>
      </c>
      <c r="P48" s="27" t="s">
        <v>13</v>
      </c>
      <c r="Q48" s="27">
        <v>1993</v>
      </c>
      <c r="R48" s="27">
        <v>1</v>
      </c>
      <c r="S48" s="27">
        <v>0</v>
      </c>
      <c r="T48" s="27">
        <v>-3.0000000000000001E-3</v>
      </c>
      <c r="U48" s="27">
        <v>-1.2E-2</v>
      </c>
      <c r="V48" s="27">
        <v>0</v>
      </c>
      <c r="W48" s="27">
        <v>0</v>
      </c>
      <c r="X48" s="27" t="s">
        <v>15</v>
      </c>
    </row>
    <row r="49" spans="1:24">
      <c r="A49" s="27">
        <v>1</v>
      </c>
      <c r="B49" s="27">
        <v>2</v>
      </c>
      <c r="C49" s="27">
        <v>2</v>
      </c>
      <c r="D49" s="27">
        <v>2020</v>
      </c>
      <c r="E49" s="27">
        <v>2050</v>
      </c>
      <c r="F49" s="27">
        <v>2</v>
      </c>
      <c r="G49" s="27">
        <v>2</v>
      </c>
      <c r="H49" s="27">
        <v>0</v>
      </c>
      <c r="I49" s="27">
        <v>0</v>
      </c>
      <c r="J49" s="27">
        <v>0</v>
      </c>
      <c r="K49" s="27">
        <v>2.4</v>
      </c>
      <c r="L49" s="27">
        <v>2475</v>
      </c>
      <c r="M49" s="27">
        <v>3185</v>
      </c>
      <c r="N49" s="27">
        <v>0</v>
      </c>
      <c r="O49" s="27">
        <v>0</v>
      </c>
      <c r="P49" s="27" t="s">
        <v>13</v>
      </c>
      <c r="Q49" s="27">
        <v>1993</v>
      </c>
      <c r="R49" s="27">
        <v>1</v>
      </c>
      <c r="S49" s="27">
        <v>0</v>
      </c>
      <c r="T49" s="27">
        <v>-3.0000000000000001E-3</v>
      </c>
      <c r="U49" s="27">
        <v>-1.2E-2</v>
      </c>
      <c r="V49" s="27">
        <v>0</v>
      </c>
      <c r="W49" s="27">
        <v>0</v>
      </c>
      <c r="X49" s="27" t="s">
        <v>15</v>
      </c>
    </row>
    <row r="50" spans="1:24">
      <c r="A50" s="27">
        <v>1</v>
      </c>
      <c r="B50" s="27">
        <v>2</v>
      </c>
      <c r="C50" s="27">
        <v>2</v>
      </c>
      <c r="D50" s="27">
        <v>2020</v>
      </c>
      <c r="E50" s="27">
        <v>2050</v>
      </c>
      <c r="F50" s="27">
        <v>3</v>
      </c>
      <c r="G50" s="27">
        <v>2</v>
      </c>
      <c r="H50" s="27">
        <v>0</v>
      </c>
      <c r="I50" s="27">
        <v>0</v>
      </c>
      <c r="J50" s="27">
        <v>0</v>
      </c>
      <c r="K50" s="27">
        <v>2.4</v>
      </c>
      <c r="L50" s="27">
        <v>2475</v>
      </c>
      <c r="M50" s="27">
        <v>3185</v>
      </c>
      <c r="N50" s="27">
        <v>0</v>
      </c>
      <c r="O50" s="27">
        <v>0</v>
      </c>
      <c r="P50" s="27" t="s">
        <v>13</v>
      </c>
      <c r="Q50" s="27">
        <v>1993</v>
      </c>
      <c r="R50" s="27">
        <v>1</v>
      </c>
      <c r="S50" s="27">
        <v>0</v>
      </c>
      <c r="T50" s="27">
        <v>-3.0000000000000001E-3</v>
      </c>
      <c r="U50" s="27">
        <v>-1.2E-2</v>
      </c>
      <c r="V50" s="27">
        <v>0</v>
      </c>
      <c r="W50" s="27">
        <v>0</v>
      </c>
      <c r="X50" s="27" t="s">
        <v>15</v>
      </c>
    </row>
    <row r="51" spans="1:24">
      <c r="A51" s="27">
        <v>1</v>
      </c>
      <c r="B51" s="27">
        <v>2</v>
      </c>
      <c r="C51" s="27">
        <v>2</v>
      </c>
      <c r="D51" s="27">
        <v>2020</v>
      </c>
      <c r="E51" s="27">
        <v>2050</v>
      </c>
      <c r="F51" s="27">
        <v>4</v>
      </c>
      <c r="G51" s="27">
        <v>2</v>
      </c>
      <c r="H51" s="27">
        <v>0</v>
      </c>
      <c r="I51" s="27">
        <v>0</v>
      </c>
      <c r="J51" s="27">
        <v>0</v>
      </c>
      <c r="K51" s="27">
        <v>2.4</v>
      </c>
      <c r="L51" s="27">
        <v>2475</v>
      </c>
      <c r="M51" s="27">
        <v>3185</v>
      </c>
      <c r="N51" s="27">
        <v>0</v>
      </c>
      <c r="O51" s="27">
        <v>0</v>
      </c>
      <c r="P51" s="27" t="s">
        <v>13</v>
      </c>
      <c r="Q51" s="27">
        <v>1993</v>
      </c>
      <c r="R51" s="27">
        <v>1</v>
      </c>
      <c r="S51" s="27">
        <v>0</v>
      </c>
      <c r="T51" s="27">
        <v>-3.0000000000000001E-3</v>
      </c>
      <c r="U51" s="27">
        <v>-1.2E-2</v>
      </c>
      <c r="V51" s="27">
        <v>0</v>
      </c>
      <c r="W51" s="27">
        <v>0</v>
      </c>
      <c r="X51" s="27" t="s">
        <v>15</v>
      </c>
    </row>
    <row r="52" spans="1:24">
      <c r="A52" s="27">
        <v>1</v>
      </c>
      <c r="B52" s="27">
        <v>2</v>
      </c>
      <c r="C52" s="27">
        <v>2</v>
      </c>
      <c r="D52" s="27">
        <v>2020</v>
      </c>
      <c r="E52" s="27">
        <v>2050</v>
      </c>
      <c r="F52" s="27">
        <v>5</v>
      </c>
      <c r="G52" s="27">
        <v>2</v>
      </c>
      <c r="H52" s="27">
        <v>0</v>
      </c>
      <c r="I52" s="27">
        <v>0</v>
      </c>
      <c r="J52" s="27">
        <v>0</v>
      </c>
      <c r="K52" s="27">
        <v>2.4</v>
      </c>
      <c r="L52" s="27">
        <v>2475</v>
      </c>
      <c r="M52" s="27">
        <v>3185</v>
      </c>
      <c r="N52" s="27">
        <v>0</v>
      </c>
      <c r="O52" s="27">
        <v>0</v>
      </c>
      <c r="P52" s="27" t="s">
        <v>13</v>
      </c>
      <c r="Q52" s="27">
        <v>1993</v>
      </c>
      <c r="R52" s="27">
        <v>1</v>
      </c>
      <c r="S52" s="27">
        <v>0</v>
      </c>
      <c r="T52" s="27">
        <v>-3.0000000000000001E-3</v>
      </c>
      <c r="U52" s="27">
        <v>-1.2E-2</v>
      </c>
      <c r="V52" s="27">
        <v>0</v>
      </c>
      <c r="W52" s="27">
        <v>0</v>
      </c>
      <c r="X52" s="27" t="s">
        <v>15</v>
      </c>
    </row>
    <row r="53" spans="1:24">
      <c r="A53" s="27">
        <v>1</v>
      </c>
      <c r="B53" s="27">
        <v>2</v>
      </c>
      <c r="C53" s="27">
        <v>2</v>
      </c>
      <c r="D53" s="27">
        <v>2020</v>
      </c>
      <c r="E53" s="27">
        <v>2050</v>
      </c>
      <c r="F53" s="27">
        <v>6</v>
      </c>
      <c r="G53" s="27">
        <v>2</v>
      </c>
      <c r="H53" s="27">
        <v>0</v>
      </c>
      <c r="I53" s="27">
        <v>0</v>
      </c>
      <c r="J53" s="27">
        <v>0</v>
      </c>
      <c r="K53" s="27">
        <v>2.4</v>
      </c>
      <c r="L53" s="27">
        <v>2475</v>
      </c>
      <c r="M53" s="27">
        <v>3185</v>
      </c>
      <c r="N53" s="27">
        <v>0</v>
      </c>
      <c r="O53" s="27">
        <v>0</v>
      </c>
      <c r="P53" s="27" t="s">
        <v>13</v>
      </c>
      <c r="Q53" s="27">
        <v>1993</v>
      </c>
      <c r="R53" s="27">
        <v>1</v>
      </c>
      <c r="S53" s="27">
        <v>0</v>
      </c>
      <c r="T53" s="27">
        <v>-3.0000000000000001E-3</v>
      </c>
      <c r="U53" s="27">
        <v>-1.2E-2</v>
      </c>
      <c r="V53" s="27">
        <v>0</v>
      </c>
      <c r="W53" s="27">
        <v>0</v>
      </c>
      <c r="X53" s="27" t="s">
        <v>15</v>
      </c>
    </row>
    <row r="54" spans="1:24">
      <c r="A54" s="27">
        <v>1</v>
      </c>
      <c r="B54" s="27">
        <v>2</v>
      </c>
      <c r="C54" s="27">
        <v>2</v>
      </c>
      <c r="D54" s="27">
        <v>2020</v>
      </c>
      <c r="E54" s="27">
        <v>2050</v>
      </c>
      <c r="F54" s="27">
        <v>7</v>
      </c>
      <c r="G54" s="27">
        <v>2</v>
      </c>
      <c r="H54" s="27">
        <v>0</v>
      </c>
      <c r="I54" s="27">
        <v>0</v>
      </c>
      <c r="J54" s="27">
        <v>0</v>
      </c>
      <c r="K54" s="27">
        <v>2.4</v>
      </c>
      <c r="L54" s="27">
        <v>2475</v>
      </c>
      <c r="M54" s="27">
        <v>3185</v>
      </c>
      <c r="N54" s="27">
        <v>0</v>
      </c>
      <c r="O54" s="27">
        <v>0</v>
      </c>
      <c r="P54" s="27" t="s">
        <v>13</v>
      </c>
      <c r="Q54" s="27">
        <v>1993</v>
      </c>
      <c r="R54" s="27">
        <v>1</v>
      </c>
      <c r="S54" s="27">
        <v>0</v>
      </c>
      <c r="T54" s="27">
        <v>-3.0000000000000001E-3</v>
      </c>
      <c r="U54" s="27">
        <v>-1.2E-2</v>
      </c>
      <c r="V54" s="27">
        <v>0</v>
      </c>
      <c r="W54" s="27">
        <v>0</v>
      </c>
      <c r="X54" s="27" t="s">
        <v>15</v>
      </c>
    </row>
    <row r="55" spans="1:24">
      <c r="A55" s="27">
        <v>1</v>
      </c>
      <c r="B55" s="27">
        <v>2</v>
      </c>
      <c r="C55" s="27">
        <v>2</v>
      </c>
      <c r="D55" s="27">
        <v>2020</v>
      </c>
      <c r="E55" s="27">
        <v>2050</v>
      </c>
      <c r="F55" s="27">
        <v>8</v>
      </c>
      <c r="G55" s="27">
        <v>2</v>
      </c>
      <c r="H55" s="27">
        <v>0</v>
      </c>
      <c r="I55" s="27">
        <v>0</v>
      </c>
      <c r="J55" s="27">
        <v>0</v>
      </c>
      <c r="K55" s="27">
        <v>2.4</v>
      </c>
      <c r="L55" s="27">
        <v>2475</v>
      </c>
      <c r="M55" s="27">
        <v>3185</v>
      </c>
      <c r="N55" s="27">
        <v>0</v>
      </c>
      <c r="O55" s="27">
        <v>0</v>
      </c>
      <c r="P55" s="27" t="s">
        <v>13</v>
      </c>
      <c r="Q55" s="27">
        <v>1993</v>
      </c>
      <c r="R55" s="27">
        <v>1</v>
      </c>
      <c r="S55" s="27">
        <v>0</v>
      </c>
      <c r="T55" s="27">
        <v>-3.0000000000000001E-3</v>
      </c>
      <c r="U55" s="27">
        <v>-1.2E-2</v>
      </c>
      <c r="V55" s="27">
        <v>0</v>
      </c>
      <c r="W55" s="27">
        <v>0</v>
      </c>
      <c r="X55" s="27" t="s">
        <v>15</v>
      </c>
    </row>
    <row r="56" spans="1:24">
      <c r="A56" s="27">
        <v>1</v>
      </c>
      <c r="B56" s="27">
        <v>2</v>
      </c>
      <c r="C56" s="27">
        <v>2</v>
      </c>
      <c r="D56" s="27">
        <v>2020</v>
      </c>
      <c r="E56" s="27">
        <v>2050</v>
      </c>
      <c r="F56" s="27">
        <v>9</v>
      </c>
      <c r="G56" s="27">
        <v>2</v>
      </c>
      <c r="H56" s="27">
        <v>0</v>
      </c>
      <c r="I56" s="27">
        <v>0</v>
      </c>
      <c r="J56" s="27">
        <v>0</v>
      </c>
      <c r="K56" s="27">
        <v>2.4</v>
      </c>
      <c r="L56" s="27">
        <v>2475</v>
      </c>
      <c r="M56" s="27">
        <v>3185</v>
      </c>
      <c r="N56" s="27">
        <v>0</v>
      </c>
      <c r="O56" s="27">
        <v>0</v>
      </c>
      <c r="P56" s="27" t="s">
        <v>13</v>
      </c>
      <c r="Q56" s="27">
        <v>1993</v>
      </c>
      <c r="R56" s="27">
        <v>1</v>
      </c>
      <c r="S56" s="27">
        <v>0</v>
      </c>
      <c r="T56" s="27">
        <v>-3.0000000000000001E-3</v>
      </c>
      <c r="U56" s="27">
        <v>-1.2E-2</v>
      </c>
      <c r="V56" s="27">
        <v>0</v>
      </c>
      <c r="W56" s="27">
        <v>0</v>
      </c>
      <c r="X56" s="27" t="s">
        <v>15</v>
      </c>
    </row>
    <row r="57" spans="1:24">
      <c r="A57" s="27">
        <v>1</v>
      </c>
      <c r="B57" s="27">
        <v>2</v>
      </c>
      <c r="C57" s="27">
        <v>3</v>
      </c>
      <c r="D57" s="27">
        <v>2010</v>
      </c>
      <c r="E57" s="27">
        <v>2014</v>
      </c>
      <c r="F57" s="27">
        <v>1</v>
      </c>
      <c r="G57" s="27">
        <v>3</v>
      </c>
      <c r="H57" s="27">
        <v>0</v>
      </c>
      <c r="I57" s="27">
        <v>0</v>
      </c>
      <c r="J57" s="27">
        <v>0</v>
      </c>
      <c r="K57" s="27">
        <v>2.4</v>
      </c>
      <c r="L57" s="27">
        <v>3225</v>
      </c>
      <c r="M57" s="27">
        <v>4235</v>
      </c>
      <c r="N57" s="27">
        <v>0</v>
      </c>
      <c r="O57" s="27">
        <v>0</v>
      </c>
      <c r="P57" s="27" t="s">
        <v>13</v>
      </c>
      <c r="Q57" s="27">
        <v>1993</v>
      </c>
      <c r="R57" s="27">
        <v>1</v>
      </c>
      <c r="S57" s="27">
        <v>0</v>
      </c>
      <c r="T57" s="27">
        <v>-3.0000000000000001E-3</v>
      </c>
      <c r="U57" s="27">
        <v>-1.2E-2</v>
      </c>
      <c r="V57" s="27">
        <v>0</v>
      </c>
      <c r="W57" s="27">
        <v>0</v>
      </c>
      <c r="X57" s="27" t="s">
        <v>16</v>
      </c>
    </row>
    <row r="58" spans="1:24">
      <c r="A58" s="27">
        <v>1</v>
      </c>
      <c r="B58" s="27">
        <v>2</v>
      </c>
      <c r="C58" s="27">
        <v>3</v>
      </c>
      <c r="D58" s="27">
        <v>2010</v>
      </c>
      <c r="E58" s="27">
        <v>2014</v>
      </c>
      <c r="F58" s="27">
        <v>2</v>
      </c>
      <c r="G58" s="27">
        <v>3</v>
      </c>
      <c r="H58" s="27">
        <v>0</v>
      </c>
      <c r="I58" s="27">
        <v>0</v>
      </c>
      <c r="J58" s="27">
        <v>0</v>
      </c>
      <c r="K58" s="27">
        <v>2.4</v>
      </c>
      <c r="L58" s="27">
        <v>3225</v>
      </c>
      <c r="M58" s="27">
        <v>4235</v>
      </c>
      <c r="N58" s="27">
        <v>0</v>
      </c>
      <c r="O58" s="27">
        <v>0</v>
      </c>
      <c r="P58" s="27" t="s">
        <v>13</v>
      </c>
      <c r="Q58" s="27">
        <v>1993</v>
      </c>
      <c r="R58" s="27">
        <v>1</v>
      </c>
      <c r="S58" s="27">
        <v>0</v>
      </c>
      <c r="T58" s="27">
        <v>-3.0000000000000001E-3</v>
      </c>
      <c r="U58" s="27">
        <v>-1.2E-2</v>
      </c>
      <c r="V58" s="27">
        <v>0</v>
      </c>
      <c r="W58" s="27">
        <v>0</v>
      </c>
      <c r="X58" s="27" t="s">
        <v>16</v>
      </c>
    </row>
    <row r="59" spans="1:24">
      <c r="A59" s="27">
        <v>1</v>
      </c>
      <c r="B59" s="27">
        <v>2</v>
      </c>
      <c r="C59" s="27">
        <v>3</v>
      </c>
      <c r="D59" s="27">
        <v>2010</v>
      </c>
      <c r="E59" s="27">
        <v>2014</v>
      </c>
      <c r="F59" s="27">
        <v>3</v>
      </c>
      <c r="G59" s="27">
        <v>3</v>
      </c>
      <c r="H59" s="27">
        <v>0</v>
      </c>
      <c r="I59" s="27">
        <v>0</v>
      </c>
      <c r="J59" s="27">
        <v>0</v>
      </c>
      <c r="K59" s="27">
        <v>2.4</v>
      </c>
      <c r="L59" s="27">
        <v>3225</v>
      </c>
      <c r="M59" s="27">
        <v>4235</v>
      </c>
      <c r="N59" s="27">
        <v>0</v>
      </c>
      <c r="O59" s="27">
        <v>0</v>
      </c>
      <c r="P59" s="27" t="s">
        <v>13</v>
      </c>
      <c r="Q59" s="27">
        <v>1993</v>
      </c>
      <c r="R59" s="27">
        <v>1</v>
      </c>
      <c r="S59" s="27">
        <v>0</v>
      </c>
      <c r="T59" s="27">
        <v>-3.0000000000000001E-3</v>
      </c>
      <c r="U59" s="27">
        <v>-1.2E-2</v>
      </c>
      <c r="V59" s="27">
        <v>0</v>
      </c>
      <c r="W59" s="27">
        <v>0</v>
      </c>
      <c r="X59" s="27" t="s">
        <v>16</v>
      </c>
    </row>
    <row r="60" spans="1:24">
      <c r="A60" s="27">
        <v>1</v>
      </c>
      <c r="B60" s="27">
        <v>2</v>
      </c>
      <c r="C60" s="27">
        <v>3</v>
      </c>
      <c r="D60" s="27">
        <v>2010</v>
      </c>
      <c r="E60" s="27">
        <v>2014</v>
      </c>
      <c r="F60" s="27">
        <v>4</v>
      </c>
      <c r="G60" s="27">
        <v>3</v>
      </c>
      <c r="H60" s="27">
        <v>0</v>
      </c>
      <c r="I60" s="27">
        <v>0</v>
      </c>
      <c r="J60" s="27">
        <v>0</v>
      </c>
      <c r="K60" s="27">
        <v>2.4</v>
      </c>
      <c r="L60" s="27">
        <v>3225</v>
      </c>
      <c r="M60" s="27">
        <v>4235</v>
      </c>
      <c r="N60" s="27">
        <v>0</v>
      </c>
      <c r="O60" s="27">
        <v>0</v>
      </c>
      <c r="P60" s="27" t="s">
        <v>13</v>
      </c>
      <c r="Q60" s="27">
        <v>1993</v>
      </c>
      <c r="R60" s="27">
        <v>1</v>
      </c>
      <c r="S60" s="27">
        <v>0</v>
      </c>
      <c r="T60" s="27">
        <v>-3.0000000000000001E-3</v>
      </c>
      <c r="U60" s="27">
        <v>-1.2E-2</v>
      </c>
      <c r="V60" s="27">
        <v>0</v>
      </c>
      <c r="W60" s="27">
        <v>0</v>
      </c>
      <c r="X60" s="27" t="s">
        <v>16</v>
      </c>
    </row>
    <row r="61" spans="1:24">
      <c r="A61" s="27">
        <v>1</v>
      </c>
      <c r="B61" s="27">
        <v>2</v>
      </c>
      <c r="C61" s="27">
        <v>3</v>
      </c>
      <c r="D61" s="27">
        <v>2010</v>
      </c>
      <c r="E61" s="27">
        <v>2014</v>
      </c>
      <c r="F61" s="27">
        <v>5</v>
      </c>
      <c r="G61" s="27">
        <v>3</v>
      </c>
      <c r="H61" s="27">
        <v>0</v>
      </c>
      <c r="I61" s="27">
        <v>0</v>
      </c>
      <c r="J61" s="27">
        <v>0</v>
      </c>
      <c r="K61" s="27">
        <v>2.4</v>
      </c>
      <c r="L61" s="27">
        <v>3225</v>
      </c>
      <c r="M61" s="27">
        <v>4235</v>
      </c>
      <c r="N61" s="27">
        <v>0</v>
      </c>
      <c r="O61" s="27">
        <v>0</v>
      </c>
      <c r="P61" s="27" t="s">
        <v>13</v>
      </c>
      <c r="Q61" s="27">
        <v>1993</v>
      </c>
      <c r="R61" s="27">
        <v>1</v>
      </c>
      <c r="S61" s="27">
        <v>0</v>
      </c>
      <c r="T61" s="27">
        <v>-3.0000000000000001E-3</v>
      </c>
      <c r="U61" s="27">
        <v>-1.2E-2</v>
      </c>
      <c r="V61" s="27">
        <v>0</v>
      </c>
      <c r="W61" s="27">
        <v>0</v>
      </c>
      <c r="X61" s="27" t="s">
        <v>16</v>
      </c>
    </row>
    <row r="62" spans="1:24">
      <c r="A62" s="27">
        <v>1</v>
      </c>
      <c r="B62" s="27">
        <v>2</v>
      </c>
      <c r="C62" s="27">
        <v>3</v>
      </c>
      <c r="D62" s="27">
        <v>2010</v>
      </c>
      <c r="E62" s="27">
        <v>2014</v>
      </c>
      <c r="F62" s="27">
        <v>6</v>
      </c>
      <c r="G62" s="27">
        <v>3</v>
      </c>
      <c r="H62" s="27">
        <v>0</v>
      </c>
      <c r="I62" s="27">
        <v>0</v>
      </c>
      <c r="J62" s="27">
        <v>0</v>
      </c>
      <c r="K62" s="27">
        <v>2.4</v>
      </c>
      <c r="L62" s="27">
        <v>3225</v>
      </c>
      <c r="M62" s="27">
        <v>4235</v>
      </c>
      <c r="N62" s="27">
        <v>0</v>
      </c>
      <c r="O62" s="27">
        <v>0</v>
      </c>
      <c r="P62" s="27" t="s">
        <v>13</v>
      </c>
      <c r="Q62" s="27">
        <v>1993</v>
      </c>
      <c r="R62" s="27">
        <v>1</v>
      </c>
      <c r="S62" s="27">
        <v>0</v>
      </c>
      <c r="T62" s="27">
        <v>-3.0000000000000001E-3</v>
      </c>
      <c r="U62" s="27">
        <v>-1.2E-2</v>
      </c>
      <c r="V62" s="27">
        <v>0</v>
      </c>
      <c r="W62" s="27">
        <v>0</v>
      </c>
      <c r="X62" s="27" t="s">
        <v>16</v>
      </c>
    </row>
    <row r="63" spans="1:24">
      <c r="A63" s="27">
        <v>1</v>
      </c>
      <c r="B63" s="27">
        <v>2</v>
      </c>
      <c r="C63" s="27">
        <v>3</v>
      </c>
      <c r="D63" s="27">
        <v>2010</v>
      </c>
      <c r="E63" s="27">
        <v>2014</v>
      </c>
      <c r="F63" s="27">
        <v>7</v>
      </c>
      <c r="G63" s="27">
        <v>3</v>
      </c>
      <c r="H63" s="27">
        <v>0</v>
      </c>
      <c r="I63" s="27">
        <v>0</v>
      </c>
      <c r="J63" s="27">
        <v>0</v>
      </c>
      <c r="K63" s="27">
        <v>2.4</v>
      </c>
      <c r="L63" s="27">
        <v>3225</v>
      </c>
      <c r="M63" s="27">
        <v>4235</v>
      </c>
      <c r="N63" s="27">
        <v>0</v>
      </c>
      <c r="O63" s="27">
        <v>0</v>
      </c>
      <c r="P63" s="27" t="s">
        <v>13</v>
      </c>
      <c r="Q63" s="27">
        <v>1993</v>
      </c>
      <c r="R63" s="27">
        <v>1</v>
      </c>
      <c r="S63" s="27">
        <v>0</v>
      </c>
      <c r="T63" s="27">
        <v>-3.0000000000000001E-3</v>
      </c>
      <c r="U63" s="27">
        <v>-1.2E-2</v>
      </c>
      <c r="V63" s="27">
        <v>0</v>
      </c>
      <c r="W63" s="27">
        <v>0</v>
      </c>
      <c r="X63" s="27" t="s">
        <v>16</v>
      </c>
    </row>
    <row r="64" spans="1:24">
      <c r="A64" s="27">
        <v>1</v>
      </c>
      <c r="B64" s="27">
        <v>2</v>
      </c>
      <c r="C64" s="27">
        <v>3</v>
      </c>
      <c r="D64" s="27">
        <v>2010</v>
      </c>
      <c r="E64" s="27">
        <v>2014</v>
      </c>
      <c r="F64" s="27">
        <v>8</v>
      </c>
      <c r="G64" s="27">
        <v>3</v>
      </c>
      <c r="H64" s="27">
        <v>0</v>
      </c>
      <c r="I64" s="27">
        <v>0</v>
      </c>
      <c r="J64" s="27">
        <v>0</v>
      </c>
      <c r="K64" s="27">
        <v>2.4</v>
      </c>
      <c r="L64" s="27">
        <v>3225</v>
      </c>
      <c r="M64" s="27">
        <v>4235</v>
      </c>
      <c r="N64" s="27">
        <v>0</v>
      </c>
      <c r="O64" s="27">
        <v>0</v>
      </c>
      <c r="P64" s="27" t="s">
        <v>13</v>
      </c>
      <c r="Q64" s="27">
        <v>1993</v>
      </c>
      <c r="R64" s="27">
        <v>1</v>
      </c>
      <c r="S64" s="27">
        <v>0</v>
      </c>
      <c r="T64" s="27">
        <v>-3.0000000000000001E-3</v>
      </c>
      <c r="U64" s="27">
        <v>-1.2E-2</v>
      </c>
      <c r="V64" s="27">
        <v>0</v>
      </c>
      <c r="W64" s="27">
        <v>0</v>
      </c>
      <c r="X64" s="27" t="s">
        <v>16</v>
      </c>
    </row>
    <row r="65" spans="1:24">
      <c r="A65" s="27">
        <v>1</v>
      </c>
      <c r="B65" s="27">
        <v>2</v>
      </c>
      <c r="C65" s="27">
        <v>3</v>
      </c>
      <c r="D65" s="27">
        <v>2010</v>
      </c>
      <c r="E65" s="27">
        <v>2014</v>
      </c>
      <c r="F65" s="27">
        <v>9</v>
      </c>
      <c r="G65" s="27">
        <v>3</v>
      </c>
      <c r="H65" s="27">
        <v>0</v>
      </c>
      <c r="I65" s="27">
        <v>0</v>
      </c>
      <c r="J65" s="27">
        <v>0</v>
      </c>
      <c r="K65" s="27">
        <v>2.4</v>
      </c>
      <c r="L65" s="27">
        <v>3225</v>
      </c>
      <c r="M65" s="27">
        <v>4235</v>
      </c>
      <c r="N65" s="27">
        <v>0</v>
      </c>
      <c r="O65" s="27">
        <v>0</v>
      </c>
      <c r="P65" s="27" t="s">
        <v>13</v>
      </c>
      <c r="Q65" s="27">
        <v>1993</v>
      </c>
      <c r="R65" s="27">
        <v>1</v>
      </c>
      <c r="S65" s="27">
        <v>0</v>
      </c>
      <c r="T65" s="27">
        <v>-3.0000000000000001E-3</v>
      </c>
      <c r="U65" s="27">
        <v>-1.2E-2</v>
      </c>
      <c r="V65" s="27">
        <v>0</v>
      </c>
      <c r="W65" s="27">
        <v>0</v>
      </c>
      <c r="X65" s="27" t="s">
        <v>16</v>
      </c>
    </row>
    <row r="66" spans="1:24">
      <c r="A66" s="27">
        <v>1</v>
      </c>
      <c r="B66" s="27">
        <v>2</v>
      </c>
      <c r="C66" s="27">
        <v>3</v>
      </c>
      <c r="D66" s="27">
        <v>2015</v>
      </c>
      <c r="E66" s="27">
        <v>2050</v>
      </c>
      <c r="F66" s="27">
        <v>1</v>
      </c>
      <c r="G66" s="27">
        <v>3</v>
      </c>
      <c r="H66" s="27">
        <v>0</v>
      </c>
      <c r="I66" s="27">
        <v>0</v>
      </c>
      <c r="J66" s="27">
        <v>0</v>
      </c>
      <c r="K66" s="27">
        <v>2.58</v>
      </c>
      <c r="L66" s="27">
        <v>3425</v>
      </c>
      <c r="M66" s="27">
        <v>4435</v>
      </c>
      <c r="N66" s="27">
        <v>0</v>
      </c>
      <c r="O66" s="27">
        <v>0</v>
      </c>
      <c r="P66" s="27" t="s">
        <v>13</v>
      </c>
      <c r="Q66" s="27">
        <v>1993</v>
      </c>
      <c r="R66" s="27">
        <v>1</v>
      </c>
      <c r="S66" s="27">
        <v>0</v>
      </c>
      <c r="T66" s="27">
        <v>-3.0000000000000001E-3</v>
      </c>
      <c r="U66" s="27">
        <v>-1.2E-2</v>
      </c>
      <c r="V66" s="27">
        <v>0</v>
      </c>
      <c r="W66" s="27">
        <v>0</v>
      </c>
      <c r="X66" s="27" t="s">
        <v>16</v>
      </c>
    </row>
    <row r="67" spans="1:24">
      <c r="A67" s="27">
        <v>1</v>
      </c>
      <c r="B67" s="27">
        <v>2</v>
      </c>
      <c r="C67" s="27">
        <v>3</v>
      </c>
      <c r="D67" s="27">
        <v>2015</v>
      </c>
      <c r="E67" s="27">
        <v>2050</v>
      </c>
      <c r="F67" s="27">
        <v>2</v>
      </c>
      <c r="G67" s="27">
        <v>3</v>
      </c>
      <c r="H67" s="27">
        <v>0</v>
      </c>
      <c r="I67" s="27">
        <v>0</v>
      </c>
      <c r="J67" s="27">
        <v>0</v>
      </c>
      <c r="K67" s="27">
        <v>2.58</v>
      </c>
      <c r="L67" s="27">
        <v>3425</v>
      </c>
      <c r="M67" s="27">
        <v>4435</v>
      </c>
      <c r="N67" s="27">
        <v>0</v>
      </c>
      <c r="O67" s="27">
        <v>0</v>
      </c>
      <c r="P67" s="27" t="s">
        <v>13</v>
      </c>
      <c r="Q67" s="27">
        <v>1993</v>
      </c>
      <c r="R67" s="27">
        <v>1</v>
      </c>
      <c r="S67" s="27">
        <v>0</v>
      </c>
      <c r="T67" s="27">
        <v>-3.0000000000000001E-3</v>
      </c>
      <c r="U67" s="27">
        <v>-1.2E-2</v>
      </c>
      <c r="V67" s="27">
        <v>0</v>
      </c>
      <c r="W67" s="27">
        <v>0</v>
      </c>
      <c r="X67" s="27" t="s">
        <v>16</v>
      </c>
    </row>
    <row r="68" spans="1:24">
      <c r="A68" s="27">
        <v>1</v>
      </c>
      <c r="B68" s="27">
        <v>2</v>
      </c>
      <c r="C68" s="27">
        <v>3</v>
      </c>
      <c r="D68" s="27">
        <v>2015</v>
      </c>
      <c r="E68" s="27">
        <v>2050</v>
      </c>
      <c r="F68" s="27">
        <v>3</v>
      </c>
      <c r="G68" s="27">
        <v>3</v>
      </c>
      <c r="H68" s="27">
        <v>0</v>
      </c>
      <c r="I68" s="27">
        <v>0</v>
      </c>
      <c r="J68" s="27">
        <v>0</v>
      </c>
      <c r="K68" s="27">
        <v>2.58</v>
      </c>
      <c r="L68" s="27">
        <v>3425</v>
      </c>
      <c r="M68" s="27">
        <v>4435</v>
      </c>
      <c r="N68" s="27">
        <v>0</v>
      </c>
      <c r="O68" s="27">
        <v>0</v>
      </c>
      <c r="P68" s="27" t="s">
        <v>13</v>
      </c>
      <c r="Q68" s="27">
        <v>1993</v>
      </c>
      <c r="R68" s="27">
        <v>1</v>
      </c>
      <c r="S68" s="27">
        <v>0</v>
      </c>
      <c r="T68" s="27">
        <v>-3.0000000000000001E-3</v>
      </c>
      <c r="U68" s="27">
        <v>-1.2E-2</v>
      </c>
      <c r="V68" s="27">
        <v>0</v>
      </c>
      <c r="W68" s="27">
        <v>0</v>
      </c>
      <c r="X68" s="27" t="s">
        <v>16</v>
      </c>
    </row>
    <row r="69" spans="1:24">
      <c r="A69" s="27">
        <v>1</v>
      </c>
      <c r="B69" s="27">
        <v>2</v>
      </c>
      <c r="C69" s="27">
        <v>3</v>
      </c>
      <c r="D69" s="27">
        <v>2015</v>
      </c>
      <c r="E69" s="27">
        <v>2050</v>
      </c>
      <c r="F69" s="27">
        <v>4</v>
      </c>
      <c r="G69" s="27">
        <v>3</v>
      </c>
      <c r="H69" s="27">
        <v>0</v>
      </c>
      <c r="I69" s="27">
        <v>0</v>
      </c>
      <c r="J69" s="27">
        <v>0</v>
      </c>
      <c r="K69" s="27">
        <v>2.58</v>
      </c>
      <c r="L69" s="27">
        <v>3425</v>
      </c>
      <c r="M69" s="27">
        <v>4435</v>
      </c>
      <c r="N69" s="27">
        <v>0</v>
      </c>
      <c r="O69" s="27">
        <v>0</v>
      </c>
      <c r="P69" s="27" t="s">
        <v>13</v>
      </c>
      <c r="Q69" s="27">
        <v>1993</v>
      </c>
      <c r="R69" s="27">
        <v>1</v>
      </c>
      <c r="S69" s="27">
        <v>0</v>
      </c>
      <c r="T69" s="27">
        <v>-3.0000000000000001E-3</v>
      </c>
      <c r="U69" s="27">
        <v>-1.2E-2</v>
      </c>
      <c r="V69" s="27">
        <v>0</v>
      </c>
      <c r="W69" s="27">
        <v>0</v>
      </c>
      <c r="X69" s="27" t="s">
        <v>16</v>
      </c>
    </row>
    <row r="70" spans="1:24">
      <c r="A70" s="27">
        <v>1</v>
      </c>
      <c r="B70" s="27">
        <v>2</v>
      </c>
      <c r="C70" s="27">
        <v>3</v>
      </c>
      <c r="D70" s="27">
        <v>2015</v>
      </c>
      <c r="E70" s="27">
        <v>2050</v>
      </c>
      <c r="F70" s="27">
        <v>5</v>
      </c>
      <c r="G70" s="27">
        <v>3</v>
      </c>
      <c r="H70" s="27">
        <v>0</v>
      </c>
      <c r="I70" s="27">
        <v>0</v>
      </c>
      <c r="J70" s="27">
        <v>0</v>
      </c>
      <c r="K70" s="27">
        <v>2.58</v>
      </c>
      <c r="L70" s="27">
        <v>3425</v>
      </c>
      <c r="M70" s="27">
        <v>4435</v>
      </c>
      <c r="N70" s="27">
        <v>0</v>
      </c>
      <c r="O70" s="27">
        <v>0</v>
      </c>
      <c r="P70" s="27" t="s">
        <v>13</v>
      </c>
      <c r="Q70" s="27">
        <v>1993</v>
      </c>
      <c r="R70" s="27">
        <v>1</v>
      </c>
      <c r="S70" s="27">
        <v>0</v>
      </c>
      <c r="T70" s="27">
        <v>-3.0000000000000001E-3</v>
      </c>
      <c r="U70" s="27">
        <v>-1.2E-2</v>
      </c>
      <c r="V70" s="27">
        <v>0</v>
      </c>
      <c r="W70" s="27">
        <v>0</v>
      </c>
      <c r="X70" s="27" t="s">
        <v>16</v>
      </c>
    </row>
    <row r="71" spans="1:24">
      <c r="A71" s="27">
        <v>1</v>
      </c>
      <c r="B71" s="27">
        <v>2</v>
      </c>
      <c r="C71" s="27">
        <v>3</v>
      </c>
      <c r="D71" s="27">
        <v>2015</v>
      </c>
      <c r="E71" s="27">
        <v>2050</v>
      </c>
      <c r="F71" s="27">
        <v>6</v>
      </c>
      <c r="G71" s="27">
        <v>3</v>
      </c>
      <c r="H71" s="27">
        <v>0</v>
      </c>
      <c r="I71" s="27">
        <v>0</v>
      </c>
      <c r="J71" s="27">
        <v>0</v>
      </c>
      <c r="K71" s="27">
        <v>2.58</v>
      </c>
      <c r="L71" s="27">
        <v>3425</v>
      </c>
      <c r="M71" s="27">
        <v>4435</v>
      </c>
      <c r="N71" s="27">
        <v>0</v>
      </c>
      <c r="O71" s="27">
        <v>0</v>
      </c>
      <c r="P71" s="27" t="s">
        <v>13</v>
      </c>
      <c r="Q71" s="27">
        <v>1993</v>
      </c>
      <c r="R71" s="27">
        <v>1</v>
      </c>
      <c r="S71" s="27">
        <v>0</v>
      </c>
      <c r="T71" s="27">
        <v>-3.0000000000000001E-3</v>
      </c>
      <c r="U71" s="27">
        <v>-1.2E-2</v>
      </c>
      <c r="V71" s="27">
        <v>0</v>
      </c>
      <c r="W71" s="27">
        <v>0</v>
      </c>
      <c r="X71" s="27" t="s">
        <v>16</v>
      </c>
    </row>
    <row r="72" spans="1:24">
      <c r="A72" s="27">
        <v>1</v>
      </c>
      <c r="B72" s="27">
        <v>2</v>
      </c>
      <c r="C72" s="27">
        <v>3</v>
      </c>
      <c r="D72" s="27">
        <v>2015</v>
      </c>
      <c r="E72" s="27">
        <v>2050</v>
      </c>
      <c r="F72" s="27">
        <v>7</v>
      </c>
      <c r="G72" s="27">
        <v>3</v>
      </c>
      <c r="H72" s="27">
        <v>0</v>
      </c>
      <c r="I72" s="27">
        <v>0</v>
      </c>
      <c r="J72" s="27">
        <v>0</v>
      </c>
      <c r="K72" s="27">
        <v>2.58</v>
      </c>
      <c r="L72" s="27">
        <v>3425</v>
      </c>
      <c r="M72" s="27">
        <v>4435</v>
      </c>
      <c r="N72" s="27">
        <v>0</v>
      </c>
      <c r="O72" s="27">
        <v>0</v>
      </c>
      <c r="P72" s="27" t="s">
        <v>13</v>
      </c>
      <c r="Q72" s="27">
        <v>1993</v>
      </c>
      <c r="R72" s="27">
        <v>1</v>
      </c>
      <c r="S72" s="27">
        <v>0</v>
      </c>
      <c r="T72" s="27">
        <v>-3.0000000000000001E-3</v>
      </c>
      <c r="U72" s="27">
        <v>-1.2E-2</v>
      </c>
      <c r="V72" s="27">
        <v>0</v>
      </c>
      <c r="W72" s="27">
        <v>0</v>
      </c>
      <c r="X72" s="27" t="s">
        <v>16</v>
      </c>
    </row>
    <row r="73" spans="1:24">
      <c r="A73" s="27">
        <v>1</v>
      </c>
      <c r="B73" s="27">
        <v>2</v>
      </c>
      <c r="C73" s="27">
        <v>3</v>
      </c>
      <c r="D73" s="27">
        <v>2015</v>
      </c>
      <c r="E73" s="27">
        <v>2050</v>
      </c>
      <c r="F73" s="27">
        <v>8</v>
      </c>
      <c r="G73" s="27">
        <v>3</v>
      </c>
      <c r="H73" s="27">
        <v>0</v>
      </c>
      <c r="I73" s="27">
        <v>0</v>
      </c>
      <c r="J73" s="27">
        <v>0</v>
      </c>
      <c r="K73" s="27">
        <v>2.58</v>
      </c>
      <c r="L73" s="27">
        <v>3425</v>
      </c>
      <c r="M73" s="27">
        <v>4435</v>
      </c>
      <c r="N73" s="27">
        <v>0</v>
      </c>
      <c r="O73" s="27">
        <v>0</v>
      </c>
      <c r="P73" s="27" t="s">
        <v>13</v>
      </c>
      <c r="Q73" s="27">
        <v>1993</v>
      </c>
      <c r="R73" s="27">
        <v>1</v>
      </c>
      <c r="S73" s="27">
        <v>0</v>
      </c>
      <c r="T73" s="27">
        <v>-3.0000000000000001E-3</v>
      </c>
      <c r="U73" s="27">
        <v>-1.2E-2</v>
      </c>
      <c r="V73" s="27">
        <v>0</v>
      </c>
      <c r="W73" s="27">
        <v>0</v>
      </c>
      <c r="X73" s="27" t="s">
        <v>16</v>
      </c>
    </row>
    <row r="74" spans="1:24">
      <c r="A74" s="27">
        <v>1</v>
      </c>
      <c r="B74" s="27">
        <v>2</v>
      </c>
      <c r="C74" s="27">
        <v>3</v>
      </c>
      <c r="D74" s="27">
        <v>2015</v>
      </c>
      <c r="E74" s="27">
        <v>2050</v>
      </c>
      <c r="F74" s="27">
        <v>9</v>
      </c>
      <c r="G74" s="27">
        <v>3</v>
      </c>
      <c r="H74" s="27">
        <v>0</v>
      </c>
      <c r="I74" s="27">
        <v>0</v>
      </c>
      <c r="J74" s="27">
        <v>0</v>
      </c>
      <c r="K74" s="27">
        <v>2.58</v>
      </c>
      <c r="L74" s="27">
        <v>3425</v>
      </c>
      <c r="M74" s="27">
        <v>4435</v>
      </c>
      <c r="N74" s="27">
        <v>0</v>
      </c>
      <c r="O74" s="27">
        <v>0</v>
      </c>
      <c r="P74" s="27" t="s">
        <v>13</v>
      </c>
      <c r="Q74" s="27">
        <v>1993</v>
      </c>
      <c r="R74" s="27">
        <v>1</v>
      </c>
      <c r="S74" s="27">
        <v>0</v>
      </c>
      <c r="T74" s="27">
        <v>-3.0000000000000001E-3</v>
      </c>
      <c r="U74" s="27">
        <v>-1.2E-2</v>
      </c>
      <c r="V74" s="27">
        <v>0</v>
      </c>
      <c r="W74" s="27">
        <v>0</v>
      </c>
      <c r="X74" s="27" t="s">
        <v>16</v>
      </c>
    </row>
    <row r="75" spans="1:24">
      <c r="A75" s="27">
        <v>1</v>
      </c>
      <c r="B75" s="27">
        <v>2</v>
      </c>
      <c r="C75" s="27">
        <v>4</v>
      </c>
      <c r="D75" s="27">
        <v>2010</v>
      </c>
      <c r="E75" s="27">
        <v>2010</v>
      </c>
      <c r="F75" s="27">
        <v>1</v>
      </c>
      <c r="G75" s="27">
        <v>4</v>
      </c>
      <c r="H75" s="27">
        <v>0</v>
      </c>
      <c r="I75" s="27">
        <v>0</v>
      </c>
      <c r="J75" s="27">
        <v>0</v>
      </c>
      <c r="K75" s="27">
        <v>2.4900000000000002</v>
      </c>
      <c r="L75" s="27">
        <v>3575</v>
      </c>
      <c r="M75" s="27">
        <v>4725</v>
      </c>
      <c r="N75" s="27">
        <v>1075</v>
      </c>
      <c r="O75" s="27">
        <v>1419</v>
      </c>
      <c r="P75" s="27" t="s">
        <v>13</v>
      </c>
      <c r="Q75" s="27">
        <v>1993</v>
      </c>
      <c r="R75" s="27">
        <v>1</v>
      </c>
      <c r="S75" s="27">
        <v>0</v>
      </c>
      <c r="T75" s="27">
        <v>-3.0000000000000001E-3</v>
      </c>
      <c r="U75" s="27">
        <v>-1.2E-2</v>
      </c>
      <c r="V75" s="27">
        <v>0</v>
      </c>
      <c r="W75" s="27">
        <v>0</v>
      </c>
      <c r="X75" s="27" t="s">
        <v>17</v>
      </c>
    </row>
    <row r="76" spans="1:24">
      <c r="A76" s="27">
        <v>1</v>
      </c>
      <c r="B76" s="27">
        <v>2</v>
      </c>
      <c r="C76" s="27">
        <v>4</v>
      </c>
      <c r="D76" s="27">
        <v>2010</v>
      </c>
      <c r="E76" s="27">
        <v>2010</v>
      </c>
      <c r="F76" s="27">
        <v>2</v>
      </c>
      <c r="G76" s="27">
        <v>4</v>
      </c>
      <c r="H76" s="27">
        <v>0</v>
      </c>
      <c r="I76" s="27">
        <v>0</v>
      </c>
      <c r="J76" s="27">
        <v>0</v>
      </c>
      <c r="K76" s="27">
        <v>2.4900000000000002</v>
      </c>
      <c r="L76" s="27">
        <v>3575</v>
      </c>
      <c r="M76" s="27">
        <v>4725</v>
      </c>
      <c r="N76" s="27">
        <v>1075</v>
      </c>
      <c r="O76" s="27">
        <v>1419</v>
      </c>
      <c r="P76" s="27" t="s">
        <v>13</v>
      </c>
      <c r="Q76" s="27">
        <v>1993</v>
      </c>
      <c r="R76" s="27">
        <v>1</v>
      </c>
      <c r="S76" s="27">
        <v>0</v>
      </c>
      <c r="T76" s="27">
        <v>-3.0000000000000001E-3</v>
      </c>
      <c r="U76" s="27">
        <v>-1.2E-2</v>
      </c>
      <c r="V76" s="27">
        <v>0</v>
      </c>
      <c r="W76" s="27">
        <v>0</v>
      </c>
      <c r="X76" s="27" t="s">
        <v>17</v>
      </c>
    </row>
    <row r="77" spans="1:24">
      <c r="A77" s="27">
        <v>1</v>
      </c>
      <c r="B77" s="27">
        <v>2</v>
      </c>
      <c r="C77" s="27">
        <v>4</v>
      </c>
      <c r="D77" s="27">
        <v>2010</v>
      </c>
      <c r="E77" s="27">
        <v>2010</v>
      </c>
      <c r="F77" s="27">
        <v>3</v>
      </c>
      <c r="G77" s="27">
        <v>4</v>
      </c>
      <c r="H77" s="27">
        <v>0</v>
      </c>
      <c r="I77" s="27">
        <v>0</v>
      </c>
      <c r="J77" s="27">
        <v>0</v>
      </c>
      <c r="K77" s="27">
        <v>2.4900000000000002</v>
      </c>
      <c r="L77" s="27">
        <v>3575</v>
      </c>
      <c r="M77" s="27">
        <v>4725</v>
      </c>
      <c r="N77" s="27">
        <v>1075</v>
      </c>
      <c r="O77" s="27">
        <v>1419</v>
      </c>
      <c r="P77" s="27" t="s">
        <v>13</v>
      </c>
      <c r="Q77" s="27">
        <v>1993</v>
      </c>
      <c r="R77" s="27">
        <v>1</v>
      </c>
      <c r="S77" s="27">
        <v>0</v>
      </c>
      <c r="T77" s="27">
        <v>-3.0000000000000001E-3</v>
      </c>
      <c r="U77" s="27">
        <v>-1.2E-2</v>
      </c>
      <c r="V77" s="27">
        <v>0</v>
      </c>
      <c r="W77" s="27">
        <v>0</v>
      </c>
      <c r="X77" s="27" t="s">
        <v>17</v>
      </c>
    </row>
    <row r="78" spans="1:24">
      <c r="A78" s="27">
        <v>1</v>
      </c>
      <c r="B78" s="27">
        <v>2</v>
      </c>
      <c r="C78" s="27">
        <v>4</v>
      </c>
      <c r="D78" s="27">
        <v>2010</v>
      </c>
      <c r="E78" s="27">
        <v>2010</v>
      </c>
      <c r="F78" s="27">
        <v>4</v>
      </c>
      <c r="G78" s="27">
        <v>4</v>
      </c>
      <c r="H78" s="27">
        <v>0</v>
      </c>
      <c r="I78" s="27">
        <v>0</v>
      </c>
      <c r="J78" s="27">
        <v>0</v>
      </c>
      <c r="K78" s="27">
        <v>2.4900000000000002</v>
      </c>
      <c r="L78" s="27">
        <v>3575</v>
      </c>
      <c r="M78" s="27">
        <v>4725</v>
      </c>
      <c r="N78" s="27">
        <v>1075</v>
      </c>
      <c r="O78" s="27">
        <v>1419</v>
      </c>
      <c r="P78" s="27" t="s">
        <v>13</v>
      </c>
      <c r="Q78" s="27">
        <v>1993</v>
      </c>
      <c r="R78" s="27">
        <v>1</v>
      </c>
      <c r="S78" s="27">
        <v>0</v>
      </c>
      <c r="T78" s="27">
        <v>-3.0000000000000001E-3</v>
      </c>
      <c r="U78" s="27">
        <v>-1.2E-2</v>
      </c>
      <c r="V78" s="27">
        <v>0</v>
      </c>
      <c r="W78" s="27">
        <v>0</v>
      </c>
      <c r="X78" s="27" t="s">
        <v>17</v>
      </c>
    </row>
    <row r="79" spans="1:24">
      <c r="A79" s="27">
        <v>1</v>
      </c>
      <c r="B79" s="27">
        <v>2</v>
      </c>
      <c r="C79" s="27">
        <v>4</v>
      </c>
      <c r="D79" s="27">
        <v>2010</v>
      </c>
      <c r="E79" s="27">
        <v>2010</v>
      </c>
      <c r="F79" s="27">
        <v>5</v>
      </c>
      <c r="G79" s="27">
        <v>4</v>
      </c>
      <c r="H79" s="27">
        <v>0</v>
      </c>
      <c r="I79" s="27">
        <v>0</v>
      </c>
      <c r="J79" s="27">
        <v>0</v>
      </c>
      <c r="K79" s="27">
        <v>2.4900000000000002</v>
      </c>
      <c r="L79" s="27">
        <v>3575</v>
      </c>
      <c r="M79" s="27">
        <v>4725</v>
      </c>
      <c r="N79" s="27">
        <v>1075</v>
      </c>
      <c r="O79" s="27">
        <v>1419</v>
      </c>
      <c r="P79" s="27" t="s">
        <v>13</v>
      </c>
      <c r="Q79" s="27">
        <v>1993</v>
      </c>
      <c r="R79" s="27">
        <v>1</v>
      </c>
      <c r="S79" s="27">
        <v>0</v>
      </c>
      <c r="T79" s="27">
        <v>-3.0000000000000001E-3</v>
      </c>
      <c r="U79" s="27">
        <v>-1.2E-2</v>
      </c>
      <c r="V79" s="27">
        <v>0</v>
      </c>
      <c r="W79" s="27">
        <v>0</v>
      </c>
      <c r="X79" s="27" t="s">
        <v>17</v>
      </c>
    </row>
    <row r="80" spans="1:24">
      <c r="A80" s="27">
        <v>1</v>
      </c>
      <c r="B80" s="27">
        <v>2</v>
      </c>
      <c r="C80" s="27">
        <v>4</v>
      </c>
      <c r="D80" s="27">
        <v>2010</v>
      </c>
      <c r="E80" s="27">
        <v>2010</v>
      </c>
      <c r="F80" s="27">
        <v>6</v>
      </c>
      <c r="G80" s="27">
        <v>4</v>
      </c>
      <c r="H80" s="27">
        <v>0</v>
      </c>
      <c r="I80" s="27">
        <v>0</v>
      </c>
      <c r="J80" s="27">
        <v>0</v>
      </c>
      <c r="K80" s="27">
        <v>2.4900000000000002</v>
      </c>
      <c r="L80" s="27">
        <v>3575</v>
      </c>
      <c r="M80" s="27">
        <v>4725</v>
      </c>
      <c r="N80" s="27">
        <v>1075</v>
      </c>
      <c r="O80" s="27">
        <v>1419</v>
      </c>
      <c r="P80" s="27" t="s">
        <v>13</v>
      </c>
      <c r="Q80" s="27">
        <v>1993</v>
      </c>
      <c r="R80" s="27">
        <v>1</v>
      </c>
      <c r="S80" s="27">
        <v>0</v>
      </c>
      <c r="T80" s="27">
        <v>-3.0000000000000001E-3</v>
      </c>
      <c r="U80" s="27">
        <v>-1.2E-2</v>
      </c>
      <c r="V80" s="27">
        <v>0</v>
      </c>
      <c r="W80" s="27">
        <v>0</v>
      </c>
      <c r="X80" s="27" t="s">
        <v>17</v>
      </c>
    </row>
    <row r="81" spans="1:24">
      <c r="A81" s="27">
        <v>1</v>
      </c>
      <c r="B81" s="27">
        <v>2</v>
      </c>
      <c r="C81" s="27">
        <v>4</v>
      </c>
      <c r="D81" s="27">
        <v>2010</v>
      </c>
      <c r="E81" s="27">
        <v>2010</v>
      </c>
      <c r="F81" s="27">
        <v>7</v>
      </c>
      <c r="G81" s="27">
        <v>4</v>
      </c>
      <c r="H81" s="27">
        <v>0</v>
      </c>
      <c r="I81" s="27">
        <v>0</v>
      </c>
      <c r="J81" s="27">
        <v>0</v>
      </c>
      <c r="K81" s="27">
        <v>2.4900000000000002</v>
      </c>
      <c r="L81" s="27">
        <v>3575</v>
      </c>
      <c r="M81" s="27">
        <v>4725</v>
      </c>
      <c r="N81" s="27">
        <v>1075</v>
      </c>
      <c r="O81" s="27">
        <v>1419</v>
      </c>
      <c r="P81" s="27" t="s">
        <v>13</v>
      </c>
      <c r="Q81" s="27">
        <v>1993</v>
      </c>
      <c r="R81" s="27">
        <v>1</v>
      </c>
      <c r="S81" s="27">
        <v>0</v>
      </c>
      <c r="T81" s="27">
        <v>-3.0000000000000001E-3</v>
      </c>
      <c r="U81" s="27">
        <v>-1.2E-2</v>
      </c>
      <c r="V81" s="27">
        <v>0</v>
      </c>
      <c r="W81" s="27">
        <v>0</v>
      </c>
      <c r="X81" s="27" t="s">
        <v>17</v>
      </c>
    </row>
    <row r="82" spans="1:24">
      <c r="A82" s="27">
        <v>1</v>
      </c>
      <c r="B82" s="27">
        <v>2</v>
      </c>
      <c r="C82" s="27">
        <v>4</v>
      </c>
      <c r="D82" s="27">
        <v>2010</v>
      </c>
      <c r="E82" s="27">
        <v>2010</v>
      </c>
      <c r="F82" s="27">
        <v>8</v>
      </c>
      <c r="G82" s="27">
        <v>4</v>
      </c>
      <c r="H82" s="27">
        <v>0</v>
      </c>
      <c r="I82" s="27">
        <v>0</v>
      </c>
      <c r="J82" s="27">
        <v>0</v>
      </c>
      <c r="K82" s="27">
        <v>2.4900000000000002</v>
      </c>
      <c r="L82" s="27">
        <v>3575</v>
      </c>
      <c r="M82" s="27">
        <v>4725</v>
      </c>
      <c r="N82" s="27">
        <v>1075</v>
      </c>
      <c r="O82" s="27">
        <v>1419</v>
      </c>
      <c r="P82" s="27" t="s">
        <v>13</v>
      </c>
      <c r="Q82" s="27">
        <v>1993</v>
      </c>
      <c r="R82" s="27">
        <v>1</v>
      </c>
      <c r="S82" s="27">
        <v>0</v>
      </c>
      <c r="T82" s="27">
        <v>-3.0000000000000001E-3</v>
      </c>
      <c r="U82" s="27">
        <v>-1.2E-2</v>
      </c>
      <c r="V82" s="27">
        <v>0</v>
      </c>
      <c r="W82" s="27">
        <v>0</v>
      </c>
      <c r="X82" s="27" t="s">
        <v>17</v>
      </c>
    </row>
    <row r="83" spans="1:24">
      <c r="A83" s="27">
        <v>1</v>
      </c>
      <c r="B83" s="27">
        <v>2</v>
      </c>
      <c r="C83" s="27">
        <v>4</v>
      </c>
      <c r="D83" s="27">
        <v>2010</v>
      </c>
      <c r="E83" s="27">
        <v>2010</v>
      </c>
      <c r="F83" s="27">
        <v>9</v>
      </c>
      <c r="G83" s="27">
        <v>4</v>
      </c>
      <c r="H83" s="27">
        <v>0</v>
      </c>
      <c r="I83" s="27">
        <v>0</v>
      </c>
      <c r="J83" s="27">
        <v>0</v>
      </c>
      <c r="K83" s="27">
        <v>2.4900000000000002</v>
      </c>
      <c r="L83" s="27">
        <v>3575</v>
      </c>
      <c r="M83" s="27">
        <v>4725</v>
      </c>
      <c r="N83" s="27">
        <v>1075</v>
      </c>
      <c r="O83" s="27">
        <v>1419</v>
      </c>
      <c r="P83" s="27" t="s">
        <v>13</v>
      </c>
      <c r="Q83" s="27">
        <v>1993</v>
      </c>
      <c r="R83" s="27">
        <v>1</v>
      </c>
      <c r="S83" s="27">
        <v>0</v>
      </c>
      <c r="T83" s="27">
        <v>-3.0000000000000001E-3</v>
      </c>
      <c r="U83" s="27">
        <v>-1.2E-2</v>
      </c>
      <c r="V83" s="27">
        <v>0</v>
      </c>
      <c r="W83" s="27">
        <v>0</v>
      </c>
      <c r="X83" s="27" t="s">
        <v>17</v>
      </c>
    </row>
    <row r="84" spans="1:24">
      <c r="A84" s="27">
        <v>1</v>
      </c>
      <c r="B84" s="27">
        <v>2</v>
      </c>
      <c r="C84" s="27">
        <v>4</v>
      </c>
      <c r="D84" s="27">
        <v>2011</v>
      </c>
      <c r="E84" s="27">
        <v>2011</v>
      </c>
      <c r="F84" s="27">
        <v>1</v>
      </c>
      <c r="G84" s="27">
        <v>4</v>
      </c>
      <c r="H84" s="27">
        <v>0</v>
      </c>
      <c r="I84" s="27">
        <v>0</v>
      </c>
      <c r="J84" s="27">
        <v>0</v>
      </c>
      <c r="K84" s="27">
        <v>2.4900000000000002</v>
      </c>
      <c r="L84" s="27">
        <v>3575</v>
      </c>
      <c r="M84" s="27">
        <v>4725</v>
      </c>
      <c r="N84" s="27">
        <v>75</v>
      </c>
      <c r="O84" s="27">
        <v>125</v>
      </c>
      <c r="P84" s="27" t="s">
        <v>13</v>
      </c>
      <c r="Q84" s="27">
        <v>1993</v>
      </c>
      <c r="R84" s="27">
        <v>1</v>
      </c>
      <c r="S84" s="27">
        <v>0</v>
      </c>
      <c r="T84" s="27">
        <v>-3.0000000000000001E-3</v>
      </c>
      <c r="U84" s="27">
        <v>-1.2E-2</v>
      </c>
      <c r="V84" s="27">
        <v>0</v>
      </c>
      <c r="W84" s="27">
        <v>0</v>
      </c>
      <c r="X84" s="27" t="s">
        <v>17</v>
      </c>
    </row>
    <row r="85" spans="1:24">
      <c r="A85" s="27">
        <v>1</v>
      </c>
      <c r="B85" s="27">
        <v>2</v>
      </c>
      <c r="C85" s="27">
        <v>4</v>
      </c>
      <c r="D85" s="27">
        <v>2011</v>
      </c>
      <c r="E85" s="27">
        <v>2011</v>
      </c>
      <c r="F85" s="27">
        <v>2</v>
      </c>
      <c r="G85" s="27">
        <v>4</v>
      </c>
      <c r="H85" s="27">
        <v>0</v>
      </c>
      <c r="I85" s="27">
        <v>0</v>
      </c>
      <c r="J85" s="27">
        <v>0</v>
      </c>
      <c r="K85" s="27">
        <v>2.4900000000000002</v>
      </c>
      <c r="L85" s="27">
        <v>3575</v>
      </c>
      <c r="M85" s="27">
        <v>4725</v>
      </c>
      <c r="N85" s="27">
        <v>75</v>
      </c>
      <c r="O85" s="27">
        <v>125</v>
      </c>
      <c r="P85" s="27" t="s">
        <v>13</v>
      </c>
      <c r="Q85" s="27">
        <v>1993</v>
      </c>
      <c r="R85" s="27">
        <v>1</v>
      </c>
      <c r="S85" s="27">
        <v>0</v>
      </c>
      <c r="T85" s="27">
        <v>-3.0000000000000001E-3</v>
      </c>
      <c r="U85" s="27">
        <v>-1.2E-2</v>
      </c>
      <c r="V85" s="27">
        <v>0</v>
      </c>
      <c r="W85" s="27">
        <v>0</v>
      </c>
      <c r="X85" s="27" t="s">
        <v>17</v>
      </c>
    </row>
    <row r="86" spans="1:24">
      <c r="A86" s="27">
        <v>1</v>
      </c>
      <c r="B86" s="27">
        <v>2</v>
      </c>
      <c r="C86" s="27">
        <v>4</v>
      </c>
      <c r="D86" s="27">
        <v>2011</v>
      </c>
      <c r="E86" s="27">
        <v>2011</v>
      </c>
      <c r="F86" s="27">
        <v>3</v>
      </c>
      <c r="G86" s="27">
        <v>4</v>
      </c>
      <c r="H86" s="27">
        <v>0</v>
      </c>
      <c r="I86" s="27">
        <v>0</v>
      </c>
      <c r="J86" s="27">
        <v>0</v>
      </c>
      <c r="K86" s="27">
        <v>2.4900000000000002</v>
      </c>
      <c r="L86" s="27">
        <v>3575</v>
      </c>
      <c r="M86" s="27">
        <v>4725</v>
      </c>
      <c r="N86" s="27">
        <v>75</v>
      </c>
      <c r="O86" s="27">
        <v>125</v>
      </c>
      <c r="P86" s="27" t="s">
        <v>13</v>
      </c>
      <c r="Q86" s="27">
        <v>1993</v>
      </c>
      <c r="R86" s="27">
        <v>1</v>
      </c>
      <c r="S86" s="27">
        <v>0</v>
      </c>
      <c r="T86" s="27">
        <v>-3.0000000000000001E-3</v>
      </c>
      <c r="U86" s="27">
        <v>-1.2E-2</v>
      </c>
      <c r="V86" s="27">
        <v>0</v>
      </c>
      <c r="W86" s="27">
        <v>0</v>
      </c>
      <c r="X86" s="27" t="s">
        <v>17</v>
      </c>
    </row>
    <row r="87" spans="1:24">
      <c r="A87" s="27">
        <v>1</v>
      </c>
      <c r="B87" s="27">
        <v>2</v>
      </c>
      <c r="C87" s="27">
        <v>4</v>
      </c>
      <c r="D87" s="27">
        <v>2011</v>
      </c>
      <c r="E87" s="27">
        <v>2011</v>
      </c>
      <c r="F87" s="27">
        <v>4</v>
      </c>
      <c r="G87" s="27">
        <v>4</v>
      </c>
      <c r="H87" s="27">
        <v>0</v>
      </c>
      <c r="I87" s="27">
        <v>0</v>
      </c>
      <c r="J87" s="27">
        <v>0</v>
      </c>
      <c r="K87" s="27">
        <v>2.4900000000000002</v>
      </c>
      <c r="L87" s="27">
        <v>3575</v>
      </c>
      <c r="M87" s="27">
        <v>4725</v>
      </c>
      <c r="N87" s="27">
        <v>75</v>
      </c>
      <c r="O87" s="27">
        <v>125</v>
      </c>
      <c r="P87" s="27" t="s">
        <v>13</v>
      </c>
      <c r="Q87" s="27">
        <v>1993</v>
      </c>
      <c r="R87" s="27">
        <v>1</v>
      </c>
      <c r="S87" s="27">
        <v>0</v>
      </c>
      <c r="T87" s="27">
        <v>-3.0000000000000001E-3</v>
      </c>
      <c r="U87" s="27">
        <v>-1.2E-2</v>
      </c>
      <c r="V87" s="27">
        <v>0</v>
      </c>
      <c r="W87" s="27">
        <v>0</v>
      </c>
      <c r="X87" s="27" t="s">
        <v>17</v>
      </c>
    </row>
    <row r="88" spans="1:24">
      <c r="A88" s="27">
        <v>1</v>
      </c>
      <c r="B88" s="27">
        <v>2</v>
      </c>
      <c r="C88" s="27">
        <v>4</v>
      </c>
      <c r="D88" s="27">
        <v>2011</v>
      </c>
      <c r="E88" s="27">
        <v>2011</v>
      </c>
      <c r="F88" s="27">
        <v>5</v>
      </c>
      <c r="G88" s="27">
        <v>4</v>
      </c>
      <c r="H88" s="27">
        <v>0</v>
      </c>
      <c r="I88" s="27">
        <v>0</v>
      </c>
      <c r="J88" s="27">
        <v>0</v>
      </c>
      <c r="K88" s="27">
        <v>2.4900000000000002</v>
      </c>
      <c r="L88" s="27">
        <v>3575</v>
      </c>
      <c r="M88" s="27">
        <v>4725</v>
      </c>
      <c r="N88" s="27">
        <v>75</v>
      </c>
      <c r="O88" s="27">
        <v>125</v>
      </c>
      <c r="P88" s="27" t="s">
        <v>13</v>
      </c>
      <c r="Q88" s="27">
        <v>1993</v>
      </c>
      <c r="R88" s="27">
        <v>1</v>
      </c>
      <c r="S88" s="27">
        <v>0</v>
      </c>
      <c r="T88" s="27">
        <v>-3.0000000000000001E-3</v>
      </c>
      <c r="U88" s="27">
        <v>-1.2E-2</v>
      </c>
      <c r="V88" s="27">
        <v>0</v>
      </c>
      <c r="W88" s="27">
        <v>0</v>
      </c>
      <c r="X88" s="27" t="s">
        <v>17</v>
      </c>
    </row>
    <row r="89" spans="1:24">
      <c r="A89" s="27">
        <v>1</v>
      </c>
      <c r="B89" s="27">
        <v>2</v>
      </c>
      <c r="C89" s="27">
        <v>4</v>
      </c>
      <c r="D89" s="27">
        <v>2011</v>
      </c>
      <c r="E89" s="27">
        <v>2011</v>
      </c>
      <c r="F89" s="27">
        <v>6</v>
      </c>
      <c r="G89" s="27">
        <v>4</v>
      </c>
      <c r="H89" s="27">
        <v>0</v>
      </c>
      <c r="I89" s="27">
        <v>0</v>
      </c>
      <c r="J89" s="27">
        <v>0</v>
      </c>
      <c r="K89" s="27">
        <v>2.4900000000000002</v>
      </c>
      <c r="L89" s="27">
        <v>3575</v>
      </c>
      <c r="M89" s="27">
        <v>4725</v>
      </c>
      <c r="N89" s="27">
        <v>75</v>
      </c>
      <c r="O89" s="27">
        <v>125</v>
      </c>
      <c r="P89" s="27" t="s">
        <v>13</v>
      </c>
      <c r="Q89" s="27">
        <v>1993</v>
      </c>
      <c r="R89" s="27">
        <v>1</v>
      </c>
      <c r="S89" s="27">
        <v>0</v>
      </c>
      <c r="T89" s="27">
        <v>-3.0000000000000001E-3</v>
      </c>
      <c r="U89" s="27">
        <v>-1.2E-2</v>
      </c>
      <c r="V89" s="27">
        <v>0</v>
      </c>
      <c r="W89" s="27">
        <v>0</v>
      </c>
      <c r="X89" s="27" t="s">
        <v>17</v>
      </c>
    </row>
    <row r="90" spans="1:24">
      <c r="A90" s="27">
        <v>1</v>
      </c>
      <c r="B90" s="27">
        <v>2</v>
      </c>
      <c r="C90" s="27">
        <v>4</v>
      </c>
      <c r="D90" s="27">
        <v>2011</v>
      </c>
      <c r="E90" s="27">
        <v>2011</v>
      </c>
      <c r="F90" s="27">
        <v>7</v>
      </c>
      <c r="G90" s="27">
        <v>4</v>
      </c>
      <c r="H90" s="27">
        <v>0</v>
      </c>
      <c r="I90" s="27">
        <v>0</v>
      </c>
      <c r="J90" s="27">
        <v>0</v>
      </c>
      <c r="K90" s="27">
        <v>2.4900000000000002</v>
      </c>
      <c r="L90" s="27">
        <v>3575</v>
      </c>
      <c r="M90" s="27">
        <v>4725</v>
      </c>
      <c r="N90" s="27">
        <v>75</v>
      </c>
      <c r="O90" s="27">
        <v>125</v>
      </c>
      <c r="P90" s="27" t="s">
        <v>13</v>
      </c>
      <c r="Q90" s="27">
        <v>1993</v>
      </c>
      <c r="R90" s="27">
        <v>1</v>
      </c>
      <c r="S90" s="27">
        <v>0</v>
      </c>
      <c r="T90" s="27">
        <v>-3.0000000000000001E-3</v>
      </c>
      <c r="U90" s="27">
        <v>-1.2E-2</v>
      </c>
      <c r="V90" s="27">
        <v>0</v>
      </c>
      <c r="W90" s="27">
        <v>0</v>
      </c>
      <c r="X90" s="27" t="s">
        <v>17</v>
      </c>
    </row>
    <row r="91" spans="1:24">
      <c r="A91" s="27">
        <v>1</v>
      </c>
      <c r="B91" s="27">
        <v>2</v>
      </c>
      <c r="C91" s="27">
        <v>4</v>
      </c>
      <c r="D91" s="27">
        <v>2011</v>
      </c>
      <c r="E91" s="27">
        <v>2011</v>
      </c>
      <c r="F91" s="27">
        <v>8</v>
      </c>
      <c r="G91" s="27">
        <v>4</v>
      </c>
      <c r="H91" s="27">
        <v>0</v>
      </c>
      <c r="I91" s="27">
        <v>0</v>
      </c>
      <c r="J91" s="27">
        <v>0</v>
      </c>
      <c r="K91" s="27">
        <v>2.4900000000000002</v>
      </c>
      <c r="L91" s="27">
        <v>3575</v>
      </c>
      <c r="M91" s="27">
        <v>4725</v>
      </c>
      <c r="N91" s="27">
        <v>75</v>
      </c>
      <c r="O91" s="27">
        <v>125</v>
      </c>
      <c r="P91" s="27" t="s">
        <v>13</v>
      </c>
      <c r="Q91" s="27">
        <v>1993</v>
      </c>
      <c r="R91" s="27">
        <v>1</v>
      </c>
      <c r="S91" s="27">
        <v>0</v>
      </c>
      <c r="T91" s="27">
        <v>-3.0000000000000001E-3</v>
      </c>
      <c r="U91" s="27">
        <v>-1.2E-2</v>
      </c>
      <c r="V91" s="27">
        <v>0</v>
      </c>
      <c r="W91" s="27">
        <v>0</v>
      </c>
      <c r="X91" s="27" t="s">
        <v>17</v>
      </c>
    </row>
    <row r="92" spans="1:24">
      <c r="A92" s="27">
        <v>1</v>
      </c>
      <c r="B92" s="27">
        <v>2</v>
      </c>
      <c r="C92" s="27">
        <v>4</v>
      </c>
      <c r="D92" s="27">
        <v>2011</v>
      </c>
      <c r="E92" s="27">
        <v>2011</v>
      </c>
      <c r="F92" s="27">
        <v>9</v>
      </c>
      <c r="G92" s="27">
        <v>4</v>
      </c>
      <c r="H92" s="27">
        <v>0</v>
      </c>
      <c r="I92" s="27">
        <v>0</v>
      </c>
      <c r="J92" s="27">
        <v>0</v>
      </c>
      <c r="K92" s="27">
        <v>2.4900000000000002</v>
      </c>
      <c r="L92" s="27">
        <v>3575</v>
      </c>
      <c r="M92" s="27">
        <v>4725</v>
      </c>
      <c r="N92" s="27">
        <v>75</v>
      </c>
      <c r="O92" s="27">
        <v>125</v>
      </c>
      <c r="P92" s="27" t="s">
        <v>13</v>
      </c>
      <c r="Q92" s="27">
        <v>1993</v>
      </c>
      <c r="R92" s="27">
        <v>1</v>
      </c>
      <c r="S92" s="27">
        <v>0</v>
      </c>
      <c r="T92" s="27">
        <v>-3.0000000000000001E-3</v>
      </c>
      <c r="U92" s="27">
        <v>-1.2E-2</v>
      </c>
      <c r="V92" s="27">
        <v>0</v>
      </c>
      <c r="W92" s="27">
        <v>0</v>
      </c>
      <c r="X92" s="27" t="s">
        <v>17</v>
      </c>
    </row>
    <row r="93" spans="1:24">
      <c r="A93" s="27">
        <v>1</v>
      </c>
      <c r="B93" s="27">
        <v>2</v>
      </c>
      <c r="C93" s="27">
        <v>4</v>
      </c>
      <c r="D93" s="27">
        <v>2012</v>
      </c>
      <c r="E93" s="27">
        <v>2012</v>
      </c>
      <c r="F93" s="27">
        <v>1</v>
      </c>
      <c r="G93" s="27">
        <v>4</v>
      </c>
      <c r="H93" s="27">
        <v>0</v>
      </c>
      <c r="I93" s="27">
        <v>0</v>
      </c>
      <c r="J93" s="27">
        <v>0</v>
      </c>
      <c r="K93" s="27">
        <v>2.4900000000000002</v>
      </c>
      <c r="L93" s="27">
        <v>3575</v>
      </c>
      <c r="M93" s="27">
        <v>4725</v>
      </c>
      <c r="N93" s="27">
        <v>0</v>
      </c>
      <c r="O93" s="27">
        <v>0</v>
      </c>
      <c r="P93" s="27" t="s">
        <v>13</v>
      </c>
      <c r="Q93" s="27">
        <v>1993</v>
      </c>
      <c r="R93" s="27">
        <v>1</v>
      </c>
      <c r="S93" s="27">
        <v>0</v>
      </c>
      <c r="T93" s="27">
        <v>-3.0000000000000001E-3</v>
      </c>
      <c r="U93" s="27">
        <v>-1.2E-2</v>
      </c>
      <c r="V93" s="27">
        <v>0</v>
      </c>
      <c r="W93" s="27">
        <v>0</v>
      </c>
      <c r="X93" s="27" t="s">
        <v>17</v>
      </c>
    </row>
    <row r="94" spans="1:24">
      <c r="A94" s="27">
        <v>1</v>
      </c>
      <c r="B94" s="27">
        <v>2</v>
      </c>
      <c r="C94" s="27">
        <v>4</v>
      </c>
      <c r="D94" s="27">
        <v>2012</v>
      </c>
      <c r="E94" s="27">
        <v>2012</v>
      </c>
      <c r="F94" s="27">
        <v>2</v>
      </c>
      <c r="G94" s="27">
        <v>4</v>
      </c>
      <c r="H94" s="27">
        <v>0</v>
      </c>
      <c r="I94" s="27">
        <v>0</v>
      </c>
      <c r="J94" s="27">
        <v>0</v>
      </c>
      <c r="K94" s="27">
        <v>2.4900000000000002</v>
      </c>
      <c r="L94" s="27">
        <v>3575</v>
      </c>
      <c r="M94" s="27">
        <v>4725</v>
      </c>
      <c r="N94" s="27">
        <v>0</v>
      </c>
      <c r="O94" s="27">
        <v>0</v>
      </c>
      <c r="P94" s="27" t="s">
        <v>13</v>
      </c>
      <c r="Q94" s="27">
        <v>1993</v>
      </c>
      <c r="R94" s="27">
        <v>1</v>
      </c>
      <c r="S94" s="27">
        <v>0</v>
      </c>
      <c r="T94" s="27">
        <v>-3.0000000000000001E-3</v>
      </c>
      <c r="U94" s="27">
        <v>-1.2E-2</v>
      </c>
      <c r="V94" s="27">
        <v>0</v>
      </c>
      <c r="W94" s="27">
        <v>0</v>
      </c>
      <c r="X94" s="27" t="s">
        <v>17</v>
      </c>
    </row>
    <row r="95" spans="1:24">
      <c r="A95" s="27">
        <v>1</v>
      </c>
      <c r="B95" s="27">
        <v>2</v>
      </c>
      <c r="C95" s="27">
        <v>4</v>
      </c>
      <c r="D95" s="27">
        <v>2012</v>
      </c>
      <c r="E95" s="27">
        <v>2012</v>
      </c>
      <c r="F95" s="27">
        <v>3</v>
      </c>
      <c r="G95" s="27">
        <v>4</v>
      </c>
      <c r="H95" s="27">
        <v>0</v>
      </c>
      <c r="I95" s="27">
        <v>0</v>
      </c>
      <c r="J95" s="27">
        <v>0</v>
      </c>
      <c r="K95" s="27">
        <v>2.4900000000000002</v>
      </c>
      <c r="L95" s="27">
        <v>3575</v>
      </c>
      <c r="M95" s="27">
        <v>4725</v>
      </c>
      <c r="N95" s="27">
        <v>0</v>
      </c>
      <c r="O95" s="27">
        <v>0</v>
      </c>
      <c r="P95" s="27" t="s">
        <v>13</v>
      </c>
      <c r="Q95" s="27">
        <v>1993</v>
      </c>
      <c r="R95" s="27">
        <v>1</v>
      </c>
      <c r="S95" s="27">
        <v>0</v>
      </c>
      <c r="T95" s="27">
        <v>-3.0000000000000001E-3</v>
      </c>
      <c r="U95" s="27">
        <v>-1.2E-2</v>
      </c>
      <c r="V95" s="27">
        <v>0</v>
      </c>
      <c r="W95" s="27">
        <v>0</v>
      </c>
      <c r="X95" s="27" t="s">
        <v>17</v>
      </c>
    </row>
    <row r="96" spans="1:24">
      <c r="A96" s="27">
        <v>1</v>
      </c>
      <c r="B96" s="27">
        <v>2</v>
      </c>
      <c r="C96" s="27">
        <v>4</v>
      </c>
      <c r="D96" s="27">
        <v>2012</v>
      </c>
      <c r="E96" s="27">
        <v>2012</v>
      </c>
      <c r="F96" s="27">
        <v>4</v>
      </c>
      <c r="G96" s="27">
        <v>4</v>
      </c>
      <c r="H96" s="27">
        <v>0</v>
      </c>
      <c r="I96" s="27">
        <v>0</v>
      </c>
      <c r="J96" s="27">
        <v>0</v>
      </c>
      <c r="K96" s="27">
        <v>2.4900000000000002</v>
      </c>
      <c r="L96" s="27">
        <v>3575</v>
      </c>
      <c r="M96" s="27">
        <v>4725</v>
      </c>
      <c r="N96" s="27">
        <v>0</v>
      </c>
      <c r="O96" s="27">
        <v>0</v>
      </c>
      <c r="P96" s="27" t="s">
        <v>13</v>
      </c>
      <c r="Q96" s="27">
        <v>1993</v>
      </c>
      <c r="R96" s="27">
        <v>1</v>
      </c>
      <c r="S96" s="27">
        <v>0</v>
      </c>
      <c r="T96" s="27">
        <v>-3.0000000000000001E-3</v>
      </c>
      <c r="U96" s="27">
        <v>-1.2E-2</v>
      </c>
      <c r="V96" s="27">
        <v>0</v>
      </c>
      <c r="W96" s="27">
        <v>0</v>
      </c>
      <c r="X96" s="27" t="s">
        <v>17</v>
      </c>
    </row>
    <row r="97" spans="1:24">
      <c r="A97" s="27">
        <v>1</v>
      </c>
      <c r="B97" s="27">
        <v>2</v>
      </c>
      <c r="C97" s="27">
        <v>4</v>
      </c>
      <c r="D97" s="27">
        <v>2012</v>
      </c>
      <c r="E97" s="27">
        <v>2012</v>
      </c>
      <c r="F97" s="27">
        <v>5</v>
      </c>
      <c r="G97" s="27">
        <v>4</v>
      </c>
      <c r="H97" s="27">
        <v>0</v>
      </c>
      <c r="I97" s="27">
        <v>0</v>
      </c>
      <c r="J97" s="27">
        <v>0</v>
      </c>
      <c r="K97" s="27">
        <v>2.4900000000000002</v>
      </c>
      <c r="L97" s="27">
        <v>3575</v>
      </c>
      <c r="M97" s="27">
        <v>4725</v>
      </c>
      <c r="N97" s="27">
        <v>0</v>
      </c>
      <c r="O97" s="27">
        <v>0</v>
      </c>
      <c r="P97" s="27" t="s">
        <v>13</v>
      </c>
      <c r="Q97" s="27">
        <v>1993</v>
      </c>
      <c r="R97" s="27">
        <v>1</v>
      </c>
      <c r="S97" s="27">
        <v>0</v>
      </c>
      <c r="T97" s="27">
        <v>-3.0000000000000001E-3</v>
      </c>
      <c r="U97" s="27">
        <v>-1.2E-2</v>
      </c>
      <c r="V97" s="27">
        <v>0</v>
      </c>
      <c r="W97" s="27">
        <v>0</v>
      </c>
      <c r="X97" s="27" t="s">
        <v>17</v>
      </c>
    </row>
    <row r="98" spans="1:24">
      <c r="A98" s="27">
        <v>1</v>
      </c>
      <c r="B98" s="27">
        <v>2</v>
      </c>
      <c r="C98" s="27">
        <v>4</v>
      </c>
      <c r="D98" s="27">
        <v>2012</v>
      </c>
      <c r="E98" s="27">
        <v>2012</v>
      </c>
      <c r="F98" s="27">
        <v>6</v>
      </c>
      <c r="G98" s="27">
        <v>4</v>
      </c>
      <c r="H98" s="27">
        <v>0</v>
      </c>
      <c r="I98" s="27">
        <v>0</v>
      </c>
      <c r="J98" s="27">
        <v>0</v>
      </c>
      <c r="K98" s="27">
        <v>2.4900000000000002</v>
      </c>
      <c r="L98" s="27">
        <v>3575</v>
      </c>
      <c r="M98" s="27">
        <v>4725</v>
      </c>
      <c r="N98" s="27">
        <v>0</v>
      </c>
      <c r="O98" s="27">
        <v>0</v>
      </c>
      <c r="P98" s="27" t="s">
        <v>13</v>
      </c>
      <c r="Q98" s="27">
        <v>1993</v>
      </c>
      <c r="R98" s="27">
        <v>1</v>
      </c>
      <c r="S98" s="27">
        <v>0</v>
      </c>
      <c r="T98" s="27">
        <v>-3.0000000000000001E-3</v>
      </c>
      <c r="U98" s="27">
        <v>-1.2E-2</v>
      </c>
      <c r="V98" s="27">
        <v>0</v>
      </c>
      <c r="W98" s="27">
        <v>0</v>
      </c>
      <c r="X98" s="27" t="s">
        <v>17</v>
      </c>
    </row>
    <row r="99" spans="1:24">
      <c r="A99" s="27">
        <v>1</v>
      </c>
      <c r="B99" s="27">
        <v>2</v>
      </c>
      <c r="C99" s="27">
        <v>4</v>
      </c>
      <c r="D99" s="27">
        <v>2012</v>
      </c>
      <c r="E99" s="27">
        <v>2012</v>
      </c>
      <c r="F99" s="27">
        <v>7</v>
      </c>
      <c r="G99" s="27">
        <v>4</v>
      </c>
      <c r="H99" s="27">
        <v>0</v>
      </c>
      <c r="I99" s="27">
        <v>0</v>
      </c>
      <c r="J99" s="27">
        <v>0</v>
      </c>
      <c r="K99" s="27">
        <v>2.4900000000000002</v>
      </c>
      <c r="L99" s="27">
        <v>3575</v>
      </c>
      <c r="M99" s="27">
        <v>4725</v>
      </c>
      <c r="N99" s="27">
        <v>0</v>
      </c>
      <c r="O99" s="27">
        <v>0</v>
      </c>
      <c r="P99" s="27" t="s">
        <v>13</v>
      </c>
      <c r="Q99" s="27">
        <v>1993</v>
      </c>
      <c r="R99" s="27">
        <v>1</v>
      </c>
      <c r="S99" s="27">
        <v>0</v>
      </c>
      <c r="T99" s="27">
        <v>-3.0000000000000001E-3</v>
      </c>
      <c r="U99" s="27">
        <v>-1.2E-2</v>
      </c>
      <c r="V99" s="27">
        <v>0</v>
      </c>
      <c r="W99" s="27">
        <v>0</v>
      </c>
      <c r="X99" s="27" t="s">
        <v>17</v>
      </c>
    </row>
    <row r="100" spans="1:24">
      <c r="A100" s="27">
        <v>1</v>
      </c>
      <c r="B100" s="27">
        <v>2</v>
      </c>
      <c r="C100" s="27">
        <v>4</v>
      </c>
      <c r="D100" s="27">
        <v>2012</v>
      </c>
      <c r="E100" s="27">
        <v>2012</v>
      </c>
      <c r="F100" s="27">
        <v>8</v>
      </c>
      <c r="G100" s="27">
        <v>4</v>
      </c>
      <c r="H100" s="27">
        <v>0</v>
      </c>
      <c r="I100" s="27">
        <v>0</v>
      </c>
      <c r="J100" s="27">
        <v>0</v>
      </c>
      <c r="K100" s="27">
        <v>2.4900000000000002</v>
      </c>
      <c r="L100" s="27">
        <v>3575</v>
      </c>
      <c r="M100" s="27">
        <v>4725</v>
      </c>
      <c r="N100" s="27">
        <v>0</v>
      </c>
      <c r="O100" s="27">
        <v>0</v>
      </c>
      <c r="P100" s="27" t="s">
        <v>13</v>
      </c>
      <c r="Q100" s="27">
        <v>1993</v>
      </c>
      <c r="R100" s="27">
        <v>1</v>
      </c>
      <c r="S100" s="27">
        <v>0</v>
      </c>
      <c r="T100" s="27">
        <v>-3.0000000000000001E-3</v>
      </c>
      <c r="U100" s="27">
        <v>-1.2E-2</v>
      </c>
      <c r="V100" s="27">
        <v>0</v>
      </c>
      <c r="W100" s="27">
        <v>0</v>
      </c>
      <c r="X100" s="27" t="s">
        <v>17</v>
      </c>
    </row>
    <row r="101" spans="1:24">
      <c r="A101" s="27">
        <v>1</v>
      </c>
      <c r="B101" s="27">
        <v>2</v>
      </c>
      <c r="C101" s="27">
        <v>4</v>
      </c>
      <c r="D101" s="27">
        <v>2012</v>
      </c>
      <c r="E101" s="27">
        <v>2012</v>
      </c>
      <c r="F101" s="27">
        <v>9</v>
      </c>
      <c r="G101" s="27">
        <v>4</v>
      </c>
      <c r="H101" s="27">
        <v>0</v>
      </c>
      <c r="I101" s="27">
        <v>0</v>
      </c>
      <c r="J101" s="27">
        <v>0</v>
      </c>
      <c r="K101" s="27">
        <v>2.4900000000000002</v>
      </c>
      <c r="L101" s="27">
        <v>3575</v>
      </c>
      <c r="M101" s="27">
        <v>4725</v>
      </c>
      <c r="N101" s="27">
        <v>0</v>
      </c>
      <c r="O101" s="27">
        <v>0</v>
      </c>
      <c r="P101" s="27" t="s">
        <v>13</v>
      </c>
      <c r="Q101" s="27">
        <v>1993</v>
      </c>
      <c r="R101" s="27">
        <v>1</v>
      </c>
      <c r="S101" s="27">
        <v>0</v>
      </c>
      <c r="T101" s="27">
        <v>-3.0000000000000001E-3</v>
      </c>
      <c r="U101" s="27">
        <v>-1.2E-2</v>
      </c>
      <c r="V101" s="27">
        <v>0</v>
      </c>
      <c r="W101" s="27">
        <v>0</v>
      </c>
      <c r="X101" s="27" t="s">
        <v>17</v>
      </c>
    </row>
    <row r="102" spans="1:24">
      <c r="A102" s="27">
        <v>1</v>
      </c>
      <c r="B102" s="27">
        <v>2</v>
      </c>
      <c r="C102" s="27">
        <v>4</v>
      </c>
      <c r="D102" s="27">
        <v>2013</v>
      </c>
      <c r="E102" s="27">
        <v>2013</v>
      </c>
      <c r="F102" s="27">
        <v>1</v>
      </c>
      <c r="G102" s="27">
        <v>4</v>
      </c>
      <c r="H102" s="27">
        <v>0</v>
      </c>
      <c r="I102" s="27">
        <v>0</v>
      </c>
      <c r="J102" s="27">
        <v>0</v>
      </c>
      <c r="K102" s="27">
        <v>2.4900000000000002</v>
      </c>
      <c r="L102" s="27">
        <v>3575</v>
      </c>
      <c r="M102" s="27">
        <v>4725</v>
      </c>
      <c r="N102" s="27">
        <v>75</v>
      </c>
      <c r="O102" s="27">
        <v>125</v>
      </c>
      <c r="P102" s="27" t="s">
        <v>13</v>
      </c>
      <c r="Q102" s="27">
        <v>1993</v>
      </c>
      <c r="R102" s="27">
        <v>1</v>
      </c>
      <c r="S102" s="27">
        <v>0</v>
      </c>
      <c r="T102" s="27">
        <v>-3.0000000000000001E-3</v>
      </c>
      <c r="U102" s="27">
        <v>-1.2E-2</v>
      </c>
      <c r="V102" s="27">
        <v>0</v>
      </c>
      <c r="W102" s="27">
        <v>0</v>
      </c>
      <c r="X102" s="27" t="s">
        <v>17</v>
      </c>
    </row>
    <row r="103" spans="1:24">
      <c r="A103" s="27">
        <v>1</v>
      </c>
      <c r="B103" s="27">
        <v>2</v>
      </c>
      <c r="C103" s="27">
        <v>4</v>
      </c>
      <c r="D103" s="27">
        <v>2013</v>
      </c>
      <c r="E103" s="27">
        <v>2013</v>
      </c>
      <c r="F103" s="27">
        <v>2</v>
      </c>
      <c r="G103" s="27">
        <v>4</v>
      </c>
      <c r="H103" s="27">
        <v>0</v>
      </c>
      <c r="I103" s="27">
        <v>0</v>
      </c>
      <c r="J103" s="27">
        <v>0</v>
      </c>
      <c r="K103" s="27">
        <v>2.4900000000000002</v>
      </c>
      <c r="L103" s="27">
        <v>3575</v>
      </c>
      <c r="M103" s="27">
        <v>4725</v>
      </c>
      <c r="N103" s="27">
        <v>75</v>
      </c>
      <c r="O103" s="27">
        <v>125</v>
      </c>
      <c r="P103" s="27" t="s">
        <v>13</v>
      </c>
      <c r="Q103" s="27">
        <v>1993</v>
      </c>
      <c r="R103" s="27">
        <v>1</v>
      </c>
      <c r="S103" s="27">
        <v>0</v>
      </c>
      <c r="T103" s="27">
        <v>-3.0000000000000001E-3</v>
      </c>
      <c r="U103" s="27">
        <v>-1.2E-2</v>
      </c>
      <c r="V103" s="27">
        <v>0</v>
      </c>
      <c r="W103" s="27">
        <v>0</v>
      </c>
      <c r="X103" s="27" t="s">
        <v>17</v>
      </c>
    </row>
    <row r="104" spans="1:24">
      <c r="A104" s="27">
        <v>1</v>
      </c>
      <c r="B104" s="27">
        <v>2</v>
      </c>
      <c r="C104" s="27">
        <v>4</v>
      </c>
      <c r="D104" s="27">
        <v>2013</v>
      </c>
      <c r="E104" s="27">
        <v>2013</v>
      </c>
      <c r="F104" s="27">
        <v>3</v>
      </c>
      <c r="G104" s="27">
        <v>4</v>
      </c>
      <c r="H104" s="27">
        <v>0</v>
      </c>
      <c r="I104" s="27">
        <v>0</v>
      </c>
      <c r="J104" s="27">
        <v>0</v>
      </c>
      <c r="K104" s="27">
        <v>2.4900000000000002</v>
      </c>
      <c r="L104" s="27">
        <v>3575</v>
      </c>
      <c r="M104" s="27">
        <v>4725</v>
      </c>
      <c r="N104" s="27">
        <v>75</v>
      </c>
      <c r="O104" s="27">
        <v>125</v>
      </c>
      <c r="P104" s="27" t="s">
        <v>13</v>
      </c>
      <c r="Q104" s="27">
        <v>1993</v>
      </c>
      <c r="R104" s="27">
        <v>1</v>
      </c>
      <c r="S104" s="27">
        <v>0</v>
      </c>
      <c r="T104" s="27">
        <v>-3.0000000000000001E-3</v>
      </c>
      <c r="U104" s="27">
        <v>-1.2E-2</v>
      </c>
      <c r="V104" s="27">
        <v>0</v>
      </c>
      <c r="W104" s="27">
        <v>0</v>
      </c>
      <c r="X104" s="27" t="s">
        <v>17</v>
      </c>
    </row>
    <row r="105" spans="1:24">
      <c r="A105" s="27">
        <v>1</v>
      </c>
      <c r="B105" s="27">
        <v>2</v>
      </c>
      <c r="C105" s="27">
        <v>4</v>
      </c>
      <c r="D105" s="27">
        <v>2013</v>
      </c>
      <c r="E105" s="27">
        <v>2013</v>
      </c>
      <c r="F105" s="27">
        <v>4</v>
      </c>
      <c r="G105" s="27">
        <v>4</v>
      </c>
      <c r="H105" s="27">
        <v>0</v>
      </c>
      <c r="I105" s="27">
        <v>0</v>
      </c>
      <c r="J105" s="27">
        <v>0</v>
      </c>
      <c r="K105" s="27">
        <v>2.4900000000000002</v>
      </c>
      <c r="L105" s="27">
        <v>3575</v>
      </c>
      <c r="M105" s="27">
        <v>4725</v>
      </c>
      <c r="N105" s="27">
        <v>75</v>
      </c>
      <c r="O105" s="27">
        <v>125</v>
      </c>
      <c r="P105" s="27" t="s">
        <v>13</v>
      </c>
      <c r="Q105" s="27">
        <v>1993</v>
      </c>
      <c r="R105" s="27">
        <v>1</v>
      </c>
      <c r="S105" s="27">
        <v>0</v>
      </c>
      <c r="T105" s="27">
        <v>-3.0000000000000001E-3</v>
      </c>
      <c r="U105" s="27">
        <v>-1.2E-2</v>
      </c>
      <c r="V105" s="27">
        <v>0</v>
      </c>
      <c r="W105" s="27">
        <v>0</v>
      </c>
      <c r="X105" s="27" t="s">
        <v>17</v>
      </c>
    </row>
    <row r="106" spans="1:24">
      <c r="A106" s="27">
        <v>1</v>
      </c>
      <c r="B106" s="27">
        <v>2</v>
      </c>
      <c r="C106" s="27">
        <v>4</v>
      </c>
      <c r="D106" s="27">
        <v>2013</v>
      </c>
      <c r="E106" s="27">
        <v>2013</v>
      </c>
      <c r="F106" s="27">
        <v>5</v>
      </c>
      <c r="G106" s="27">
        <v>4</v>
      </c>
      <c r="H106" s="27">
        <v>0</v>
      </c>
      <c r="I106" s="27">
        <v>0</v>
      </c>
      <c r="J106" s="27">
        <v>0</v>
      </c>
      <c r="K106" s="27">
        <v>2.4900000000000002</v>
      </c>
      <c r="L106" s="27">
        <v>3575</v>
      </c>
      <c r="M106" s="27">
        <v>4725</v>
      </c>
      <c r="N106" s="27">
        <v>75</v>
      </c>
      <c r="O106" s="27">
        <v>125</v>
      </c>
      <c r="P106" s="27" t="s">
        <v>13</v>
      </c>
      <c r="Q106" s="27">
        <v>1993</v>
      </c>
      <c r="R106" s="27">
        <v>1</v>
      </c>
      <c r="S106" s="27">
        <v>0</v>
      </c>
      <c r="T106" s="27">
        <v>-3.0000000000000001E-3</v>
      </c>
      <c r="U106" s="27">
        <v>-1.2E-2</v>
      </c>
      <c r="V106" s="27">
        <v>0</v>
      </c>
      <c r="W106" s="27">
        <v>0</v>
      </c>
      <c r="X106" s="27" t="s">
        <v>17</v>
      </c>
    </row>
    <row r="107" spans="1:24">
      <c r="A107" s="27">
        <v>1</v>
      </c>
      <c r="B107" s="27">
        <v>2</v>
      </c>
      <c r="C107" s="27">
        <v>4</v>
      </c>
      <c r="D107" s="27">
        <v>2013</v>
      </c>
      <c r="E107" s="27">
        <v>2013</v>
      </c>
      <c r="F107" s="27">
        <v>6</v>
      </c>
      <c r="G107" s="27">
        <v>4</v>
      </c>
      <c r="H107" s="27">
        <v>0</v>
      </c>
      <c r="I107" s="27">
        <v>0</v>
      </c>
      <c r="J107" s="27">
        <v>0</v>
      </c>
      <c r="K107" s="27">
        <v>2.4900000000000002</v>
      </c>
      <c r="L107" s="27">
        <v>3575</v>
      </c>
      <c r="M107" s="27">
        <v>4725</v>
      </c>
      <c r="N107" s="27">
        <v>75</v>
      </c>
      <c r="O107" s="27">
        <v>125</v>
      </c>
      <c r="P107" s="27" t="s">
        <v>13</v>
      </c>
      <c r="Q107" s="27">
        <v>1993</v>
      </c>
      <c r="R107" s="27">
        <v>1</v>
      </c>
      <c r="S107" s="27">
        <v>0</v>
      </c>
      <c r="T107" s="27">
        <v>-3.0000000000000001E-3</v>
      </c>
      <c r="U107" s="27">
        <v>-1.2E-2</v>
      </c>
      <c r="V107" s="27">
        <v>0</v>
      </c>
      <c r="W107" s="27">
        <v>0</v>
      </c>
      <c r="X107" s="27" t="s">
        <v>17</v>
      </c>
    </row>
    <row r="108" spans="1:24">
      <c r="A108" s="27">
        <v>1</v>
      </c>
      <c r="B108" s="27">
        <v>2</v>
      </c>
      <c r="C108" s="27">
        <v>4</v>
      </c>
      <c r="D108" s="27">
        <v>2013</v>
      </c>
      <c r="E108" s="27">
        <v>2013</v>
      </c>
      <c r="F108" s="27">
        <v>7</v>
      </c>
      <c r="G108" s="27">
        <v>4</v>
      </c>
      <c r="H108" s="27">
        <v>0</v>
      </c>
      <c r="I108" s="27">
        <v>0</v>
      </c>
      <c r="J108" s="27">
        <v>0</v>
      </c>
      <c r="K108" s="27">
        <v>2.4900000000000002</v>
      </c>
      <c r="L108" s="27">
        <v>3575</v>
      </c>
      <c r="M108" s="27">
        <v>4725</v>
      </c>
      <c r="N108" s="27">
        <v>75</v>
      </c>
      <c r="O108" s="27">
        <v>125</v>
      </c>
      <c r="P108" s="27" t="s">
        <v>13</v>
      </c>
      <c r="Q108" s="27">
        <v>1993</v>
      </c>
      <c r="R108" s="27">
        <v>1</v>
      </c>
      <c r="S108" s="27">
        <v>0</v>
      </c>
      <c r="T108" s="27">
        <v>-3.0000000000000001E-3</v>
      </c>
      <c r="U108" s="27">
        <v>-1.2E-2</v>
      </c>
      <c r="V108" s="27">
        <v>0</v>
      </c>
      <c r="W108" s="27">
        <v>0</v>
      </c>
      <c r="X108" s="27" t="s">
        <v>17</v>
      </c>
    </row>
    <row r="109" spans="1:24">
      <c r="A109" s="27">
        <v>1</v>
      </c>
      <c r="B109" s="27">
        <v>2</v>
      </c>
      <c r="C109" s="27">
        <v>4</v>
      </c>
      <c r="D109" s="27">
        <v>2013</v>
      </c>
      <c r="E109" s="27">
        <v>2013</v>
      </c>
      <c r="F109" s="27">
        <v>8</v>
      </c>
      <c r="G109" s="27">
        <v>4</v>
      </c>
      <c r="H109" s="27">
        <v>0</v>
      </c>
      <c r="I109" s="27">
        <v>0</v>
      </c>
      <c r="J109" s="27">
        <v>0</v>
      </c>
      <c r="K109" s="27">
        <v>2.4900000000000002</v>
      </c>
      <c r="L109" s="27">
        <v>3575</v>
      </c>
      <c r="M109" s="27">
        <v>4725</v>
      </c>
      <c r="N109" s="27">
        <v>75</v>
      </c>
      <c r="O109" s="27">
        <v>125</v>
      </c>
      <c r="P109" s="27" t="s">
        <v>13</v>
      </c>
      <c r="Q109" s="27">
        <v>1993</v>
      </c>
      <c r="R109" s="27">
        <v>1</v>
      </c>
      <c r="S109" s="27">
        <v>0</v>
      </c>
      <c r="T109" s="27">
        <v>-3.0000000000000001E-3</v>
      </c>
      <c r="U109" s="27">
        <v>-1.2E-2</v>
      </c>
      <c r="V109" s="27">
        <v>0</v>
      </c>
      <c r="W109" s="27">
        <v>0</v>
      </c>
      <c r="X109" s="27" t="s">
        <v>17</v>
      </c>
    </row>
    <row r="110" spans="1:24">
      <c r="A110" s="27">
        <v>1</v>
      </c>
      <c r="B110" s="27">
        <v>2</v>
      </c>
      <c r="C110" s="27">
        <v>4</v>
      </c>
      <c r="D110" s="27">
        <v>2013</v>
      </c>
      <c r="E110" s="27">
        <v>2013</v>
      </c>
      <c r="F110" s="27">
        <v>9</v>
      </c>
      <c r="G110" s="27">
        <v>4</v>
      </c>
      <c r="H110" s="27">
        <v>0</v>
      </c>
      <c r="I110" s="27">
        <v>0</v>
      </c>
      <c r="J110" s="27">
        <v>0</v>
      </c>
      <c r="K110" s="27">
        <v>2.4900000000000002</v>
      </c>
      <c r="L110" s="27">
        <v>3575</v>
      </c>
      <c r="M110" s="27">
        <v>4725</v>
      </c>
      <c r="N110" s="27">
        <v>75</v>
      </c>
      <c r="O110" s="27">
        <v>125</v>
      </c>
      <c r="P110" s="27" t="s">
        <v>13</v>
      </c>
      <c r="Q110" s="27">
        <v>1993</v>
      </c>
      <c r="R110" s="27">
        <v>1</v>
      </c>
      <c r="S110" s="27">
        <v>0</v>
      </c>
      <c r="T110" s="27">
        <v>-3.0000000000000001E-3</v>
      </c>
      <c r="U110" s="27">
        <v>-1.2E-2</v>
      </c>
      <c r="V110" s="27">
        <v>0</v>
      </c>
      <c r="W110" s="27">
        <v>0</v>
      </c>
      <c r="X110" s="27" t="s">
        <v>17</v>
      </c>
    </row>
    <row r="111" spans="1:24">
      <c r="A111" s="27">
        <v>1</v>
      </c>
      <c r="B111" s="27">
        <v>2</v>
      </c>
      <c r="C111" s="27">
        <v>4</v>
      </c>
      <c r="D111" s="27">
        <v>2014</v>
      </c>
      <c r="E111" s="27">
        <v>2019</v>
      </c>
      <c r="F111" s="27">
        <v>1</v>
      </c>
      <c r="G111" s="27">
        <v>4</v>
      </c>
      <c r="H111" s="27">
        <v>0</v>
      </c>
      <c r="I111" s="27">
        <v>0</v>
      </c>
      <c r="J111" s="27">
        <v>0</v>
      </c>
      <c r="K111" s="27">
        <v>2.4900000000000002</v>
      </c>
      <c r="L111" s="27">
        <v>3575</v>
      </c>
      <c r="M111" s="27">
        <v>4725</v>
      </c>
      <c r="N111" s="27">
        <v>0</v>
      </c>
      <c r="O111" s="27">
        <v>0</v>
      </c>
      <c r="P111" s="27" t="s">
        <v>13</v>
      </c>
      <c r="Q111" s="27">
        <v>1993</v>
      </c>
      <c r="R111" s="27">
        <v>1</v>
      </c>
      <c r="S111" s="27">
        <v>0</v>
      </c>
      <c r="T111" s="27">
        <v>-3.0000000000000001E-3</v>
      </c>
      <c r="U111" s="27">
        <v>-1.2E-2</v>
      </c>
      <c r="V111" s="27">
        <v>0</v>
      </c>
      <c r="W111" s="27">
        <v>0</v>
      </c>
      <c r="X111" s="27" t="s">
        <v>17</v>
      </c>
    </row>
    <row r="112" spans="1:24">
      <c r="A112" s="27">
        <v>1</v>
      </c>
      <c r="B112" s="27">
        <v>2</v>
      </c>
      <c r="C112" s="27">
        <v>4</v>
      </c>
      <c r="D112" s="27">
        <v>2014</v>
      </c>
      <c r="E112" s="27">
        <v>2019</v>
      </c>
      <c r="F112" s="27">
        <v>2</v>
      </c>
      <c r="G112" s="27">
        <v>4</v>
      </c>
      <c r="H112" s="27">
        <v>0</v>
      </c>
      <c r="I112" s="27">
        <v>0</v>
      </c>
      <c r="J112" s="27">
        <v>0</v>
      </c>
      <c r="K112" s="27">
        <v>2.4900000000000002</v>
      </c>
      <c r="L112" s="27">
        <v>3575</v>
      </c>
      <c r="M112" s="27">
        <v>4725</v>
      </c>
      <c r="N112" s="27">
        <v>0</v>
      </c>
      <c r="O112" s="27">
        <v>0</v>
      </c>
      <c r="P112" s="27" t="s">
        <v>13</v>
      </c>
      <c r="Q112" s="27">
        <v>1993</v>
      </c>
      <c r="R112" s="27">
        <v>1</v>
      </c>
      <c r="S112" s="27">
        <v>0</v>
      </c>
      <c r="T112" s="27">
        <v>-3.0000000000000001E-3</v>
      </c>
      <c r="U112" s="27">
        <v>-1.2E-2</v>
      </c>
      <c r="V112" s="27">
        <v>0</v>
      </c>
      <c r="W112" s="27">
        <v>0</v>
      </c>
      <c r="X112" s="27" t="s">
        <v>17</v>
      </c>
    </row>
    <row r="113" spans="1:24">
      <c r="A113" s="27">
        <v>1</v>
      </c>
      <c r="B113" s="27">
        <v>2</v>
      </c>
      <c r="C113" s="27">
        <v>4</v>
      </c>
      <c r="D113" s="27">
        <v>2014</v>
      </c>
      <c r="E113" s="27">
        <v>2019</v>
      </c>
      <c r="F113" s="27">
        <v>3</v>
      </c>
      <c r="G113" s="27">
        <v>4</v>
      </c>
      <c r="H113" s="27">
        <v>0</v>
      </c>
      <c r="I113" s="27">
        <v>0</v>
      </c>
      <c r="J113" s="27">
        <v>0</v>
      </c>
      <c r="K113" s="27">
        <v>2.4900000000000002</v>
      </c>
      <c r="L113" s="27">
        <v>3575</v>
      </c>
      <c r="M113" s="27">
        <v>4725</v>
      </c>
      <c r="N113" s="27">
        <v>0</v>
      </c>
      <c r="O113" s="27">
        <v>0</v>
      </c>
      <c r="P113" s="27" t="s">
        <v>13</v>
      </c>
      <c r="Q113" s="27">
        <v>1993</v>
      </c>
      <c r="R113" s="27">
        <v>1</v>
      </c>
      <c r="S113" s="27">
        <v>0</v>
      </c>
      <c r="T113" s="27">
        <v>-3.0000000000000001E-3</v>
      </c>
      <c r="U113" s="27">
        <v>-1.2E-2</v>
      </c>
      <c r="V113" s="27">
        <v>0</v>
      </c>
      <c r="W113" s="27">
        <v>0</v>
      </c>
      <c r="X113" s="27" t="s">
        <v>17</v>
      </c>
    </row>
    <row r="114" spans="1:24">
      <c r="A114" s="27">
        <v>1</v>
      </c>
      <c r="B114" s="27">
        <v>2</v>
      </c>
      <c r="C114" s="27">
        <v>4</v>
      </c>
      <c r="D114" s="27">
        <v>2014</v>
      </c>
      <c r="E114" s="27">
        <v>2019</v>
      </c>
      <c r="F114" s="27">
        <v>4</v>
      </c>
      <c r="G114" s="27">
        <v>4</v>
      </c>
      <c r="H114" s="27">
        <v>0</v>
      </c>
      <c r="I114" s="27">
        <v>0</v>
      </c>
      <c r="J114" s="27">
        <v>0</v>
      </c>
      <c r="K114" s="27">
        <v>2.4900000000000002</v>
      </c>
      <c r="L114" s="27">
        <v>3575</v>
      </c>
      <c r="M114" s="27">
        <v>4725</v>
      </c>
      <c r="N114" s="27">
        <v>0</v>
      </c>
      <c r="O114" s="27">
        <v>0</v>
      </c>
      <c r="P114" s="27" t="s">
        <v>13</v>
      </c>
      <c r="Q114" s="27">
        <v>1993</v>
      </c>
      <c r="R114" s="27">
        <v>1</v>
      </c>
      <c r="S114" s="27">
        <v>0</v>
      </c>
      <c r="T114" s="27">
        <v>-3.0000000000000001E-3</v>
      </c>
      <c r="U114" s="27">
        <v>-1.2E-2</v>
      </c>
      <c r="V114" s="27">
        <v>0</v>
      </c>
      <c r="W114" s="27">
        <v>0</v>
      </c>
      <c r="X114" s="27" t="s">
        <v>17</v>
      </c>
    </row>
    <row r="115" spans="1:24">
      <c r="A115" s="27">
        <v>1</v>
      </c>
      <c r="B115" s="27">
        <v>2</v>
      </c>
      <c r="C115" s="27">
        <v>4</v>
      </c>
      <c r="D115" s="27">
        <v>2014</v>
      </c>
      <c r="E115" s="27">
        <v>2019</v>
      </c>
      <c r="F115" s="27">
        <v>5</v>
      </c>
      <c r="G115" s="27">
        <v>4</v>
      </c>
      <c r="H115" s="27">
        <v>0</v>
      </c>
      <c r="I115" s="27">
        <v>0</v>
      </c>
      <c r="J115" s="27">
        <v>0</v>
      </c>
      <c r="K115" s="27">
        <v>2.4900000000000002</v>
      </c>
      <c r="L115" s="27">
        <v>3575</v>
      </c>
      <c r="M115" s="27">
        <v>4725</v>
      </c>
      <c r="N115" s="27">
        <v>0</v>
      </c>
      <c r="O115" s="27">
        <v>0</v>
      </c>
      <c r="P115" s="27" t="s">
        <v>13</v>
      </c>
      <c r="Q115" s="27">
        <v>1993</v>
      </c>
      <c r="R115" s="27">
        <v>1</v>
      </c>
      <c r="S115" s="27">
        <v>0</v>
      </c>
      <c r="T115" s="27">
        <v>-3.0000000000000001E-3</v>
      </c>
      <c r="U115" s="27">
        <v>-1.2E-2</v>
      </c>
      <c r="V115" s="27">
        <v>0</v>
      </c>
      <c r="W115" s="27">
        <v>0</v>
      </c>
      <c r="X115" s="27" t="s">
        <v>17</v>
      </c>
    </row>
    <row r="116" spans="1:24">
      <c r="A116" s="27">
        <v>1</v>
      </c>
      <c r="B116" s="27">
        <v>2</v>
      </c>
      <c r="C116" s="27">
        <v>4</v>
      </c>
      <c r="D116" s="27">
        <v>2014</v>
      </c>
      <c r="E116" s="27">
        <v>2019</v>
      </c>
      <c r="F116" s="27">
        <v>6</v>
      </c>
      <c r="G116" s="27">
        <v>4</v>
      </c>
      <c r="H116" s="27">
        <v>0</v>
      </c>
      <c r="I116" s="27">
        <v>0</v>
      </c>
      <c r="J116" s="27">
        <v>0</v>
      </c>
      <c r="K116" s="27">
        <v>2.4900000000000002</v>
      </c>
      <c r="L116" s="27">
        <v>3575</v>
      </c>
      <c r="M116" s="27">
        <v>4725</v>
      </c>
      <c r="N116" s="27">
        <v>0</v>
      </c>
      <c r="O116" s="27">
        <v>0</v>
      </c>
      <c r="P116" s="27" t="s">
        <v>13</v>
      </c>
      <c r="Q116" s="27">
        <v>1993</v>
      </c>
      <c r="R116" s="27">
        <v>1</v>
      </c>
      <c r="S116" s="27">
        <v>0</v>
      </c>
      <c r="T116" s="27">
        <v>-3.0000000000000001E-3</v>
      </c>
      <c r="U116" s="27">
        <v>-1.2E-2</v>
      </c>
      <c r="V116" s="27">
        <v>0</v>
      </c>
      <c r="W116" s="27">
        <v>0</v>
      </c>
      <c r="X116" s="27" t="s">
        <v>17</v>
      </c>
    </row>
    <row r="117" spans="1:24">
      <c r="A117" s="27">
        <v>1</v>
      </c>
      <c r="B117" s="27">
        <v>2</v>
      </c>
      <c r="C117" s="27">
        <v>4</v>
      </c>
      <c r="D117" s="27">
        <v>2014</v>
      </c>
      <c r="E117" s="27">
        <v>2019</v>
      </c>
      <c r="F117" s="27">
        <v>7</v>
      </c>
      <c r="G117" s="27">
        <v>4</v>
      </c>
      <c r="H117" s="27">
        <v>0</v>
      </c>
      <c r="I117" s="27">
        <v>0</v>
      </c>
      <c r="J117" s="27">
        <v>0</v>
      </c>
      <c r="K117" s="27">
        <v>2.4900000000000002</v>
      </c>
      <c r="L117" s="27">
        <v>3575</v>
      </c>
      <c r="M117" s="27">
        <v>4725</v>
      </c>
      <c r="N117" s="27">
        <v>0</v>
      </c>
      <c r="O117" s="27">
        <v>0</v>
      </c>
      <c r="P117" s="27" t="s">
        <v>13</v>
      </c>
      <c r="Q117" s="27">
        <v>1993</v>
      </c>
      <c r="R117" s="27">
        <v>1</v>
      </c>
      <c r="S117" s="27">
        <v>0</v>
      </c>
      <c r="T117" s="27">
        <v>-3.0000000000000001E-3</v>
      </c>
      <c r="U117" s="27">
        <v>-1.2E-2</v>
      </c>
      <c r="V117" s="27">
        <v>0</v>
      </c>
      <c r="W117" s="27">
        <v>0</v>
      </c>
      <c r="X117" s="27" t="s">
        <v>17</v>
      </c>
    </row>
    <row r="118" spans="1:24">
      <c r="A118" s="27">
        <v>1</v>
      </c>
      <c r="B118" s="27">
        <v>2</v>
      </c>
      <c r="C118" s="27">
        <v>4</v>
      </c>
      <c r="D118" s="27">
        <v>2014</v>
      </c>
      <c r="E118" s="27">
        <v>2019</v>
      </c>
      <c r="F118" s="27">
        <v>8</v>
      </c>
      <c r="G118" s="27">
        <v>4</v>
      </c>
      <c r="H118" s="27">
        <v>0</v>
      </c>
      <c r="I118" s="27">
        <v>0</v>
      </c>
      <c r="J118" s="27">
        <v>0</v>
      </c>
      <c r="K118" s="27">
        <v>2.4900000000000002</v>
      </c>
      <c r="L118" s="27">
        <v>3575</v>
      </c>
      <c r="M118" s="27">
        <v>4725</v>
      </c>
      <c r="N118" s="27">
        <v>0</v>
      </c>
      <c r="O118" s="27">
        <v>0</v>
      </c>
      <c r="P118" s="27" t="s">
        <v>13</v>
      </c>
      <c r="Q118" s="27">
        <v>1993</v>
      </c>
      <c r="R118" s="27">
        <v>1</v>
      </c>
      <c r="S118" s="27">
        <v>0</v>
      </c>
      <c r="T118" s="27">
        <v>-3.0000000000000001E-3</v>
      </c>
      <c r="U118" s="27">
        <v>-1.2E-2</v>
      </c>
      <c r="V118" s="27">
        <v>0</v>
      </c>
      <c r="W118" s="27">
        <v>0</v>
      </c>
      <c r="X118" s="27" t="s">
        <v>17</v>
      </c>
    </row>
    <row r="119" spans="1:24">
      <c r="A119" s="27">
        <v>1</v>
      </c>
      <c r="B119" s="27">
        <v>2</v>
      </c>
      <c r="C119" s="27">
        <v>4</v>
      </c>
      <c r="D119" s="27">
        <v>2014</v>
      </c>
      <c r="E119" s="27">
        <v>2019</v>
      </c>
      <c r="F119" s="27">
        <v>9</v>
      </c>
      <c r="G119" s="27">
        <v>4</v>
      </c>
      <c r="H119" s="27">
        <v>0</v>
      </c>
      <c r="I119" s="27">
        <v>0</v>
      </c>
      <c r="J119" s="27">
        <v>0</v>
      </c>
      <c r="K119" s="27">
        <v>2.4900000000000002</v>
      </c>
      <c r="L119" s="27">
        <v>3575</v>
      </c>
      <c r="M119" s="27">
        <v>4725</v>
      </c>
      <c r="N119" s="27">
        <v>0</v>
      </c>
      <c r="O119" s="27">
        <v>0</v>
      </c>
      <c r="P119" s="27" t="s">
        <v>13</v>
      </c>
      <c r="Q119" s="27">
        <v>1993</v>
      </c>
      <c r="R119" s="27">
        <v>1</v>
      </c>
      <c r="S119" s="27">
        <v>0</v>
      </c>
      <c r="T119" s="27">
        <v>-3.0000000000000001E-3</v>
      </c>
      <c r="U119" s="27">
        <v>-1.2E-2</v>
      </c>
      <c r="V119" s="27">
        <v>0</v>
      </c>
      <c r="W119" s="27">
        <v>0</v>
      </c>
      <c r="X119" s="27" t="s">
        <v>17</v>
      </c>
    </row>
    <row r="120" spans="1:24">
      <c r="A120" s="27">
        <v>1</v>
      </c>
      <c r="B120" s="27">
        <v>2</v>
      </c>
      <c r="C120" s="27">
        <v>4</v>
      </c>
      <c r="D120" s="27">
        <v>2020</v>
      </c>
      <c r="E120" s="27">
        <v>2029</v>
      </c>
      <c r="F120" s="27">
        <v>1</v>
      </c>
      <c r="G120" s="27">
        <v>4</v>
      </c>
      <c r="H120" s="27">
        <v>0</v>
      </c>
      <c r="I120" s="27">
        <v>0</v>
      </c>
      <c r="J120" s="27">
        <v>0</v>
      </c>
      <c r="K120" s="27">
        <v>2.78</v>
      </c>
      <c r="L120" s="27">
        <v>3750</v>
      </c>
      <c r="M120" s="27">
        <v>5050</v>
      </c>
      <c r="N120" s="27">
        <v>0</v>
      </c>
      <c r="O120" s="27">
        <v>0</v>
      </c>
      <c r="P120" s="27" t="s">
        <v>13</v>
      </c>
      <c r="Q120" s="27">
        <v>1993</v>
      </c>
      <c r="R120" s="27">
        <v>1</v>
      </c>
      <c r="S120" s="27">
        <v>0</v>
      </c>
      <c r="T120" s="27">
        <v>-3.0000000000000001E-3</v>
      </c>
      <c r="U120" s="27">
        <v>-1.2E-2</v>
      </c>
      <c r="V120" s="27">
        <v>0</v>
      </c>
      <c r="W120" s="27">
        <v>0</v>
      </c>
      <c r="X120" s="27" t="s">
        <v>17</v>
      </c>
    </row>
    <row r="121" spans="1:24">
      <c r="A121" s="27">
        <v>1</v>
      </c>
      <c r="B121" s="27">
        <v>2</v>
      </c>
      <c r="C121" s="27">
        <v>4</v>
      </c>
      <c r="D121" s="27">
        <v>2020</v>
      </c>
      <c r="E121" s="27">
        <v>2029</v>
      </c>
      <c r="F121" s="27">
        <v>2</v>
      </c>
      <c r="G121" s="27">
        <v>4</v>
      </c>
      <c r="H121" s="27">
        <v>0</v>
      </c>
      <c r="I121" s="27">
        <v>0</v>
      </c>
      <c r="J121" s="27">
        <v>0</v>
      </c>
      <c r="K121" s="27">
        <v>2.78</v>
      </c>
      <c r="L121" s="27">
        <v>3750</v>
      </c>
      <c r="M121" s="27">
        <v>5050</v>
      </c>
      <c r="N121" s="27">
        <v>0</v>
      </c>
      <c r="O121" s="27">
        <v>0</v>
      </c>
      <c r="P121" s="27" t="s">
        <v>13</v>
      </c>
      <c r="Q121" s="27">
        <v>1993</v>
      </c>
      <c r="R121" s="27">
        <v>1</v>
      </c>
      <c r="S121" s="27">
        <v>0</v>
      </c>
      <c r="T121" s="27">
        <v>-3.0000000000000001E-3</v>
      </c>
      <c r="U121" s="27">
        <v>-1.2E-2</v>
      </c>
      <c r="V121" s="27">
        <v>0</v>
      </c>
      <c r="W121" s="27">
        <v>0</v>
      </c>
      <c r="X121" s="27" t="s">
        <v>17</v>
      </c>
    </row>
    <row r="122" spans="1:24">
      <c r="A122" s="27">
        <v>1</v>
      </c>
      <c r="B122" s="27">
        <v>2</v>
      </c>
      <c r="C122" s="27">
        <v>4</v>
      </c>
      <c r="D122" s="27">
        <v>2020</v>
      </c>
      <c r="E122" s="27">
        <v>2029</v>
      </c>
      <c r="F122" s="27">
        <v>3</v>
      </c>
      <c r="G122" s="27">
        <v>4</v>
      </c>
      <c r="H122" s="27">
        <v>0</v>
      </c>
      <c r="I122" s="27">
        <v>0</v>
      </c>
      <c r="J122" s="27">
        <v>0</v>
      </c>
      <c r="K122" s="27">
        <v>2.78</v>
      </c>
      <c r="L122" s="27">
        <v>3750</v>
      </c>
      <c r="M122" s="27">
        <v>5050</v>
      </c>
      <c r="N122" s="27">
        <v>0</v>
      </c>
      <c r="O122" s="27">
        <v>0</v>
      </c>
      <c r="P122" s="27" t="s">
        <v>13</v>
      </c>
      <c r="Q122" s="27">
        <v>1993</v>
      </c>
      <c r="R122" s="27">
        <v>1</v>
      </c>
      <c r="S122" s="27">
        <v>0</v>
      </c>
      <c r="T122" s="27">
        <v>-3.0000000000000001E-3</v>
      </c>
      <c r="U122" s="27">
        <v>-1.2E-2</v>
      </c>
      <c r="V122" s="27">
        <v>0</v>
      </c>
      <c r="W122" s="27">
        <v>0</v>
      </c>
      <c r="X122" s="27" t="s">
        <v>17</v>
      </c>
    </row>
    <row r="123" spans="1:24">
      <c r="A123" s="27">
        <v>1</v>
      </c>
      <c r="B123" s="27">
        <v>2</v>
      </c>
      <c r="C123" s="27">
        <v>4</v>
      </c>
      <c r="D123" s="27">
        <v>2020</v>
      </c>
      <c r="E123" s="27">
        <v>2029</v>
      </c>
      <c r="F123" s="27">
        <v>4</v>
      </c>
      <c r="G123" s="27">
        <v>4</v>
      </c>
      <c r="H123" s="27">
        <v>0</v>
      </c>
      <c r="I123" s="27">
        <v>0</v>
      </c>
      <c r="J123" s="27">
        <v>0</v>
      </c>
      <c r="K123" s="27">
        <v>2.78</v>
      </c>
      <c r="L123" s="27">
        <v>3750</v>
      </c>
      <c r="M123" s="27">
        <v>5050</v>
      </c>
      <c r="N123" s="27">
        <v>0</v>
      </c>
      <c r="O123" s="27">
        <v>0</v>
      </c>
      <c r="P123" s="27" t="s">
        <v>13</v>
      </c>
      <c r="Q123" s="27">
        <v>1993</v>
      </c>
      <c r="R123" s="27">
        <v>1</v>
      </c>
      <c r="S123" s="27">
        <v>0</v>
      </c>
      <c r="T123" s="27">
        <v>-3.0000000000000001E-3</v>
      </c>
      <c r="U123" s="27">
        <v>-1.2E-2</v>
      </c>
      <c r="V123" s="27">
        <v>0</v>
      </c>
      <c r="W123" s="27">
        <v>0</v>
      </c>
      <c r="X123" s="27" t="s">
        <v>17</v>
      </c>
    </row>
    <row r="124" spans="1:24">
      <c r="A124" s="27">
        <v>1</v>
      </c>
      <c r="B124" s="27">
        <v>2</v>
      </c>
      <c r="C124" s="27">
        <v>4</v>
      </c>
      <c r="D124" s="27">
        <v>2020</v>
      </c>
      <c r="E124" s="27">
        <v>2029</v>
      </c>
      <c r="F124" s="27">
        <v>5</v>
      </c>
      <c r="G124" s="27">
        <v>4</v>
      </c>
      <c r="H124" s="27">
        <v>0</v>
      </c>
      <c r="I124" s="27">
        <v>0</v>
      </c>
      <c r="J124" s="27">
        <v>0</v>
      </c>
      <c r="K124" s="27">
        <v>2.78</v>
      </c>
      <c r="L124" s="27">
        <v>3750</v>
      </c>
      <c r="M124" s="27">
        <v>5050</v>
      </c>
      <c r="N124" s="27">
        <v>0</v>
      </c>
      <c r="O124" s="27">
        <v>0</v>
      </c>
      <c r="P124" s="27" t="s">
        <v>13</v>
      </c>
      <c r="Q124" s="27">
        <v>1993</v>
      </c>
      <c r="R124" s="27">
        <v>1</v>
      </c>
      <c r="S124" s="27">
        <v>0</v>
      </c>
      <c r="T124" s="27">
        <v>-3.0000000000000001E-3</v>
      </c>
      <c r="U124" s="27">
        <v>-1.2E-2</v>
      </c>
      <c r="V124" s="27">
        <v>0</v>
      </c>
      <c r="W124" s="27">
        <v>0</v>
      </c>
      <c r="X124" s="27" t="s">
        <v>17</v>
      </c>
    </row>
    <row r="125" spans="1:24">
      <c r="A125" s="27">
        <v>1</v>
      </c>
      <c r="B125" s="27">
        <v>2</v>
      </c>
      <c r="C125" s="27">
        <v>4</v>
      </c>
      <c r="D125" s="27">
        <v>2020</v>
      </c>
      <c r="E125" s="27">
        <v>2029</v>
      </c>
      <c r="F125" s="27">
        <v>6</v>
      </c>
      <c r="G125" s="27">
        <v>4</v>
      </c>
      <c r="H125" s="27">
        <v>0</v>
      </c>
      <c r="I125" s="27">
        <v>0</v>
      </c>
      <c r="J125" s="27">
        <v>0</v>
      </c>
      <c r="K125" s="27">
        <v>2.78</v>
      </c>
      <c r="L125" s="27">
        <v>3750</v>
      </c>
      <c r="M125" s="27">
        <v>5050</v>
      </c>
      <c r="N125" s="27">
        <v>0</v>
      </c>
      <c r="O125" s="27">
        <v>0</v>
      </c>
      <c r="P125" s="27" t="s">
        <v>13</v>
      </c>
      <c r="Q125" s="27">
        <v>1993</v>
      </c>
      <c r="R125" s="27">
        <v>1</v>
      </c>
      <c r="S125" s="27">
        <v>0</v>
      </c>
      <c r="T125" s="27">
        <v>-3.0000000000000001E-3</v>
      </c>
      <c r="U125" s="27">
        <v>-1.2E-2</v>
      </c>
      <c r="V125" s="27">
        <v>0</v>
      </c>
      <c r="W125" s="27">
        <v>0</v>
      </c>
      <c r="X125" s="27" t="s">
        <v>17</v>
      </c>
    </row>
    <row r="126" spans="1:24">
      <c r="A126" s="27">
        <v>1</v>
      </c>
      <c r="B126" s="27">
        <v>2</v>
      </c>
      <c r="C126" s="27">
        <v>4</v>
      </c>
      <c r="D126" s="27">
        <v>2020</v>
      </c>
      <c r="E126" s="27">
        <v>2029</v>
      </c>
      <c r="F126" s="27">
        <v>7</v>
      </c>
      <c r="G126" s="27">
        <v>4</v>
      </c>
      <c r="H126" s="27">
        <v>0</v>
      </c>
      <c r="I126" s="27">
        <v>0</v>
      </c>
      <c r="J126" s="27">
        <v>0</v>
      </c>
      <c r="K126" s="27">
        <v>2.78</v>
      </c>
      <c r="L126" s="27">
        <v>3750</v>
      </c>
      <c r="M126" s="27">
        <v>5050</v>
      </c>
      <c r="N126" s="27">
        <v>0</v>
      </c>
      <c r="O126" s="27">
        <v>0</v>
      </c>
      <c r="P126" s="27" t="s">
        <v>13</v>
      </c>
      <c r="Q126" s="27">
        <v>1993</v>
      </c>
      <c r="R126" s="27">
        <v>1</v>
      </c>
      <c r="S126" s="27">
        <v>0</v>
      </c>
      <c r="T126" s="27">
        <v>-3.0000000000000001E-3</v>
      </c>
      <c r="U126" s="27">
        <v>-1.2E-2</v>
      </c>
      <c r="V126" s="27">
        <v>0</v>
      </c>
      <c r="W126" s="27">
        <v>0</v>
      </c>
      <c r="X126" s="27" t="s">
        <v>17</v>
      </c>
    </row>
    <row r="127" spans="1:24">
      <c r="A127" s="27">
        <v>1</v>
      </c>
      <c r="B127" s="27">
        <v>2</v>
      </c>
      <c r="C127" s="27">
        <v>4</v>
      </c>
      <c r="D127" s="27">
        <v>2020</v>
      </c>
      <c r="E127" s="27">
        <v>2029</v>
      </c>
      <c r="F127" s="27">
        <v>8</v>
      </c>
      <c r="G127" s="27">
        <v>4</v>
      </c>
      <c r="H127" s="27">
        <v>0</v>
      </c>
      <c r="I127" s="27">
        <v>0</v>
      </c>
      <c r="J127" s="27">
        <v>0</v>
      </c>
      <c r="K127" s="27">
        <v>2.78</v>
      </c>
      <c r="L127" s="27">
        <v>3750</v>
      </c>
      <c r="M127" s="27">
        <v>5050</v>
      </c>
      <c r="N127" s="27">
        <v>0</v>
      </c>
      <c r="O127" s="27">
        <v>0</v>
      </c>
      <c r="P127" s="27" t="s">
        <v>13</v>
      </c>
      <c r="Q127" s="27">
        <v>1993</v>
      </c>
      <c r="R127" s="27">
        <v>1</v>
      </c>
      <c r="S127" s="27">
        <v>0</v>
      </c>
      <c r="T127" s="27">
        <v>-3.0000000000000001E-3</v>
      </c>
      <c r="U127" s="27">
        <v>-1.2E-2</v>
      </c>
      <c r="V127" s="27">
        <v>0</v>
      </c>
      <c r="W127" s="27">
        <v>0</v>
      </c>
      <c r="X127" s="27" t="s">
        <v>17</v>
      </c>
    </row>
    <row r="128" spans="1:24">
      <c r="A128" s="27">
        <v>1</v>
      </c>
      <c r="B128" s="27">
        <v>2</v>
      </c>
      <c r="C128" s="27">
        <v>4</v>
      </c>
      <c r="D128" s="27">
        <v>2020</v>
      </c>
      <c r="E128" s="27">
        <v>2029</v>
      </c>
      <c r="F128" s="27">
        <v>9</v>
      </c>
      <c r="G128" s="27">
        <v>4</v>
      </c>
      <c r="H128" s="27">
        <v>0</v>
      </c>
      <c r="I128" s="27">
        <v>0</v>
      </c>
      <c r="J128" s="27">
        <v>0</v>
      </c>
      <c r="K128" s="27">
        <v>2.78</v>
      </c>
      <c r="L128" s="27">
        <v>3750</v>
      </c>
      <c r="M128" s="27">
        <v>5050</v>
      </c>
      <c r="N128" s="27">
        <v>0</v>
      </c>
      <c r="O128" s="27">
        <v>0</v>
      </c>
      <c r="P128" s="27" t="s">
        <v>13</v>
      </c>
      <c r="Q128" s="27">
        <v>1993</v>
      </c>
      <c r="R128" s="27">
        <v>1</v>
      </c>
      <c r="S128" s="27">
        <v>0</v>
      </c>
      <c r="T128" s="27">
        <v>-3.0000000000000001E-3</v>
      </c>
      <c r="U128" s="27">
        <v>-1.2E-2</v>
      </c>
      <c r="V128" s="27">
        <v>0</v>
      </c>
      <c r="W128" s="27">
        <v>0</v>
      </c>
      <c r="X128" s="27" t="s">
        <v>17</v>
      </c>
    </row>
    <row r="129" spans="1:24">
      <c r="A129" s="27">
        <v>1</v>
      </c>
      <c r="B129" s="27">
        <v>2</v>
      </c>
      <c r="C129" s="27">
        <v>4</v>
      </c>
      <c r="D129" s="27">
        <v>2030</v>
      </c>
      <c r="E129" s="27">
        <v>2050</v>
      </c>
      <c r="F129" s="27">
        <v>1</v>
      </c>
      <c r="G129" s="27">
        <v>4</v>
      </c>
      <c r="H129" s="27">
        <v>0</v>
      </c>
      <c r="I129" s="27">
        <v>0</v>
      </c>
      <c r="J129" s="27">
        <v>0</v>
      </c>
      <c r="K129" s="27">
        <v>2.8</v>
      </c>
      <c r="L129" s="27">
        <v>3750</v>
      </c>
      <c r="M129" s="27">
        <v>5050</v>
      </c>
      <c r="N129" s="27">
        <v>0</v>
      </c>
      <c r="O129" s="27">
        <v>0</v>
      </c>
      <c r="P129" s="27" t="s">
        <v>13</v>
      </c>
      <c r="Q129" s="27">
        <v>1993</v>
      </c>
      <c r="R129" s="27">
        <v>1</v>
      </c>
      <c r="S129" s="27">
        <v>0</v>
      </c>
      <c r="T129" s="27">
        <v>-3.0000000000000001E-3</v>
      </c>
      <c r="U129" s="27">
        <v>-1.2E-2</v>
      </c>
      <c r="V129" s="27">
        <v>0</v>
      </c>
      <c r="W129" s="27">
        <v>0</v>
      </c>
      <c r="X129" s="27" t="s">
        <v>17</v>
      </c>
    </row>
    <row r="130" spans="1:24">
      <c r="A130" s="27">
        <v>1</v>
      </c>
      <c r="B130" s="27">
        <v>2</v>
      </c>
      <c r="C130" s="27">
        <v>4</v>
      </c>
      <c r="D130" s="27">
        <v>2030</v>
      </c>
      <c r="E130" s="27">
        <v>2050</v>
      </c>
      <c r="F130" s="27">
        <v>2</v>
      </c>
      <c r="G130" s="27">
        <v>4</v>
      </c>
      <c r="H130" s="27">
        <v>0</v>
      </c>
      <c r="I130" s="27">
        <v>0</v>
      </c>
      <c r="J130" s="27">
        <v>0</v>
      </c>
      <c r="K130" s="27">
        <v>2.8</v>
      </c>
      <c r="L130" s="27">
        <v>3750</v>
      </c>
      <c r="M130" s="27">
        <v>5050</v>
      </c>
      <c r="N130" s="27">
        <v>0</v>
      </c>
      <c r="O130" s="27">
        <v>0</v>
      </c>
      <c r="P130" s="27" t="s">
        <v>13</v>
      </c>
      <c r="Q130" s="27">
        <v>1993</v>
      </c>
      <c r="R130" s="27">
        <v>1</v>
      </c>
      <c r="S130" s="27">
        <v>0</v>
      </c>
      <c r="T130" s="27">
        <v>-3.0000000000000001E-3</v>
      </c>
      <c r="U130" s="27">
        <v>-1.2E-2</v>
      </c>
      <c r="V130" s="27">
        <v>0</v>
      </c>
      <c r="W130" s="27">
        <v>0</v>
      </c>
      <c r="X130" s="27" t="s">
        <v>17</v>
      </c>
    </row>
    <row r="131" spans="1:24">
      <c r="A131" s="27">
        <v>1</v>
      </c>
      <c r="B131" s="27">
        <v>2</v>
      </c>
      <c r="C131" s="27">
        <v>4</v>
      </c>
      <c r="D131" s="27">
        <v>2030</v>
      </c>
      <c r="E131" s="27">
        <v>2050</v>
      </c>
      <c r="F131" s="27">
        <v>3</v>
      </c>
      <c r="G131" s="27">
        <v>4</v>
      </c>
      <c r="H131" s="27">
        <v>0</v>
      </c>
      <c r="I131" s="27">
        <v>0</v>
      </c>
      <c r="J131" s="27">
        <v>0</v>
      </c>
      <c r="K131" s="27">
        <v>2.8</v>
      </c>
      <c r="L131" s="27">
        <v>3750</v>
      </c>
      <c r="M131" s="27">
        <v>5050</v>
      </c>
      <c r="N131" s="27">
        <v>0</v>
      </c>
      <c r="O131" s="27">
        <v>0</v>
      </c>
      <c r="P131" s="27" t="s">
        <v>13</v>
      </c>
      <c r="Q131" s="27">
        <v>1993</v>
      </c>
      <c r="R131" s="27">
        <v>1</v>
      </c>
      <c r="S131" s="27">
        <v>0</v>
      </c>
      <c r="T131" s="27">
        <v>-3.0000000000000001E-3</v>
      </c>
      <c r="U131" s="27">
        <v>-1.2E-2</v>
      </c>
      <c r="V131" s="27">
        <v>0</v>
      </c>
      <c r="W131" s="27">
        <v>0</v>
      </c>
      <c r="X131" s="27" t="s">
        <v>17</v>
      </c>
    </row>
    <row r="132" spans="1:24">
      <c r="A132" s="27">
        <v>1</v>
      </c>
      <c r="B132" s="27">
        <v>2</v>
      </c>
      <c r="C132" s="27">
        <v>4</v>
      </c>
      <c r="D132" s="27">
        <v>2030</v>
      </c>
      <c r="E132" s="27">
        <v>2050</v>
      </c>
      <c r="F132" s="27">
        <v>4</v>
      </c>
      <c r="G132" s="27">
        <v>4</v>
      </c>
      <c r="H132" s="27">
        <v>0</v>
      </c>
      <c r="I132" s="27">
        <v>0</v>
      </c>
      <c r="J132" s="27">
        <v>0</v>
      </c>
      <c r="K132" s="27">
        <v>2.8</v>
      </c>
      <c r="L132" s="27">
        <v>3750</v>
      </c>
      <c r="M132" s="27">
        <v>5050</v>
      </c>
      <c r="N132" s="27">
        <v>0</v>
      </c>
      <c r="O132" s="27">
        <v>0</v>
      </c>
      <c r="P132" s="27" t="s">
        <v>13</v>
      </c>
      <c r="Q132" s="27">
        <v>1993</v>
      </c>
      <c r="R132" s="27">
        <v>1</v>
      </c>
      <c r="S132" s="27">
        <v>0</v>
      </c>
      <c r="T132" s="27">
        <v>-3.0000000000000001E-3</v>
      </c>
      <c r="U132" s="27">
        <v>-1.2E-2</v>
      </c>
      <c r="V132" s="27">
        <v>0</v>
      </c>
      <c r="W132" s="27">
        <v>0</v>
      </c>
      <c r="X132" s="27" t="s">
        <v>17</v>
      </c>
    </row>
    <row r="133" spans="1:24">
      <c r="A133" s="27">
        <v>1</v>
      </c>
      <c r="B133" s="27">
        <v>2</v>
      </c>
      <c r="C133" s="27">
        <v>4</v>
      </c>
      <c r="D133" s="27">
        <v>2030</v>
      </c>
      <c r="E133" s="27">
        <v>2050</v>
      </c>
      <c r="F133" s="27">
        <v>5</v>
      </c>
      <c r="G133" s="27">
        <v>4</v>
      </c>
      <c r="H133" s="27">
        <v>0</v>
      </c>
      <c r="I133" s="27">
        <v>0</v>
      </c>
      <c r="J133" s="27">
        <v>0</v>
      </c>
      <c r="K133" s="27">
        <v>2.8</v>
      </c>
      <c r="L133" s="27">
        <v>3750</v>
      </c>
      <c r="M133" s="27">
        <v>5050</v>
      </c>
      <c r="N133" s="27">
        <v>0</v>
      </c>
      <c r="O133" s="27">
        <v>0</v>
      </c>
      <c r="P133" s="27" t="s">
        <v>13</v>
      </c>
      <c r="Q133" s="27">
        <v>1993</v>
      </c>
      <c r="R133" s="27">
        <v>1</v>
      </c>
      <c r="S133" s="27">
        <v>0</v>
      </c>
      <c r="T133" s="27">
        <v>-3.0000000000000001E-3</v>
      </c>
      <c r="U133" s="27">
        <v>-1.2E-2</v>
      </c>
      <c r="V133" s="27">
        <v>0</v>
      </c>
      <c r="W133" s="27">
        <v>0</v>
      </c>
      <c r="X133" s="27" t="s">
        <v>17</v>
      </c>
    </row>
    <row r="134" spans="1:24">
      <c r="A134" s="27">
        <v>1</v>
      </c>
      <c r="B134" s="27">
        <v>2</v>
      </c>
      <c r="C134" s="27">
        <v>4</v>
      </c>
      <c r="D134" s="27">
        <v>2030</v>
      </c>
      <c r="E134" s="27">
        <v>2050</v>
      </c>
      <c r="F134" s="27">
        <v>6</v>
      </c>
      <c r="G134" s="27">
        <v>4</v>
      </c>
      <c r="H134" s="27">
        <v>0</v>
      </c>
      <c r="I134" s="27">
        <v>0</v>
      </c>
      <c r="J134" s="27">
        <v>0</v>
      </c>
      <c r="K134" s="27">
        <v>2.8</v>
      </c>
      <c r="L134" s="27">
        <v>3750</v>
      </c>
      <c r="M134" s="27">
        <v>5050</v>
      </c>
      <c r="N134" s="27">
        <v>0</v>
      </c>
      <c r="O134" s="27">
        <v>0</v>
      </c>
      <c r="P134" s="27" t="s">
        <v>13</v>
      </c>
      <c r="Q134" s="27">
        <v>1993</v>
      </c>
      <c r="R134" s="27">
        <v>1</v>
      </c>
      <c r="S134" s="27">
        <v>0</v>
      </c>
      <c r="T134" s="27">
        <v>-3.0000000000000001E-3</v>
      </c>
      <c r="U134" s="27">
        <v>-1.2E-2</v>
      </c>
      <c r="V134" s="27">
        <v>0</v>
      </c>
      <c r="W134" s="27">
        <v>0</v>
      </c>
      <c r="X134" s="27" t="s">
        <v>17</v>
      </c>
    </row>
    <row r="135" spans="1:24">
      <c r="A135" s="27">
        <v>1</v>
      </c>
      <c r="B135" s="27">
        <v>2</v>
      </c>
      <c r="C135" s="27">
        <v>4</v>
      </c>
      <c r="D135" s="27">
        <v>2030</v>
      </c>
      <c r="E135" s="27">
        <v>2050</v>
      </c>
      <c r="F135" s="27">
        <v>7</v>
      </c>
      <c r="G135" s="27">
        <v>4</v>
      </c>
      <c r="H135" s="27">
        <v>0</v>
      </c>
      <c r="I135" s="27">
        <v>0</v>
      </c>
      <c r="J135" s="27">
        <v>0</v>
      </c>
      <c r="K135" s="27">
        <v>2.8</v>
      </c>
      <c r="L135" s="27">
        <v>3750</v>
      </c>
      <c r="M135" s="27">
        <v>5050</v>
      </c>
      <c r="N135" s="27">
        <v>0</v>
      </c>
      <c r="O135" s="27">
        <v>0</v>
      </c>
      <c r="P135" s="27" t="s">
        <v>13</v>
      </c>
      <c r="Q135" s="27">
        <v>1993</v>
      </c>
      <c r="R135" s="27">
        <v>1</v>
      </c>
      <c r="S135" s="27">
        <v>0</v>
      </c>
      <c r="T135" s="27">
        <v>-3.0000000000000001E-3</v>
      </c>
      <c r="U135" s="27">
        <v>-1.2E-2</v>
      </c>
      <c r="V135" s="27">
        <v>0</v>
      </c>
      <c r="W135" s="27">
        <v>0</v>
      </c>
      <c r="X135" s="27" t="s">
        <v>17</v>
      </c>
    </row>
    <row r="136" spans="1:24">
      <c r="A136" s="27">
        <v>1</v>
      </c>
      <c r="B136" s="27">
        <v>2</v>
      </c>
      <c r="C136" s="27">
        <v>4</v>
      </c>
      <c r="D136" s="27">
        <v>2030</v>
      </c>
      <c r="E136" s="27">
        <v>2050</v>
      </c>
      <c r="F136" s="27">
        <v>8</v>
      </c>
      <c r="G136" s="27">
        <v>4</v>
      </c>
      <c r="H136" s="27">
        <v>0</v>
      </c>
      <c r="I136" s="27">
        <v>0</v>
      </c>
      <c r="J136" s="27">
        <v>0</v>
      </c>
      <c r="K136" s="27">
        <v>2.8</v>
      </c>
      <c r="L136" s="27">
        <v>3750</v>
      </c>
      <c r="M136" s="27">
        <v>5050</v>
      </c>
      <c r="N136" s="27">
        <v>0</v>
      </c>
      <c r="O136" s="27">
        <v>0</v>
      </c>
      <c r="P136" s="27" t="s">
        <v>13</v>
      </c>
      <c r="Q136" s="27">
        <v>1993</v>
      </c>
      <c r="R136" s="27">
        <v>1</v>
      </c>
      <c r="S136" s="27">
        <v>0</v>
      </c>
      <c r="T136" s="27">
        <v>-3.0000000000000001E-3</v>
      </c>
      <c r="U136" s="27">
        <v>-1.2E-2</v>
      </c>
      <c r="V136" s="27">
        <v>0</v>
      </c>
      <c r="W136" s="27">
        <v>0</v>
      </c>
      <c r="X136" s="27" t="s">
        <v>17</v>
      </c>
    </row>
    <row r="137" spans="1:24">
      <c r="A137" s="27">
        <v>1</v>
      </c>
      <c r="B137" s="27">
        <v>2</v>
      </c>
      <c r="C137" s="27">
        <v>4</v>
      </c>
      <c r="D137" s="27">
        <v>2030</v>
      </c>
      <c r="E137" s="27">
        <v>2050</v>
      </c>
      <c r="F137" s="27">
        <v>9</v>
      </c>
      <c r="G137" s="27">
        <v>4</v>
      </c>
      <c r="H137" s="27">
        <v>0</v>
      </c>
      <c r="I137" s="27">
        <v>0</v>
      </c>
      <c r="J137" s="27">
        <v>0</v>
      </c>
      <c r="K137" s="27">
        <v>2.8</v>
      </c>
      <c r="L137" s="27">
        <v>3750</v>
      </c>
      <c r="M137" s="27">
        <v>5050</v>
      </c>
      <c r="N137" s="27">
        <v>0</v>
      </c>
      <c r="O137" s="27">
        <v>0</v>
      </c>
      <c r="P137" s="27" t="s">
        <v>13</v>
      </c>
      <c r="Q137" s="27">
        <v>1993</v>
      </c>
      <c r="R137" s="27">
        <v>1</v>
      </c>
      <c r="S137" s="27">
        <v>0</v>
      </c>
      <c r="T137" s="27">
        <v>-3.0000000000000001E-3</v>
      </c>
      <c r="U137" s="27">
        <v>-1.2E-2</v>
      </c>
      <c r="V137" s="27">
        <v>0</v>
      </c>
      <c r="W137" s="27">
        <v>0</v>
      </c>
      <c r="X137" s="27" t="s">
        <v>17</v>
      </c>
    </row>
    <row r="138" spans="1:24">
      <c r="A138" s="27">
        <v>1</v>
      </c>
      <c r="B138" s="27">
        <v>2</v>
      </c>
      <c r="C138" s="27">
        <v>5</v>
      </c>
      <c r="D138" s="27">
        <v>2010</v>
      </c>
      <c r="E138" s="27">
        <v>2010</v>
      </c>
      <c r="F138" s="27">
        <v>1</v>
      </c>
      <c r="G138" s="27">
        <v>5</v>
      </c>
      <c r="H138" s="27">
        <v>0</v>
      </c>
      <c r="I138" s="27">
        <v>0</v>
      </c>
      <c r="J138" s="27">
        <v>0</v>
      </c>
      <c r="K138" s="27">
        <v>3.14</v>
      </c>
      <c r="L138" s="27">
        <v>4000</v>
      </c>
      <c r="M138" s="27">
        <v>5300</v>
      </c>
      <c r="N138" s="27">
        <v>75</v>
      </c>
      <c r="O138" s="27">
        <v>75</v>
      </c>
      <c r="P138" s="27" t="s">
        <v>13</v>
      </c>
      <c r="Q138" s="27">
        <v>1993</v>
      </c>
      <c r="R138" s="27">
        <v>1</v>
      </c>
      <c r="S138" s="27">
        <v>0</v>
      </c>
      <c r="T138" s="27">
        <v>-3.0000000000000001E-3</v>
      </c>
      <c r="U138" s="27">
        <v>-1.2E-2</v>
      </c>
      <c r="V138" s="27">
        <v>0</v>
      </c>
      <c r="W138" s="27">
        <v>0</v>
      </c>
      <c r="X138" s="27" t="s">
        <v>18</v>
      </c>
    </row>
    <row r="139" spans="1:24">
      <c r="A139" s="27">
        <v>1</v>
      </c>
      <c r="B139" s="27">
        <v>2</v>
      </c>
      <c r="C139" s="27">
        <v>5</v>
      </c>
      <c r="D139" s="27">
        <v>2010</v>
      </c>
      <c r="E139" s="27">
        <v>2010</v>
      </c>
      <c r="F139" s="27">
        <v>2</v>
      </c>
      <c r="G139" s="27">
        <v>5</v>
      </c>
      <c r="H139" s="27">
        <v>0</v>
      </c>
      <c r="I139" s="27">
        <v>0</v>
      </c>
      <c r="J139" s="27">
        <v>0</v>
      </c>
      <c r="K139" s="27">
        <v>3.14</v>
      </c>
      <c r="L139" s="27">
        <v>4000</v>
      </c>
      <c r="M139" s="27">
        <v>5300</v>
      </c>
      <c r="N139" s="27">
        <v>75</v>
      </c>
      <c r="O139" s="27">
        <v>75</v>
      </c>
      <c r="P139" s="27" t="s">
        <v>13</v>
      </c>
      <c r="Q139" s="27">
        <v>1993</v>
      </c>
      <c r="R139" s="27">
        <v>1</v>
      </c>
      <c r="S139" s="27">
        <v>0</v>
      </c>
      <c r="T139" s="27">
        <v>-3.0000000000000001E-3</v>
      </c>
      <c r="U139" s="27">
        <v>-1.2E-2</v>
      </c>
      <c r="V139" s="27">
        <v>0</v>
      </c>
      <c r="W139" s="27">
        <v>0</v>
      </c>
      <c r="X139" s="27" t="s">
        <v>18</v>
      </c>
    </row>
    <row r="140" spans="1:24">
      <c r="A140" s="27">
        <v>1</v>
      </c>
      <c r="B140" s="27">
        <v>2</v>
      </c>
      <c r="C140" s="27">
        <v>5</v>
      </c>
      <c r="D140" s="27">
        <v>2010</v>
      </c>
      <c r="E140" s="27">
        <v>2010</v>
      </c>
      <c r="F140" s="27">
        <v>3</v>
      </c>
      <c r="G140" s="27">
        <v>5</v>
      </c>
      <c r="H140" s="27">
        <v>0</v>
      </c>
      <c r="I140" s="27">
        <v>0</v>
      </c>
      <c r="J140" s="27">
        <v>0</v>
      </c>
      <c r="K140" s="27">
        <v>3.14</v>
      </c>
      <c r="L140" s="27">
        <v>4000</v>
      </c>
      <c r="M140" s="27">
        <v>5300</v>
      </c>
      <c r="N140" s="27">
        <v>75</v>
      </c>
      <c r="O140" s="27">
        <v>75</v>
      </c>
      <c r="P140" s="27" t="s">
        <v>13</v>
      </c>
      <c r="Q140" s="27">
        <v>1993</v>
      </c>
      <c r="R140" s="27">
        <v>1</v>
      </c>
      <c r="S140" s="27">
        <v>0</v>
      </c>
      <c r="T140" s="27">
        <v>-3.0000000000000001E-3</v>
      </c>
      <c r="U140" s="27">
        <v>-1.2E-2</v>
      </c>
      <c r="V140" s="27">
        <v>0</v>
      </c>
      <c r="W140" s="27">
        <v>0</v>
      </c>
      <c r="X140" s="27" t="s">
        <v>18</v>
      </c>
    </row>
    <row r="141" spans="1:24">
      <c r="A141" s="27">
        <v>1</v>
      </c>
      <c r="B141" s="27">
        <v>2</v>
      </c>
      <c r="C141" s="27">
        <v>5</v>
      </c>
      <c r="D141" s="27">
        <v>2010</v>
      </c>
      <c r="E141" s="27">
        <v>2010</v>
      </c>
      <c r="F141" s="27">
        <v>4</v>
      </c>
      <c r="G141" s="27">
        <v>5</v>
      </c>
      <c r="H141" s="27">
        <v>0</v>
      </c>
      <c r="I141" s="27">
        <v>0</v>
      </c>
      <c r="J141" s="27">
        <v>0</v>
      </c>
      <c r="K141" s="27">
        <v>3.14</v>
      </c>
      <c r="L141" s="27">
        <v>4000</v>
      </c>
      <c r="M141" s="27">
        <v>5300</v>
      </c>
      <c r="N141" s="27">
        <v>75</v>
      </c>
      <c r="O141" s="27">
        <v>75</v>
      </c>
      <c r="P141" s="27" t="s">
        <v>13</v>
      </c>
      <c r="Q141" s="27">
        <v>1993</v>
      </c>
      <c r="R141" s="27">
        <v>1</v>
      </c>
      <c r="S141" s="27">
        <v>0</v>
      </c>
      <c r="T141" s="27">
        <v>-3.0000000000000001E-3</v>
      </c>
      <c r="U141" s="27">
        <v>-1.2E-2</v>
      </c>
      <c r="V141" s="27">
        <v>0</v>
      </c>
      <c r="W141" s="27">
        <v>0</v>
      </c>
      <c r="X141" s="27" t="s">
        <v>18</v>
      </c>
    </row>
    <row r="142" spans="1:24">
      <c r="A142" s="27">
        <v>1</v>
      </c>
      <c r="B142" s="27">
        <v>2</v>
      </c>
      <c r="C142" s="27">
        <v>5</v>
      </c>
      <c r="D142" s="27">
        <v>2010</v>
      </c>
      <c r="E142" s="27">
        <v>2010</v>
      </c>
      <c r="F142" s="27">
        <v>5</v>
      </c>
      <c r="G142" s="27">
        <v>5</v>
      </c>
      <c r="H142" s="27">
        <v>0</v>
      </c>
      <c r="I142" s="27">
        <v>0</v>
      </c>
      <c r="J142" s="27">
        <v>0</v>
      </c>
      <c r="K142" s="27">
        <v>3.14</v>
      </c>
      <c r="L142" s="27">
        <v>4000</v>
      </c>
      <c r="M142" s="27">
        <v>5300</v>
      </c>
      <c r="N142" s="27">
        <v>75</v>
      </c>
      <c r="O142" s="27">
        <v>75</v>
      </c>
      <c r="P142" s="27" t="s">
        <v>13</v>
      </c>
      <c r="Q142" s="27">
        <v>1993</v>
      </c>
      <c r="R142" s="27">
        <v>1</v>
      </c>
      <c r="S142" s="27">
        <v>0</v>
      </c>
      <c r="T142" s="27">
        <v>-3.0000000000000001E-3</v>
      </c>
      <c r="U142" s="27">
        <v>-1.2E-2</v>
      </c>
      <c r="V142" s="27">
        <v>0</v>
      </c>
      <c r="W142" s="27">
        <v>0</v>
      </c>
      <c r="X142" s="27" t="s">
        <v>18</v>
      </c>
    </row>
    <row r="143" spans="1:24">
      <c r="A143" s="27">
        <v>1</v>
      </c>
      <c r="B143" s="27">
        <v>2</v>
      </c>
      <c r="C143" s="27">
        <v>5</v>
      </c>
      <c r="D143" s="27">
        <v>2010</v>
      </c>
      <c r="E143" s="27">
        <v>2010</v>
      </c>
      <c r="F143" s="27">
        <v>6</v>
      </c>
      <c r="G143" s="27">
        <v>5</v>
      </c>
      <c r="H143" s="27">
        <v>0</v>
      </c>
      <c r="I143" s="27">
        <v>0</v>
      </c>
      <c r="J143" s="27">
        <v>0</v>
      </c>
      <c r="K143" s="27">
        <v>3.14</v>
      </c>
      <c r="L143" s="27">
        <v>4000</v>
      </c>
      <c r="M143" s="27">
        <v>5300</v>
      </c>
      <c r="N143" s="27">
        <v>75</v>
      </c>
      <c r="O143" s="27">
        <v>75</v>
      </c>
      <c r="P143" s="27" t="s">
        <v>13</v>
      </c>
      <c r="Q143" s="27">
        <v>1993</v>
      </c>
      <c r="R143" s="27">
        <v>1</v>
      </c>
      <c r="S143" s="27">
        <v>0</v>
      </c>
      <c r="T143" s="27">
        <v>-3.0000000000000001E-3</v>
      </c>
      <c r="U143" s="27">
        <v>-1.2E-2</v>
      </c>
      <c r="V143" s="27">
        <v>0</v>
      </c>
      <c r="W143" s="27">
        <v>0</v>
      </c>
      <c r="X143" s="27" t="s">
        <v>18</v>
      </c>
    </row>
    <row r="144" spans="1:24">
      <c r="A144" s="27">
        <v>1</v>
      </c>
      <c r="B144" s="27">
        <v>2</v>
      </c>
      <c r="C144" s="27">
        <v>5</v>
      </c>
      <c r="D144" s="27">
        <v>2010</v>
      </c>
      <c r="E144" s="27">
        <v>2010</v>
      </c>
      <c r="F144" s="27">
        <v>7</v>
      </c>
      <c r="G144" s="27">
        <v>5</v>
      </c>
      <c r="H144" s="27">
        <v>0</v>
      </c>
      <c r="I144" s="27">
        <v>0</v>
      </c>
      <c r="J144" s="27">
        <v>0</v>
      </c>
      <c r="K144" s="27">
        <v>3.14</v>
      </c>
      <c r="L144" s="27">
        <v>4000</v>
      </c>
      <c r="M144" s="27">
        <v>5300</v>
      </c>
      <c r="N144" s="27">
        <v>75</v>
      </c>
      <c r="O144" s="27">
        <v>75</v>
      </c>
      <c r="P144" s="27" t="s">
        <v>13</v>
      </c>
      <c r="Q144" s="27">
        <v>1993</v>
      </c>
      <c r="R144" s="27">
        <v>1</v>
      </c>
      <c r="S144" s="27">
        <v>0</v>
      </c>
      <c r="T144" s="27">
        <v>-3.0000000000000001E-3</v>
      </c>
      <c r="U144" s="27">
        <v>-1.2E-2</v>
      </c>
      <c r="V144" s="27">
        <v>0</v>
      </c>
      <c r="W144" s="27">
        <v>0</v>
      </c>
      <c r="X144" s="27" t="s">
        <v>18</v>
      </c>
    </row>
    <row r="145" spans="1:24">
      <c r="A145" s="27">
        <v>1</v>
      </c>
      <c r="B145" s="27">
        <v>2</v>
      </c>
      <c r="C145" s="27">
        <v>5</v>
      </c>
      <c r="D145" s="27">
        <v>2010</v>
      </c>
      <c r="E145" s="27">
        <v>2010</v>
      </c>
      <c r="F145" s="27">
        <v>8</v>
      </c>
      <c r="G145" s="27">
        <v>5</v>
      </c>
      <c r="H145" s="27">
        <v>0</v>
      </c>
      <c r="I145" s="27">
        <v>0</v>
      </c>
      <c r="J145" s="27">
        <v>0</v>
      </c>
      <c r="K145" s="27">
        <v>3.14</v>
      </c>
      <c r="L145" s="27">
        <v>4000</v>
      </c>
      <c r="M145" s="27">
        <v>5300</v>
      </c>
      <c r="N145" s="27">
        <v>75</v>
      </c>
      <c r="O145" s="27">
        <v>75</v>
      </c>
      <c r="P145" s="27" t="s">
        <v>13</v>
      </c>
      <c r="Q145" s="27">
        <v>1993</v>
      </c>
      <c r="R145" s="27">
        <v>1</v>
      </c>
      <c r="S145" s="27">
        <v>0</v>
      </c>
      <c r="T145" s="27">
        <v>-3.0000000000000001E-3</v>
      </c>
      <c r="U145" s="27">
        <v>-1.2E-2</v>
      </c>
      <c r="V145" s="27">
        <v>0</v>
      </c>
      <c r="W145" s="27">
        <v>0</v>
      </c>
      <c r="X145" s="27" t="s">
        <v>18</v>
      </c>
    </row>
    <row r="146" spans="1:24">
      <c r="A146" s="27">
        <v>1</v>
      </c>
      <c r="B146" s="27">
        <v>2</v>
      </c>
      <c r="C146" s="27">
        <v>5</v>
      </c>
      <c r="D146" s="27">
        <v>2010</v>
      </c>
      <c r="E146" s="27">
        <v>2010</v>
      </c>
      <c r="F146" s="27">
        <v>9</v>
      </c>
      <c r="G146" s="27">
        <v>5</v>
      </c>
      <c r="H146" s="27">
        <v>0</v>
      </c>
      <c r="I146" s="27">
        <v>0</v>
      </c>
      <c r="J146" s="27">
        <v>0</v>
      </c>
      <c r="K146" s="27">
        <v>3.14</v>
      </c>
      <c r="L146" s="27">
        <v>4000</v>
      </c>
      <c r="M146" s="27">
        <v>5300</v>
      </c>
      <c r="N146" s="27">
        <v>75</v>
      </c>
      <c r="O146" s="27">
        <v>75</v>
      </c>
      <c r="P146" s="27" t="s">
        <v>13</v>
      </c>
      <c r="Q146" s="27">
        <v>1993</v>
      </c>
      <c r="R146" s="27">
        <v>1</v>
      </c>
      <c r="S146" s="27">
        <v>0</v>
      </c>
      <c r="T146" s="27">
        <v>-3.0000000000000001E-3</v>
      </c>
      <c r="U146" s="27">
        <v>-1.2E-2</v>
      </c>
      <c r="V146" s="27">
        <v>0</v>
      </c>
      <c r="W146" s="27">
        <v>0</v>
      </c>
      <c r="X146" s="27" t="s">
        <v>18</v>
      </c>
    </row>
    <row r="147" spans="1:24">
      <c r="A147" s="27">
        <v>1</v>
      </c>
      <c r="B147" s="27">
        <v>2</v>
      </c>
      <c r="C147" s="27">
        <v>5</v>
      </c>
      <c r="D147" s="27">
        <v>2011</v>
      </c>
      <c r="E147" s="27">
        <v>2012</v>
      </c>
      <c r="F147" s="27">
        <v>1</v>
      </c>
      <c r="G147" s="27">
        <v>5</v>
      </c>
      <c r="H147" s="27">
        <v>0</v>
      </c>
      <c r="I147" s="27">
        <v>0</v>
      </c>
      <c r="J147" s="27">
        <v>0</v>
      </c>
      <c r="K147" s="27">
        <v>3.14</v>
      </c>
      <c r="L147" s="27">
        <v>4000</v>
      </c>
      <c r="M147" s="27">
        <v>5300</v>
      </c>
      <c r="N147" s="27">
        <v>0</v>
      </c>
      <c r="O147" s="27">
        <v>0</v>
      </c>
      <c r="P147" s="27" t="s">
        <v>13</v>
      </c>
      <c r="Q147" s="27">
        <v>1993</v>
      </c>
      <c r="R147" s="27">
        <v>1</v>
      </c>
      <c r="S147" s="27">
        <v>0</v>
      </c>
      <c r="T147" s="27">
        <v>-3.0000000000000001E-3</v>
      </c>
      <c r="U147" s="27">
        <v>-1.2E-2</v>
      </c>
      <c r="V147" s="27">
        <v>0</v>
      </c>
      <c r="W147" s="27">
        <v>0</v>
      </c>
      <c r="X147" s="27" t="s">
        <v>18</v>
      </c>
    </row>
    <row r="148" spans="1:24">
      <c r="A148" s="27">
        <v>1</v>
      </c>
      <c r="B148" s="27">
        <v>2</v>
      </c>
      <c r="C148" s="27">
        <v>5</v>
      </c>
      <c r="D148" s="27">
        <v>2011</v>
      </c>
      <c r="E148" s="27">
        <v>2012</v>
      </c>
      <c r="F148" s="27">
        <v>2</v>
      </c>
      <c r="G148" s="27">
        <v>5</v>
      </c>
      <c r="H148" s="27">
        <v>0</v>
      </c>
      <c r="I148" s="27">
        <v>0</v>
      </c>
      <c r="J148" s="27">
        <v>0</v>
      </c>
      <c r="K148" s="27">
        <v>3.14</v>
      </c>
      <c r="L148" s="27">
        <v>4000</v>
      </c>
      <c r="M148" s="27">
        <v>5300</v>
      </c>
      <c r="N148" s="27">
        <v>0</v>
      </c>
      <c r="O148" s="27">
        <v>0</v>
      </c>
      <c r="P148" s="27" t="s">
        <v>13</v>
      </c>
      <c r="Q148" s="27">
        <v>1993</v>
      </c>
      <c r="R148" s="27">
        <v>1</v>
      </c>
      <c r="S148" s="27">
        <v>0</v>
      </c>
      <c r="T148" s="27">
        <v>-3.0000000000000001E-3</v>
      </c>
      <c r="U148" s="27">
        <v>-1.2E-2</v>
      </c>
      <c r="V148" s="27">
        <v>0</v>
      </c>
      <c r="W148" s="27">
        <v>0</v>
      </c>
      <c r="X148" s="27" t="s">
        <v>18</v>
      </c>
    </row>
    <row r="149" spans="1:24">
      <c r="A149" s="27">
        <v>1</v>
      </c>
      <c r="B149" s="27">
        <v>2</v>
      </c>
      <c r="C149" s="27">
        <v>5</v>
      </c>
      <c r="D149" s="27">
        <v>2011</v>
      </c>
      <c r="E149" s="27">
        <v>2012</v>
      </c>
      <c r="F149" s="27">
        <v>3</v>
      </c>
      <c r="G149" s="27">
        <v>5</v>
      </c>
      <c r="H149" s="27">
        <v>0</v>
      </c>
      <c r="I149" s="27">
        <v>0</v>
      </c>
      <c r="J149" s="27">
        <v>0</v>
      </c>
      <c r="K149" s="27">
        <v>3.14</v>
      </c>
      <c r="L149" s="27">
        <v>4000</v>
      </c>
      <c r="M149" s="27">
        <v>5300</v>
      </c>
      <c r="N149" s="27">
        <v>0</v>
      </c>
      <c r="O149" s="27">
        <v>0</v>
      </c>
      <c r="P149" s="27" t="s">
        <v>13</v>
      </c>
      <c r="Q149" s="27">
        <v>1993</v>
      </c>
      <c r="R149" s="27">
        <v>1</v>
      </c>
      <c r="S149" s="27">
        <v>0</v>
      </c>
      <c r="T149" s="27">
        <v>-3.0000000000000001E-3</v>
      </c>
      <c r="U149" s="27">
        <v>-1.2E-2</v>
      </c>
      <c r="V149" s="27">
        <v>0</v>
      </c>
      <c r="W149" s="27">
        <v>0</v>
      </c>
      <c r="X149" s="27" t="s">
        <v>18</v>
      </c>
    </row>
    <row r="150" spans="1:24">
      <c r="A150" s="27">
        <v>1</v>
      </c>
      <c r="B150" s="27">
        <v>2</v>
      </c>
      <c r="C150" s="27">
        <v>5</v>
      </c>
      <c r="D150" s="27">
        <v>2011</v>
      </c>
      <c r="E150" s="27">
        <v>2012</v>
      </c>
      <c r="F150" s="27">
        <v>4</v>
      </c>
      <c r="G150" s="27">
        <v>5</v>
      </c>
      <c r="H150" s="27">
        <v>0</v>
      </c>
      <c r="I150" s="27">
        <v>0</v>
      </c>
      <c r="J150" s="27">
        <v>0</v>
      </c>
      <c r="K150" s="27">
        <v>3.14</v>
      </c>
      <c r="L150" s="27">
        <v>4000</v>
      </c>
      <c r="M150" s="27">
        <v>5300</v>
      </c>
      <c r="N150" s="27">
        <v>0</v>
      </c>
      <c r="O150" s="27">
        <v>0</v>
      </c>
      <c r="P150" s="27" t="s">
        <v>13</v>
      </c>
      <c r="Q150" s="27">
        <v>1993</v>
      </c>
      <c r="R150" s="27">
        <v>1</v>
      </c>
      <c r="S150" s="27">
        <v>0</v>
      </c>
      <c r="T150" s="27">
        <v>-3.0000000000000001E-3</v>
      </c>
      <c r="U150" s="27">
        <v>-1.2E-2</v>
      </c>
      <c r="V150" s="27">
        <v>0</v>
      </c>
      <c r="W150" s="27">
        <v>0</v>
      </c>
      <c r="X150" s="27" t="s">
        <v>18</v>
      </c>
    </row>
    <row r="151" spans="1:24">
      <c r="A151" s="27">
        <v>1</v>
      </c>
      <c r="B151" s="27">
        <v>2</v>
      </c>
      <c r="C151" s="27">
        <v>5</v>
      </c>
      <c r="D151" s="27">
        <v>2011</v>
      </c>
      <c r="E151" s="27">
        <v>2012</v>
      </c>
      <c r="F151" s="27">
        <v>5</v>
      </c>
      <c r="G151" s="27">
        <v>5</v>
      </c>
      <c r="H151" s="27">
        <v>0</v>
      </c>
      <c r="I151" s="27">
        <v>0</v>
      </c>
      <c r="J151" s="27">
        <v>0</v>
      </c>
      <c r="K151" s="27">
        <v>3.14</v>
      </c>
      <c r="L151" s="27">
        <v>4000</v>
      </c>
      <c r="M151" s="27">
        <v>5300</v>
      </c>
      <c r="N151" s="27">
        <v>0</v>
      </c>
      <c r="O151" s="27">
        <v>0</v>
      </c>
      <c r="P151" s="27" t="s">
        <v>13</v>
      </c>
      <c r="Q151" s="27">
        <v>1993</v>
      </c>
      <c r="R151" s="27">
        <v>1</v>
      </c>
      <c r="S151" s="27">
        <v>0</v>
      </c>
      <c r="T151" s="27">
        <v>-3.0000000000000001E-3</v>
      </c>
      <c r="U151" s="27">
        <v>-1.2E-2</v>
      </c>
      <c r="V151" s="27">
        <v>0</v>
      </c>
      <c r="W151" s="27">
        <v>0</v>
      </c>
      <c r="X151" s="27" t="s">
        <v>18</v>
      </c>
    </row>
    <row r="152" spans="1:24">
      <c r="A152" s="27">
        <v>1</v>
      </c>
      <c r="B152" s="27">
        <v>2</v>
      </c>
      <c r="C152" s="27">
        <v>5</v>
      </c>
      <c r="D152" s="27">
        <v>2011</v>
      </c>
      <c r="E152" s="27">
        <v>2012</v>
      </c>
      <c r="F152" s="27">
        <v>6</v>
      </c>
      <c r="G152" s="27">
        <v>5</v>
      </c>
      <c r="H152" s="27">
        <v>0</v>
      </c>
      <c r="I152" s="27">
        <v>0</v>
      </c>
      <c r="J152" s="27">
        <v>0</v>
      </c>
      <c r="K152" s="27">
        <v>3.14</v>
      </c>
      <c r="L152" s="27">
        <v>4000</v>
      </c>
      <c r="M152" s="27">
        <v>5300</v>
      </c>
      <c r="N152" s="27">
        <v>0</v>
      </c>
      <c r="O152" s="27">
        <v>0</v>
      </c>
      <c r="P152" s="27" t="s">
        <v>13</v>
      </c>
      <c r="Q152" s="27">
        <v>1993</v>
      </c>
      <c r="R152" s="27">
        <v>1</v>
      </c>
      <c r="S152" s="27">
        <v>0</v>
      </c>
      <c r="T152" s="27">
        <v>-3.0000000000000001E-3</v>
      </c>
      <c r="U152" s="27">
        <v>-1.2E-2</v>
      </c>
      <c r="V152" s="27">
        <v>0</v>
      </c>
      <c r="W152" s="27">
        <v>0</v>
      </c>
      <c r="X152" s="27" t="s">
        <v>18</v>
      </c>
    </row>
    <row r="153" spans="1:24">
      <c r="A153" s="27">
        <v>1</v>
      </c>
      <c r="B153" s="27">
        <v>2</v>
      </c>
      <c r="C153" s="27">
        <v>5</v>
      </c>
      <c r="D153" s="27">
        <v>2011</v>
      </c>
      <c r="E153" s="27">
        <v>2012</v>
      </c>
      <c r="F153" s="27">
        <v>7</v>
      </c>
      <c r="G153" s="27">
        <v>5</v>
      </c>
      <c r="H153" s="27">
        <v>0</v>
      </c>
      <c r="I153" s="27">
        <v>0</v>
      </c>
      <c r="J153" s="27">
        <v>0</v>
      </c>
      <c r="K153" s="27">
        <v>3.14</v>
      </c>
      <c r="L153" s="27">
        <v>4000</v>
      </c>
      <c r="M153" s="27">
        <v>5300</v>
      </c>
      <c r="N153" s="27">
        <v>0</v>
      </c>
      <c r="O153" s="27">
        <v>0</v>
      </c>
      <c r="P153" s="27" t="s">
        <v>13</v>
      </c>
      <c r="Q153" s="27">
        <v>1993</v>
      </c>
      <c r="R153" s="27">
        <v>1</v>
      </c>
      <c r="S153" s="27">
        <v>0</v>
      </c>
      <c r="T153" s="27">
        <v>-3.0000000000000001E-3</v>
      </c>
      <c r="U153" s="27">
        <v>-1.2E-2</v>
      </c>
      <c r="V153" s="27">
        <v>0</v>
      </c>
      <c r="W153" s="27">
        <v>0</v>
      </c>
      <c r="X153" s="27" t="s">
        <v>18</v>
      </c>
    </row>
    <row r="154" spans="1:24">
      <c r="A154" s="27">
        <v>1</v>
      </c>
      <c r="B154" s="27">
        <v>2</v>
      </c>
      <c r="C154" s="27">
        <v>5</v>
      </c>
      <c r="D154" s="27">
        <v>2011</v>
      </c>
      <c r="E154" s="27">
        <v>2012</v>
      </c>
      <c r="F154" s="27">
        <v>8</v>
      </c>
      <c r="G154" s="27">
        <v>5</v>
      </c>
      <c r="H154" s="27">
        <v>0</v>
      </c>
      <c r="I154" s="27">
        <v>0</v>
      </c>
      <c r="J154" s="27">
        <v>0</v>
      </c>
      <c r="K154" s="27">
        <v>3.14</v>
      </c>
      <c r="L154" s="27">
        <v>4000</v>
      </c>
      <c r="M154" s="27">
        <v>5300</v>
      </c>
      <c r="N154" s="27">
        <v>0</v>
      </c>
      <c r="O154" s="27">
        <v>0</v>
      </c>
      <c r="P154" s="27" t="s">
        <v>13</v>
      </c>
      <c r="Q154" s="27">
        <v>1993</v>
      </c>
      <c r="R154" s="27">
        <v>1</v>
      </c>
      <c r="S154" s="27">
        <v>0</v>
      </c>
      <c r="T154" s="27">
        <v>-3.0000000000000001E-3</v>
      </c>
      <c r="U154" s="27">
        <v>-1.2E-2</v>
      </c>
      <c r="V154" s="27">
        <v>0</v>
      </c>
      <c r="W154" s="27">
        <v>0</v>
      </c>
      <c r="X154" s="27" t="s">
        <v>18</v>
      </c>
    </row>
    <row r="155" spans="1:24">
      <c r="A155" s="27">
        <v>1</v>
      </c>
      <c r="B155" s="27">
        <v>2</v>
      </c>
      <c r="C155" s="27">
        <v>5</v>
      </c>
      <c r="D155" s="27">
        <v>2011</v>
      </c>
      <c r="E155" s="27">
        <v>2012</v>
      </c>
      <c r="F155" s="27">
        <v>9</v>
      </c>
      <c r="G155" s="27">
        <v>5</v>
      </c>
      <c r="H155" s="27">
        <v>0</v>
      </c>
      <c r="I155" s="27">
        <v>0</v>
      </c>
      <c r="J155" s="27">
        <v>0</v>
      </c>
      <c r="K155" s="27">
        <v>3.14</v>
      </c>
      <c r="L155" s="27">
        <v>4000</v>
      </c>
      <c r="M155" s="27">
        <v>5300</v>
      </c>
      <c r="N155" s="27">
        <v>0</v>
      </c>
      <c r="O155" s="27">
        <v>0</v>
      </c>
      <c r="P155" s="27" t="s">
        <v>13</v>
      </c>
      <c r="Q155" s="27">
        <v>1993</v>
      </c>
      <c r="R155" s="27">
        <v>1</v>
      </c>
      <c r="S155" s="27">
        <v>0</v>
      </c>
      <c r="T155" s="27">
        <v>-3.0000000000000001E-3</v>
      </c>
      <c r="U155" s="27">
        <v>-1.2E-2</v>
      </c>
      <c r="V155" s="27">
        <v>0</v>
      </c>
      <c r="W155" s="27">
        <v>0</v>
      </c>
      <c r="X155" s="27" t="s">
        <v>18</v>
      </c>
    </row>
    <row r="156" spans="1:24">
      <c r="A156" s="27">
        <v>1</v>
      </c>
      <c r="B156" s="27">
        <v>2</v>
      </c>
      <c r="C156" s="27">
        <v>5</v>
      </c>
      <c r="D156" s="27">
        <v>2013</v>
      </c>
      <c r="E156" s="27">
        <v>2013</v>
      </c>
      <c r="F156" s="27">
        <v>1</v>
      </c>
      <c r="G156" s="27">
        <v>5</v>
      </c>
      <c r="H156" s="27">
        <v>0</v>
      </c>
      <c r="I156" s="27">
        <v>0</v>
      </c>
      <c r="J156" s="27">
        <v>0</v>
      </c>
      <c r="K156" s="27">
        <v>3.14</v>
      </c>
      <c r="L156" s="27">
        <v>4000</v>
      </c>
      <c r="M156" s="27">
        <v>5300</v>
      </c>
      <c r="N156" s="27">
        <v>150</v>
      </c>
      <c r="O156" s="27">
        <v>300</v>
      </c>
      <c r="P156" s="27" t="s">
        <v>13</v>
      </c>
      <c r="Q156" s="27">
        <v>1993</v>
      </c>
      <c r="R156" s="27">
        <v>1</v>
      </c>
      <c r="S156" s="27">
        <v>0</v>
      </c>
      <c r="T156" s="27">
        <v>-3.0000000000000001E-3</v>
      </c>
      <c r="U156" s="27">
        <v>-1.2E-2</v>
      </c>
      <c r="V156" s="27">
        <v>0</v>
      </c>
      <c r="W156" s="27">
        <v>0</v>
      </c>
      <c r="X156" s="27" t="s">
        <v>18</v>
      </c>
    </row>
    <row r="157" spans="1:24">
      <c r="A157" s="27">
        <v>1</v>
      </c>
      <c r="B157" s="27">
        <v>2</v>
      </c>
      <c r="C157" s="27">
        <v>5</v>
      </c>
      <c r="D157" s="27">
        <v>2013</v>
      </c>
      <c r="E157" s="27">
        <v>2013</v>
      </c>
      <c r="F157" s="27">
        <v>2</v>
      </c>
      <c r="G157" s="27">
        <v>5</v>
      </c>
      <c r="H157" s="27">
        <v>0</v>
      </c>
      <c r="I157" s="27">
        <v>0</v>
      </c>
      <c r="J157" s="27">
        <v>0</v>
      </c>
      <c r="K157" s="27">
        <v>3.14</v>
      </c>
      <c r="L157" s="27">
        <v>4000</v>
      </c>
      <c r="M157" s="27">
        <v>5300</v>
      </c>
      <c r="N157" s="27">
        <v>150</v>
      </c>
      <c r="O157" s="27">
        <v>300</v>
      </c>
      <c r="P157" s="27" t="s">
        <v>13</v>
      </c>
      <c r="Q157" s="27">
        <v>1993</v>
      </c>
      <c r="R157" s="27">
        <v>1</v>
      </c>
      <c r="S157" s="27">
        <v>0</v>
      </c>
      <c r="T157" s="27">
        <v>-3.0000000000000001E-3</v>
      </c>
      <c r="U157" s="27">
        <v>-1.2E-2</v>
      </c>
      <c r="V157" s="27">
        <v>0</v>
      </c>
      <c r="W157" s="27">
        <v>0</v>
      </c>
      <c r="X157" s="27" t="s">
        <v>18</v>
      </c>
    </row>
    <row r="158" spans="1:24">
      <c r="A158" s="27">
        <v>1</v>
      </c>
      <c r="B158" s="27">
        <v>2</v>
      </c>
      <c r="C158" s="27">
        <v>5</v>
      </c>
      <c r="D158" s="27">
        <v>2013</v>
      </c>
      <c r="E158" s="27">
        <v>2013</v>
      </c>
      <c r="F158" s="27">
        <v>3</v>
      </c>
      <c r="G158" s="27">
        <v>5</v>
      </c>
      <c r="H158" s="27">
        <v>0</v>
      </c>
      <c r="I158" s="27">
        <v>0</v>
      </c>
      <c r="J158" s="27">
        <v>0</v>
      </c>
      <c r="K158" s="27">
        <v>3.14</v>
      </c>
      <c r="L158" s="27">
        <v>4000</v>
      </c>
      <c r="M158" s="27">
        <v>5300</v>
      </c>
      <c r="N158" s="27">
        <v>150</v>
      </c>
      <c r="O158" s="27">
        <v>300</v>
      </c>
      <c r="P158" s="27" t="s">
        <v>13</v>
      </c>
      <c r="Q158" s="27">
        <v>1993</v>
      </c>
      <c r="R158" s="27">
        <v>1</v>
      </c>
      <c r="S158" s="27">
        <v>0</v>
      </c>
      <c r="T158" s="27">
        <v>-3.0000000000000001E-3</v>
      </c>
      <c r="U158" s="27">
        <v>-1.2E-2</v>
      </c>
      <c r="V158" s="27">
        <v>0</v>
      </c>
      <c r="W158" s="27">
        <v>0</v>
      </c>
      <c r="X158" s="27" t="s">
        <v>18</v>
      </c>
    </row>
    <row r="159" spans="1:24">
      <c r="A159" s="27">
        <v>1</v>
      </c>
      <c r="B159" s="27">
        <v>2</v>
      </c>
      <c r="C159" s="27">
        <v>5</v>
      </c>
      <c r="D159" s="27">
        <v>2013</v>
      </c>
      <c r="E159" s="27">
        <v>2013</v>
      </c>
      <c r="F159" s="27">
        <v>4</v>
      </c>
      <c r="G159" s="27">
        <v>5</v>
      </c>
      <c r="H159" s="27">
        <v>0</v>
      </c>
      <c r="I159" s="27">
        <v>0</v>
      </c>
      <c r="J159" s="27">
        <v>0</v>
      </c>
      <c r="K159" s="27">
        <v>3.14</v>
      </c>
      <c r="L159" s="27">
        <v>4000</v>
      </c>
      <c r="M159" s="27">
        <v>5300</v>
      </c>
      <c r="N159" s="27">
        <v>150</v>
      </c>
      <c r="O159" s="27">
        <v>300</v>
      </c>
      <c r="P159" s="27" t="s">
        <v>13</v>
      </c>
      <c r="Q159" s="27">
        <v>1993</v>
      </c>
      <c r="R159" s="27">
        <v>1</v>
      </c>
      <c r="S159" s="27">
        <v>0</v>
      </c>
      <c r="T159" s="27">
        <v>-3.0000000000000001E-3</v>
      </c>
      <c r="U159" s="27">
        <v>-1.2E-2</v>
      </c>
      <c r="V159" s="27">
        <v>0</v>
      </c>
      <c r="W159" s="27">
        <v>0</v>
      </c>
      <c r="X159" s="27" t="s">
        <v>18</v>
      </c>
    </row>
    <row r="160" spans="1:24">
      <c r="A160" s="27">
        <v>1</v>
      </c>
      <c r="B160" s="27">
        <v>2</v>
      </c>
      <c r="C160" s="27">
        <v>5</v>
      </c>
      <c r="D160" s="27">
        <v>2013</v>
      </c>
      <c r="E160" s="27">
        <v>2013</v>
      </c>
      <c r="F160" s="27">
        <v>5</v>
      </c>
      <c r="G160" s="27">
        <v>5</v>
      </c>
      <c r="H160" s="27">
        <v>0</v>
      </c>
      <c r="I160" s="27">
        <v>0</v>
      </c>
      <c r="J160" s="27">
        <v>0</v>
      </c>
      <c r="K160" s="27">
        <v>3.14</v>
      </c>
      <c r="L160" s="27">
        <v>4000</v>
      </c>
      <c r="M160" s="27">
        <v>5300</v>
      </c>
      <c r="N160" s="27">
        <v>150</v>
      </c>
      <c r="O160" s="27">
        <v>300</v>
      </c>
      <c r="P160" s="27" t="s">
        <v>13</v>
      </c>
      <c r="Q160" s="27">
        <v>1993</v>
      </c>
      <c r="R160" s="27">
        <v>1</v>
      </c>
      <c r="S160" s="27">
        <v>0</v>
      </c>
      <c r="T160" s="27">
        <v>-3.0000000000000001E-3</v>
      </c>
      <c r="U160" s="27">
        <v>-1.2E-2</v>
      </c>
      <c r="V160" s="27">
        <v>0</v>
      </c>
      <c r="W160" s="27">
        <v>0</v>
      </c>
      <c r="X160" s="27" t="s">
        <v>18</v>
      </c>
    </row>
    <row r="161" spans="1:24">
      <c r="A161" s="27">
        <v>1</v>
      </c>
      <c r="B161" s="27">
        <v>2</v>
      </c>
      <c r="C161" s="27">
        <v>5</v>
      </c>
      <c r="D161" s="27">
        <v>2013</v>
      </c>
      <c r="E161" s="27">
        <v>2013</v>
      </c>
      <c r="F161" s="27">
        <v>6</v>
      </c>
      <c r="G161" s="27">
        <v>5</v>
      </c>
      <c r="H161" s="27">
        <v>0</v>
      </c>
      <c r="I161" s="27">
        <v>0</v>
      </c>
      <c r="J161" s="27">
        <v>0</v>
      </c>
      <c r="K161" s="27">
        <v>3.14</v>
      </c>
      <c r="L161" s="27">
        <v>4000</v>
      </c>
      <c r="M161" s="27">
        <v>5300</v>
      </c>
      <c r="N161" s="27">
        <v>150</v>
      </c>
      <c r="O161" s="27">
        <v>300</v>
      </c>
      <c r="P161" s="27" t="s">
        <v>13</v>
      </c>
      <c r="Q161" s="27">
        <v>1993</v>
      </c>
      <c r="R161" s="27">
        <v>1</v>
      </c>
      <c r="S161" s="27">
        <v>0</v>
      </c>
      <c r="T161" s="27">
        <v>-3.0000000000000001E-3</v>
      </c>
      <c r="U161" s="27">
        <v>-1.2E-2</v>
      </c>
      <c r="V161" s="27">
        <v>0</v>
      </c>
      <c r="W161" s="27">
        <v>0</v>
      </c>
      <c r="X161" s="27" t="s">
        <v>18</v>
      </c>
    </row>
    <row r="162" spans="1:24">
      <c r="A162" s="27">
        <v>1</v>
      </c>
      <c r="B162" s="27">
        <v>2</v>
      </c>
      <c r="C162" s="27">
        <v>5</v>
      </c>
      <c r="D162" s="27">
        <v>2013</v>
      </c>
      <c r="E162" s="27">
        <v>2013</v>
      </c>
      <c r="F162" s="27">
        <v>7</v>
      </c>
      <c r="G162" s="27">
        <v>5</v>
      </c>
      <c r="H162" s="27">
        <v>0</v>
      </c>
      <c r="I162" s="27">
        <v>0</v>
      </c>
      <c r="J162" s="27">
        <v>0</v>
      </c>
      <c r="K162" s="27">
        <v>3.14</v>
      </c>
      <c r="L162" s="27">
        <v>4000</v>
      </c>
      <c r="M162" s="27">
        <v>5300</v>
      </c>
      <c r="N162" s="27">
        <v>150</v>
      </c>
      <c r="O162" s="27">
        <v>300</v>
      </c>
      <c r="P162" s="27" t="s">
        <v>13</v>
      </c>
      <c r="Q162" s="27">
        <v>1993</v>
      </c>
      <c r="R162" s="27">
        <v>1</v>
      </c>
      <c r="S162" s="27">
        <v>0</v>
      </c>
      <c r="T162" s="27">
        <v>-3.0000000000000001E-3</v>
      </c>
      <c r="U162" s="27">
        <v>-1.2E-2</v>
      </c>
      <c r="V162" s="27">
        <v>0</v>
      </c>
      <c r="W162" s="27">
        <v>0</v>
      </c>
      <c r="X162" s="27" t="s">
        <v>18</v>
      </c>
    </row>
    <row r="163" spans="1:24">
      <c r="A163" s="27">
        <v>1</v>
      </c>
      <c r="B163" s="27">
        <v>2</v>
      </c>
      <c r="C163" s="27">
        <v>5</v>
      </c>
      <c r="D163" s="27">
        <v>2013</v>
      </c>
      <c r="E163" s="27">
        <v>2013</v>
      </c>
      <c r="F163" s="27">
        <v>8</v>
      </c>
      <c r="G163" s="27">
        <v>5</v>
      </c>
      <c r="H163" s="27">
        <v>0</v>
      </c>
      <c r="I163" s="27">
        <v>0</v>
      </c>
      <c r="J163" s="27">
        <v>0</v>
      </c>
      <c r="K163" s="27">
        <v>3.14</v>
      </c>
      <c r="L163" s="27">
        <v>4000</v>
      </c>
      <c r="M163" s="27">
        <v>5300</v>
      </c>
      <c r="N163" s="27">
        <v>150</v>
      </c>
      <c r="O163" s="27">
        <v>300</v>
      </c>
      <c r="P163" s="27" t="s">
        <v>13</v>
      </c>
      <c r="Q163" s="27">
        <v>1993</v>
      </c>
      <c r="R163" s="27">
        <v>1</v>
      </c>
      <c r="S163" s="27">
        <v>0</v>
      </c>
      <c r="T163" s="27">
        <v>-3.0000000000000001E-3</v>
      </c>
      <c r="U163" s="27">
        <v>-1.2E-2</v>
      </c>
      <c r="V163" s="27">
        <v>0</v>
      </c>
      <c r="W163" s="27">
        <v>0</v>
      </c>
      <c r="X163" s="27" t="s">
        <v>18</v>
      </c>
    </row>
    <row r="164" spans="1:24">
      <c r="A164" s="27">
        <v>1</v>
      </c>
      <c r="B164" s="27">
        <v>2</v>
      </c>
      <c r="C164" s="27">
        <v>5</v>
      </c>
      <c r="D164" s="27">
        <v>2013</v>
      </c>
      <c r="E164" s="27">
        <v>2013</v>
      </c>
      <c r="F164" s="27">
        <v>9</v>
      </c>
      <c r="G164" s="27">
        <v>5</v>
      </c>
      <c r="H164" s="27">
        <v>0</v>
      </c>
      <c r="I164" s="27">
        <v>0</v>
      </c>
      <c r="J164" s="27">
        <v>0</v>
      </c>
      <c r="K164" s="27">
        <v>3.14</v>
      </c>
      <c r="L164" s="27">
        <v>4000</v>
      </c>
      <c r="M164" s="27">
        <v>5300</v>
      </c>
      <c r="N164" s="27">
        <v>150</v>
      </c>
      <c r="O164" s="27">
        <v>300</v>
      </c>
      <c r="P164" s="27" t="s">
        <v>13</v>
      </c>
      <c r="Q164" s="27">
        <v>1993</v>
      </c>
      <c r="R164" s="27">
        <v>1</v>
      </c>
      <c r="S164" s="27">
        <v>0</v>
      </c>
      <c r="T164" s="27">
        <v>-3.0000000000000001E-3</v>
      </c>
      <c r="U164" s="27">
        <v>-1.2E-2</v>
      </c>
      <c r="V164" s="27">
        <v>0</v>
      </c>
      <c r="W164" s="27">
        <v>0</v>
      </c>
      <c r="X164" s="27" t="s">
        <v>18</v>
      </c>
    </row>
    <row r="165" spans="1:24">
      <c r="A165" s="27">
        <v>1</v>
      </c>
      <c r="B165" s="27">
        <v>2</v>
      </c>
      <c r="C165" s="27">
        <v>5</v>
      </c>
      <c r="D165" s="27">
        <v>2014</v>
      </c>
      <c r="E165" s="27">
        <v>2019</v>
      </c>
      <c r="F165" s="27">
        <v>1</v>
      </c>
      <c r="G165" s="27">
        <v>5</v>
      </c>
      <c r="H165" s="27">
        <v>0</v>
      </c>
      <c r="I165" s="27">
        <v>0</v>
      </c>
      <c r="J165" s="27">
        <v>0</v>
      </c>
      <c r="K165" s="27">
        <v>3.14</v>
      </c>
      <c r="L165" s="27">
        <v>4000</v>
      </c>
      <c r="M165" s="27">
        <v>5300</v>
      </c>
      <c r="N165" s="27">
        <v>0</v>
      </c>
      <c r="O165" s="27">
        <v>0</v>
      </c>
      <c r="P165" s="27" t="s">
        <v>13</v>
      </c>
      <c r="Q165" s="27">
        <v>1993</v>
      </c>
      <c r="R165" s="27">
        <v>1</v>
      </c>
      <c r="S165" s="27">
        <v>0</v>
      </c>
      <c r="T165" s="27">
        <v>-3.0000000000000001E-3</v>
      </c>
      <c r="U165" s="27">
        <v>-1.2E-2</v>
      </c>
      <c r="V165" s="27">
        <v>0</v>
      </c>
      <c r="W165" s="27">
        <v>0</v>
      </c>
      <c r="X165" s="27" t="s">
        <v>18</v>
      </c>
    </row>
    <row r="166" spans="1:24">
      <c r="A166" s="27">
        <v>1</v>
      </c>
      <c r="B166" s="27">
        <v>2</v>
      </c>
      <c r="C166" s="27">
        <v>5</v>
      </c>
      <c r="D166" s="27">
        <v>2014</v>
      </c>
      <c r="E166" s="27">
        <v>2019</v>
      </c>
      <c r="F166" s="27">
        <v>2</v>
      </c>
      <c r="G166" s="27">
        <v>5</v>
      </c>
      <c r="H166" s="27">
        <v>0</v>
      </c>
      <c r="I166" s="27">
        <v>0</v>
      </c>
      <c r="J166" s="27">
        <v>0</v>
      </c>
      <c r="K166" s="27">
        <v>3.14</v>
      </c>
      <c r="L166" s="27">
        <v>4000</v>
      </c>
      <c r="M166" s="27">
        <v>5300</v>
      </c>
      <c r="N166" s="27">
        <v>0</v>
      </c>
      <c r="O166" s="27">
        <v>0</v>
      </c>
      <c r="P166" s="27" t="s">
        <v>13</v>
      </c>
      <c r="Q166" s="27">
        <v>1993</v>
      </c>
      <c r="R166" s="27">
        <v>1</v>
      </c>
      <c r="S166" s="27">
        <v>0</v>
      </c>
      <c r="T166" s="27">
        <v>-3.0000000000000001E-3</v>
      </c>
      <c r="U166" s="27">
        <v>-1.2E-2</v>
      </c>
      <c r="V166" s="27">
        <v>0</v>
      </c>
      <c r="W166" s="27">
        <v>0</v>
      </c>
      <c r="X166" s="27" t="s">
        <v>18</v>
      </c>
    </row>
    <row r="167" spans="1:24">
      <c r="A167" s="27">
        <v>1</v>
      </c>
      <c r="B167" s="27">
        <v>2</v>
      </c>
      <c r="C167" s="27">
        <v>5</v>
      </c>
      <c r="D167" s="27">
        <v>2014</v>
      </c>
      <c r="E167" s="27">
        <v>2019</v>
      </c>
      <c r="F167" s="27">
        <v>3</v>
      </c>
      <c r="G167" s="27">
        <v>5</v>
      </c>
      <c r="H167" s="27">
        <v>0</v>
      </c>
      <c r="I167" s="27">
        <v>0</v>
      </c>
      <c r="J167" s="27">
        <v>0</v>
      </c>
      <c r="K167" s="27">
        <v>3.14</v>
      </c>
      <c r="L167" s="27">
        <v>4000</v>
      </c>
      <c r="M167" s="27">
        <v>5300</v>
      </c>
      <c r="N167" s="27">
        <v>0</v>
      </c>
      <c r="O167" s="27">
        <v>0</v>
      </c>
      <c r="P167" s="27" t="s">
        <v>13</v>
      </c>
      <c r="Q167" s="27">
        <v>1993</v>
      </c>
      <c r="R167" s="27">
        <v>1</v>
      </c>
      <c r="S167" s="27">
        <v>0</v>
      </c>
      <c r="T167" s="27">
        <v>-3.0000000000000001E-3</v>
      </c>
      <c r="U167" s="27">
        <v>-1.2E-2</v>
      </c>
      <c r="V167" s="27">
        <v>0</v>
      </c>
      <c r="W167" s="27">
        <v>0</v>
      </c>
      <c r="X167" s="27" t="s">
        <v>18</v>
      </c>
    </row>
    <row r="168" spans="1:24">
      <c r="A168" s="27">
        <v>1</v>
      </c>
      <c r="B168" s="27">
        <v>2</v>
      </c>
      <c r="C168" s="27">
        <v>5</v>
      </c>
      <c r="D168" s="27">
        <v>2014</v>
      </c>
      <c r="E168" s="27">
        <v>2019</v>
      </c>
      <c r="F168" s="27">
        <v>4</v>
      </c>
      <c r="G168" s="27">
        <v>5</v>
      </c>
      <c r="H168" s="27">
        <v>0</v>
      </c>
      <c r="I168" s="27">
        <v>0</v>
      </c>
      <c r="J168" s="27">
        <v>0</v>
      </c>
      <c r="K168" s="27">
        <v>3.14</v>
      </c>
      <c r="L168" s="27">
        <v>4000</v>
      </c>
      <c r="M168" s="27">
        <v>5300</v>
      </c>
      <c r="N168" s="27">
        <v>0</v>
      </c>
      <c r="O168" s="27">
        <v>0</v>
      </c>
      <c r="P168" s="27" t="s">
        <v>13</v>
      </c>
      <c r="Q168" s="27">
        <v>1993</v>
      </c>
      <c r="R168" s="27">
        <v>1</v>
      </c>
      <c r="S168" s="27">
        <v>0</v>
      </c>
      <c r="T168" s="27">
        <v>-3.0000000000000001E-3</v>
      </c>
      <c r="U168" s="27">
        <v>-1.2E-2</v>
      </c>
      <c r="V168" s="27">
        <v>0</v>
      </c>
      <c r="W168" s="27">
        <v>0</v>
      </c>
      <c r="X168" s="27" t="s">
        <v>18</v>
      </c>
    </row>
    <row r="169" spans="1:24">
      <c r="A169" s="27">
        <v>1</v>
      </c>
      <c r="B169" s="27">
        <v>2</v>
      </c>
      <c r="C169" s="27">
        <v>5</v>
      </c>
      <c r="D169" s="27">
        <v>2014</v>
      </c>
      <c r="E169" s="27">
        <v>2019</v>
      </c>
      <c r="F169" s="27">
        <v>5</v>
      </c>
      <c r="G169" s="27">
        <v>5</v>
      </c>
      <c r="H169" s="27">
        <v>0</v>
      </c>
      <c r="I169" s="27">
        <v>0</v>
      </c>
      <c r="J169" s="27">
        <v>0</v>
      </c>
      <c r="K169" s="27">
        <v>3.14</v>
      </c>
      <c r="L169" s="27">
        <v>4000</v>
      </c>
      <c r="M169" s="27">
        <v>5300</v>
      </c>
      <c r="N169" s="27">
        <v>0</v>
      </c>
      <c r="O169" s="27">
        <v>0</v>
      </c>
      <c r="P169" s="27" t="s">
        <v>13</v>
      </c>
      <c r="Q169" s="27">
        <v>1993</v>
      </c>
      <c r="R169" s="27">
        <v>1</v>
      </c>
      <c r="S169" s="27">
        <v>0</v>
      </c>
      <c r="T169" s="27">
        <v>-3.0000000000000001E-3</v>
      </c>
      <c r="U169" s="27">
        <v>-1.2E-2</v>
      </c>
      <c r="V169" s="27">
        <v>0</v>
      </c>
      <c r="W169" s="27">
        <v>0</v>
      </c>
      <c r="X169" s="27" t="s">
        <v>18</v>
      </c>
    </row>
    <row r="170" spans="1:24">
      <c r="A170" s="27">
        <v>1</v>
      </c>
      <c r="B170" s="27">
        <v>2</v>
      </c>
      <c r="C170" s="27">
        <v>5</v>
      </c>
      <c r="D170" s="27">
        <v>2014</v>
      </c>
      <c r="E170" s="27">
        <v>2019</v>
      </c>
      <c r="F170" s="27">
        <v>6</v>
      </c>
      <c r="G170" s="27">
        <v>5</v>
      </c>
      <c r="H170" s="27">
        <v>0</v>
      </c>
      <c r="I170" s="27">
        <v>0</v>
      </c>
      <c r="J170" s="27">
        <v>0</v>
      </c>
      <c r="K170" s="27">
        <v>3.14</v>
      </c>
      <c r="L170" s="27">
        <v>4000</v>
      </c>
      <c r="M170" s="27">
        <v>5300</v>
      </c>
      <c r="N170" s="27">
        <v>0</v>
      </c>
      <c r="O170" s="27">
        <v>0</v>
      </c>
      <c r="P170" s="27" t="s">
        <v>13</v>
      </c>
      <c r="Q170" s="27">
        <v>1993</v>
      </c>
      <c r="R170" s="27">
        <v>1</v>
      </c>
      <c r="S170" s="27">
        <v>0</v>
      </c>
      <c r="T170" s="27">
        <v>-3.0000000000000001E-3</v>
      </c>
      <c r="U170" s="27">
        <v>-1.2E-2</v>
      </c>
      <c r="V170" s="27">
        <v>0</v>
      </c>
      <c r="W170" s="27">
        <v>0</v>
      </c>
      <c r="X170" s="27" t="s">
        <v>18</v>
      </c>
    </row>
    <row r="171" spans="1:24">
      <c r="A171" s="27">
        <v>1</v>
      </c>
      <c r="B171" s="27">
        <v>2</v>
      </c>
      <c r="C171" s="27">
        <v>5</v>
      </c>
      <c r="D171" s="27">
        <v>2014</v>
      </c>
      <c r="E171" s="27">
        <v>2019</v>
      </c>
      <c r="F171" s="27">
        <v>7</v>
      </c>
      <c r="G171" s="27">
        <v>5</v>
      </c>
      <c r="H171" s="27">
        <v>0</v>
      </c>
      <c r="I171" s="27">
        <v>0</v>
      </c>
      <c r="J171" s="27">
        <v>0</v>
      </c>
      <c r="K171" s="27">
        <v>3.14</v>
      </c>
      <c r="L171" s="27">
        <v>4000</v>
      </c>
      <c r="M171" s="27">
        <v>5300</v>
      </c>
      <c r="N171" s="27">
        <v>0</v>
      </c>
      <c r="O171" s="27">
        <v>0</v>
      </c>
      <c r="P171" s="27" t="s">
        <v>13</v>
      </c>
      <c r="Q171" s="27">
        <v>1993</v>
      </c>
      <c r="R171" s="27">
        <v>1</v>
      </c>
      <c r="S171" s="27">
        <v>0</v>
      </c>
      <c r="T171" s="27">
        <v>-3.0000000000000001E-3</v>
      </c>
      <c r="U171" s="27">
        <v>-1.2E-2</v>
      </c>
      <c r="V171" s="27">
        <v>0</v>
      </c>
      <c r="W171" s="27">
        <v>0</v>
      </c>
      <c r="X171" s="27" t="s">
        <v>18</v>
      </c>
    </row>
    <row r="172" spans="1:24">
      <c r="A172" s="27">
        <v>1</v>
      </c>
      <c r="B172" s="27">
        <v>2</v>
      </c>
      <c r="C172" s="27">
        <v>5</v>
      </c>
      <c r="D172" s="27">
        <v>2014</v>
      </c>
      <c r="E172" s="27">
        <v>2019</v>
      </c>
      <c r="F172" s="27">
        <v>8</v>
      </c>
      <c r="G172" s="27">
        <v>5</v>
      </c>
      <c r="H172" s="27">
        <v>0</v>
      </c>
      <c r="I172" s="27">
        <v>0</v>
      </c>
      <c r="J172" s="27">
        <v>0</v>
      </c>
      <c r="K172" s="27">
        <v>3.14</v>
      </c>
      <c r="L172" s="27">
        <v>4000</v>
      </c>
      <c r="M172" s="27">
        <v>5300</v>
      </c>
      <c r="N172" s="27">
        <v>0</v>
      </c>
      <c r="O172" s="27">
        <v>0</v>
      </c>
      <c r="P172" s="27" t="s">
        <v>13</v>
      </c>
      <c r="Q172" s="27">
        <v>1993</v>
      </c>
      <c r="R172" s="27">
        <v>1</v>
      </c>
      <c r="S172" s="27">
        <v>0</v>
      </c>
      <c r="T172" s="27">
        <v>-3.0000000000000001E-3</v>
      </c>
      <c r="U172" s="27">
        <v>-1.2E-2</v>
      </c>
      <c r="V172" s="27">
        <v>0</v>
      </c>
      <c r="W172" s="27">
        <v>0</v>
      </c>
      <c r="X172" s="27" t="s">
        <v>18</v>
      </c>
    </row>
    <row r="173" spans="1:24">
      <c r="A173" s="27">
        <v>1</v>
      </c>
      <c r="B173" s="27">
        <v>2</v>
      </c>
      <c r="C173" s="27">
        <v>5</v>
      </c>
      <c r="D173" s="27">
        <v>2014</v>
      </c>
      <c r="E173" s="27">
        <v>2019</v>
      </c>
      <c r="F173" s="27">
        <v>9</v>
      </c>
      <c r="G173" s="27">
        <v>5</v>
      </c>
      <c r="H173" s="27">
        <v>0</v>
      </c>
      <c r="I173" s="27">
        <v>0</v>
      </c>
      <c r="J173" s="27">
        <v>0</v>
      </c>
      <c r="K173" s="27">
        <v>3.14</v>
      </c>
      <c r="L173" s="27">
        <v>4000</v>
      </c>
      <c r="M173" s="27">
        <v>5300</v>
      </c>
      <c r="N173" s="27">
        <v>0</v>
      </c>
      <c r="O173" s="27">
        <v>0</v>
      </c>
      <c r="P173" s="27" t="s">
        <v>13</v>
      </c>
      <c r="Q173" s="27">
        <v>1993</v>
      </c>
      <c r="R173" s="27">
        <v>1</v>
      </c>
      <c r="S173" s="27">
        <v>0</v>
      </c>
      <c r="T173" s="27">
        <v>-3.0000000000000001E-3</v>
      </c>
      <c r="U173" s="27">
        <v>-1.2E-2</v>
      </c>
      <c r="V173" s="27">
        <v>0</v>
      </c>
      <c r="W173" s="27">
        <v>0</v>
      </c>
      <c r="X173" s="27" t="s">
        <v>18</v>
      </c>
    </row>
    <row r="174" spans="1:24">
      <c r="A174" s="27">
        <v>1</v>
      </c>
      <c r="B174" s="27">
        <v>2</v>
      </c>
      <c r="C174" s="27">
        <v>5</v>
      </c>
      <c r="D174" s="27">
        <v>2020</v>
      </c>
      <c r="E174" s="27">
        <v>2029</v>
      </c>
      <c r="F174" s="27">
        <v>1</v>
      </c>
      <c r="G174" s="27">
        <v>5</v>
      </c>
      <c r="H174" s="27">
        <v>0</v>
      </c>
      <c r="I174" s="27">
        <v>0</v>
      </c>
      <c r="J174" s="27">
        <v>0</v>
      </c>
      <c r="K174" s="27">
        <v>3.17</v>
      </c>
      <c r="L174" s="27">
        <v>4100</v>
      </c>
      <c r="M174" s="27">
        <v>5440</v>
      </c>
      <c r="N174" s="27">
        <v>0</v>
      </c>
      <c r="O174" s="27">
        <v>0</v>
      </c>
      <c r="P174" s="27" t="s">
        <v>13</v>
      </c>
      <c r="Q174" s="27">
        <v>1993</v>
      </c>
      <c r="R174" s="27">
        <v>1</v>
      </c>
      <c r="S174" s="27">
        <v>0</v>
      </c>
      <c r="T174" s="27">
        <v>-3.0000000000000001E-3</v>
      </c>
      <c r="U174" s="27">
        <v>-1.2E-2</v>
      </c>
      <c r="V174" s="27">
        <v>0</v>
      </c>
      <c r="W174" s="27">
        <v>0</v>
      </c>
      <c r="X174" s="27" t="s">
        <v>18</v>
      </c>
    </row>
    <row r="175" spans="1:24">
      <c r="A175" s="27">
        <v>1</v>
      </c>
      <c r="B175" s="27">
        <v>2</v>
      </c>
      <c r="C175" s="27">
        <v>5</v>
      </c>
      <c r="D175" s="27">
        <v>2020</v>
      </c>
      <c r="E175" s="27">
        <v>2029</v>
      </c>
      <c r="F175" s="27">
        <v>2</v>
      </c>
      <c r="G175" s="27">
        <v>5</v>
      </c>
      <c r="H175" s="27">
        <v>0</v>
      </c>
      <c r="I175" s="27">
        <v>0</v>
      </c>
      <c r="J175" s="27">
        <v>0</v>
      </c>
      <c r="K175" s="27">
        <v>3.17</v>
      </c>
      <c r="L175" s="27">
        <v>4100</v>
      </c>
      <c r="M175" s="27">
        <v>5440</v>
      </c>
      <c r="N175" s="27">
        <v>0</v>
      </c>
      <c r="O175" s="27">
        <v>0</v>
      </c>
      <c r="P175" s="27" t="s">
        <v>13</v>
      </c>
      <c r="Q175" s="27">
        <v>1993</v>
      </c>
      <c r="R175" s="27">
        <v>1</v>
      </c>
      <c r="S175" s="27">
        <v>0</v>
      </c>
      <c r="T175" s="27">
        <v>-3.0000000000000001E-3</v>
      </c>
      <c r="U175" s="27">
        <v>-1.2E-2</v>
      </c>
      <c r="V175" s="27">
        <v>0</v>
      </c>
      <c r="W175" s="27">
        <v>0</v>
      </c>
      <c r="X175" s="27" t="s">
        <v>18</v>
      </c>
    </row>
    <row r="176" spans="1:24">
      <c r="A176" s="27">
        <v>1</v>
      </c>
      <c r="B176" s="27">
        <v>2</v>
      </c>
      <c r="C176" s="27">
        <v>5</v>
      </c>
      <c r="D176" s="27">
        <v>2020</v>
      </c>
      <c r="E176" s="27">
        <v>2029</v>
      </c>
      <c r="F176" s="27">
        <v>3</v>
      </c>
      <c r="G176" s="27">
        <v>5</v>
      </c>
      <c r="H176" s="27">
        <v>0</v>
      </c>
      <c r="I176" s="27">
        <v>0</v>
      </c>
      <c r="J176" s="27">
        <v>0</v>
      </c>
      <c r="K176" s="27">
        <v>3.17</v>
      </c>
      <c r="L176" s="27">
        <v>4100</v>
      </c>
      <c r="M176" s="27">
        <v>5440</v>
      </c>
      <c r="N176" s="27">
        <v>0</v>
      </c>
      <c r="O176" s="27">
        <v>0</v>
      </c>
      <c r="P176" s="27" t="s">
        <v>13</v>
      </c>
      <c r="Q176" s="27">
        <v>1993</v>
      </c>
      <c r="R176" s="27">
        <v>1</v>
      </c>
      <c r="S176" s="27">
        <v>0</v>
      </c>
      <c r="T176" s="27">
        <v>-3.0000000000000001E-3</v>
      </c>
      <c r="U176" s="27">
        <v>-1.2E-2</v>
      </c>
      <c r="V176" s="27">
        <v>0</v>
      </c>
      <c r="W176" s="27">
        <v>0</v>
      </c>
      <c r="X176" s="27" t="s">
        <v>18</v>
      </c>
    </row>
    <row r="177" spans="1:24">
      <c r="A177" s="27">
        <v>1</v>
      </c>
      <c r="B177" s="27">
        <v>2</v>
      </c>
      <c r="C177" s="27">
        <v>5</v>
      </c>
      <c r="D177" s="27">
        <v>2020</v>
      </c>
      <c r="E177" s="27">
        <v>2029</v>
      </c>
      <c r="F177" s="27">
        <v>4</v>
      </c>
      <c r="G177" s="27">
        <v>5</v>
      </c>
      <c r="H177" s="27">
        <v>0</v>
      </c>
      <c r="I177" s="27">
        <v>0</v>
      </c>
      <c r="J177" s="27">
        <v>0</v>
      </c>
      <c r="K177" s="27">
        <v>3.17</v>
      </c>
      <c r="L177" s="27">
        <v>4100</v>
      </c>
      <c r="M177" s="27">
        <v>5440</v>
      </c>
      <c r="N177" s="27">
        <v>0</v>
      </c>
      <c r="O177" s="27">
        <v>0</v>
      </c>
      <c r="P177" s="27" t="s">
        <v>13</v>
      </c>
      <c r="Q177" s="27">
        <v>1993</v>
      </c>
      <c r="R177" s="27">
        <v>1</v>
      </c>
      <c r="S177" s="27">
        <v>0</v>
      </c>
      <c r="T177" s="27">
        <v>-3.0000000000000001E-3</v>
      </c>
      <c r="U177" s="27">
        <v>-1.2E-2</v>
      </c>
      <c r="V177" s="27">
        <v>0</v>
      </c>
      <c r="W177" s="27">
        <v>0</v>
      </c>
      <c r="X177" s="27" t="s">
        <v>18</v>
      </c>
    </row>
    <row r="178" spans="1:24">
      <c r="A178" s="27">
        <v>1</v>
      </c>
      <c r="B178" s="27">
        <v>2</v>
      </c>
      <c r="C178" s="27">
        <v>5</v>
      </c>
      <c r="D178" s="27">
        <v>2020</v>
      </c>
      <c r="E178" s="27">
        <v>2029</v>
      </c>
      <c r="F178" s="27">
        <v>5</v>
      </c>
      <c r="G178" s="27">
        <v>5</v>
      </c>
      <c r="H178" s="27">
        <v>0</v>
      </c>
      <c r="I178" s="27">
        <v>0</v>
      </c>
      <c r="J178" s="27">
        <v>0</v>
      </c>
      <c r="K178" s="27">
        <v>3.17</v>
      </c>
      <c r="L178" s="27">
        <v>4100</v>
      </c>
      <c r="M178" s="27">
        <v>5440</v>
      </c>
      <c r="N178" s="27">
        <v>0</v>
      </c>
      <c r="O178" s="27">
        <v>0</v>
      </c>
      <c r="P178" s="27" t="s">
        <v>13</v>
      </c>
      <c r="Q178" s="27">
        <v>1993</v>
      </c>
      <c r="R178" s="27">
        <v>1</v>
      </c>
      <c r="S178" s="27">
        <v>0</v>
      </c>
      <c r="T178" s="27">
        <v>-3.0000000000000001E-3</v>
      </c>
      <c r="U178" s="27">
        <v>-1.2E-2</v>
      </c>
      <c r="V178" s="27">
        <v>0</v>
      </c>
      <c r="W178" s="27">
        <v>0</v>
      </c>
      <c r="X178" s="27" t="s">
        <v>18</v>
      </c>
    </row>
    <row r="179" spans="1:24">
      <c r="A179" s="27">
        <v>1</v>
      </c>
      <c r="B179" s="27">
        <v>2</v>
      </c>
      <c r="C179" s="27">
        <v>5</v>
      </c>
      <c r="D179" s="27">
        <v>2020</v>
      </c>
      <c r="E179" s="27">
        <v>2029</v>
      </c>
      <c r="F179" s="27">
        <v>6</v>
      </c>
      <c r="G179" s="27">
        <v>5</v>
      </c>
      <c r="H179" s="27">
        <v>0</v>
      </c>
      <c r="I179" s="27">
        <v>0</v>
      </c>
      <c r="J179" s="27">
        <v>0</v>
      </c>
      <c r="K179" s="27">
        <v>3.17</v>
      </c>
      <c r="L179" s="27">
        <v>4100</v>
      </c>
      <c r="M179" s="27">
        <v>5440</v>
      </c>
      <c r="N179" s="27">
        <v>0</v>
      </c>
      <c r="O179" s="27">
        <v>0</v>
      </c>
      <c r="P179" s="27" t="s">
        <v>13</v>
      </c>
      <c r="Q179" s="27">
        <v>1993</v>
      </c>
      <c r="R179" s="27">
        <v>1</v>
      </c>
      <c r="S179" s="27">
        <v>0</v>
      </c>
      <c r="T179" s="27">
        <v>-3.0000000000000001E-3</v>
      </c>
      <c r="U179" s="27">
        <v>-1.2E-2</v>
      </c>
      <c r="V179" s="27">
        <v>0</v>
      </c>
      <c r="W179" s="27">
        <v>0</v>
      </c>
      <c r="X179" s="27" t="s">
        <v>18</v>
      </c>
    </row>
    <row r="180" spans="1:24">
      <c r="A180" s="27">
        <v>1</v>
      </c>
      <c r="B180" s="27">
        <v>2</v>
      </c>
      <c r="C180" s="27">
        <v>5</v>
      </c>
      <c r="D180" s="27">
        <v>2020</v>
      </c>
      <c r="E180" s="27">
        <v>2029</v>
      </c>
      <c r="F180" s="27">
        <v>7</v>
      </c>
      <c r="G180" s="27">
        <v>5</v>
      </c>
      <c r="H180" s="27">
        <v>0</v>
      </c>
      <c r="I180" s="27">
        <v>0</v>
      </c>
      <c r="J180" s="27">
        <v>0</v>
      </c>
      <c r="K180" s="27">
        <v>3.17</v>
      </c>
      <c r="L180" s="27">
        <v>4100</v>
      </c>
      <c r="M180" s="27">
        <v>5440</v>
      </c>
      <c r="N180" s="27">
        <v>0</v>
      </c>
      <c r="O180" s="27">
        <v>0</v>
      </c>
      <c r="P180" s="27" t="s">
        <v>13</v>
      </c>
      <c r="Q180" s="27">
        <v>1993</v>
      </c>
      <c r="R180" s="27">
        <v>1</v>
      </c>
      <c r="S180" s="27">
        <v>0</v>
      </c>
      <c r="T180" s="27">
        <v>-3.0000000000000001E-3</v>
      </c>
      <c r="U180" s="27">
        <v>-1.2E-2</v>
      </c>
      <c r="V180" s="27">
        <v>0</v>
      </c>
      <c r="W180" s="27">
        <v>0</v>
      </c>
      <c r="X180" s="27" t="s">
        <v>18</v>
      </c>
    </row>
    <row r="181" spans="1:24">
      <c r="A181" s="27">
        <v>1</v>
      </c>
      <c r="B181" s="27">
        <v>2</v>
      </c>
      <c r="C181" s="27">
        <v>5</v>
      </c>
      <c r="D181" s="27">
        <v>2020</v>
      </c>
      <c r="E181" s="27">
        <v>2029</v>
      </c>
      <c r="F181" s="27">
        <v>8</v>
      </c>
      <c r="G181" s="27">
        <v>5</v>
      </c>
      <c r="H181" s="27">
        <v>0</v>
      </c>
      <c r="I181" s="27">
        <v>0</v>
      </c>
      <c r="J181" s="27">
        <v>0</v>
      </c>
      <c r="K181" s="27">
        <v>3.17</v>
      </c>
      <c r="L181" s="27">
        <v>4100</v>
      </c>
      <c r="M181" s="27">
        <v>5440</v>
      </c>
      <c r="N181" s="27">
        <v>0</v>
      </c>
      <c r="O181" s="27">
        <v>0</v>
      </c>
      <c r="P181" s="27" t="s">
        <v>13</v>
      </c>
      <c r="Q181" s="27">
        <v>1993</v>
      </c>
      <c r="R181" s="27">
        <v>1</v>
      </c>
      <c r="S181" s="27">
        <v>0</v>
      </c>
      <c r="T181" s="27">
        <v>-3.0000000000000001E-3</v>
      </c>
      <c r="U181" s="27">
        <v>-1.2E-2</v>
      </c>
      <c r="V181" s="27">
        <v>0</v>
      </c>
      <c r="W181" s="27">
        <v>0</v>
      </c>
      <c r="X181" s="27" t="s">
        <v>18</v>
      </c>
    </row>
    <row r="182" spans="1:24">
      <c r="A182" s="27">
        <v>1</v>
      </c>
      <c r="B182" s="27">
        <v>2</v>
      </c>
      <c r="C182" s="27">
        <v>5</v>
      </c>
      <c r="D182" s="27">
        <v>2020</v>
      </c>
      <c r="E182" s="27">
        <v>2029</v>
      </c>
      <c r="F182" s="27">
        <v>9</v>
      </c>
      <c r="G182" s="27">
        <v>5</v>
      </c>
      <c r="H182" s="27">
        <v>0</v>
      </c>
      <c r="I182" s="27">
        <v>0</v>
      </c>
      <c r="J182" s="27">
        <v>0</v>
      </c>
      <c r="K182" s="27">
        <v>3.17</v>
      </c>
      <c r="L182" s="27">
        <v>4100</v>
      </c>
      <c r="M182" s="27">
        <v>5440</v>
      </c>
      <c r="N182" s="27">
        <v>0</v>
      </c>
      <c r="O182" s="27">
        <v>0</v>
      </c>
      <c r="P182" s="27" t="s">
        <v>13</v>
      </c>
      <c r="Q182" s="27">
        <v>1993</v>
      </c>
      <c r="R182" s="27">
        <v>1</v>
      </c>
      <c r="S182" s="27">
        <v>0</v>
      </c>
      <c r="T182" s="27">
        <v>-3.0000000000000001E-3</v>
      </c>
      <c r="U182" s="27">
        <v>-1.2E-2</v>
      </c>
      <c r="V182" s="27">
        <v>0</v>
      </c>
      <c r="W182" s="27">
        <v>0</v>
      </c>
      <c r="X182" s="27" t="s">
        <v>18</v>
      </c>
    </row>
    <row r="183" spans="1:24">
      <c r="A183" s="27">
        <v>1</v>
      </c>
      <c r="B183" s="27">
        <v>2</v>
      </c>
      <c r="C183" s="27">
        <v>5</v>
      </c>
      <c r="D183" s="27">
        <v>2030</v>
      </c>
      <c r="E183" s="27">
        <v>2050</v>
      </c>
      <c r="F183" s="27">
        <v>1</v>
      </c>
      <c r="G183" s="27">
        <v>5</v>
      </c>
      <c r="H183" s="27">
        <v>0</v>
      </c>
      <c r="I183" s="27">
        <v>0</v>
      </c>
      <c r="J183" s="27">
        <v>0</v>
      </c>
      <c r="K183" s="27">
        <v>3.22</v>
      </c>
      <c r="L183" s="27">
        <v>4125</v>
      </c>
      <c r="M183" s="27">
        <v>5495</v>
      </c>
      <c r="N183" s="27">
        <v>0</v>
      </c>
      <c r="O183" s="27">
        <v>0</v>
      </c>
      <c r="P183" s="27" t="s">
        <v>13</v>
      </c>
      <c r="Q183" s="27">
        <v>1993</v>
      </c>
      <c r="R183" s="27">
        <v>1</v>
      </c>
      <c r="S183" s="27">
        <v>0</v>
      </c>
      <c r="T183" s="27">
        <v>-3.0000000000000001E-3</v>
      </c>
      <c r="U183" s="27">
        <v>-1.2E-2</v>
      </c>
      <c r="V183" s="27">
        <v>0</v>
      </c>
      <c r="W183" s="27">
        <v>0</v>
      </c>
      <c r="X183" s="27" t="s">
        <v>18</v>
      </c>
    </row>
    <row r="184" spans="1:24">
      <c r="A184" s="27">
        <v>1</v>
      </c>
      <c r="B184" s="27">
        <v>2</v>
      </c>
      <c r="C184" s="27">
        <v>5</v>
      </c>
      <c r="D184" s="27">
        <v>2030</v>
      </c>
      <c r="E184" s="27">
        <v>2050</v>
      </c>
      <c r="F184" s="27">
        <v>2</v>
      </c>
      <c r="G184" s="27">
        <v>5</v>
      </c>
      <c r="H184" s="27">
        <v>0</v>
      </c>
      <c r="I184" s="27">
        <v>0</v>
      </c>
      <c r="J184" s="27">
        <v>0</v>
      </c>
      <c r="K184" s="27">
        <v>3.22</v>
      </c>
      <c r="L184" s="27">
        <v>4125</v>
      </c>
      <c r="M184" s="27">
        <v>5495</v>
      </c>
      <c r="N184" s="27">
        <v>0</v>
      </c>
      <c r="O184" s="27">
        <v>0</v>
      </c>
      <c r="P184" s="27" t="s">
        <v>13</v>
      </c>
      <c r="Q184" s="27">
        <v>1993</v>
      </c>
      <c r="R184" s="27">
        <v>1</v>
      </c>
      <c r="S184" s="27">
        <v>0</v>
      </c>
      <c r="T184" s="27">
        <v>-3.0000000000000001E-3</v>
      </c>
      <c r="U184" s="27">
        <v>-1.2E-2</v>
      </c>
      <c r="V184" s="27">
        <v>0</v>
      </c>
      <c r="W184" s="27">
        <v>0</v>
      </c>
      <c r="X184" s="27" t="s">
        <v>18</v>
      </c>
    </row>
    <row r="185" spans="1:24">
      <c r="A185" s="27">
        <v>1</v>
      </c>
      <c r="B185" s="27">
        <v>2</v>
      </c>
      <c r="C185" s="27">
        <v>5</v>
      </c>
      <c r="D185" s="27">
        <v>2030</v>
      </c>
      <c r="E185" s="27">
        <v>2050</v>
      </c>
      <c r="F185" s="27">
        <v>3</v>
      </c>
      <c r="G185" s="27">
        <v>5</v>
      </c>
      <c r="H185" s="27">
        <v>0</v>
      </c>
      <c r="I185" s="27">
        <v>0</v>
      </c>
      <c r="J185" s="27">
        <v>0</v>
      </c>
      <c r="K185" s="27">
        <v>3.22</v>
      </c>
      <c r="L185" s="27">
        <v>4125</v>
      </c>
      <c r="M185" s="27">
        <v>5495</v>
      </c>
      <c r="N185" s="27">
        <v>0</v>
      </c>
      <c r="O185" s="27">
        <v>0</v>
      </c>
      <c r="P185" s="27" t="s">
        <v>13</v>
      </c>
      <c r="Q185" s="27">
        <v>1993</v>
      </c>
      <c r="R185" s="27">
        <v>1</v>
      </c>
      <c r="S185" s="27">
        <v>0</v>
      </c>
      <c r="T185" s="27">
        <v>-3.0000000000000001E-3</v>
      </c>
      <c r="U185" s="27">
        <v>-1.2E-2</v>
      </c>
      <c r="V185" s="27">
        <v>0</v>
      </c>
      <c r="W185" s="27">
        <v>0</v>
      </c>
      <c r="X185" s="27" t="s">
        <v>18</v>
      </c>
    </row>
    <row r="186" spans="1:24">
      <c r="A186" s="27">
        <v>1</v>
      </c>
      <c r="B186" s="27">
        <v>2</v>
      </c>
      <c r="C186" s="27">
        <v>5</v>
      </c>
      <c r="D186" s="27">
        <v>2030</v>
      </c>
      <c r="E186" s="27">
        <v>2050</v>
      </c>
      <c r="F186" s="27">
        <v>4</v>
      </c>
      <c r="G186" s="27">
        <v>5</v>
      </c>
      <c r="H186" s="27">
        <v>0</v>
      </c>
      <c r="I186" s="27">
        <v>0</v>
      </c>
      <c r="J186" s="27">
        <v>0</v>
      </c>
      <c r="K186" s="27">
        <v>3.22</v>
      </c>
      <c r="L186" s="27">
        <v>4125</v>
      </c>
      <c r="M186" s="27">
        <v>5495</v>
      </c>
      <c r="N186" s="27">
        <v>0</v>
      </c>
      <c r="O186" s="27">
        <v>0</v>
      </c>
      <c r="P186" s="27" t="s">
        <v>13</v>
      </c>
      <c r="Q186" s="27">
        <v>1993</v>
      </c>
      <c r="R186" s="27">
        <v>1</v>
      </c>
      <c r="S186" s="27">
        <v>0</v>
      </c>
      <c r="T186" s="27">
        <v>-3.0000000000000001E-3</v>
      </c>
      <c r="U186" s="27">
        <v>-1.2E-2</v>
      </c>
      <c r="V186" s="27">
        <v>0</v>
      </c>
      <c r="W186" s="27">
        <v>0</v>
      </c>
      <c r="X186" s="27" t="s">
        <v>18</v>
      </c>
    </row>
    <row r="187" spans="1:24">
      <c r="A187" s="27">
        <v>1</v>
      </c>
      <c r="B187" s="27">
        <v>2</v>
      </c>
      <c r="C187" s="27">
        <v>5</v>
      </c>
      <c r="D187" s="27">
        <v>2030</v>
      </c>
      <c r="E187" s="27">
        <v>2050</v>
      </c>
      <c r="F187" s="27">
        <v>5</v>
      </c>
      <c r="G187" s="27">
        <v>5</v>
      </c>
      <c r="H187" s="27">
        <v>0</v>
      </c>
      <c r="I187" s="27">
        <v>0</v>
      </c>
      <c r="J187" s="27">
        <v>0</v>
      </c>
      <c r="K187" s="27">
        <v>3.22</v>
      </c>
      <c r="L187" s="27">
        <v>4125</v>
      </c>
      <c r="M187" s="27">
        <v>5495</v>
      </c>
      <c r="N187" s="27">
        <v>0</v>
      </c>
      <c r="O187" s="27">
        <v>0</v>
      </c>
      <c r="P187" s="27" t="s">
        <v>13</v>
      </c>
      <c r="Q187" s="27">
        <v>1993</v>
      </c>
      <c r="R187" s="27">
        <v>1</v>
      </c>
      <c r="S187" s="27">
        <v>0</v>
      </c>
      <c r="T187" s="27">
        <v>-3.0000000000000001E-3</v>
      </c>
      <c r="U187" s="27">
        <v>-1.2E-2</v>
      </c>
      <c r="V187" s="27">
        <v>0</v>
      </c>
      <c r="W187" s="27">
        <v>0</v>
      </c>
      <c r="X187" s="27" t="s">
        <v>18</v>
      </c>
    </row>
    <row r="188" spans="1:24">
      <c r="A188" s="27">
        <v>1</v>
      </c>
      <c r="B188" s="27">
        <v>2</v>
      </c>
      <c r="C188" s="27">
        <v>5</v>
      </c>
      <c r="D188" s="27">
        <v>2030</v>
      </c>
      <c r="E188" s="27">
        <v>2050</v>
      </c>
      <c r="F188" s="27">
        <v>6</v>
      </c>
      <c r="G188" s="27">
        <v>5</v>
      </c>
      <c r="H188" s="27">
        <v>0</v>
      </c>
      <c r="I188" s="27">
        <v>0</v>
      </c>
      <c r="J188" s="27">
        <v>0</v>
      </c>
      <c r="K188" s="27">
        <v>3.22</v>
      </c>
      <c r="L188" s="27">
        <v>4125</v>
      </c>
      <c r="M188" s="27">
        <v>5495</v>
      </c>
      <c r="N188" s="27">
        <v>0</v>
      </c>
      <c r="O188" s="27">
        <v>0</v>
      </c>
      <c r="P188" s="27" t="s">
        <v>13</v>
      </c>
      <c r="Q188" s="27">
        <v>1993</v>
      </c>
      <c r="R188" s="27">
        <v>1</v>
      </c>
      <c r="S188" s="27">
        <v>0</v>
      </c>
      <c r="T188" s="27">
        <v>-3.0000000000000001E-3</v>
      </c>
      <c r="U188" s="27">
        <v>-1.2E-2</v>
      </c>
      <c r="V188" s="27">
        <v>0</v>
      </c>
      <c r="W188" s="27">
        <v>0</v>
      </c>
      <c r="X188" s="27" t="s">
        <v>18</v>
      </c>
    </row>
    <row r="189" spans="1:24">
      <c r="A189" s="27">
        <v>1</v>
      </c>
      <c r="B189" s="27">
        <v>2</v>
      </c>
      <c r="C189" s="27">
        <v>5</v>
      </c>
      <c r="D189" s="27">
        <v>2030</v>
      </c>
      <c r="E189" s="27">
        <v>2050</v>
      </c>
      <c r="F189" s="27">
        <v>7</v>
      </c>
      <c r="G189" s="27">
        <v>5</v>
      </c>
      <c r="H189" s="27">
        <v>0</v>
      </c>
      <c r="I189" s="27">
        <v>0</v>
      </c>
      <c r="J189" s="27">
        <v>0</v>
      </c>
      <c r="K189" s="27">
        <v>3.22</v>
      </c>
      <c r="L189" s="27">
        <v>4125</v>
      </c>
      <c r="M189" s="27">
        <v>5495</v>
      </c>
      <c r="N189" s="27">
        <v>0</v>
      </c>
      <c r="O189" s="27">
        <v>0</v>
      </c>
      <c r="P189" s="27" t="s">
        <v>13</v>
      </c>
      <c r="Q189" s="27">
        <v>1993</v>
      </c>
      <c r="R189" s="27">
        <v>1</v>
      </c>
      <c r="S189" s="27">
        <v>0</v>
      </c>
      <c r="T189" s="27">
        <v>-3.0000000000000001E-3</v>
      </c>
      <c r="U189" s="27">
        <v>-1.2E-2</v>
      </c>
      <c r="V189" s="27">
        <v>0</v>
      </c>
      <c r="W189" s="27">
        <v>0</v>
      </c>
      <c r="X189" s="27" t="s">
        <v>18</v>
      </c>
    </row>
    <row r="190" spans="1:24">
      <c r="A190" s="27">
        <v>1</v>
      </c>
      <c r="B190" s="27">
        <v>2</v>
      </c>
      <c r="C190" s="27">
        <v>5</v>
      </c>
      <c r="D190" s="27">
        <v>2030</v>
      </c>
      <c r="E190" s="27">
        <v>2050</v>
      </c>
      <c r="F190" s="27">
        <v>8</v>
      </c>
      <c r="G190" s="27">
        <v>5</v>
      </c>
      <c r="H190" s="27">
        <v>0</v>
      </c>
      <c r="I190" s="27">
        <v>0</v>
      </c>
      <c r="J190" s="27">
        <v>0</v>
      </c>
      <c r="K190" s="27">
        <v>3.22</v>
      </c>
      <c r="L190" s="27">
        <v>4125</v>
      </c>
      <c r="M190" s="27">
        <v>5495</v>
      </c>
      <c r="N190" s="27">
        <v>0</v>
      </c>
      <c r="O190" s="27">
        <v>0</v>
      </c>
      <c r="P190" s="27" t="s">
        <v>13</v>
      </c>
      <c r="Q190" s="27">
        <v>1993</v>
      </c>
      <c r="R190" s="27">
        <v>1</v>
      </c>
      <c r="S190" s="27">
        <v>0</v>
      </c>
      <c r="T190" s="27">
        <v>-3.0000000000000001E-3</v>
      </c>
      <c r="U190" s="27">
        <v>-1.2E-2</v>
      </c>
      <c r="V190" s="27">
        <v>0</v>
      </c>
      <c r="W190" s="27">
        <v>0</v>
      </c>
      <c r="X190" s="27" t="s">
        <v>18</v>
      </c>
    </row>
    <row r="191" spans="1:24">
      <c r="A191" s="27">
        <v>1</v>
      </c>
      <c r="B191" s="27">
        <v>2</v>
      </c>
      <c r="C191" s="27">
        <v>5</v>
      </c>
      <c r="D191" s="27">
        <v>2030</v>
      </c>
      <c r="E191" s="27">
        <v>2050</v>
      </c>
      <c r="F191" s="27">
        <v>9</v>
      </c>
      <c r="G191" s="27">
        <v>5</v>
      </c>
      <c r="H191" s="27">
        <v>0</v>
      </c>
      <c r="I191" s="27">
        <v>0</v>
      </c>
      <c r="J191" s="27">
        <v>0</v>
      </c>
      <c r="K191" s="27">
        <v>3.22</v>
      </c>
      <c r="L191" s="27">
        <v>4125</v>
      </c>
      <c r="M191" s="27">
        <v>5495</v>
      </c>
      <c r="N191" s="27">
        <v>0</v>
      </c>
      <c r="O191" s="27">
        <v>0</v>
      </c>
      <c r="P191" s="27" t="s">
        <v>13</v>
      </c>
      <c r="Q191" s="27">
        <v>1993</v>
      </c>
      <c r="R191" s="27">
        <v>1</v>
      </c>
      <c r="S191" s="27">
        <v>0</v>
      </c>
      <c r="T191" s="27">
        <v>-3.0000000000000001E-3</v>
      </c>
      <c r="U191" s="27">
        <v>-1.2E-2</v>
      </c>
      <c r="V191" s="27">
        <v>0</v>
      </c>
      <c r="W191" s="27">
        <v>0</v>
      </c>
      <c r="X191" s="27" t="s">
        <v>18</v>
      </c>
    </row>
    <row r="192" spans="1:24">
      <c r="A192" s="27">
        <v>1</v>
      </c>
      <c r="B192" s="27">
        <v>3</v>
      </c>
      <c r="C192" s="27">
        <v>6</v>
      </c>
      <c r="D192" s="27">
        <v>2010</v>
      </c>
      <c r="E192" s="27">
        <v>2012</v>
      </c>
      <c r="F192" s="27">
        <v>1</v>
      </c>
      <c r="G192" s="27">
        <v>6</v>
      </c>
      <c r="H192" s="27">
        <v>0</v>
      </c>
      <c r="I192" s="27">
        <v>0</v>
      </c>
      <c r="J192" s="27">
        <v>0</v>
      </c>
      <c r="K192" s="27">
        <v>0.78</v>
      </c>
      <c r="L192" s="27">
        <v>2500</v>
      </c>
      <c r="M192" s="27">
        <v>1800</v>
      </c>
      <c r="N192" s="27">
        <v>0</v>
      </c>
      <c r="O192" s="27">
        <v>0</v>
      </c>
      <c r="P192" s="27" t="s">
        <v>13</v>
      </c>
      <c r="Q192" s="27">
        <v>1993</v>
      </c>
      <c r="R192" s="27">
        <v>1</v>
      </c>
      <c r="S192" s="27">
        <v>0</v>
      </c>
      <c r="T192" s="27">
        <v>-1.8E-3</v>
      </c>
      <c r="U192" s="27">
        <v>-1.2E-2</v>
      </c>
      <c r="V192" s="27">
        <v>0</v>
      </c>
      <c r="W192" s="27">
        <v>0</v>
      </c>
      <c r="X192" s="27" t="s">
        <v>19</v>
      </c>
    </row>
    <row r="193" spans="1:24">
      <c r="A193" s="27">
        <v>1</v>
      </c>
      <c r="B193" s="27">
        <v>3</v>
      </c>
      <c r="C193" s="27">
        <v>6</v>
      </c>
      <c r="D193" s="27">
        <v>2010</v>
      </c>
      <c r="E193" s="27">
        <v>2012</v>
      </c>
      <c r="F193" s="27">
        <v>2</v>
      </c>
      <c r="G193" s="27">
        <v>6</v>
      </c>
      <c r="H193" s="27">
        <v>0</v>
      </c>
      <c r="I193" s="27">
        <v>0</v>
      </c>
      <c r="J193" s="27">
        <v>0</v>
      </c>
      <c r="K193" s="27">
        <v>0.78</v>
      </c>
      <c r="L193" s="27">
        <v>2500</v>
      </c>
      <c r="M193" s="27">
        <v>1800</v>
      </c>
      <c r="N193" s="27">
        <v>0</v>
      </c>
      <c r="O193" s="27">
        <v>0</v>
      </c>
      <c r="P193" s="27" t="s">
        <v>13</v>
      </c>
      <c r="Q193" s="27">
        <v>1993</v>
      </c>
      <c r="R193" s="27">
        <v>1</v>
      </c>
      <c r="S193" s="27">
        <v>0</v>
      </c>
      <c r="T193" s="27">
        <v>-1.8E-3</v>
      </c>
      <c r="U193" s="27">
        <v>-1.2E-2</v>
      </c>
      <c r="V193" s="27">
        <v>0</v>
      </c>
      <c r="W193" s="27">
        <v>0</v>
      </c>
      <c r="X193" s="27" t="s">
        <v>19</v>
      </c>
    </row>
    <row r="194" spans="1:24">
      <c r="A194" s="27">
        <v>1</v>
      </c>
      <c r="B194" s="27">
        <v>3</v>
      </c>
      <c r="C194" s="27">
        <v>6</v>
      </c>
      <c r="D194" s="27">
        <v>2010</v>
      </c>
      <c r="E194" s="27">
        <v>2012</v>
      </c>
      <c r="F194" s="27">
        <v>3</v>
      </c>
      <c r="G194" s="27">
        <v>6</v>
      </c>
      <c r="H194" s="27">
        <v>0</v>
      </c>
      <c r="I194" s="27">
        <v>0</v>
      </c>
      <c r="J194" s="27">
        <v>0</v>
      </c>
      <c r="K194" s="27">
        <v>0.78</v>
      </c>
      <c r="L194" s="27">
        <v>2500</v>
      </c>
      <c r="M194" s="27">
        <v>1800</v>
      </c>
      <c r="N194" s="27">
        <v>0</v>
      </c>
      <c r="O194" s="27">
        <v>0</v>
      </c>
      <c r="P194" s="27" t="s">
        <v>13</v>
      </c>
      <c r="Q194" s="27">
        <v>1993</v>
      </c>
      <c r="R194" s="27">
        <v>1</v>
      </c>
      <c r="S194" s="27">
        <v>0</v>
      </c>
      <c r="T194" s="27">
        <v>-1.8E-3</v>
      </c>
      <c r="U194" s="27">
        <v>-1.2E-2</v>
      </c>
      <c r="V194" s="27">
        <v>0</v>
      </c>
      <c r="W194" s="27">
        <v>0</v>
      </c>
      <c r="X194" s="27" t="s">
        <v>19</v>
      </c>
    </row>
    <row r="195" spans="1:24">
      <c r="A195" s="27">
        <v>1</v>
      </c>
      <c r="B195" s="27">
        <v>3</v>
      </c>
      <c r="C195" s="27">
        <v>6</v>
      </c>
      <c r="D195" s="27">
        <v>2010</v>
      </c>
      <c r="E195" s="27">
        <v>2012</v>
      </c>
      <c r="F195" s="27">
        <v>4</v>
      </c>
      <c r="G195" s="27">
        <v>6</v>
      </c>
      <c r="H195" s="27">
        <v>0</v>
      </c>
      <c r="I195" s="27">
        <v>0</v>
      </c>
      <c r="J195" s="27">
        <v>0</v>
      </c>
      <c r="K195" s="27">
        <v>0.78</v>
      </c>
      <c r="L195" s="27">
        <v>2500</v>
      </c>
      <c r="M195" s="27">
        <v>1800</v>
      </c>
      <c r="N195" s="27">
        <v>0</v>
      </c>
      <c r="O195" s="27">
        <v>0</v>
      </c>
      <c r="P195" s="27" t="s">
        <v>13</v>
      </c>
      <c r="Q195" s="27">
        <v>1993</v>
      </c>
      <c r="R195" s="27">
        <v>1</v>
      </c>
      <c r="S195" s="27">
        <v>0</v>
      </c>
      <c r="T195" s="27">
        <v>-1.8E-3</v>
      </c>
      <c r="U195" s="27">
        <v>-1.2E-2</v>
      </c>
      <c r="V195" s="27">
        <v>0</v>
      </c>
      <c r="W195" s="27">
        <v>0</v>
      </c>
      <c r="X195" s="27" t="s">
        <v>19</v>
      </c>
    </row>
    <row r="196" spans="1:24">
      <c r="A196" s="27">
        <v>1</v>
      </c>
      <c r="B196" s="27">
        <v>3</v>
      </c>
      <c r="C196" s="27">
        <v>6</v>
      </c>
      <c r="D196" s="27">
        <v>2010</v>
      </c>
      <c r="E196" s="27">
        <v>2012</v>
      </c>
      <c r="F196" s="27">
        <v>5</v>
      </c>
      <c r="G196" s="27">
        <v>6</v>
      </c>
      <c r="H196" s="27">
        <v>0</v>
      </c>
      <c r="I196" s="27">
        <v>0</v>
      </c>
      <c r="J196" s="27">
        <v>0</v>
      </c>
      <c r="K196" s="27">
        <v>0.78</v>
      </c>
      <c r="L196" s="27">
        <v>2500</v>
      </c>
      <c r="M196" s="27">
        <v>1800</v>
      </c>
      <c r="N196" s="27">
        <v>0</v>
      </c>
      <c r="O196" s="27">
        <v>0</v>
      </c>
      <c r="P196" s="27" t="s">
        <v>13</v>
      </c>
      <c r="Q196" s="27">
        <v>1993</v>
      </c>
      <c r="R196" s="27">
        <v>1</v>
      </c>
      <c r="S196" s="27">
        <v>0</v>
      </c>
      <c r="T196" s="27">
        <v>-1.8E-3</v>
      </c>
      <c r="U196" s="27">
        <v>-1.2E-2</v>
      </c>
      <c r="V196" s="27">
        <v>0</v>
      </c>
      <c r="W196" s="27">
        <v>0</v>
      </c>
      <c r="X196" s="27" t="s">
        <v>19</v>
      </c>
    </row>
    <row r="197" spans="1:24">
      <c r="A197" s="27">
        <v>1</v>
      </c>
      <c r="B197" s="27">
        <v>3</v>
      </c>
      <c r="C197" s="27">
        <v>6</v>
      </c>
      <c r="D197" s="27">
        <v>2010</v>
      </c>
      <c r="E197" s="27">
        <v>2012</v>
      </c>
      <c r="F197" s="27">
        <v>6</v>
      </c>
      <c r="G197" s="27">
        <v>6</v>
      </c>
      <c r="H197" s="27">
        <v>0</v>
      </c>
      <c r="I197" s="27">
        <v>0</v>
      </c>
      <c r="J197" s="27">
        <v>0</v>
      </c>
      <c r="K197" s="27">
        <v>0.78</v>
      </c>
      <c r="L197" s="27">
        <v>2500</v>
      </c>
      <c r="M197" s="27">
        <v>1800</v>
      </c>
      <c r="N197" s="27">
        <v>0</v>
      </c>
      <c r="O197" s="27">
        <v>0</v>
      </c>
      <c r="P197" s="27" t="s">
        <v>13</v>
      </c>
      <c r="Q197" s="27">
        <v>1993</v>
      </c>
      <c r="R197" s="27">
        <v>1</v>
      </c>
      <c r="S197" s="27">
        <v>0</v>
      </c>
      <c r="T197" s="27">
        <v>-1.8E-3</v>
      </c>
      <c r="U197" s="27">
        <v>-1.2E-2</v>
      </c>
      <c r="V197" s="27">
        <v>0</v>
      </c>
      <c r="W197" s="27">
        <v>0</v>
      </c>
      <c r="X197" s="27" t="s">
        <v>19</v>
      </c>
    </row>
    <row r="198" spans="1:24">
      <c r="A198" s="27">
        <v>1</v>
      </c>
      <c r="B198" s="27">
        <v>3</v>
      </c>
      <c r="C198" s="27">
        <v>6</v>
      </c>
      <c r="D198" s="27">
        <v>2010</v>
      </c>
      <c r="E198" s="27">
        <v>2012</v>
      </c>
      <c r="F198" s="27">
        <v>7</v>
      </c>
      <c r="G198" s="27">
        <v>6</v>
      </c>
      <c r="H198" s="27">
        <v>0</v>
      </c>
      <c r="I198" s="27">
        <v>0</v>
      </c>
      <c r="J198" s="27">
        <v>0</v>
      </c>
      <c r="K198" s="27">
        <v>0.78</v>
      </c>
      <c r="L198" s="27">
        <v>2500</v>
      </c>
      <c r="M198" s="27">
        <v>1800</v>
      </c>
      <c r="N198" s="27">
        <v>0</v>
      </c>
      <c r="O198" s="27">
        <v>0</v>
      </c>
      <c r="P198" s="27" t="s">
        <v>13</v>
      </c>
      <c r="Q198" s="27">
        <v>1993</v>
      </c>
      <c r="R198" s="27">
        <v>1</v>
      </c>
      <c r="S198" s="27">
        <v>0</v>
      </c>
      <c r="T198" s="27">
        <v>-1.8E-3</v>
      </c>
      <c r="U198" s="27">
        <v>-1.2E-2</v>
      </c>
      <c r="V198" s="27">
        <v>0</v>
      </c>
      <c r="W198" s="27">
        <v>0</v>
      </c>
      <c r="X198" s="27" t="s">
        <v>19</v>
      </c>
    </row>
    <row r="199" spans="1:24">
      <c r="A199" s="27">
        <v>1</v>
      </c>
      <c r="B199" s="27">
        <v>3</v>
      </c>
      <c r="C199" s="27">
        <v>6</v>
      </c>
      <c r="D199" s="27">
        <v>2010</v>
      </c>
      <c r="E199" s="27">
        <v>2012</v>
      </c>
      <c r="F199" s="27">
        <v>8</v>
      </c>
      <c r="G199" s="27">
        <v>6</v>
      </c>
      <c r="H199" s="27">
        <v>0</v>
      </c>
      <c r="I199" s="27">
        <v>0</v>
      </c>
      <c r="J199" s="27">
        <v>0</v>
      </c>
      <c r="K199" s="27">
        <v>0.78</v>
      </c>
      <c r="L199" s="27">
        <v>2500</v>
      </c>
      <c r="M199" s="27">
        <v>1800</v>
      </c>
      <c r="N199" s="27">
        <v>0</v>
      </c>
      <c r="O199" s="27">
        <v>0</v>
      </c>
      <c r="P199" s="27" t="s">
        <v>13</v>
      </c>
      <c r="Q199" s="27">
        <v>1993</v>
      </c>
      <c r="R199" s="27">
        <v>1</v>
      </c>
      <c r="S199" s="27">
        <v>0</v>
      </c>
      <c r="T199" s="27">
        <v>-1.8E-3</v>
      </c>
      <c r="U199" s="27">
        <v>-1.2E-2</v>
      </c>
      <c r="V199" s="27">
        <v>0</v>
      </c>
      <c r="W199" s="27">
        <v>0</v>
      </c>
      <c r="X199" s="27" t="s">
        <v>19</v>
      </c>
    </row>
    <row r="200" spans="1:24">
      <c r="A200" s="27">
        <v>1</v>
      </c>
      <c r="B200" s="27">
        <v>3</v>
      </c>
      <c r="C200" s="27">
        <v>6</v>
      </c>
      <c r="D200" s="27">
        <v>2010</v>
      </c>
      <c r="E200" s="27">
        <v>2012</v>
      </c>
      <c r="F200" s="27">
        <v>9</v>
      </c>
      <c r="G200" s="27">
        <v>6</v>
      </c>
      <c r="H200" s="27">
        <v>0</v>
      </c>
      <c r="I200" s="27">
        <v>0</v>
      </c>
      <c r="J200" s="27">
        <v>0</v>
      </c>
      <c r="K200" s="27">
        <v>0.78</v>
      </c>
      <c r="L200" s="27">
        <v>2500</v>
      </c>
      <c r="M200" s="27">
        <v>1800</v>
      </c>
      <c r="N200" s="27">
        <v>0</v>
      </c>
      <c r="O200" s="27">
        <v>0</v>
      </c>
      <c r="P200" s="27" t="s">
        <v>13</v>
      </c>
      <c r="Q200" s="27">
        <v>1993</v>
      </c>
      <c r="R200" s="27">
        <v>1</v>
      </c>
      <c r="S200" s="27">
        <v>0</v>
      </c>
      <c r="T200" s="27">
        <v>-1.8E-3</v>
      </c>
      <c r="U200" s="27">
        <v>-1.2E-2</v>
      </c>
      <c r="V200" s="27">
        <v>0</v>
      </c>
      <c r="W200" s="27">
        <v>0</v>
      </c>
      <c r="X200" s="27" t="s">
        <v>19</v>
      </c>
    </row>
    <row r="201" spans="1:24">
      <c r="A201" s="27">
        <v>1</v>
      </c>
      <c r="B201" s="27">
        <v>3</v>
      </c>
      <c r="C201" s="27">
        <v>6</v>
      </c>
      <c r="D201" s="27">
        <v>2013</v>
      </c>
      <c r="E201" s="27">
        <v>2050</v>
      </c>
      <c r="F201" s="27">
        <v>1</v>
      </c>
      <c r="G201" s="27">
        <v>6</v>
      </c>
      <c r="H201" s="27">
        <v>0</v>
      </c>
      <c r="I201" s="27">
        <v>0</v>
      </c>
      <c r="J201" s="27">
        <v>0</v>
      </c>
      <c r="K201" s="27">
        <v>0.8</v>
      </c>
      <c r="L201" s="27">
        <v>2500</v>
      </c>
      <c r="M201" s="27">
        <v>1800</v>
      </c>
      <c r="N201" s="27">
        <v>0</v>
      </c>
      <c r="O201" s="27">
        <v>0</v>
      </c>
      <c r="P201" s="27" t="s">
        <v>13</v>
      </c>
      <c r="Q201" s="27">
        <v>1993</v>
      </c>
      <c r="R201" s="27">
        <v>1</v>
      </c>
      <c r="S201" s="27">
        <v>0</v>
      </c>
      <c r="T201" s="27">
        <v>-1</v>
      </c>
      <c r="U201" s="27">
        <v>-1</v>
      </c>
      <c r="V201" s="27">
        <v>0</v>
      </c>
      <c r="W201" s="27">
        <v>0</v>
      </c>
      <c r="X201" s="27" t="s">
        <v>19</v>
      </c>
    </row>
    <row r="202" spans="1:24">
      <c r="A202" s="27">
        <v>1</v>
      </c>
      <c r="B202" s="27">
        <v>3</v>
      </c>
      <c r="C202" s="27">
        <v>6</v>
      </c>
      <c r="D202" s="27">
        <v>2013</v>
      </c>
      <c r="E202" s="27">
        <v>2050</v>
      </c>
      <c r="F202" s="27">
        <v>2</v>
      </c>
      <c r="G202" s="27">
        <v>6</v>
      </c>
      <c r="H202" s="27">
        <v>0</v>
      </c>
      <c r="I202" s="27">
        <v>0</v>
      </c>
      <c r="J202" s="27">
        <v>0</v>
      </c>
      <c r="K202" s="27">
        <v>0.8</v>
      </c>
      <c r="L202" s="27">
        <v>2500</v>
      </c>
      <c r="M202" s="27">
        <v>1800</v>
      </c>
      <c r="N202" s="27">
        <v>0</v>
      </c>
      <c r="O202" s="27">
        <v>0</v>
      </c>
      <c r="P202" s="27" t="s">
        <v>13</v>
      </c>
      <c r="Q202" s="27">
        <v>1993</v>
      </c>
      <c r="R202" s="27">
        <v>1</v>
      </c>
      <c r="S202" s="27">
        <v>0</v>
      </c>
      <c r="T202" s="27">
        <v>-1</v>
      </c>
      <c r="U202" s="27">
        <v>-1</v>
      </c>
      <c r="V202" s="27">
        <v>0</v>
      </c>
      <c r="W202" s="27">
        <v>0</v>
      </c>
      <c r="X202" s="27" t="s">
        <v>19</v>
      </c>
    </row>
    <row r="203" spans="1:24">
      <c r="A203" s="27">
        <v>1</v>
      </c>
      <c r="B203" s="27">
        <v>3</v>
      </c>
      <c r="C203" s="27">
        <v>6</v>
      </c>
      <c r="D203" s="27">
        <v>2013</v>
      </c>
      <c r="E203" s="27">
        <v>2050</v>
      </c>
      <c r="F203" s="27">
        <v>3</v>
      </c>
      <c r="G203" s="27">
        <v>6</v>
      </c>
      <c r="H203" s="27">
        <v>0</v>
      </c>
      <c r="I203" s="27">
        <v>0</v>
      </c>
      <c r="J203" s="27">
        <v>0</v>
      </c>
      <c r="K203" s="27">
        <v>0.8</v>
      </c>
      <c r="L203" s="27">
        <v>2500</v>
      </c>
      <c r="M203" s="27">
        <v>1800</v>
      </c>
      <c r="N203" s="27">
        <v>0</v>
      </c>
      <c r="O203" s="27">
        <v>0</v>
      </c>
      <c r="P203" s="27" t="s">
        <v>13</v>
      </c>
      <c r="Q203" s="27">
        <v>1993</v>
      </c>
      <c r="R203" s="27">
        <v>1</v>
      </c>
      <c r="S203" s="27">
        <v>0</v>
      </c>
      <c r="T203" s="27">
        <v>-1</v>
      </c>
      <c r="U203" s="27">
        <v>-1</v>
      </c>
      <c r="V203" s="27">
        <v>0</v>
      </c>
      <c r="W203" s="27">
        <v>0</v>
      </c>
      <c r="X203" s="27" t="s">
        <v>19</v>
      </c>
    </row>
    <row r="204" spans="1:24">
      <c r="A204" s="27">
        <v>1</v>
      </c>
      <c r="B204" s="27">
        <v>3</v>
      </c>
      <c r="C204" s="27">
        <v>6</v>
      </c>
      <c r="D204" s="27">
        <v>2013</v>
      </c>
      <c r="E204" s="27">
        <v>2050</v>
      </c>
      <c r="F204" s="27">
        <v>4</v>
      </c>
      <c r="G204" s="27">
        <v>6</v>
      </c>
      <c r="H204" s="27">
        <v>0</v>
      </c>
      <c r="I204" s="27">
        <v>0</v>
      </c>
      <c r="J204" s="27">
        <v>0</v>
      </c>
      <c r="K204" s="27">
        <v>0.8</v>
      </c>
      <c r="L204" s="27">
        <v>2500</v>
      </c>
      <c r="M204" s="27">
        <v>1800</v>
      </c>
      <c r="N204" s="27">
        <v>0</v>
      </c>
      <c r="O204" s="27">
        <v>0</v>
      </c>
      <c r="P204" s="27" t="s">
        <v>13</v>
      </c>
      <c r="Q204" s="27">
        <v>1993</v>
      </c>
      <c r="R204" s="27">
        <v>1</v>
      </c>
      <c r="S204" s="27">
        <v>0</v>
      </c>
      <c r="T204" s="27">
        <v>-1</v>
      </c>
      <c r="U204" s="27">
        <v>-1</v>
      </c>
      <c r="V204" s="27">
        <v>0</v>
      </c>
      <c r="W204" s="27">
        <v>0</v>
      </c>
      <c r="X204" s="27" t="s">
        <v>19</v>
      </c>
    </row>
    <row r="205" spans="1:24">
      <c r="A205" s="27">
        <v>1</v>
      </c>
      <c r="B205" s="27">
        <v>3</v>
      </c>
      <c r="C205" s="27">
        <v>6</v>
      </c>
      <c r="D205" s="27">
        <v>2013</v>
      </c>
      <c r="E205" s="27">
        <v>2050</v>
      </c>
      <c r="F205" s="27">
        <v>5</v>
      </c>
      <c r="G205" s="27">
        <v>6</v>
      </c>
      <c r="H205" s="27">
        <v>0</v>
      </c>
      <c r="I205" s="27">
        <v>0</v>
      </c>
      <c r="J205" s="27">
        <v>0</v>
      </c>
      <c r="K205" s="27">
        <v>0.8</v>
      </c>
      <c r="L205" s="27">
        <v>2500</v>
      </c>
      <c r="M205" s="27">
        <v>1800</v>
      </c>
      <c r="N205" s="27">
        <v>0</v>
      </c>
      <c r="O205" s="27">
        <v>0</v>
      </c>
      <c r="P205" s="27" t="s">
        <v>13</v>
      </c>
      <c r="Q205" s="27">
        <v>1993</v>
      </c>
      <c r="R205" s="27">
        <v>1</v>
      </c>
      <c r="S205" s="27">
        <v>0</v>
      </c>
      <c r="T205" s="27">
        <v>-1</v>
      </c>
      <c r="U205" s="27">
        <v>-1</v>
      </c>
      <c r="V205" s="27">
        <v>0</v>
      </c>
      <c r="W205" s="27">
        <v>0</v>
      </c>
      <c r="X205" s="27" t="s">
        <v>19</v>
      </c>
    </row>
    <row r="206" spans="1:24">
      <c r="A206" s="27">
        <v>1</v>
      </c>
      <c r="B206" s="27">
        <v>3</v>
      </c>
      <c r="C206" s="27">
        <v>6</v>
      </c>
      <c r="D206" s="27">
        <v>2013</v>
      </c>
      <c r="E206" s="27">
        <v>2050</v>
      </c>
      <c r="F206" s="27">
        <v>6</v>
      </c>
      <c r="G206" s="27">
        <v>6</v>
      </c>
      <c r="H206" s="27">
        <v>0</v>
      </c>
      <c r="I206" s="27">
        <v>0</v>
      </c>
      <c r="J206" s="27">
        <v>0</v>
      </c>
      <c r="K206" s="27">
        <v>0.8</v>
      </c>
      <c r="L206" s="27">
        <v>2500</v>
      </c>
      <c r="M206" s="27">
        <v>1800</v>
      </c>
      <c r="N206" s="27">
        <v>0</v>
      </c>
      <c r="O206" s="27">
        <v>0</v>
      </c>
      <c r="P206" s="27" t="s">
        <v>13</v>
      </c>
      <c r="Q206" s="27">
        <v>1993</v>
      </c>
      <c r="R206" s="27">
        <v>1</v>
      </c>
      <c r="S206" s="27">
        <v>0</v>
      </c>
      <c r="T206" s="27">
        <v>-1</v>
      </c>
      <c r="U206" s="27">
        <v>-1</v>
      </c>
      <c r="V206" s="27">
        <v>0</v>
      </c>
      <c r="W206" s="27">
        <v>0</v>
      </c>
      <c r="X206" s="27" t="s">
        <v>19</v>
      </c>
    </row>
    <row r="207" spans="1:24">
      <c r="A207" s="27">
        <v>1</v>
      </c>
      <c r="B207" s="27">
        <v>3</v>
      </c>
      <c r="C207" s="27">
        <v>6</v>
      </c>
      <c r="D207" s="27">
        <v>2013</v>
      </c>
      <c r="E207" s="27">
        <v>2050</v>
      </c>
      <c r="F207" s="27">
        <v>7</v>
      </c>
      <c r="G207" s="27">
        <v>6</v>
      </c>
      <c r="H207" s="27">
        <v>0</v>
      </c>
      <c r="I207" s="27">
        <v>0</v>
      </c>
      <c r="J207" s="27">
        <v>0</v>
      </c>
      <c r="K207" s="27">
        <v>0.8</v>
      </c>
      <c r="L207" s="27">
        <v>2500</v>
      </c>
      <c r="M207" s="27">
        <v>1800</v>
      </c>
      <c r="N207" s="27">
        <v>0</v>
      </c>
      <c r="O207" s="27">
        <v>0</v>
      </c>
      <c r="P207" s="27" t="s">
        <v>13</v>
      </c>
      <c r="Q207" s="27">
        <v>1993</v>
      </c>
      <c r="R207" s="27">
        <v>1</v>
      </c>
      <c r="S207" s="27">
        <v>0</v>
      </c>
      <c r="T207" s="27">
        <v>-1</v>
      </c>
      <c r="U207" s="27">
        <v>-1</v>
      </c>
      <c r="V207" s="27">
        <v>0</v>
      </c>
      <c r="W207" s="27">
        <v>0</v>
      </c>
      <c r="X207" s="27" t="s">
        <v>19</v>
      </c>
    </row>
    <row r="208" spans="1:24">
      <c r="A208" s="27">
        <v>1</v>
      </c>
      <c r="B208" s="27">
        <v>3</v>
      </c>
      <c r="C208" s="27">
        <v>6</v>
      </c>
      <c r="D208" s="27">
        <v>2013</v>
      </c>
      <c r="E208" s="27">
        <v>2050</v>
      </c>
      <c r="F208" s="27">
        <v>8</v>
      </c>
      <c r="G208" s="27">
        <v>6</v>
      </c>
      <c r="H208" s="27">
        <v>0</v>
      </c>
      <c r="I208" s="27">
        <v>0</v>
      </c>
      <c r="J208" s="27">
        <v>0</v>
      </c>
      <c r="K208" s="27">
        <v>0.8</v>
      </c>
      <c r="L208" s="27">
        <v>2500</v>
      </c>
      <c r="M208" s="27">
        <v>1800</v>
      </c>
      <c r="N208" s="27">
        <v>0</v>
      </c>
      <c r="O208" s="27">
        <v>0</v>
      </c>
      <c r="P208" s="27" t="s">
        <v>13</v>
      </c>
      <c r="Q208" s="27">
        <v>1993</v>
      </c>
      <c r="R208" s="27">
        <v>1</v>
      </c>
      <c r="S208" s="27">
        <v>0</v>
      </c>
      <c r="T208" s="27">
        <v>-1</v>
      </c>
      <c r="U208" s="27">
        <v>-1</v>
      </c>
      <c r="V208" s="27">
        <v>0</v>
      </c>
      <c r="W208" s="27">
        <v>0</v>
      </c>
      <c r="X208" s="27" t="s">
        <v>19</v>
      </c>
    </row>
    <row r="209" spans="1:24">
      <c r="A209" s="27">
        <v>1</v>
      </c>
      <c r="B209" s="27">
        <v>3</v>
      </c>
      <c r="C209" s="27">
        <v>6</v>
      </c>
      <c r="D209" s="27">
        <v>2013</v>
      </c>
      <c r="E209" s="27">
        <v>2050</v>
      </c>
      <c r="F209" s="27">
        <v>9</v>
      </c>
      <c r="G209" s="27">
        <v>6</v>
      </c>
      <c r="H209" s="27">
        <v>0</v>
      </c>
      <c r="I209" s="27">
        <v>0</v>
      </c>
      <c r="J209" s="27">
        <v>0</v>
      </c>
      <c r="K209" s="27">
        <v>0.8</v>
      </c>
      <c r="L209" s="27">
        <v>2500</v>
      </c>
      <c r="M209" s="27">
        <v>1800</v>
      </c>
      <c r="N209" s="27">
        <v>0</v>
      </c>
      <c r="O209" s="27">
        <v>0</v>
      </c>
      <c r="P209" s="27" t="s">
        <v>13</v>
      </c>
      <c r="Q209" s="27">
        <v>1993</v>
      </c>
      <c r="R209" s="27">
        <v>1</v>
      </c>
      <c r="S209" s="27">
        <v>0</v>
      </c>
      <c r="T209" s="27">
        <v>-1</v>
      </c>
      <c r="U209" s="27">
        <v>-1</v>
      </c>
      <c r="V209" s="27">
        <v>0</v>
      </c>
      <c r="W209" s="27">
        <v>0</v>
      </c>
      <c r="X209" s="27" t="s">
        <v>19</v>
      </c>
    </row>
    <row r="210" spans="1:24">
      <c r="A210" s="27">
        <v>1</v>
      </c>
      <c r="B210" s="27">
        <v>3</v>
      </c>
      <c r="C210" s="27">
        <v>7</v>
      </c>
      <c r="D210" s="27">
        <v>2010</v>
      </c>
      <c r="E210" s="27">
        <v>2012</v>
      </c>
      <c r="F210" s="27">
        <v>1</v>
      </c>
      <c r="G210" s="27">
        <v>7</v>
      </c>
      <c r="H210" s="27">
        <v>0</v>
      </c>
      <c r="I210" s="27">
        <v>0</v>
      </c>
      <c r="J210" s="27">
        <v>0</v>
      </c>
      <c r="K210" s="27">
        <v>0.8</v>
      </c>
      <c r="L210" s="27">
        <v>2500</v>
      </c>
      <c r="M210" s="27">
        <v>1800</v>
      </c>
      <c r="N210" s="27">
        <v>0</v>
      </c>
      <c r="O210" s="27">
        <v>0</v>
      </c>
      <c r="P210" s="27" t="s">
        <v>13</v>
      </c>
      <c r="Q210" s="27">
        <v>1993</v>
      </c>
      <c r="R210" s="27">
        <v>1</v>
      </c>
      <c r="S210" s="27">
        <v>0</v>
      </c>
      <c r="T210" s="27">
        <v>-1.8E-3</v>
      </c>
      <c r="U210" s="27">
        <v>-1.2E-2</v>
      </c>
      <c r="V210" s="27">
        <v>0</v>
      </c>
      <c r="W210" s="27">
        <v>0</v>
      </c>
      <c r="X210" s="27" t="s">
        <v>20</v>
      </c>
    </row>
    <row r="211" spans="1:24">
      <c r="A211" s="27">
        <v>1</v>
      </c>
      <c r="B211" s="27">
        <v>3</v>
      </c>
      <c r="C211" s="27">
        <v>7</v>
      </c>
      <c r="D211" s="27">
        <v>2010</v>
      </c>
      <c r="E211" s="27">
        <v>2012</v>
      </c>
      <c r="F211" s="27">
        <v>2</v>
      </c>
      <c r="G211" s="27">
        <v>7</v>
      </c>
      <c r="H211" s="27">
        <v>0</v>
      </c>
      <c r="I211" s="27">
        <v>0</v>
      </c>
      <c r="J211" s="27">
        <v>0</v>
      </c>
      <c r="K211" s="27">
        <v>0.8</v>
      </c>
      <c r="L211" s="27">
        <v>2500</v>
      </c>
      <c r="M211" s="27">
        <v>1800</v>
      </c>
      <c r="N211" s="27">
        <v>0</v>
      </c>
      <c r="O211" s="27">
        <v>0</v>
      </c>
      <c r="P211" s="27" t="s">
        <v>13</v>
      </c>
      <c r="Q211" s="27">
        <v>1993</v>
      </c>
      <c r="R211" s="27">
        <v>1</v>
      </c>
      <c r="S211" s="27">
        <v>0</v>
      </c>
      <c r="T211" s="27">
        <v>-1.8E-3</v>
      </c>
      <c r="U211" s="27">
        <v>-1.2E-2</v>
      </c>
      <c r="V211" s="27">
        <v>0</v>
      </c>
      <c r="W211" s="27">
        <v>0</v>
      </c>
      <c r="X211" s="27" t="s">
        <v>20</v>
      </c>
    </row>
    <row r="212" spans="1:24">
      <c r="A212" s="27">
        <v>1</v>
      </c>
      <c r="B212" s="27">
        <v>3</v>
      </c>
      <c r="C212" s="27">
        <v>7</v>
      </c>
      <c r="D212" s="27">
        <v>2010</v>
      </c>
      <c r="E212" s="27">
        <v>2012</v>
      </c>
      <c r="F212" s="27">
        <v>3</v>
      </c>
      <c r="G212" s="27">
        <v>7</v>
      </c>
      <c r="H212" s="27">
        <v>0</v>
      </c>
      <c r="I212" s="27">
        <v>0</v>
      </c>
      <c r="J212" s="27">
        <v>0</v>
      </c>
      <c r="K212" s="27">
        <v>0.8</v>
      </c>
      <c r="L212" s="27">
        <v>2500</v>
      </c>
      <c r="M212" s="27">
        <v>1800</v>
      </c>
      <c r="N212" s="27">
        <v>0</v>
      </c>
      <c r="O212" s="27">
        <v>0</v>
      </c>
      <c r="P212" s="27" t="s">
        <v>13</v>
      </c>
      <c r="Q212" s="27">
        <v>1993</v>
      </c>
      <c r="R212" s="27">
        <v>1</v>
      </c>
      <c r="S212" s="27">
        <v>0</v>
      </c>
      <c r="T212" s="27">
        <v>-1.8E-3</v>
      </c>
      <c r="U212" s="27">
        <v>-1.2E-2</v>
      </c>
      <c r="V212" s="27">
        <v>0</v>
      </c>
      <c r="W212" s="27">
        <v>0</v>
      </c>
      <c r="X212" s="27" t="s">
        <v>20</v>
      </c>
    </row>
    <row r="213" spans="1:24">
      <c r="A213" s="27">
        <v>1</v>
      </c>
      <c r="B213" s="27">
        <v>3</v>
      </c>
      <c r="C213" s="27">
        <v>7</v>
      </c>
      <c r="D213" s="27">
        <v>2010</v>
      </c>
      <c r="E213" s="27">
        <v>2012</v>
      </c>
      <c r="F213" s="27">
        <v>4</v>
      </c>
      <c r="G213" s="27">
        <v>7</v>
      </c>
      <c r="H213" s="27">
        <v>0</v>
      </c>
      <c r="I213" s="27">
        <v>0</v>
      </c>
      <c r="J213" s="27">
        <v>0</v>
      </c>
      <c r="K213" s="27">
        <v>0.8</v>
      </c>
      <c r="L213" s="27">
        <v>2500</v>
      </c>
      <c r="M213" s="27">
        <v>1800</v>
      </c>
      <c r="N213" s="27">
        <v>0</v>
      </c>
      <c r="O213" s="27">
        <v>0</v>
      </c>
      <c r="P213" s="27" t="s">
        <v>13</v>
      </c>
      <c r="Q213" s="27">
        <v>1993</v>
      </c>
      <c r="R213" s="27">
        <v>1</v>
      </c>
      <c r="S213" s="27">
        <v>0</v>
      </c>
      <c r="T213" s="27">
        <v>-1.8E-3</v>
      </c>
      <c r="U213" s="27">
        <v>-1.2E-2</v>
      </c>
      <c r="V213" s="27">
        <v>0</v>
      </c>
      <c r="W213" s="27">
        <v>0</v>
      </c>
      <c r="X213" s="27" t="s">
        <v>20</v>
      </c>
    </row>
    <row r="214" spans="1:24">
      <c r="A214" s="27">
        <v>1</v>
      </c>
      <c r="B214" s="27">
        <v>3</v>
      </c>
      <c r="C214" s="27">
        <v>7</v>
      </c>
      <c r="D214" s="27">
        <v>2010</v>
      </c>
      <c r="E214" s="27">
        <v>2012</v>
      </c>
      <c r="F214" s="27">
        <v>5</v>
      </c>
      <c r="G214" s="27">
        <v>7</v>
      </c>
      <c r="H214" s="27">
        <v>0</v>
      </c>
      <c r="I214" s="27">
        <v>0</v>
      </c>
      <c r="J214" s="27">
        <v>0</v>
      </c>
      <c r="K214" s="27">
        <v>0.8</v>
      </c>
      <c r="L214" s="27">
        <v>2500</v>
      </c>
      <c r="M214" s="27">
        <v>1800</v>
      </c>
      <c r="N214" s="27">
        <v>0</v>
      </c>
      <c r="O214" s="27">
        <v>0</v>
      </c>
      <c r="P214" s="27" t="s">
        <v>13</v>
      </c>
      <c r="Q214" s="27">
        <v>1993</v>
      </c>
      <c r="R214" s="27">
        <v>1</v>
      </c>
      <c r="S214" s="27">
        <v>0</v>
      </c>
      <c r="T214" s="27">
        <v>-1.8E-3</v>
      </c>
      <c r="U214" s="27">
        <v>-1.2E-2</v>
      </c>
      <c r="V214" s="27">
        <v>0</v>
      </c>
      <c r="W214" s="27">
        <v>0</v>
      </c>
      <c r="X214" s="27" t="s">
        <v>20</v>
      </c>
    </row>
    <row r="215" spans="1:24">
      <c r="A215" s="27">
        <v>1</v>
      </c>
      <c r="B215" s="27">
        <v>3</v>
      </c>
      <c r="C215" s="27">
        <v>7</v>
      </c>
      <c r="D215" s="27">
        <v>2010</v>
      </c>
      <c r="E215" s="27">
        <v>2012</v>
      </c>
      <c r="F215" s="27">
        <v>6</v>
      </c>
      <c r="G215" s="27">
        <v>7</v>
      </c>
      <c r="H215" s="27">
        <v>0</v>
      </c>
      <c r="I215" s="27">
        <v>0</v>
      </c>
      <c r="J215" s="27">
        <v>0</v>
      </c>
      <c r="K215" s="27">
        <v>0.8</v>
      </c>
      <c r="L215" s="27">
        <v>2500</v>
      </c>
      <c r="M215" s="27">
        <v>1800</v>
      </c>
      <c r="N215" s="27">
        <v>0</v>
      </c>
      <c r="O215" s="27">
        <v>0</v>
      </c>
      <c r="P215" s="27" t="s">
        <v>13</v>
      </c>
      <c r="Q215" s="27">
        <v>1993</v>
      </c>
      <c r="R215" s="27">
        <v>1</v>
      </c>
      <c r="S215" s="27">
        <v>0</v>
      </c>
      <c r="T215" s="27">
        <v>-1.8E-3</v>
      </c>
      <c r="U215" s="27">
        <v>-1.2E-2</v>
      </c>
      <c r="V215" s="27">
        <v>0</v>
      </c>
      <c r="W215" s="27">
        <v>0</v>
      </c>
      <c r="X215" s="27" t="s">
        <v>20</v>
      </c>
    </row>
    <row r="216" spans="1:24">
      <c r="A216" s="27">
        <v>1</v>
      </c>
      <c r="B216" s="27">
        <v>3</v>
      </c>
      <c r="C216" s="27">
        <v>7</v>
      </c>
      <c r="D216" s="27">
        <v>2010</v>
      </c>
      <c r="E216" s="27">
        <v>2012</v>
      </c>
      <c r="F216" s="27">
        <v>7</v>
      </c>
      <c r="G216" s="27">
        <v>7</v>
      </c>
      <c r="H216" s="27">
        <v>0</v>
      </c>
      <c r="I216" s="27">
        <v>0</v>
      </c>
      <c r="J216" s="27">
        <v>0</v>
      </c>
      <c r="K216" s="27">
        <v>0.8</v>
      </c>
      <c r="L216" s="27">
        <v>2500</v>
      </c>
      <c r="M216" s="27">
        <v>1800</v>
      </c>
      <c r="N216" s="27">
        <v>0</v>
      </c>
      <c r="O216" s="27">
        <v>0</v>
      </c>
      <c r="P216" s="27" t="s">
        <v>13</v>
      </c>
      <c r="Q216" s="27">
        <v>1993</v>
      </c>
      <c r="R216" s="27">
        <v>1</v>
      </c>
      <c r="S216" s="27">
        <v>0</v>
      </c>
      <c r="T216" s="27">
        <v>-1.8E-3</v>
      </c>
      <c r="U216" s="27">
        <v>-1.2E-2</v>
      </c>
      <c r="V216" s="27">
        <v>0</v>
      </c>
      <c r="W216" s="27">
        <v>0</v>
      </c>
      <c r="X216" s="27" t="s">
        <v>20</v>
      </c>
    </row>
    <row r="217" spans="1:24">
      <c r="A217" s="27">
        <v>1</v>
      </c>
      <c r="B217" s="27">
        <v>3</v>
      </c>
      <c r="C217" s="27">
        <v>7</v>
      </c>
      <c r="D217" s="27">
        <v>2010</v>
      </c>
      <c r="E217" s="27">
        <v>2012</v>
      </c>
      <c r="F217" s="27">
        <v>8</v>
      </c>
      <c r="G217" s="27">
        <v>7</v>
      </c>
      <c r="H217" s="27">
        <v>0</v>
      </c>
      <c r="I217" s="27">
        <v>0</v>
      </c>
      <c r="J217" s="27">
        <v>0</v>
      </c>
      <c r="K217" s="27">
        <v>0.8</v>
      </c>
      <c r="L217" s="27">
        <v>2500</v>
      </c>
      <c r="M217" s="27">
        <v>1800</v>
      </c>
      <c r="N217" s="27">
        <v>0</v>
      </c>
      <c r="O217" s="27">
        <v>0</v>
      </c>
      <c r="P217" s="27" t="s">
        <v>13</v>
      </c>
      <c r="Q217" s="27">
        <v>1993</v>
      </c>
      <c r="R217" s="27">
        <v>1</v>
      </c>
      <c r="S217" s="27">
        <v>0</v>
      </c>
      <c r="T217" s="27">
        <v>-1.8E-3</v>
      </c>
      <c r="U217" s="27">
        <v>-1.2E-2</v>
      </c>
      <c r="V217" s="27">
        <v>0</v>
      </c>
      <c r="W217" s="27">
        <v>0</v>
      </c>
      <c r="X217" s="27" t="s">
        <v>20</v>
      </c>
    </row>
    <row r="218" spans="1:24">
      <c r="A218" s="27">
        <v>1</v>
      </c>
      <c r="B218" s="27">
        <v>3</v>
      </c>
      <c r="C218" s="27">
        <v>7</v>
      </c>
      <c r="D218" s="27">
        <v>2010</v>
      </c>
      <c r="E218" s="27">
        <v>2012</v>
      </c>
      <c r="F218" s="27">
        <v>9</v>
      </c>
      <c r="G218" s="27">
        <v>7</v>
      </c>
      <c r="H218" s="27">
        <v>0</v>
      </c>
      <c r="I218" s="27">
        <v>0</v>
      </c>
      <c r="J218" s="27">
        <v>0</v>
      </c>
      <c r="K218" s="27">
        <v>0.8</v>
      </c>
      <c r="L218" s="27">
        <v>2500</v>
      </c>
      <c r="M218" s="27">
        <v>1800</v>
      </c>
      <c r="N218" s="27">
        <v>0</v>
      </c>
      <c r="O218" s="27">
        <v>0</v>
      </c>
      <c r="P218" s="27" t="s">
        <v>13</v>
      </c>
      <c r="Q218" s="27">
        <v>1993</v>
      </c>
      <c r="R218" s="27">
        <v>1</v>
      </c>
      <c r="S218" s="27">
        <v>0</v>
      </c>
      <c r="T218" s="27">
        <v>-1.8E-3</v>
      </c>
      <c r="U218" s="27">
        <v>-1.2E-2</v>
      </c>
      <c r="V218" s="27">
        <v>0</v>
      </c>
      <c r="W218" s="27">
        <v>0</v>
      </c>
      <c r="X218" s="27" t="s">
        <v>20</v>
      </c>
    </row>
    <row r="219" spans="1:24">
      <c r="A219" s="27">
        <v>1</v>
      </c>
      <c r="B219" s="27">
        <v>3</v>
      </c>
      <c r="C219" s="27">
        <v>7</v>
      </c>
      <c r="D219" s="27">
        <v>2013</v>
      </c>
      <c r="E219" s="27">
        <v>2050</v>
      </c>
      <c r="F219" s="27">
        <v>1</v>
      </c>
      <c r="G219" s="27">
        <v>7</v>
      </c>
      <c r="H219" s="27">
        <v>0</v>
      </c>
      <c r="I219" s="27">
        <v>0</v>
      </c>
      <c r="J219" s="27">
        <v>0</v>
      </c>
      <c r="K219" s="27">
        <v>0.8</v>
      </c>
      <c r="L219" s="27">
        <v>2500</v>
      </c>
      <c r="M219" s="27">
        <v>1800</v>
      </c>
      <c r="N219" s="27">
        <v>0</v>
      </c>
      <c r="O219" s="27">
        <v>0</v>
      </c>
      <c r="P219" s="27" t="s">
        <v>13</v>
      </c>
      <c r="Q219" s="27">
        <v>1993</v>
      </c>
      <c r="R219" s="27">
        <v>1</v>
      </c>
      <c r="S219" s="27">
        <v>0</v>
      </c>
      <c r="T219" s="27">
        <v>-1.8E-3</v>
      </c>
      <c r="U219" s="27">
        <v>-1.2E-2</v>
      </c>
      <c r="V219" s="27">
        <v>0</v>
      </c>
      <c r="W219" s="27">
        <v>0</v>
      </c>
      <c r="X219" s="27" t="s">
        <v>20</v>
      </c>
    </row>
    <row r="220" spans="1:24">
      <c r="A220" s="27">
        <v>1</v>
      </c>
      <c r="B220" s="27">
        <v>3</v>
      </c>
      <c r="C220" s="27">
        <v>7</v>
      </c>
      <c r="D220" s="27">
        <v>2013</v>
      </c>
      <c r="E220" s="27">
        <v>2050</v>
      </c>
      <c r="F220" s="27">
        <v>2</v>
      </c>
      <c r="G220" s="27">
        <v>7</v>
      </c>
      <c r="H220" s="27">
        <v>0</v>
      </c>
      <c r="I220" s="27">
        <v>0</v>
      </c>
      <c r="J220" s="27">
        <v>0</v>
      </c>
      <c r="K220" s="27">
        <v>0.8</v>
      </c>
      <c r="L220" s="27">
        <v>2500</v>
      </c>
      <c r="M220" s="27">
        <v>1800</v>
      </c>
      <c r="N220" s="27">
        <v>0</v>
      </c>
      <c r="O220" s="27">
        <v>0</v>
      </c>
      <c r="P220" s="27" t="s">
        <v>13</v>
      </c>
      <c r="Q220" s="27">
        <v>1993</v>
      </c>
      <c r="R220" s="27">
        <v>1</v>
      </c>
      <c r="S220" s="27">
        <v>0</v>
      </c>
      <c r="T220" s="27">
        <v>-1.8E-3</v>
      </c>
      <c r="U220" s="27">
        <v>-1.2E-2</v>
      </c>
      <c r="V220" s="27">
        <v>0</v>
      </c>
      <c r="W220" s="27">
        <v>0</v>
      </c>
      <c r="X220" s="27" t="s">
        <v>20</v>
      </c>
    </row>
    <row r="221" spans="1:24">
      <c r="A221" s="27">
        <v>1</v>
      </c>
      <c r="B221" s="27">
        <v>3</v>
      </c>
      <c r="C221" s="27">
        <v>7</v>
      </c>
      <c r="D221" s="27">
        <v>2013</v>
      </c>
      <c r="E221" s="27">
        <v>2050</v>
      </c>
      <c r="F221" s="27">
        <v>3</v>
      </c>
      <c r="G221" s="27">
        <v>7</v>
      </c>
      <c r="H221" s="27">
        <v>0</v>
      </c>
      <c r="I221" s="27">
        <v>0</v>
      </c>
      <c r="J221" s="27">
        <v>0</v>
      </c>
      <c r="K221" s="27">
        <v>0.8</v>
      </c>
      <c r="L221" s="27">
        <v>2500</v>
      </c>
      <c r="M221" s="27">
        <v>1800</v>
      </c>
      <c r="N221" s="27">
        <v>0</v>
      </c>
      <c r="O221" s="27">
        <v>0</v>
      </c>
      <c r="P221" s="27" t="s">
        <v>13</v>
      </c>
      <c r="Q221" s="27">
        <v>1993</v>
      </c>
      <c r="R221" s="27">
        <v>1</v>
      </c>
      <c r="S221" s="27">
        <v>0</v>
      </c>
      <c r="T221" s="27">
        <v>-1.8E-3</v>
      </c>
      <c r="U221" s="27">
        <v>-1.2E-2</v>
      </c>
      <c r="V221" s="27">
        <v>0</v>
      </c>
      <c r="W221" s="27">
        <v>0</v>
      </c>
      <c r="X221" s="27" t="s">
        <v>20</v>
      </c>
    </row>
    <row r="222" spans="1:24">
      <c r="A222" s="27">
        <v>1</v>
      </c>
      <c r="B222" s="27">
        <v>3</v>
      </c>
      <c r="C222" s="27">
        <v>7</v>
      </c>
      <c r="D222" s="27">
        <v>2013</v>
      </c>
      <c r="E222" s="27">
        <v>2050</v>
      </c>
      <c r="F222" s="27">
        <v>4</v>
      </c>
      <c r="G222" s="27">
        <v>7</v>
      </c>
      <c r="H222" s="27">
        <v>0</v>
      </c>
      <c r="I222" s="27">
        <v>0</v>
      </c>
      <c r="J222" s="27">
        <v>0</v>
      </c>
      <c r="K222" s="27">
        <v>0.8</v>
      </c>
      <c r="L222" s="27">
        <v>2500</v>
      </c>
      <c r="M222" s="27">
        <v>1800</v>
      </c>
      <c r="N222" s="27">
        <v>0</v>
      </c>
      <c r="O222" s="27">
        <v>0</v>
      </c>
      <c r="P222" s="27" t="s">
        <v>13</v>
      </c>
      <c r="Q222" s="27">
        <v>1993</v>
      </c>
      <c r="R222" s="27">
        <v>1</v>
      </c>
      <c r="S222" s="27">
        <v>0</v>
      </c>
      <c r="T222" s="27">
        <v>-1.8E-3</v>
      </c>
      <c r="U222" s="27">
        <v>-1.2E-2</v>
      </c>
      <c r="V222" s="27">
        <v>0</v>
      </c>
      <c r="W222" s="27">
        <v>0</v>
      </c>
      <c r="X222" s="27" t="s">
        <v>20</v>
      </c>
    </row>
    <row r="223" spans="1:24">
      <c r="A223" s="27">
        <v>1</v>
      </c>
      <c r="B223" s="27">
        <v>3</v>
      </c>
      <c r="C223" s="27">
        <v>7</v>
      </c>
      <c r="D223" s="27">
        <v>2013</v>
      </c>
      <c r="E223" s="27">
        <v>2050</v>
      </c>
      <c r="F223" s="27">
        <v>5</v>
      </c>
      <c r="G223" s="27">
        <v>7</v>
      </c>
      <c r="H223" s="27">
        <v>0</v>
      </c>
      <c r="I223" s="27">
        <v>0</v>
      </c>
      <c r="J223" s="27">
        <v>0</v>
      </c>
      <c r="K223" s="27">
        <v>0.8</v>
      </c>
      <c r="L223" s="27">
        <v>2500</v>
      </c>
      <c r="M223" s="27">
        <v>1800</v>
      </c>
      <c r="N223" s="27">
        <v>0</v>
      </c>
      <c r="O223" s="27">
        <v>0</v>
      </c>
      <c r="P223" s="27" t="s">
        <v>13</v>
      </c>
      <c r="Q223" s="27">
        <v>1993</v>
      </c>
      <c r="R223" s="27">
        <v>1</v>
      </c>
      <c r="S223" s="27">
        <v>0</v>
      </c>
      <c r="T223" s="27">
        <v>-1.8E-3</v>
      </c>
      <c r="U223" s="27">
        <v>-1.2E-2</v>
      </c>
      <c r="V223" s="27">
        <v>0</v>
      </c>
      <c r="W223" s="27">
        <v>0</v>
      </c>
      <c r="X223" s="27" t="s">
        <v>20</v>
      </c>
    </row>
    <row r="224" spans="1:24">
      <c r="A224" s="27">
        <v>1</v>
      </c>
      <c r="B224" s="27">
        <v>3</v>
      </c>
      <c r="C224" s="27">
        <v>7</v>
      </c>
      <c r="D224" s="27">
        <v>2013</v>
      </c>
      <c r="E224" s="27">
        <v>2050</v>
      </c>
      <c r="F224" s="27">
        <v>6</v>
      </c>
      <c r="G224" s="27">
        <v>7</v>
      </c>
      <c r="H224" s="27">
        <v>0</v>
      </c>
      <c r="I224" s="27">
        <v>0</v>
      </c>
      <c r="J224" s="27">
        <v>0</v>
      </c>
      <c r="K224" s="27">
        <v>0.8</v>
      </c>
      <c r="L224" s="27">
        <v>2500</v>
      </c>
      <c r="M224" s="27">
        <v>1800</v>
      </c>
      <c r="N224" s="27">
        <v>0</v>
      </c>
      <c r="O224" s="27">
        <v>0</v>
      </c>
      <c r="P224" s="27" t="s">
        <v>13</v>
      </c>
      <c r="Q224" s="27">
        <v>1993</v>
      </c>
      <c r="R224" s="27">
        <v>1</v>
      </c>
      <c r="S224" s="27">
        <v>0</v>
      </c>
      <c r="T224" s="27">
        <v>-1.8E-3</v>
      </c>
      <c r="U224" s="27">
        <v>-1.2E-2</v>
      </c>
      <c r="V224" s="27">
        <v>0</v>
      </c>
      <c r="W224" s="27">
        <v>0</v>
      </c>
      <c r="X224" s="27" t="s">
        <v>20</v>
      </c>
    </row>
    <row r="225" spans="1:24">
      <c r="A225" s="27">
        <v>1</v>
      </c>
      <c r="B225" s="27">
        <v>3</v>
      </c>
      <c r="C225" s="27">
        <v>7</v>
      </c>
      <c r="D225" s="27">
        <v>2013</v>
      </c>
      <c r="E225" s="27">
        <v>2050</v>
      </c>
      <c r="F225" s="27">
        <v>7</v>
      </c>
      <c r="G225" s="27">
        <v>7</v>
      </c>
      <c r="H225" s="27">
        <v>0</v>
      </c>
      <c r="I225" s="27">
        <v>0</v>
      </c>
      <c r="J225" s="27">
        <v>0</v>
      </c>
      <c r="K225" s="27">
        <v>0.8</v>
      </c>
      <c r="L225" s="27">
        <v>2500</v>
      </c>
      <c r="M225" s="27">
        <v>1800</v>
      </c>
      <c r="N225" s="27">
        <v>0</v>
      </c>
      <c r="O225" s="27">
        <v>0</v>
      </c>
      <c r="P225" s="27" t="s">
        <v>13</v>
      </c>
      <c r="Q225" s="27">
        <v>1993</v>
      </c>
      <c r="R225" s="27">
        <v>1</v>
      </c>
      <c r="S225" s="27">
        <v>0</v>
      </c>
      <c r="T225" s="27">
        <v>-1.8E-3</v>
      </c>
      <c r="U225" s="27">
        <v>-1.2E-2</v>
      </c>
      <c r="V225" s="27">
        <v>0</v>
      </c>
      <c r="W225" s="27">
        <v>0</v>
      </c>
      <c r="X225" s="27" t="s">
        <v>20</v>
      </c>
    </row>
    <row r="226" spans="1:24">
      <c r="A226" s="27">
        <v>1</v>
      </c>
      <c r="B226" s="27">
        <v>3</v>
      </c>
      <c r="C226" s="27">
        <v>7</v>
      </c>
      <c r="D226" s="27">
        <v>2013</v>
      </c>
      <c r="E226" s="27">
        <v>2050</v>
      </c>
      <c r="F226" s="27">
        <v>8</v>
      </c>
      <c r="G226" s="27">
        <v>7</v>
      </c>
      <c r="H226" s="27">
        <v>0</v>
      </c>
      <c r="I226" s="27">
        <v>0</v>
      </c>
      <c r="J226" s="27">
        <v>0</v>
      </c>
      <c r="K226" s="27">
        <v>0.8</v>
      </c>
      <c r="L226" s="27">
        <v>2500</v>
      </c>
      <c r="M226" s="27">
        <v>1800</v>
      </c>
      <c r="N226" s="27">
        <v>0</v>
      </c>
      <c r="O226" s="27">
        <v>0</v>
      </c>
      <c r="P226" s="27" t="s">
        <v>13</v>
      </c>
      <c r="Q226" s="27">
        <v>1993</v>
      </c>
      <c r="R226" s="27">
        <v>1</v>
      </c>
      <c r="S226" s="27">
        <v>0</v>
      </c>
      <c r="T226" s="27">
        <v>-1.8E-3</v>
      </c>
      <c r="U226" s="27">
        <v>-1.2E-2</v>
      </c>
      <c r="V226" s="27">
        <v>0</v>
      </c>
      <c r="W226" s="27">
        <v>0</v>
      </c>
      <c r="X226" s="27" t="s">
        <v>20</v>
      </c>
    </row>
    <row r="227" spans="1:24">
      <c r="A227" s="27">
        <v>1</v>
      </c>
      <c r="B227" s="27">
        <v>3</v>
      </c>
      <c r="C227" s="27">
        <v>7</v>
      </c>
      <c r="D227" s="27">
        <v>2013</v>
      </c>
      <c r="E227" s="27">
        <v>2050</v>
      </c>
      <c r="F227" s="27">
        <v>9</v>
      </c>
      <c r="G227" s="27">
        <v>7</v>
      </c>
      <c r="H227" s="27">
        <v>0</v>
      </c>
      <c r="I227" s="27">
        <v>0</v>
      </c>
      <c r="J227" s="27">
        <v>0</v>
      </c>
      <c r="K227" s="27">
        <v>0.8</v>
      </c>
      <c r="L227" s="27">
        <v>2500</v>
      </c>
      <c r="M227" s="27">
        <v>1800</v>
      </c>
      <c r="N227" s="27">
        <v>0</v>
      </c>
      <c r="O227" s="27">
        <v>0</v>
      </c>
      <c r="P227" s="27" t="s">
        <v>13</v>
      </c>
      <c r="Q227" s="27">
        <v>1993</v>
      </c>
      <c r="R227" s="27">
        <v>1</v>
      </c>
      <c r="S227" s="27">
        <v>0</v>
      </c>
      <c r="T227" s="27">
        <v>-1.8E-3</v>
      </c>
      <c r="U227" s="27">
        <v>-1.2E-2</v>
      </c>
      <c r="V227" s="27">
        <v>0</v>
      </c>
      <c r="W227" s="27">
        <v>0</v>
      </c>
      <c r="X227" s="27" t="s">
        <v>20</v>
      </c>
    </row>
    <row r="228" spans="1:24">
      <c r="A228" s="27">
        <v>1</v>
      </c>
      <c r="B228" s="27">
        <v>3</v>
      </c>
      <c r="C228" s="27">
        <v>8</v>
      </c>
      <c r="D228" s="27">
        <v>2010</v>
      </c>
      <c r="E228" s="27">
        <v>2010</v>
      </c>
      <c r="F228" s="27">
        <v>1</v>
      </c>
      <c r="G228" s="27">
        <v>8</v>
      </c>
      <c r="H228" s="27">
        <v>0</v>
      </c>
      <c r="I228" s="27">
        <v>0</v>
      </c>
      <c r="J228" s="27">
        <v>0</v>
      </c>
      <c r="K228" s="27">
        <v>0.9</v>
      </c>
      <c r="L228" s="27">
        <v>1925</v>
      </c>
      <c r="M228" s="27">
        <v>1835</v>
      </c>
      <c r="N228" s="27">
        <v>0</v>
      </c>
      <c r="O228" s="27">
        <v>0</v>
      </c>
      <c r="P228" s="27" t="s">
        <v>13</v>
      </c>
      <c r="Q228" s="27">
        <v>1993</v>
      </c>
      <c r="R228" s="27">
        <v>1</v>
      </c>
      <c r="S228" s="27">
        <v>0</v>
      </c>
      <c r="T228" s="27">
        <v>-1.8E-3</v>
      </c>
      <c r="U228" s="27">
        <v>-1.2E-2</v>
      </c>
      <c r="V228" s="27">
        <v>0</v>
      </c>
      <c r="W228" s="27">
        <v>0</v>
      </c>
      <c r="X228" s="27" t="s">
        <v>21</v>
      </c>
    </row>
    <row r="229" spans="1:24">
      <c r="A229" s="27">
        <v>1</v>
      </c>
      <c r="B229" s="27">
        <v>3</v>
      </c>
      <c r="C229" s="27">
        <v>8</v>
      </c>
      <c r="D229" s="27">
        <v>2010</v>
      </c>
      <c r="E229" s="27">
        <v>2010</v>
      </c>
      <c r="F229" s="27">
        <v>2</v>
      </c>
      <c r="G229" s="27">
        <v>8</v>
      </c>
      <c r="H229" s="27">
        <v>0</v>
      </c>
      <c r="I229" s="27">
        <v>0</v>
      </c>
      <c r="J229" s="27">
        <v>0</v>
      </c>
      <c r="K229" s="27">
        <v>0.9</v>
      </c>
      <c r="L229" s="27">
        <v>1925</v>
      </c>
      <c r="M229" s="27">
        <v>1835</v>
      </c>
      <c r="N229" s="27">
        <v>0</v>
      </c>
      <c r="O229" s="27">
        <v>0</v>
      </c>
      <c r="P229" s="27" t="s">
        <v>13</v>
      </c>
      <c r="Q229" s="27">
        <v>1993</v>
      </c>
      <c r="R229" s="27">
        <v>1</v>
      </c>
      <c r="S229" s="27">
        <v>0</v>
      </c>
      <c r="T229" s="27">
        <v>-1.8E-3</v>
      </c>
      <c r="U229" s="27">
        <v>-1.2E-2</v>
      </c>
      <c r="V229" s="27">
        <v>0</v>
      </c>
      <c r="W229" s="27">
        <v>0</v>
      </c>
      <c r="X229" s="27" t="s">
        <v>21</v>
      </c>
    </row>
    <row r="230" spans="1:24">
      <c r="A230" s="27">
        <v>1</v>
      </c>
      <c r="B230" s="27">
        <v>3</v>
      </c>
      <c r="C230" s="27">
        <v>8</v>
      </c>
      <c r="D230" s="27">
        <v>2010</v>
      </c>
      <c r="E230" s="27">
        <v>2010</v>
      </c>
      <c r="F230" s="27">
        <v>3</v>
      </c>
      <c r="G230" s="27">
        <v>8</v>
      </c>
      <c r="H230" s="27">
        <v>0</v>
      </c>
      <c r="I230" s="27">
        <v>0</v>
      </c>
      <c r="J230" s="27">
        <v>0</v>
      </c>
      <c r="K230" s="27">
        <v>0.9</v>
      </c>
      <c r="L230" s="27">
        <v>1925</v>
      </c>
      <c r="M230" s="27">
        <v>1835</v>
      </c>
      <c r="N230" s="27">
        <v>0</v>
      </c>
      <c r="O230" s="27">
        <v>0</v>
      </c>
      <c r="P230" s="27" t="s">
        <v>13</v>
      </c>
      <c r="Q230" s="27">
        <v>1993</v>
      </c>
      <c r="R230" s="27">
        <v>1</v>
      </c>
      <c r="S230" s="27">
        <v>0</v>
      </c>
      <c r="T230" s="27">
        <v>-1.8E-3</v>
      </c>
      <c r="U230" s="27">
        <v>-1.2E-2</v>
      </c>
      <c r="V230" s="27">
        <v>0</v>
      </c>
      <c r="W230" s="27">
        <v>0</v>
      </c>
      <c r="X230" s="27" t="s">
        <v>21</v>
      </c>
    </row>
    <row r="231" spans="1:24">
      <c r="A231" s="27">
        <v>1</v>
      </c>
      <c r="B231" s="27">
        <v>3</v>
      </c>
      <c r="C231" s="27">
        <v>8</v>
      </c>
      <c r="D231" s="27">
        <v>2010</v>
      </c>
      <c r="E231" s="27">
        <v>2010</v>
      </c>
      <c r="F231" s="27">
        <v>4</v>
      </c>
      <c r="G231" s="27">
        <v>8</v>
      </c>
      <c r="H231" s="27">
        <v>0</v>
      </c>
      <c r="I231" s="27">
        <v>0</v>
      </c>
      <c r="J231" s="27">
        <v>0</v>
      </c>
      <c r="K231" s="27">
        <v>0.9</v>
      </c>
      <c r="L231" s="27">
        <v>1925</v>
      </c>
      <c r="M231" s="27">
        <v>1835</v>
      </c>
      <c r="N231" s="27">
        <v>0</v>
      </c>
      <c r="O231" s="27">
        <v>0</v>
      </c>
      <c r="P231" s="27" t="s">
        <v>13</v>
      </c>
      <c r="Q231" s="27">
        <v>1993</v>
      </c>
      <c r="R231" s="27">
        <v>1</v>
      </c>
      <c r="S231" s="27">
        <v>0</v>
      </c>
      <c r="T231" s="27">
        <v>-1.8E-3</v>
      </c>
      <c r="U231" s="27">
        <v>-1.2E-2</v>
      </c>
      <c r="V231" s="27">
        <v>0</v>
      </c>
      <c r="W231" s="27">
        <v>0</v>
      </c>
      <c r="X231" s="27" t="s">
        <v>21</v>
      </c>
    </row>
    <row r="232" spans="1:24">
      <c r="A232" s="27">
        <v>1</v>
      </c>
      <c r="B232" s="27">
        <v>3</v>
      </c>
      <c r="C232" s="27">
        <v>8</v>
      </c>
      <c r="D232" s="27">
        <v>2010</v>
      </c>
      <c r="E232" s="27">
        <v>2010</v>
      </c>
      <c r="F232" s="27">
        <v>5</v>
      </c>
      <c r="G232" s="27">
        <v>8</v>
      </c>
      <c r="H232" s="27">
        <v>0</v>
      </c>
      <c r="I232" s="27">
        <v>0</v>
      </c>
      <c r="J232" s="27">
        <v>0</v>
      </c>
      <c r="K232" s="27">
        <v>0.9</v>
      </c>
      <c r="L232" s="27">
        <v>1925</v>
      </c>
      <c r="M232" s="27">
        <v>1835</v>
      </c>
      <c r="N232" s="27">
        <v>0</v>
      </c>
      <c r="O232" s="27">
        <v>0</v>
      </c>
      <c r="P232" s="27" t="s">
        <v>13</v>
      </c>
      <c r="Q232" s="27">
        <v>1993</v>
      </c>
      <c r="R232" s="27">
        <v>1</v>
      </c>
      <c r="S232" s="27">
        <v>0</v>
      </c>
      <c r="T232" s="27">
        <v>-1.8E-3</v>
      </c>
      <c r="U232" s="27">
        <v>-1.2E-2</v>
      </c>
      <c r="V232" s="27">
        <v>0</v>
      </c>
      <c r="W232" s="27">
        <v>0</v>
      </c>
      <c r="X232" s="27" t="s">
        <v>21</v>
      </c>
    </row>
    <row r="233" spans="1:24">
      <c r="A233" s="27">
        <v>1</v>
      </c>
      <c r="B233" s="27">
        <v>3</v>
      </c>
      <c r="C233" s="27">
        <v>8</v>
      </c>
      <c r="D233" s="27">
        <v>2010</v>
      </c>
      <c r="E233" s="27">
        <v>2010</v>
      </c>
      <c r="F233" s="27">
        <v>6</v>
      </c>
      <c r="G233" s="27">
        <v>8</v>
      </c>
      <c r="H233" s="27">
        <v>0</v>
      </c>
      <c r="I233" s="27">
        <v>0</v>
      </c>
      <c r="J233" s="27">
        <v>0</v>
      </c>
      <c r="K233" s="27">
        <v>0.9</v>
      </c>
      <c r="L233" s="27">
        <v>1925</v>
      </c>
      <c r="M233" s="27">
        <v>1835</v>
      </c>
      <c r="N233" s="27">
        <v>0</v>
      </c>
      <c r="O233" s="27">
        <v>0</v>
      </c>
      <c r="P233" s="27" t="s">
        <v>13</v>
      </c>
      <c r="Q233" s="27">
        <v>1993</v>
      </c>
      <c r="R233" s="27">
        <v>1</v>
      </c>
      <c r="S233" s="27">
        <v>0</v>
      </c>
      <c r="T233" s="27">
        <v>-1.8E-3</v>
      </c>
      <c r="U233" s="27">
        <v>-1.2E-2</v>
      </c>
      <c r="V233" s="27">
        <v>0</v>
      </c>
      <c r="W233" s="27">
        <v>0</v>
      </c>
      <c r="X233" s="27" t="s">
        <v>21</v>
      </c>
    </row>
    <row r="234" spans="1:24">
      <c r="A234" s="27">
        <v>1</v>
      </c>
      <c r="B234" s="27">
        <v>3</v>
      </c>
      <c r="C234" s="27">
        <v>8</v>
      </c>
      <c r="D234" s="27">
        <v>2010</v>
      </c>
      <c r="E234" s="27">
        <v>2010</v>
      </c>
      <c r="F234" s="27">
        <v>7</v>
      </c>
      <c r="G234" s="27">
        <v>8</v>
      </c>
      <c r="H234" s="27">
        <v>0</v>
      </c>
      <c r="I234" s="27">
        <v>0</v>
      </c>
      <c r="J234" s="27">
        <v>0</v>
      </c>
      <c r="K234" s="27">
        <v>0.9</v>
      </c>
      <c r="L234" s="27">
        <v>1925</v>
      </c>
      <c r="M234" s="27">
        <v>1835</v>
      </c>
      <c r="N234" s="27">
        <v>0</v>
      </c>
      <c r="O234" s="27">
        <v>0</v>
      </c>
      <c r="P234" s="27" t="s">
        <v>13</v>
      </c>
      <c r="Q234" s="27">
        <v>1993</v>
      </c>
      <c r="R234" s="27">
        <v>1</v>
      </c>
      <c r="S234" s="27">
        <v>0</v>
      </c>
      <c r="T234" s="27">
        <v>-1.8E-3</v>
      </c>
      <c r="U234" s="27">
        <v>-1.2E-2</v>
      </c>
      <c r="V234" s="27">
        <v>0</v>
      </c>
      <c r="W234" s="27">
        <v>0</v>
      </c>
      <c r="X234" s="27" t="s">
        <v>21</v>
      </c>
    </row>
    <row r="235" spans="1:24">
      <c r="A235" s="27">
        <v>1</v>
      </c>
      <c r="B235" s="27">
        <v>3</v>
      </c>
      <c r="C235" s="27">
        <v>8</v>
      </c>
      <c r="D235" s="27">
        <v>2010</v>
      </c>
      <c r="E235" s="27">
        <v>2010</v>
      </c>
      <c r="F235" s="27">
        <v>8</v>
      </c>
      <c r="G235" s="27">
        <v>8</v>
      </c>
      <c r="H235" s="27">
        <v>0</v>
      </c>
      <c r="I235" s="27">
        <v>0</v>
      </c>
      <c r="J235" s="27">
        <v>0</v>
      </c>
      <c r="K235" s="27">
        <v>0.9</v>
      </c>
      <c r="L235" s="27">
        <v>1925</v>
      </c>
      <c r="M235" s="27">
        <v>1835</v>
      </c>
      <c r="N235" s="27">
        <v>0</v>
      </c>
      <c r="O235" s="27">
        <v>0</v>
      </c>
      <c r="P235" s="27" t="s">
        <v>13</v>
      </c>
      <c r="Q235" s="27">
        <v>1993</v>
      </c>
      <c r="R235" s="27">
        <v>1</v>
      </c>
      <c r="S235" s="27">
        <v>0</v>
      </c>
      <c r="T235" s="27">
        <v>-1.8E-3</v>
      </c>
      <c r="U235" s="27">
        <v>-1.2E-2</v>
      </c>
      <c r="V235" s="27">
        <v>0</v>
      </c>
      <c r="W235" s="27">
        <v>0</v>
      </c>
      <c r="X235" s="27" t="s">
        <v>21</v>
      </c>
    </row>
    <row r="236" spans="1:24">
      <c r="A236" s="27">
        <v>1</v>
      </c>
      <c r="B236" s="27">
        <v>3</v>
      </c>
      <c r="C236" s="27">
        <v>8</v>
      </c>
      <c r="D236" s="27">
        <v>2010</v>
      </c>
      <c r="E236" s="27">
        <v>2010</v>
      </c>
      <c r="F236" s="27">
        <v>9</v>
      </c>
      <c r="G236" s="27">
        <v>8</v>
      </c>
      <c r="H236" s="27">
        <v>0</v>
      </c>
      <c r="I236" s="27">
        <v>0</v>
      </c>
      <c r="J236" s="27">
        <v>0</v>
      </c>
      <c r="K236" s="27">
        <v>0.9</v>
      </c>
      <c r="L236" s="27">
        <v>1925</v>
      </c>
      <c r="M236" s="27">
        <v>1835</v>
      </c>
      <c r="N236" s="27">
        <v>0</v>
      </c>
      <c r="O236" s="27">
        <v>0</v>
      </c>
      <c r="P236" s="27" t="s">
        <v>13</v>
      </c>
      <c r="Q236" s="27">
        <v>1993</v>
      </c>
      <c r="R236" s="27">
        <v>1</v>
      </c>
      <c r="S236" s="27">
        <v>0</v>
      </c>
      <c r="T236" s="27">
        <v>-1.8E-3</v>
      </c>
      <c r="U236" s="27">
        <v>-1.2E-2</v>
      </c>
      <c r="V236" s="27">
        <v>0</v>
      </c>
      <c r="W236" s="27">
        <v>0</v>
      </c>
      <c r="X236" s="27" t="s">
        <v>21</v>
      </c>
    </row>
    <row r="237" spans="1:24">
      <c r="A237" s="27">
        <v>1</v>
      </c>
      <c r="B237" s="27">
        <v>3</v>
      </c>
      <c r="C237" s="27">
        <v>8</v>
      </c>
      <c r="D237" s="27">
        <v>2011</v>
      </c>
      <c r="E237" s="27">
        <v>2050</v>
      </c>
      <c r="F237" s="27">
        <v>1</v>
      </c>
      <c r="G237" s="27">
        <v>8</v>
      </c>
      <c r="H237" s="27">
        <v>0</v>
      </c>
      <c r="I237" s="27">
        <v>0</v>
      </c>
      <c r="J237" s="27">
        <v>0</v>
      </c>
      <c r="K237" s="27">
        <v>0.9</v>
      </c>
      <c r="L237" s="27">
        <v>2750</v>
      </c>
      <c r="M237" s="27">
        <v>2330</v>
      </c>
      <c r="N237" s="27">
        <v>0</v>
      </c>
      <c r="O237" s="27">
        <v>0</v>
      </c>
      <c r="P237" s="27" t="s">
        <v>13</v>
      </c>
      <c r="Q237" s="27">
        <v>1993</v>
      </c>
      <c r="R237" s="27">
        <v>1</v>
      </c>
      <c r="S237" s="27">
        <v>0</v>
      </c>
      <c r="T237" s="27">
        <v>-1.8E-3</v>
      </c>
      <c r="U237" s="27">
        <v>-1.2E-2</v>
      </c>
      <c r="V237" s="27">
        <v>0</v>
      </c>
      <c r="W237" s="27">
        <v>0</v>
      </c>
      <c r="X237" s="27" t="s">
        <v>21</v>
      </c>
    </row>
    <row r="238" spans="1:24">
      <c r="A238" s="27">
        <v>1</v>
      </c>
      <c r="B238" s="27">
        <v>3</v>
      </c>
      <c r="C238" s="27">
        <v>8</v>
      </c>
      <c r="D238" s="27">
        <v>2011</v>
      </c>
      <c r="E238" s="27">
        <v>2050</v>
      </c>
      <c r="F238" s="27">
        <v>2</v>
      </c>
      <c r="G238" s="27">
        <v>8</v>
      </c>
      <c r="H238" s="27">
        <v>0</v>
      </c>
      <c r="I238" s="27">
        <v>0</v>
      </c>
      <c r="J238" s="27">
        <v>0</v>
      </c>
      <c r="K238" s="27">
        <v>0.9</v>
      </c>
      <c r="L238" s="27">
        <v>2750</v>
      </c>
      <c r="M238" s="27">
        <v>2330</v>
      </c>
      <c r="N238" s="27">
        <v>0</v>
      </c>
      <c r="O238" s="27">
        <v>0</v>
      </c>
      <c r="P238" s="27" t="s">
        <v>13</v>
      </c>
      <c r="Q238" s="27">
        <v>1993</v>
      </c>
      <c r="R238" s="27">
        <v>1</v>
      </c>
      <c r="S238" s="27">
        <v>0</v>
      </c>
      <c r="T238" s="27">
        <v>-1.8E-3</v>
      </c>
      <c r="U238" s="27">
        <v>-1.2E-2</v>
      </c>
      <c r="V238" s="27">
        <v>0</v>
      </c>
      <c r="W238" s="27">
        <v>0</v>
      </c>
      <c r="X238" s="27" t="s">
        <v>21</v>
      </c>
    </row>
    <row r="239" spans="1:24">
      <c r="A239" s="27">
        <v>1</v>
      </c>
      <c r="B239" s="27">
        <v>3</v>
      </c>
      <c r="C239" s="27">
        <v>8</v>
      </c>
      <c r="D239" s="27">
        <v>2011</v>
      </c>
      <c r="E239" s="27">
        <v>2050</v>
      </c>
      <c r="F239" s="27">
        <v>3</v>
      </c>
      <c r="G239" s="27">
        <v>8</v>
      </c>
      <c r="H239" s="27">
        <v>0</v>
      </c>
      <c r="I239" s="27">
        <v>0</v>
      </c>
      <c r="J239" s="27">
        <v>0</v>
      </c>
      <c r="K239" s="27">
        <v>0.9</v>
      </c>
      <c r="L239" s="27">
        <v>2750</v>
      </c>
      <c r="M239" s="27">
        <v>2330</v>
      </c>
      <c r="N239" s="27">
        <v>0</v>
      </c>
      <c r="O239" s="27">
        <v>0</v>
      </c>
      <c r="P239" s="27" t="s">
        <v>13</v>
      </c>
      <c r="Q239" s="27">
        <v>1993</v>
      </c>
      <c r="R239" s="27">
        <v>1</v>
      </c>
      <c r="S239" s="27">
        <v>0</v>
      </c>
      <c r="T239" s="27">
        <v>-1.8E-3</v>
      </c>
      <c r="U239" s="27">
        <v>-1.2E-2</v>
      </c>
      <c r="V239" s="27">
        <v>0</v>
      </c>
      <c r="W239" s="27">
        <v>0</v>
      </c>
      <c r="X239" s="27" t="s">
        <v>21</v>
      </c>
    </row>
    <row r="240" spans="1:24">
      <c r="A240" s="27">
        <v>1</v>
      </c>
      <c r="B240" s="27">
        <v>3</v>
      </c>
      <c r="C240" s="27">
        <v>8</v>
      </c>
      <c r="D240" s="27">
        <v>2011</v>
      </c>
      <c r="E240" s="27">
        <v>2050</v>
      </c>
      <c r="F240" s="27">
        <v>4</v>
      </c>
      <c r="G240" s="27">
        <v>8</v>
      </c>
      <c r="H240" s="27">
        <v>0</v>
      </c>
      <c r="I240" s="27">
        <v>0</v>
      </c>
      <c r="J240" s="27">
        <v>0</v>
      </c>
      <c r="K240" s="27">
        <v>0.9</v>
      </c>
      <c r="L240" s="27">
        <v>2750</v>
      </c>
      <c r="M240" s="27">
        <v>2330</v>
      </c>
      <c r="N240" s="27">
        <v>0</v>
      </c>
      <c r="O240" s="27">
        <v>0</v>
      </c>
      <c r="P240" s="27" t="s">
        <v>13</v>
      </c>
      <c r="Q240" s="27">
        <v>1993</v>
      </c>
      <c r="R240" s="27">
        <v>1</v>
      </c>
      <c r="S240" s="27">
        <v>0</v>
      </c>
      <c r="T240" s="27">
        <v>-1.8E-3</v>
      </c>
      <c r="U240" s="27">
        <v>-1.2E-2</v>
      </c>
      <c r="V240" s="27">
        <v>0</v>
      </c>
      <c r="W240" s="27">
        <v>0</v>
      </c>
      <c r="X240" s="27" t="s">
        <v>21</v>
      </c>
    </row>
    <row r="241" spans="1:24">
      <c r="A241" s="27">
        <v>1</v>
      </c>
      <c r="B241" s="27">
        <v>3</v>
      </c>
      <c r="C241" s="27">
        <v>8</v>
      </c>
      <c r="D241" s="27">
        <v>2011</v>
      </c>
      <c r="E241" s="27">
        <v>2050</v>
      </c>
      <c r="F241" s="27">
        <v>5</v>
      </c>
      <c r="G241" s="27">
        <v>8</v>
      </c>
      <c r="H241" s="27">
        <v>0</v>
      </c>
      <c r="I241" s="27">
        <v>0</v>
      </c>
      <c r="J241" s="27">
        <v>0</v>
      </c>
      <c r="K241" s="27">
        <v>0.9</v>
      </c>
      <c r="L241" s="27">
        <v>2750</v>
      </c>
      <c r="M241" s="27">
        <v>2330</v>
      </c>
      <c r="N241" s="27">
        <v>0</v>
      </c>
      <c r="O241" s="27">
        <v>0</v>
      </c>
      <c r="P241" s="27" t="s">
        <v>13</v>
      </c>
      <c r="Q241" s="27">
        <v>1993</v>
      </c>
      <c r="R241" s="27">
        <v>1</v>
      </c>
      <c r="S241" s="27">
        <v>0</v>
      </c>
      <c r="T241" s="27">
        <v>-1.8E-3</v>
      </c>
      <c r="U241" s="27">
        <v>-1.2E-2</v>
      </c>
      <c r="V241" s="27">
        <v>0</v>
      </c>
      <c r="W241" s="27">
        <v>0</v>
      </c>
      <c r="X241" s="27" t="s">
        <v>21</v>
      </c>
    </row>
    <row r="242" spans="1:24">
      <c r="A242" s="27">
        <v>1</v>
      </c>
      <c r="B242" s="27">
        <v>3</v>
      </c>
      <c r="C242" s="27">
        <v>8</v>
      </c>
      <c r="D242" s="27">
        <v>2011</v>
      </c>
      <c r="E242" s="27">
        <v>2050</v>
      </c>
      <c r="F242" s="27">
        <v>6</v>
      </c>
      <c r="G242" s="27">
        <v>8</v>
      </c>
      <c r="H242" s="27">
        <v>0</v>
      </c>
      <c r="I242" s="27">
        <v>0</v>
      </c>
      <c r="J242" s="27">
        <v>0</v>
      </c>
      <c r="K242" s="27">
        <v>0.9</v>
      </c>
      <c r="L242" s="27">
        <v>2750</v>
      </c>
      <c r="M242" s="27">
        <v>2330</v>
      </c>
      <c r="N242" s="27">
        <v>0</v>
      </c>
      <c r="O242" s="27">
        <v>0</v>
      </c>
      <c r="P242" s="27" t="s">
        <v>13</v>
      </c>
      <c r="Q242" s="27">
        <v>1993</v>
      </c>
      <c r="R242" s="27">
        <v>1</v>
      </c>
      <c r="S242" s="27">
        <v>0</v>
      </c>
      <c r="T242" s="27">
        <v>-1.8E-3</v>
      </c>
      <c r="U242" s="27">
        <v>-1.2E-2</v>
      </c>
      <c r="V242" s="27">
        <v>0</v>
      </c>
      <c r="W242" s="27">
        <v>0</v>
      </c>
      <c r="X242" s="27" t="s">
        <v>21</v>
      </c>
    </row>
    <row r="243" spans="1:24">
      <c r="A243" s="27">
        <v>1</v>
      </c>
      <c r="B243" s="27">
        <v>3</v>
      </c>
      <c r="C243" s="27">
        <v>8</v>
      </c>
      <c r="D243" s="27">
        <v>2011</v>
      </c>
      <c r="E243" s="27">
        <v>2050</v>
      </c>
      <c r="F243" s="27">
        <v>7</v>
      </c>
      <c r="G243" s="27">
        <v>8</v>
      </c>
      <c r="H243" s="27">
        <v>0</v>
      </c>
      <c r="I243" s="27">
        <v>0</v>
      </c>
      <c r="J243" s="27">
        <v>0</v>
      </c>
      <c r="K243" s="27">
        <v>0.9</v>
      </c>
      <c r="L243" s="27">
        <v>2750</v>
      </c>
      <c r="M243" s="27">
        <v>2330</v>
      </c>
      <c r="N243" s="27">
        <v>0</v>
      </c>
      <c r="O243" s="27">
        <v>0</v>
      </c>
      <c r="P243" s="27" t="s">
        <v>13</v>
      </c>
      <c r="Q243" s="27">
        <v>1993</v>
      </c>
      <c r="R243" s="27">
        <v>1</v>
      </c>
      <c r="S243" s="27">
        <v>0</v>
      </c>
      <c r="T243" s="27">
        <v>-1.8E-3</v>
      </c>
      <c r="U243" s="27">
        <v>-1.2E-2</v>
      </c>
      <c r="V243" s="27">
        <v>0</v>
      </c>
      <c r="W243" s="27">
        <v>0</v>
      </c>
      <c r="X243" s="27" t="s">
        <v>21</v>
      </c>
    </row>
    <row r="244" spans="1:24">
      <c r="A244" s="27">
        <v>1</v>
      </c>
      <c r="B244" s="27">
        <v>3</v>
      </c>
      <c r="C244" s="27">
        <v>8</v>
      </c>
      <c r="D244" s="27">
        <v>2011</v>
      </c>
      <c r="E244" s="27">
        <v>2050</v>
      </c>
      <c r="F244" s="27">
        <v>8</v>
      </c>
      <c r="G244" s="27">
        <v>8</v>
      </c>
      <c r="H244" s="27">
        <v>0</v>
      </c>
      <c r="I244" s="27">
        <v>0</v>
      </c>
      <c r="J244" s="27">
        <v>0</v>
      </c>
      <c r="K244" s="27">
        <v>0.9</v>
      </c>
      <c r="L244" s="27">
        <v>2750</v>
      </c>
      <c r="M244" s="27">
        <v>2330</v>
      </c>
      <c r="N244" s="27">
        <v>0</v>
      </c>
      <c r="O244" s="27">
        <v>0</v>
      </c>
      <c r="P244" s="27" t="s">
        <v>13</v>
      </c>
      <c r="Q244" s="27">
        <v>1993</v>
      </c>
      <c r="R244" s="27">
        <v>1</v>
      </c>
      <c r="S244" s="27">
        <v>0</v>
      </c>
      <c r="T244" s="27">
        <v>-1.8E-3</v>
      </c>
      <c r="U244" s="27">
        <v>-1.2E-2</v>
      </c>
      <c r="V244" s="27">
        <v>0</v>
      </c>
      <c r="W244" s="27">
        <v>0</v>
      </c>
      <c r="X244" s="27" t="s">
        <v>21</v>
      </c>
    </row>
    <row r="245" spans="1:24">
      <c r="A245" s="27">
        <v>1</v>
      </c>
      <c r="B245" s="27">
        <v>3</v>
      </c>
      <c r="C245" s="27">
        <v>8</v>
      </c>
      <c r="D245" s="27">
        <v>2011</v>
      </c>
      <c r="E245" s="27">
        <v>2050</v>
      </c>
      <c r="F245" s="27">
        <v>9</v>
      </c>
      <c r="G245" s="27">
        <v>8</v>
      </c>
      <c r="H245" s="27">
        <v>0</v>
      </c>
      <c r="I245" s="27">
        <v>0</v>
      </c>
      <c r="J245" s="27">
        <v>0</v>
      </c>
      <c r="K245" s="27">
        <v>0.9</v>
      </c>
      <c r="L245" s="27">
        <v>2750</v>
      </c>
      <c r="M245" s="27">
        <v>2330</v>
      </c>
      <c r="N245" s="27">
        <v>0</v>
      </c>
      <c r="O245" s="27">
        <v>0</v>
      </c>
      <c r="P245" s="27" t="s">
        <v>13</v>
      </c>
      <c r="Q245" s="27">
        <v>1993</v>
      </c>
      <c r="R245" s="27">
        <v>1</v>
      </c>
      <c r="S245" s="27">
        <v>0</v>
      </c>
      <c r="T245" s="27">
        <v>-1.8E-3</v>
      </c>
      <c r="U245" s="27">
        <v>-1.2E-2</v>
      </c>
      <c r="V245" s="27">
        <v>0</v>
      </c>
      <c r="W245" s="27">
        <v>0</v>
      </c>
      <c r="X245" s="27" t="s">
        <v>21</v>
      </c>
    </row>
    <row r="246" spans="1:24">
      <c r="A246" s="27">
        <v>1</v>
      </c>
      <c r="B246" s="27">
        <v>3</v>
      </c>
      <c r="C246" s="27">
        <v>9</v>
      </c>
      <c r="D246" s="27">
        <v>2010</v>
      </c>
      <c r="E246" s="27">
        <v>2010</v>
      </c>
      <c r="F246" s="27">
        <v>1</v>
      </c>
      <c r="G246" s="27">
        <v>9</v>
      </c>
      <c r="H246" s="27">
        <v>0</v>
      </c>
      <c r="I246" s="27">
        <v>0</v>
      </c>
      <c r="J246" s="27">
        <v>0</v>
      </c>
      <c r="K246" s="27">
        <v>0.95</v>
      </c>
      <c r="L246" s="27">
        <v>3200</v>
      </c>
      <c r="M246" s="27">
        <v>2800</v>
      </c>
      <c r="N246" s="27">
        <v>960</v>
      </c>
      <c r="O246" s="27">
        <v>576</v>
      </c>
      <c r="P246" s="27" t="s">
        <v>13</v>
      </c>
      <c r="Q246" s="27">
        <v>1993</v>
      </c>
      <c r="R246" s="27">
        <v>1</v>
      </c>
      <c r="S246" s="27">
        <v>0</v>
      </c>
      <c r="T246" s="27">
        <v>-1.8E-3</v>
      </c>
      <c r="U246" s="27">
        <v>-1.2E-2</v>
      </c>
      <c r="V246" s="27">
        <v>0</v>
      </c>
      <c r="W246" s="27">
        <v>0</v>
      </c>
      <c r="X246" s="27" t="s">
        <v>22</v>
      </c>
    </row>
    <row r="247" spans="1:24">
      <c r="A247" s="27">
        <v>1</v>
      </c>
      <c r="B247" s="27">
        <v>3</v>
      </c>
      <c r="C247" s="27">
        <v>9</v>
      </c>
      <c r="D247" s="27">
        <v>2010</v>
      </c>
      <c r="E247" s="27">
        <v>2010</v>
      </c>
      <c r="F247" s="27">
        <v>2</v>
      </c>
      <c r="G247" s="27">
        <v>9</v>
      </c>
      <c r="H247" s="27">
        <v>0</v>
      </c>
      <c r="I247" s="27">
        <v>0</v>
      </c>
      <c r="J247" s="27">
        <v>0</v>
      </c>
      <c r="K247" s="27">
        <v>0.95</v>
      </c>
      <c r="L247" s="27">
        <v>3200</v>
      </c>
      <c r="M247" s="27">
        <v>2800</v>
      </c>
      <c r="N247" s="27">
        <v>960</v>
      </c>
      <c r="O247" s="27">
        <v>576</v>
      </c>
      <c r="P247" s="27" t="s">
        <v>13</v>
      </c>
      <c r="Q247" s="27">
        <v>1993</v>
      </c>
      <c r="R247" s="27">
        <v>1</v>
      </c>
      <c r="S247" s="27">
        <v>0</v>
      </c>
      <c r="T247" s="27">
        <v>-1.8E-3</v>
      </c>
      <c r="U247" s="27">
        <v>-1.2E-2</v>
      </c>
      <c r="V247" s="27">
        <v>0</v>
      </c>
      <c r="W247" s="27">
        <v>0</v>
      </c>
      <c r="X247" s="27" t="s">
        <v>22</v>
      </c>
    </row>
    <row r="248" spans="1:24">
      <c r="A248" s="27">
        <v>1</v>
      </c>
      <c r="B248" s="27">
        <v>3</v>
      </c>
      <c r="C248" s="27">
        <v>9</v>
      </c>
      <c r="D248" s="27">
        <v>2010</v>
      </c>
      <c r="E248" s="27">
        <v>2010</v>
      </c>
      <c r="F248" s="27">
        <v>3</v>
      </c>
      <c r="G248" s="27">
        <v>9</v>
      </c>
      <c r="H248" s="27">
        <v>0</v>
      </c>
      <c r="I248" s="27">
        <v>0</v>
      </c>
      <c r="J248" s="27">
        <v>0</v>
      </c>
      <c r="K248" s="27">
        <v>0.95</v>
      </c>
      <c r="L248" s="27">
        <v>3200</v>
      </c>
      <c r="M248" s="27">
        <v>2800</v>
      </c>
      <c r="N248" s="27">
        <v>960</v>
      </c>
      <c r="O248" s="27">
        <v>576</v>
      </c>
      <c r="P248" s="27" t="s">
        <v>13</v>
      </c>
      <c r="Q248" s="27">
        <v>1993</v>
      </c>
      <c r="R248" s="27">
        <v>1</v>
      </c>
      <c r="S248" s="27">
        <v>0</v>
      </c>
      <c r="T248" s="27">
        <v>-1.8E-3</v>
      </c>
      <c r="U248" s="27">
        <v>-1.2E-2</v>
      </c>
      <c r="V248" s="27">
        <v>0</v>
      </c>
      <c r="W248" s="27">
        <v>0</v>
      </c>
      <c r="X248" s="27" t="s">
        <v>22</v>
      </c>
    </row>
    <row r="249" spans="1:24">
      <c r="A249" s="27">
        <v>1</v>
      </c>
      <c r="B249" s="27">
        <v>3</v>
      </c>
      <c r="C249" s="27">
        <v>9</v>
      </c>
      <c r="D249" s="27">
        <v>2010</v>
      </c>
      <c r="E249" s="27">
        <v>2010</v>
      </c>
      <c r="F249" s="27">
        <v>4</v>
      </c>
      <c r="G249" s="27">
        <v>9</v>
      </c>
      <c r="H249" s="27">
        <v>0</v>
      </c>
      <c r="I249" s="27">
        <v>0</v>
      </c>
      <c r="J249" s="27">
        <v>0</v>
      </c>
      <c r="K249" s="27">
        <v>0.95</v>
      </c>
      <c r="L249" s="27">
        <v>3200</v>
      </c>
      <c r="M249" s="27">
        <v>2800</v>
      </c>
      <c r="N249" s="27">
        <v>960</v>
      </c>
      <c r="O249" s="27">
        <v>576</v>
      </c>
      <c r="P249" s="27" t="s">
        <v>13</v>
      </c>
      <c r="Q249" s="27">
        <v>1993</v>
      </c>
      <c r="R249" s="27">
        <v>1</v>
      </c>
      <c r="S249" s="27">
        <v>0</v>
      </c>
      <c r="T249" s="27">
        <v>-1.8E-3</v>
      </c>
      <c r="U249" s="27">
        <v>-1.2E-2</v>
      </c>
      <c r="V249" s="27">
        <v>0</v>
      </c>
      <c r="W249" s="27">
        <v>0</v>
      </c>
      <c r="X249" s="27" t="s">
        <v>22</v>
      </c>
    </row>
    <row r="250" spans="1:24">
      <c r="A250" s="27">
        <v>1</v>
      </c>
      <c r="B250" s="27">
        <v>3</v>
      </c>
      <c r="C250" s="27">
        <v>9</v>
      </c>
      <c r="D250" s="27">
        <v>2010</v>
      </c>
      <c r="E250" s="27">
        <v>2010</v>
      </c>
      <c r="F250" s="27">
        <v>5</v>
      </c>
      <c r="G250" s="27">
        <v>9</v>
      </c>
      <c r="H250" s="27">
        <v>0</v>
      </c>
      <c r="I250" s="27">
        <v>0</v>
      </c>
      <c r="J250" s="27">
        <v>0</v>
      </c>
      <c r="K250" s="27">
        <v>0.95</v>
      </c>
      <c r="L250" s="27">
        <v>3200</v>
      </c>
      <c r="M250" s="27">
        <v>2800</v>
      </c>
      <c r="N250" s="27">
        <v>960</v>
      </c>
      <c r="O250" s="27">
        <v>576</v>
      </c>
      <c r="P250" s="27" t="s">
        <v>13</v>
      </c>
      <c r="Q250" s="27">
        <v>1993</v>
      </c>
      <c r="R250" s="27">
        <v>1</v>
      </c>
      <c r="S250" s="27">
        <v>0</v>
      </c>
      <c r="T250" s="27">
        <v>-1.8E-3</v>
      </c>
      <c r="U250" s="27">
        <v>-1.2E-2</v>
      </c>
      <c r="V250" s="27">
        <v>0</v>
      </c>
      <c r="W250" s="27">
        <v>0</v>
      </c>
      <c r="X250" s="27" t="s">
        <v>22</v>
      </c>
    </row>
    <row r="251" spans="1:24">
      <c r="A251" s="27">
        <v>1</v>
      </c>
      <c r="B251" s="27">
        <v>3</v>
      </c>
      <c r="C251" s="27">
        <v>9</v>
      </c>
      <c r="D251" s="27">
        <v>2010</v>
      </c>
      <c r="E251" s="27">
        <v>2010</v>
      </c>
      <c r="F251" s="27">
        <v>6</v>
      </c>
      <c r="G251" s="27">
        <v>9</v>
      </c>
      <c r="H251" s="27">
        <v>0</v>
      </c>
      <c r="I251" s="27">
        <v>0</v>
      </c>
      <c r="J251" s="27">
        <v>0</v>
      </c>
      <c r="K251" s="27">
        <v>0.95</v>
      </c>
      <c r="L251" s="27">
        <v>3200</v>
      </c>
      <c r="M251" s="27">
        <v>2800</v>
      </c>
      <c r="N251" s="27">
        <v>960</v>
      </c>
      <c r="O251" s="27">
        <v>576</v>
      </c>
      <c r="P251" s="27" t="s">
        <v>13</v>
      </c>
      <c r="Q251" s="27">
        <v>1993</v>
      </c>
      <c r="R251" s="27">
        <v>1</v>
      </c>
      <c r="S251" s="27">
        <v>0</v>
      </c>
      <c r="T251" s="27">
        <v>-1.8E-3</v>
      </c>
      <c r="U251" s="27">
        <v>-1.2E-2</v>
      </c>
      <c r="V251" s="27">
        <v>0</v>
      </c>
      <c r="W251" s="27">
        <v>0</v>
      </c>
      <c r="X251" s="27" t="s">
        <v>22</v>
      </c>
    </row>
    <row r="252" spans="1:24">
      <c r="A252" s="27">
        <v>1</v>
      </c>
      <c r="B252" s="27">
        <v>3</v>
      </c>
      <c r="C252" s="27">
        <v>9</v>
      </c>
      <c r="D252" s="27">
        <v>2010</v>
      </c>
      <c r="E252" s="27">
        <v>2010</v>
      </c>
      <c r="F252" s="27">
        <v>7</v>
      </c>
      <c r="G252" s="27">
        <v>9</v>
      </c>
      <c r="H252" s="27">
        <v>0</v>
      </c>
      <c r="I252" s="27">
        <v>0</v>
      </c>
      <c r="J252" s="27">
        <v>0</v>
      </c>
      <c r="K252" s="27">
        <v>0.95</v>
      </c>
      <c r="L252" s="27">
        <v>3200</v>
      </c>
      <c r="M252" s="27">
        <v>2800</v>
      </c>
      <c r="N252" s="27">
        <v>960</v>
      </c>
      <c r="O252" s="27">
        <v>576</v>
      </c>
      <c r="P252" s="27" t="s">
        <v>13</v>
      </c>
      <c r="Q252" s="27">
        <v>1993</v>
      </c>
      <c r="R252" s="27">
        <v>1</v>
      </c>
      <c r="S252" s="27">
        <v>0</v>
      </c>
      <c r="T252" s="27">
        <v>-1.8E-3</v>
      </c>
      <c r="U252" s="27">
        <v>-1.2E-2</v>
      </c>
      <c r="V252" s="27">
        <v>0</v>
      </c>
      <c r="W252" s="27">
        <v>0</v>
      </c>
      <c r="X252" s="27" t="s">
        <v>22</v>
      </c>
    </row>
    <row r="253" spans="1:24">
      <c r="A253" s="27">
        <v>1</v>
      </c>
      <c r="B253" s="27">
        <v>3</v>
      </c>
      <c r="C253" s="27">
        <v>9</v>
      </c>
      <c r="D253" s="27">
        <v>2010</v>
      </c>
      <c r="E253" s="27">
        <v>2010</v>
      </c>
      <c r="F253" s="27">
        <v>8</v>
      </c>
      <c r="G253" s="27">
        <v>9</v>
      </c>
      <c r="H253" s="27">
        <v>0</v>
      </c>
      <c r="I253" s="27">
        <v>0</v>
      </c>
      <c r="J253" s="27">
        <v>0</v>
      </c>
      <c r="K253" s="27">
        <v>0.95</v>
      </c>
      <c r="L253" s="27">
        <v>3200</v>
      </c>
      <c r="M253" s="27">
        <v>2800</v>
      </c>
      <c r="N253" s="27">
        <v>960</v>
      </c>
      <c r="O253" s="27">
        <v>576</v>
      </c>
      <c r="P253" s="27" t="s">
        <v>13</v>
      </c>
      <c r="Q253" s="27">
        <v>1993</v>
      </c>
      <c r="R253" s="27">
        <v>1</v>
      </c>
      <c r="S253" s="27">
        <v>0</v>
      </c>
      <c r="T253" s="27">
        <v>-1.8E-3</v>
      </c>
      <c r="U253" s="27">
        <v>-1.2E-2</v>
      </c>
      <c r="V253" s="27">
        <v>0</v>
      </c>
      <c r="W253" s="27">
        <v>0</v>
      </c>
      <c r="X253" s="27" t="s">
        <v>22</v>
      </c>
    </row>
    <row r="254" spans="1:24">
      <c r="A254" s="27">
        <v>1</v>
      </c>
      <c r="B254" s="27">
        <v>3</v>
      </c>
      <c r="C254" s="27">
        <v>9</v>
      </c>
      <c r="D254" s="27">
        <v>2010</v>
      </c>
      <c r="E254" s="27">
        <v>2010</v>
      </c>
      <c r="F254" s="27">
        <v>9</v>
      </c>
      <c r="G254" s="27">
        <v>9</v>
      </c>
      <c r="H254" s="27">
        <v>0</v>
      </c>
      <c r="I254" s="27">
        <v>0</v>
      </c>
      <c r="J254" s="27">
        <v>0</v>
      </c>
      <c r="K254" s="27">
        <v>0.95</v>
      </c>
      <c r="L254" s="27">
        <v>3200</v>
      </c>
      <c r="M254" s="27">
        <v>2800</v>
      </c>
      <c r="N254" s="27">
        <v>960</v>
      </c>
      <c r="O254" s="27">
        <v>576</v>
      </c>
      <c r="P254" s="27" t="s">
        <v>13</v>
      </c>
      <c r="Q254" s="27">
        <v>1993</v>
      </c>
      <c r="R254" s="27">
        <v>1</v>
      </c>
      <c r="S254" s="27">
        <v>0</v>
      </c>
      <c r="T254" s="27">
        <v>-1.8E-3</v>
      </c>
      <c r="U254" s="27">
        <v>-1.2E-2</v>
      </c>
      <c r="V254" s="27">
        <v>0</v>
      </c>
      <c r="W254" s="27">
        <v>0</v>
      </c>
      <c r="X254" s="27" t="s">
        <v>22</v>
      </c>
    </row>
    <row r="255" spans="1:24">
      <c r="A255" s="27">
        <v>1</v>
      </c>
      <c r="B255" s="27">
        <v>3</v>
      </c>
      <c r="C255" s="27">
        <v>9</v>
      </c>
      <c r="D255" s="27">
        <v>2011</v>
      </c>
      <c r="E255" s="27">
        <v>2011</v>
      </c>
      <c r="F255" s="27">
        <v>1</v>
      </c>
      <c r="G255" s="27">
        <v>9</v>
      </c>
      <c r="H255" s="27">
        <v>0</v>
      </c>
      <c r="I255" s="27">
        <v>0</v>
      </c>
      <c r="J255" s="27">
        <v>0</v>
      </c>
      <c r="K255" s="27">
        <v>0.95</v>
      </c>
      <c r="L255" s="27">
        <v>3200</v>
      </c>
      <c r="M255" s="27">
        <v>2800</v>
      </c>
      <c r="N255" s="27">
        <v>150</v>
      </c>
      <c r="O255" s="27">
        <v>90</v>
      </c>
      <c r="P255" s="27" t="s">
        <v>13</v>
      </c>
      <c r="Q255" s="27">
        <v>1993</v>
      </c>
      <c r="R255" s="27">
        <v>1</v>
      </c>
      <c r="S255" s="27">
        <v>0</v>
      </c>
      <c r="T255" s="27">
        <v>-1.8E-3</v>
      </c>
      <c r="U255" s="27">
        <v>-1.2E-2</v>
      </c>
      <c r="V255" s="27">
        <v>0</v>
      </c>
      <c r="W255" s="27">
        <v>0</v>
      </c>
      <c r="X255" s="27" t="s">
        <v>22</v>
      </c>
    </row>
    <row r="256" spans="1:24">
      <c r="A256" s="27">
        <v>1</v>
      </c>
      <c r="B256" s="27">
        <v>3</v>
      </c>
      <c r="C256" s="27">
        <v>9</v>
      </c>
      <c r="D256" s="27">
        <v>2011</v>
      </c>
      <c r="E256" s="27">
        <v>2011</v>
      </c>
      <c r="F256" s="27">
        <v>2</v>
      </c>
      <c r="G256" s="27">
        <v>9</v>
      </c>
      <c r="H256" s="27">
        <v>0</v>
      </c>
      <c r="I256" s="27">
        <v>0</v>
      </c>
      <c r="J256" s="27">
        <v>0</v>
      </c>
      <c r="K256" s="27">
        <v>0.95</v>
      </c>
      <c r="L256" s="27">
        <v>3200</v>
      </c>
      <c r="M256" s="27">
        <v>2800</v>
      </c>
      <c r="N256" s="27">
        <v>150</v>
      </c>
      <c r="O256" s="27">
        <v>90</v>
      </c>
      <c r="P256" s="27" t="s">
        <v>13</v>
      </c>
      <c r="Q256" s="27">
        <v>1993</v>
      </c>
      <c r="R256" s="27">
        <v>1</v>
      </c>
      <c r="S256" s="27">
        <v>0</v>
      </c>
      <c r="T256" s="27">
        <v>-1.8E-3</v>
      </c>
      <c r="U256" s="27">
        <v>-1.2E-2</v>
      </c>
      <c r="V256" s="27">
        <v>0</v>
      </c>
      <c r="W256" s="27">
        <v>0</v>
      </c>
      <c r="X256" s="27" t="s">
        <v>22</v>
      </c>
    </row>
    <row r="257" spans="1:24">
      <c r="A257" s="27">
        <v>1</v>
      </c>
      <c r="B257" s="27">
        <v>3</v>
      </c>
      <c r="C257" s="27">
        <v>9</v>
      </c>
      <c r="D257" s="27">
        <v>2011</v>
      </c>
      <c r="E257" s="27">
        <v>2011</v>
      </c>
      <c r="F257" s="27">
        <v>3</v>
      </c>
      <c r="G257" s="27">
        <v>9</v>
      </c>
      <c r="H257" s="27">
        <v>0</v>
      </c>
      <c r="I257" s="27">
        <v>0</v>
      </c>
      <c r="J257" s="27">
        <v>0</v>
      </c>
      <c r="K257" s="27">
        <v>0.95</v>
      </c>
      <c r="L257" s="27">
        <v>3200</v>
      </c>
      <c r="M257" s="27">
        <v>2800</v>
      </c>
      <c r="N257" s="27">
        <v>150</v>
      </c>
      <c r="O257" s="27">
        <v>90</v>
      </c>
      <c r="P257" s="27" t="s">
        <v>13</v>
      </c>
      <c r="Q257" s="27">
        <v>1993</v>
      </c>
      <c r="R257" s="27">
        <v>1</v>
      </c>
      <c r="S257" s="27">
        <v>0</v>
      </c>
      <c r="T257" s="27">
        <v>-1.8E-3</v>
      </c>
      <c r="U257" s="27">
        <v>-1.2E-2</v>
      </c>
      <c r="V257" s="27">
        <v>0</v>
      </c>
      <c r="W257" s="27">
        <v>0</v>
      </c>
      <c r="X257" s="27" t="s">
        <v>22</v>
      </c>
    </row>
    <row r="258" spans="1:24">
      <c r="A258" s="27">
        <v>1</v>
      </c>
      <c r="B258" s="27">
        <v>3</v>
      </c>
      <c r="C258" s="27">
        <v>9</v>
      </c>
      <c r="D258" s="27">
        <v>2011</v>
      </c>
      <c r="E258" s="27">
        <v>2011</v>
      </c>
      <c r="F258" s="27">
        <v>4</v>
      </c>
      <c r="G258" s="27">
        <v>9</v>
      </c>
      <c r="H258" s="27">
        <v>0</v>
      </c>
      <c r="I258" s="27">
        <v>0</v>
      </c>
      <c r="J258" s="27">
        <v>0</v>
      </c>
      <c r="K258" s="27">
        <v>0.95</v>
      </c>
      <c r="L258" s="27">
        <v>3200</v>
      </c>
      <c r="M258" s="27">
        <v>2800</v>
      </c>
      <c r="N258" s="27">
        <v>150</v>
      </c>
      <c r="O258" s="27">
        <v>90</v>
      </c>
      <c r="P258" s="27" t="s">
        <v>13</v>
      </c>
      <c r="Q258" s="27">
        <v>1993</v>
      </c>
      <c r="R258" s="27">
        <v>1</v>
      </c>
      <c r="S258" s="27">
        <v>0</v>
      </c>
      <c r="T258" s="27">
        <v>-1.8E-3</v>
      </c>
      <c r="U258" s="27">
        <v>-1.2E-2</v>
      </c>
      <c r="V258" s="27">
        <v>0</v>
      </c>
      <c r="W258" s="27">
        <v>0</v>
      </c>
      <c r="X258" s="27" t="s">
        <v>22</v>
      </c>
    </row>
    <row r="259" spans="1:24">
      <c r="A259" s="27">
        <v>1</v>
      </c>
      <c r="B259" s="27">
        <v>3</v>
      </c>
      <c r="C259" s="27">
        <v>9</v>
      </c>
      <c r="D259" s="27">
        <v>2011</v>
      </c>
      <c r="E259" s="27">
        <v>2011</v>
      </c>
      <c r="F259" s="27">
        <v>5</v>
      </c>
      <c r="G259" s="27">
        <v>9</v>
      </c>
      <c r="H259" s="27">
        <v>0</v>
      </c>
      <c r="I259" s="27">
        <v>0</v>
      </c>
      <c r="J259" s="27">
        <v>0</v>
      </c>
      <c r="K259" s="27">
        <v>0.95</v>
      </c>
      <c r="L259" s="27">
        <v>3200</v>
      </c>
      <c r="M259" s="27">
        <v>2800</v>
      </c>
      <c r="N259" s="27">
        <v>150</v>
      </c>
      <c r="O259" s="27">
        <v>90</v>
      </c>
      <c r="P259" s="27" t="s">
        <v>13</v>
      </c>
      <c r="Q259" s="27">
        <v>1993</v>
      </c>
      <c r="R259" s="27">
        <v>1</v>
      </c>
      <c r="S259" s="27">
        <v>0</v>
      </c>
      <c r="T259" s="27">
        <v>-1.8E-3</v>
      </c>
      <c r="U259" s="27">
        <v>-1.2E-2</v>
      </c>
      <c r="V259" s="27">
        <v>0</v>
      </c>
      <c r="W259" s="27">
        <v>0</v>
      </c>
      <c r="X259" s="27" t="s">
        <v>22</v>
      </c>
    </row>
    <row r="260" spans="1:24">
      <c r="A260" s="27">
        <v>1</v>
      </c>
      <c r="B260" s="27">
        <v>3</v>
      </c>
      <c r="C260" s="27">
        <v>9</v>
      </c>
      <c r="D260" s="27">
        <v>2011</v>
      </c>
      <c r="E260" s="27">
        <v>2011</v>
      </c>
      <c r="F260" s="27">
        <v>6</v>
      </c>
      <c r="G260" s="27">
        <v>9</v>
      </c>
      <c r="H260" s="27">
        <v>0</v>
      </c>
      <c r="I260" s="27">
        <v>0</v>
      </c>
      <c r="J260" s="27">
        <v>0</v>
      </c>
      <c r="K260" s="27">
        <v>0.95</v>
      </c>
      <c r="L260" s="27">
        <v>3200</v>
      </c>
      <c r="M260" s="27">
        <v>2800</v>
      </c>
      <c r="N260" s="27">
        <v>150</v>
      </c>
      <c r="O260" s="27">
        <v>90</v>
      </c>
      <c r="P260" s="27" t="s">
        <v>13</v>
      </c>
      <c r="Q260" s="27">
        <v>1993</v>
      </c>
      <c r="R260" s="27">
        <v>1</v>
      </c>
      <c r="S260" s="27">
        <v>0</v>
      </c>
      <c r="T260" s="27">
        <v>-1.8E-3</v>
      </c>
      <c r="U260" s="27">
        <v>-1.2E-2</v>
      </c>
      <c r="V260" s="27">
        <v>0</v>
      </c>
      <c r="W260" s="27">
        <v>0</v>
      </c>
      <c r="X260" s="27" t="s">
        <v>22</v>
      </c>
    </row>
    <row r="261" spans="1:24">
      <c r="A261" s="27">
        <v>1</v>
      </c>
      <c r="B261" s="27">
        <v>3</v>
      </c>
      <c r="C261" s="27">
        <v>9</v>
      </c>
      <c r="D261" s="27">
        <v>2011</v>
      </c>
      <c r="E261" s="27">
        <v>2011</v>
      </c>
      <c r="F261" s="27">
        <v>7</v>
      </c>
      <c r="G261" s="27">
        <v>9</v>
      </c>
      <c r="H261" s="27">
        <v>0</v>
      </c>
      <c r="I261" s="27">
        <v>0</v>
      </c>
      <c r="J261" s="27">
        <v>0</v>
      </c>
      <c r="K261" s="27">
        <v>0.95</v>
      </c>
      <c r="L261" s="27">
        <v>3200</v>
      </c>
      <c r="M261" s="27">
        <v>2800</v>
      </c>
      <c r="N261" s="27">
        <v>150</v>
      </c>
      <c r="O261" s="27">
        <v>90</v>
      </c>
      <c r="P261" s="27" t="s">
        <v>13</v>
      </c>
      <c r="Q261" s="27">
        <v>1993</v>
      </c>
      <c r="R261" s="27">
        <v>1</v>
      </c>
      <c r="S261" s="27">
        <v>0</v>
      </c>
      <c r="T261" s="27">
        <v>-1.8E-3</v>
      </c>
      <c r="U261" s="27">
        <v>-1.2E-2</v>
      </c>
      <c r="V261" s="27">
        <v>0</v>
      </c>
      <c r="W261" s="27">
        <v>0</v>
      </c>
      <c r="X261" s="27" t="s">
        <v>22</v>
      </c>
    </row>
    <row r="262" spans="1:24">
      <c r="A262" s="27">
        <v>1</v>
      </c>
      <c r="B262" s="27">
        <v>3</v>
      </c>
      <c r="C262" s="27">
        <v>9</v>
      </c>
      <c r="D262" s="27">
        <v>2011</v>
      </c>
      <c r="E262" s="27">
        <v>2011</v>
      </c>
      <c r="F262" s="27">
        <v>8</v>
      </c>
      <c r="G262" s="27">
        <v>9</v>
      </c>
      <c r="H262" s="27">
        <v>0</v>
      </c>
      <c r="I262" s="27">
        <v>0</v>
      </c>
      <c r="J262" s="27">
        <v>0</v>
      </c>
      <c r="K262" s="27">
        <v>0.95</v>
      </c>
      <c r="L262" s="27">
        <v>3200</v>
      </c>
      <c r="M262" s="27">
        <v>2800</v>
      </c>
      <c r="N262" s="27">
        <v>150</v>
      </c>
      <c r="O262" s="27">
        <v>90</v>
      </c>
      <c r="P262" s="27" t="s">
        <v>13</v>
      </c>
      <c r="Q262" s="27">
        <v>1993</v>
      </c>
      <c r="R262" s="27">
        <v>1</v>
      </c>
      <c r="S262" s="27">
        <v>0</v>
      </c>
      <c r="T262" s="27">
        <v>-1.8E-3</v>
      </c>
      <c r="U262" s="27">
        <v>-1.2E-2</v>
      </c>
      <c r="V262" s="27">
        <v>0</v>
      </c>
      <c r="W262" s="27">
        <v>0</v>
      </c>
      <c r="X262" s="27" t="s">
        <v>22</v>
      </c>
    </row>
    <row r="263" spans="1:24">
      <c r="A263" s="27">
        <v>1</v>
      </c>
      <c r="B263" s="27">
        <v>3</v>
      </c>
      <c r="C263" s="27">
        <v>9</v>
      </c>
      <c r="D263" s="27">
        <v>2011</v>
      </c>
      <c r="E263" s="27">
        <v>2011</v>
      </c>
      <c r="F263" s="27">
        <v>9</v>
      </c>
      <c r="G263" s="27">
        <v>9</v>
      </c>
      <c r="H263" s="27">
        <v>0</v>
      </c>
      <c r="I263" s="27">
        <v>0</v>
      </c>
      <c r="J263" s="27">
        <v>0</v>
      </c>
      <c r="K263" s="27">
        <v>0.95</v>
      </c>
      <c r="L263" s="27">
        <v>3200</v>
      </c>
      <c r="M263" s="27">
        <v>2800</v>
      </c>
      <c r="N263" s="27">
        <v>150</v>
      </c>
      <c r="O263" s="27">
        <v>90</v>
      </c>
      <c r="P263" s="27" t="s">
        <v>13</v>
      </c>
      <c r="Q263" s="27">
        <v>1993</v>
      </c>
      <c r="R263" s="27">
        <v>1</v>
      </c>
      <c r="S263" s="27">
        <v>0</v>
      </c>
      <c r="T263" s="27">
        <v>-1.8E-3</v>
      </c>
      <c r="U263" s="27">
        <v>-1.2E-2</v>
      </c>
      <c r="V263" s="27">
        <v>0</v>
      </c>
      <c r="W263" s="27">
        <v>0</v>
      </c>
      <c r="X263" s="27" t="s">
        <v>22</v>
      </c>
    </row>
    <row r="264" spans="1:24">
      <c r="A264" s="27">
        <v>1</v>
      </c>
      <c r="B264" s="27">
        <v>3</v>
      </c>
      <c r="C264" s="27">
        <v>9</v>
      </c>
      <c r="D264" s="27">
        <v>2012</v>
      </c>
      <c r="E264" s="27">
        <v>2012</v>
      </c>
      <c r="F264" s="27">
        <v>1</v>
      </c>
      <c r="G264" s="27">
        <v>9</v>
      </c>
      <c r="H264" s="27">
        <v>0</v>
      </c>
      <c r="I264" s="27">
        <v>0</v>
      </c>
      <c r="J264" s="27">
        <v>0</v>
      </c>
      <c r="K264" s="27">
        <v>0.95</v>
      </c>
      <c r="L264" s="27">
        <v>3200</v>
      </c>
      <c r="M264" s="27">
        <v>2800</v>
      </c>
      <c r="N264" s="27">
        <v>0</v>
      </c>
      <c r="O264" s="27">
        <v>0</v>
      </c>
      <c r="P264" s="27" t="s">
        <v>13</v>
      </c>
      <c r="Q264" s="27">
        <v>1993</v>
      </c>
      <c r="R264" s="27">
        <v>1</v>
      </c>
      <c r="S264" s="27">
        <v>0</v>
      </c>
      <c r="T264" s="27">
        <v>-1.8E-3</v>
      </c>
      <c r="U264" s="27">
        <v>-1.2E-2</v>
      </c>
      <c r="V264" s="27">
        <v>0</v>
      </c>
      <c r="W264" s="27">
        <v>0</v>
      </c>
      <c r="X264" s="27" t="s">
        <v>22</v>
      </c>
    </row>
    <row r="265" spans="1:24">
      <c r="A265" s="27">
        <v>1</v>
      </c>
      <c r="B265" s="27">
        <v>3</v>
      </c>
      <c r="C265" s="27">
        <v>9</v>
      </c>
      <c r="D265" s="27">
        <v>2012</v>
      </c>
      <c r="E265" s="27">
        <v>2012</v>
      </c>
      <c r="F265" s="27">
        <v>2</v>
      </c>
      <c r="G265" s="27">
        <v>9</v>
      </c>
      <c r="H265" s="27">
        <v>0</v>
      </c>
      <c r="I265" s="27">
        <v>0</v>
      </c>
      <c r="J265" s="27">
        <v>0</v>
      </c>
      <c r="K265" s="27">
        <v>0.95</v>
      </c>
      <c r="L265" s="27">
        <v>3200</v>
      </c>
      <c r="M265" s="27">
        <v>2800</v>
      </c>
      <c r="N265" s="27">
        <v>0</v>
      </c>
      <c r="O265" s="27">
        <v>0</v>
      </c>
      <c r="P265" s="27" t="s">
        <v>13</v>
      </c>
      <c r="Q265" s="27">
        <v>1993</v>
      </c>
      <c r="R265" s="27">
        <v>1</v>
      </c>
      <c r="S265" s="27">
        <v>0</v>
      </c>
      <c r="T265" s="27">
        <v>-1.8E-3</v>
      </c>
      <c r="U265" s="27">
        <v>-1.2E-2</v>
      </c>
      <c r="V265" s="27">
        <v>0</v>
      </c>
      <c r="W265" s="27">
        <v>0</v>
      </c>
      <c r="X265" s="27" t="s">
        <v>22</v>
      </c>
    </row>
    <row r="266" spans="1:24">
      <c r="A266" s="27">
        <v>1</v>
      </c>
      <c r="B266" s="27">
        <v>3</v>
      </c>
      <c r="C266" s="27">
        <v>9</v>
      </c>
      <c r="D266" s="27">
        <v>2012</v>
      </c>
      <c r="E266" s="27">
        <v>2012</v>
      </c>
      <c r="F266" s="27">
        <v>3</v>
      </c>
      <c r="G266" s="27">
        <v>9</v>
      </c>
      <c r="H266" s="27">
        <v>0</v>
      </c>
      <c r="I266" s="27">
        <v>0</v>
      </c>
      <c r="J266" s="27">
        <v>0</v>
      </c>
      <c r="K266" s="27">
        <v>0.95</v>
      </c>
      <c r="L266" s="27">
        <v>3200</v>
      </c>
      <c r="M266" s="27">
        <v>2800</v>
      </c>
      <c r="N266" s="27">
        <v>0</v>
      </c>
      <c r="O266" s="27">
        <v>0</v>
      </c>
      <c r="P266" s="27" t="s">
        <v>13</v>
      </c>
      <c r="Q266" s="27">
        <v>1993</v>
      </c>
      <c r="R266" s="27">
        <v>1</v>
      </c>
      <c r="S266" s="27">
        <v>0</v>
      </c>
      <c r="T266" s="27">
        <v>-1.8E-3</v>
      </c>
      <c r="U266" s="27">
        <v>-1.2E-2</v>
      </c>
      <c r="V266" s="27">
        <v>0</v>
      </c>
      <c r="W266" s="27">
        <v>0</v>
      </c>
      <c r="X266" s="27" t="s">
        <v>22</v>
      </c>
    </row>
    <row r="267" spans="1:24">
      <c r="A267" s="27">
        <v>1</v>
      </c>
      <c r="B267" s="27">
        <v>3</v>
      </c>
      <c r="C267" s="27">
        <v>9</v>
      </c>
      <c r="D267" s="27">
        <v>2012</v>
      </c>
      <c r="E267" s="27">
        <v>2012</v>
      </c>
      <c r="F267" s="27">
        <v>4</v>
      </c>
      <c r="G267" s="27">
        <v>9</v>
      </c>
      <c r="H267" s="27">
        <v>0</v>
      </c>
      <c r="I267" s="27">
        <v>0</v>
      </c>
      <c r="J267" s="27">
        <v>0</v>
      </c>
      <c r="K267" s="27">
        <v>0.95</v>
      </c>
      <c r="L267" s="27">
        <v>3200</v>
      </c>
      <c r="M267" s="27">
        <v>2800</v>
      </c>
      <c r="N267" s="27">
        <v>0</v>
      </c>
      <c r="O267" s="27">
        <v>0</v>
      </c>
      <c r="P267" s="27" t="s">
        <v>13</v>
      </c>
      <c r="Q267" s="27">
        <v>1993</v>
      </c>
      <c r="R267" s="27">
        <v>1</v>
      </c>
      <c r="S267" s="27">
        <v>0</v>
      </c>
      <c r="T267" s="27">
        <v>-1.8E-3</v>
      </c>
      <c r="U267" s="27">
        <v>-1.2E-2</v>
      </c>
      <c r="V267" s="27">
        <v>0</v>
      </c>
      <c r="W267" s="27">
        <v>0</v>
      </c>
      <c r="X267" s="27" t="s">
        <v>22</v>
      </c>
    </row>
    <row r="268" spans="1:24">
      <c r="A268" s="27">
        <v>1</v>
      </c>
      <c r="B268" s="27">
        <v>3</v>
      </c>
      <c r="C268" s="27">
        <v>9</v>
      </c>
      <c r="D268" s="27">
        <v>2012</v>
      </c>
      <c r="E268" s="27">
        <v>2012</v>
      </c>
      <c r="F268" s="27">
        <v>5</v>
      </c>
      <c r="G268" s="27">
        <v>9</v>
      </c>
      <c r="H268" s="27">
        <v>0</v>
      </c>
      <c r="I268" s="27">
        <v>0</v>
      </c>
      <c r="J268" s="27">
        <v>0</v>
      </c>
      <c r="K268" s="27">
        <v>0.95</v>
      </c>
      <c r="L268" s="27">
        <v>3200</v>
      </c>
      <c r="M268" s="27">
        <v>2800</v>
      </c>
      <c r="N268" s="27">
        <v>0</v>
      </c>
      <c r="O268" s="27">
        <v>0</v>
      </c>
      <c r="P268" s="27" t="s">
        <v>13</v>
      </c>
      <c r="Q268" s="27">
        <v>1993</v>
      </c>
      <c r="R268" s="27">
        <v>1</v>
      </c>
      <c r="S268" s="27">
        <v>0</v>
      </c>
      <c r="T268" s="27">
        <v>-1.8E-3</v>
      </c>
      <c r="U268" s="27">
        <v>-1.2E-2</v>
      </c>
      <c r="V268" s="27">
        <v>0</v>
      </c>
      <c r="W268" s="27">
        <v>0</v>
      </c>
      <c r="X268" s="27" t="s">
        <v>22</v>
      </c>
    </row>
    <row r="269" spans="1:24">
      <c r="A269" s="27">
        <v>1</v>
      </c>
      <c r="B269" s="27">
        <v>3</v>
      </c>
      <c r="C269" s="27">
        <v>9</v>
      </c>
      <c r="D269" s="27">
        <v>2012</v>
      </c>
      <c r="E269" s="27">
        <v>2012</v>
      </c>
      <c r="F269" s="27">
        <v>6</v>
      </c>
      <c r="G269" s="27">
        <v>9</v>
      </c>
      <c r="H269" s="27">
        <v>0</v>
      </c>
      <c r="I269" s="27">
        <v>0</v>
      </c>
      <c r="J269" s="27">
        <v>0</v>
      </c>
      <c r="K269" s="27">
        <v>0.95</v>
      </c>
      <c r="L269" s="27">
        <v>3200</v>
      </c>
      <c r="M269" s="27">
        <v>2800</v>
      </c>
      <c r="N269" s="27">
        <v>0</v>
      </c>
      <c r="O269" s="27">
        <v>0</v>
      </c>
      <c r="P269" s="27" t="s">
        <v>13</v>
      </c>
      <c r="Q269" s="27">
        <v>1993</v>
      </c>
      <c r="R269" s="27">
        <v>1</v>
      </c>
      <c r="S269" s="27">
        <v>0</v>
      </c>
      <c r="T269" s="27">
        <v>-1.8E-3</v>
      </c>
      <c r="U269" s="27">
        <v>-1.2E-2</v>
      </c>
      <c r="V269" s="27">
        <v>0</v>
      </c>
      <c r="W269" s="27">
        <v>0</v>
      </c>
      <c r="X269" s="27" t="s">
        <v>22</v>
      </c>
    </row>
    <row r="270" spans="1:24">
      <c r="A270" s="27">
        <v>1</v>
      </c>
      <c r="B270" s="27">
        <v>3</v>
      </c>
      <c r="C270" s="27">
        <v>9</v>
      </c>
      <c r="D270" s="27">
        <v>2012</v>
      </c>
      <c r="E270" s="27">
        <v>2012</v>
      </c>
      <c r="F270" s="27">
        <v>7</v>
      </c>
      <c r="G270" s="27">
        <v>9</v>
      </c>
      <c r="H270" s="27">
        <v>0</v>
      </c>
      <c r="I270" s="27">
        <v>0</v>
      </c>
      <c r="J270" s="27">
        <v>0</v>
      </c>
      <c r="K270" s="27">
        <v>0.95</v>
      </c>
      <c r="L270" s="27">
        <v>3200</v>
      </c>
      <c r="M270" s="27">
        <v>2800</v>
      </c>
      <c r="N270" s="27">
        <v>0</v>
      </c>
      <c r="O270" s="27">
        <v>0</v>
      </c>
      <c r="P270" s="27" t="s">
        <v>13</v>
      </c>
      <c r="Q270" s="27">
        <v>1993</v>
      </c>
      <c r="R270" s="27">
        <v>1</v>
      </c>
      <c r="S270" s="27">
        <v>0</v>
      </c>
      <c r="T270" s="27">
        <v>-1.8E-3</v>
      </c>
      <c r="U270" s="27">
        <v>-1.2E-2</v>
      </c>
      <c r="V270" s="27">
        <v>0</v>
      </c>
      <c r="W270" s="27">
        <v>0</v>
      </c>
      <c r="X270" s="27" t="s">
        <v>22</v>
      </c>
    </row>
    <row r="271" spans="1:24">
      <c r="A271" s="27">
        <v>1</v>
      </c>
      <c r="B271" s="27">
        <v>3</v>
      </c>
      <c r="C271" s="27">
        <v>9</v>
      </c>
      <c r="D271" s="27">
        <v>2012</v>
      </c>
      <c r="E271" s="27">
        <v>2012</v>
      </c>
      <c r="F271" s="27">
        <v>8</v>
      </c>
      <c r="G271" s="27">
        <v>9</v>
      </c>
      <c r="H271" s="27">
        <v>0</v>
      </c>
      <c r="I271" s="27">
        <v>0</v>
      </c>
      <c r="J271" s="27">
        <v>0</v>
      </c>
      <c r="K271" s="27">
        <v>0.95</v>
      </c>
      <c r="L271" s="27">
        <v>3200</v>
      </c>
      <c r="M271" s="27">
        <v>2800</v>
      </c>
      <c r="N271" s="27">
        <v>0</v>
      </c>
      <c r="O271" s="27">
        <v>0</v>
      </c>
      <c r="P271" s="27" t="s">
        <v>13</v>
      </c>
      <c r="Q271" s="27">
        <v>1993</v>
      </c>
      <c r="R271" s="27">
        <v>1</v>
      </c>
      <c r="S271" s="27">
        <v>0</v>
      </c>
      <c r="T271" s="27">
        <v>-1.8E-3</v>
      </c>
      <c r="U271" s="27">
        <v>-1.2E-2</v>
      </c>
      <c r="V271" s="27">
        <v>0</v>
      </c>
      <c r="W271" s="27">
        <v>0</v>
      </c>
      <c r="X271" s="27" t="s">
        <v>22</v>
      </c>
    </row>
    <row r="272" spans="1:24">
      <c r="A272" s="27">
        <v>1</v>
      </c>
      <c r="B272" s="27">
        <v>3</v>
      </c>
      <c r="C272" s="27">
        <v>9</v>
      </c>
      <c r="D272" s="27">
        <v>2012</v>
      </c>
      <c r="E272" s="27">
        <v>2012</v>
      </c>
      <c r="F272" s="27">
        <v>9</v>
      </c>
      <c r="G272" s="27">
        <v>9</v>
      </c>
      <c r="H272" s="27">
        <v>0</v>
      </c>
      <c r="I272" s="27">
        <v>0</v>
      </c>
      <c r="J272" s="27">
        <v>0</v>
      </c>
      <c r="K272" s="27">
        <v>0.95</v>
      </c>
      <c r="L272" s="27">
        <v>3200</v>
      </c>
      <c r="M272" s="27">
        <v>2800</v>
      </c>
      <c r="N272" s="27">
        <v>0</v>
      </c>
      <c r="O272" s="27">
        <v>0</v>
      </c>
      <c r="P272" s="27" t="s">
        <v>13</v>
      </c>
      <c r="Q272" s="27">
        <v>1993</v>
      </c>
      <c r="R272" s="27">
        <v>1</v>
      </c>
      <c r="S272" s="27">
        <v>0</v>
      </c>
      <c r="T272" s="27">
        <v>-1.8E-3</v>
      </c>
      <c r="U272" s="27">
        <v>-1.2E-2</v>
      </c>
      <c r="V272" s="27">
        <v>0</v>
      </c>
      <c r="W272" s="27">
        <v>0</v>
      </c>
      <c r="X272" s="27" t="s">
        <v>22</v>
      </c>
    </row>
    <row r="273" spans="1:24">
      <c r="A273" s="27">
        <v>1</v>
      </c>
      <c r="B273" s="27">
        <v>3</v>
      </c>
      <c r="C273" s="27">
        <v>9</v>
      </c>
      <c r="D273" s="27">
        <v>2013</v>
      </c>
      <c r="E273" s="27">
        <v>2013</v>
      </c>
      <c r="F273" s="27">
        <v>1</v>
      </c>
      <c r="G273" s="27">
        <v>9</v>
      </c>
      <c r="H273" s="27">
        <v>0</v>
      </c>
      <c r="I273" s="27">
        <v>0</v>
      </c>
      <c r="J273" s="27">
        <v>0</v>
      </c>
      <c r="K273" s="27">
        <v>0.95</v>
      </c>
      <c r="L273" s="27">
        <v>3200</v>
      </c>
      <c r="M273" s="27">
        <v>2800</v>
      </c>
      <c r="N273" s="27">
        <v>150</v>
      </c>
      <c r="O273" s="27">
        <v>90</v>
      </c>
      <c r="P273" s="27" t="s">
        <v>13</v>
      </c>
      <c r="Q273" s="27">
        <v>1993</v>
      </c>
      <c r="R273" s="27">
        <v>1</v>
      </c>
      <c r="S273" s="27">
        <v>0</v>
      </c>
      <c r="T273" s="27">
        <v>-1.8E-3</v>
      </c>
      <c r="U273" s="27">
        <v>-1.2E-2</v>
      </c>
      <c r="V273" s="27">
        <v>0</v>
      </c>
      <c r="W273" s="27">
        <v>0</v>
      </c>
      <c r="X273" s="27" t="s">
        <v>22</v>
      </c>
    </row>
    <row r="274" spans="1:24">
      <c r="A274" s="27">
        <v>1</v>
      </c>
      <c r="B274" s="27">
        <v>3</v>
      </c>
      <c r="C274" s="27">
        <v>9</v>
      </c>
      <c r="D274" s="27">
        <v>2013</v>
      </c>
      <c r="E274" s="27">
        <v>2013</v>
      </c>
      <c r="F274" s="27">
        <v>2</v>
      </c>
      <c r="G274" s="27">
        <v>9</v>
      </c>
      <c r="H274" s="27">
        <v>0</v>
      </c>
      <c r="I274" s="27">
        <v>0</v>
      </c>
      <c r="J274" s="27">
        <v>0</v>
      </c>
      <c r="K274" s="27">
        <v>0.95</v>
      </c>
      <c r="L274" s="27">
        <v>3200</v>
      </c>
      <c r="M274" s="27">
        <v>2800</v>
      </c>
      <c r="N274" s="27">
        <v>150</v>
      </c>
      <c r="O274" s="27">
        <v>90</v>
      </c>
      <c r="P274" s="27" t="s">
        <v>13</v>
      </c>
      <c r="Q274" s="27">
        <v>1993</v>
      </c>
      <c r="R274" s="27">
        <v>1</v>
      </c>
      <c r="S274" s="27">
        <v>0</v>
      </c>
      <c r="T274" s="27">
        <v>-1.8E-3</v>
      </c>
      <c r="U274" s="27">
        <v>-1.2E-2</v>
      </c>
      <c r="V274" s="27">
        <v>0</v>
      </c>
      <c r="W274" s="27">
        <v>0</v>
      </c>
      <c r="X274" s="27" t="s">
        <v>22</v>
      </c>
    </row>
    <row r="275" spans="1:24">
      <c r="A275" s="27">
        <v>1</v>
      </c>
      <c r="B275" s="27">
        <v>3</v>
      </c>
      <c r="C275" s="27">
        <v>9</v>
      </c>
      <c r="D275" s="27">
        <v>2013</v>
      </c>
      <c r="E275" s="27">
        <v>2013</v>
      </c>
      <c r="F275" s="27">
        <v>3</v>
      </c>
      <c r="G275" s="27">
        <v>9</v>
      </c>
      <c r="H275" s="27">
        <v>0</v>
      </c>
      <c r="I275" s="27">
        <v>0</v>
      </c>
      <c r="J275" s="27">
        <v>0</v>
      </c>
      <c r="K275" s="27">
        <v>0.95</v>
      </c>
      <c r="L275" s="27">
        <v>3200</v>
      </c>
      <c r="M275" s="27">
        <v>2800</v>
      </c>
      <c r="N275" s="27">
        <v>150</v>
      </c>
      <c r="O275" s="27">
        <v>90</v>
      </c>
      <c r="P275" s="27" t="s">
        <v>13</v>
      </c>
      <c r="Q275" s="27">
        <v>1993</v>
      </c>
      <c r="R275" s="27">
        <v>1</v>
      </c>
      <c r="S275" s="27">
        <v>0</v>
      </c>
      <c r="T275" s="27">
        <v>-1.8E-3</v>
      </c>
      <c r="U275" s="27">
        <v>-1.2E-2</v>
      </c>
      <c r="V275" s="27">
        <v>0</v>
      </c>
      <c r="W275" s="27">
        <v>0</v>
      </c>
      <c r="X275" s="27" t="s">
        <v>22</v>
      </c>
    </row>
    <row r="276" spans="1:24">
      <c r="A276" s="27">
        <v>1</v>
      </c>
      <c r="B276" s="27">
        <v>3</v>
      </c>
      <c r="C276" s="27">
        <v>9</v>
      </c>
      <c r="D276" s="27">
        <v>2013</v>
      </c>
      <c r="E276" s="27">
        <v>2013</v>
      </c>
      <c r="F276" s="27">
        <v>4</v>
      </c>
      <c r="G276" s="27">
        <v>9</v>
      </c>
      <c r="H276" s="27">
        <v>0</v>
      </c>
      <c r="I276" s="27">
        <v>0</v>
      </c>
      <c r="J276" s="27">
        <v>0</v>
      </c>
      <c r="K276" s="27">
        <v>0.95</v>
      </c>
      <c r="L276" s="27">
        <v>3200</v>
      </c>
      <c r="M276" s="27">
        <v>2800</v>
      </c>
      <c r="N276" s="27">
        <v>150</v>
      </c>
      <c r="O276" s="27">
        <v>90</v>
      </c>
      <c r="P276" s="27" t="s">
        <v>13</v>
      </c>
      <c r="Q276" s="27">
        <v>1993</v>
      </c>
      <c r="R276" s="27">
        <v>1</v>
      </c>
      <c r="S276" s="27">
        <v>0</v>
      </c>
      <c r="T276" s="27">
        <v>-1.8E-3</v>
      </c>
      <c r="U276" s="27">
        <v>-1.2E-2</v>
      </c>
      <c r="V276" s="27">
        <v>0</v>
      </c>
      <c r="W276" s="27">
        <v>0</v>
      </c>
      <c r="X276" s="27" t="s">
        <v>22</v>
      </c>
    </row>
    <row r="277" spans="1:24">
      <c r="A277" s="27">
        <v>1</v>
      </c>
      <c r="B277" s="27">
        <v>3</v>
      </c>
      <c r="C277" s="27">
        <v>9</v>
      </c>
      <c r="D277" s="27">
        <v>2013</v>
      </c>
      <c r="E277" s="27">
        <v>2013</v>
      </c>
      <c r="F277" s="27">
        <v>5</v>
      </c>
      <c r="G277" s="27">
        <v>9</v>
      </c>
      <c r="H277" s="27">
        <v>0</v>
      </c>
      <c r="I277" s="27">
        <v>0</v>
      </c>
      <c r="J277" s="27">
        <v>0</v>
      </c>
      <c r="K277" s="27">
        <v>0.95</v>
      </c>
      <c r="L277" s="27">
        <v>3200</v>
      </c>
      <c r="M277" s="27">
        <v>2800</v>
      </c>
      <c r="N277" s="27">
        <v>150</v>
      </c>
      <c r="O277" s="27">
        <v>90</v>
      </c>
      <c r="P277" s="27" t="s">
        <v>13</v>
      </c>
      <c r="Q277" s="27">
        <v>1993</v>
      </c>
      <c r="R277" s="27">
        <v>1</v>
      </c>
      <c r="S277" s="27">
        <v>0</v>
      </c>
      <c r="T277" s="27">
        <v>-1.8E-3</v>
      </c>
      <c r="U277" s="27">
        <v>-1.2E-2</v>
      </c>
      <c r="V277" s="27">
        <v>0</v>
      </c>
      <c r="W277" s="27">
        <v>0</v>
      </c>
      <c r="X277" s="27" t="s">
        <v>22</v>
      </c>
    </row>
    <row r="278" spans="1:24">
      <c r="A278" s="27">
        <v>1</v>
      </c>
      <c r="B278" s="27">
        <v>3</v>
      </c>
      <c r="C278" s="27">
        <v>9</v>
      </c>
      <c r="D278" s="27">
        <v>2013</v>
      </c>
      <c r="E278" s="27">
        <v>2013</v>
      </c>
      <c r="F278" s="27">
        <v>6</v>
      </c>
      <c r="G278" s="27">
        <v>9</v>
      </c>
      <c r="H278" s="27">
        <v>0</v>
      </c>
      <c r="I278" s="27">
        <v>0</v>
      </c>
      <c r="J278" s="27">
        <v>0</v>
      </c>
      <c r="K278" s="27">
        <v>0.95</v>
      </c>
      <c r="L278" s="27">
        <v>3200</v>
      </c>
      <c r="M278" s="27">
        <v>2800</v>
      </c>
      <c r="N278" s="27">
        <v>150</v>
      </c>
      <c r="O278" s="27">
        <v>90</v>
      </c>
      <c r="P278" s="27" t="s">
        <v>13</v>
      </c>
      <c r="Q278" s="27">
        <v>1993</v>
      </c>
      <c r="R278" s="27">
        <v>1</v>
      </c>
      <c r="S278" s="27">
        <v>0</v>
      </c>
      <c r="T278" s="27">
        <v>-1.8E-3</v>
      </c>
      <c r="U278" s="27">
        <v>-1.2E-2</v>
      </c>
      <c r="V278" s="27">
        <v>0</v>
      </c>
      <c r="W278" s="27">
        <v>0</v>
      </c>
      <c r="X278" s="27" t="s">
        <v>22</v>
      </c>
    </row>
    <row r="279" spans="1:24">
      <c r="A279" s="27">
        <v>1</v>
      </c>
      <c r="B279" s="27">
        <v>3</v>
      </c>
      <c r="C279" s="27">
        <v>9</v>
      </c>
      <c r="D279" s="27">
        <v>2013</v>
      </c>
      <c r="E279" s="27">
        <v>2013</v>
      </c>
      <c r="F279" s="27">
        <v>7</v>
      </c>
      <c r="G279" s="27">
        <v>9</v>
      </c>
      <c r="H279" s="27">
        <v>0</v>
      </c>
      <c r="I279" s="27">
        <v>0</v>
      </c>
      <c r="J279" s="27">
        <v>0</v>
      </c>
      <c r="K279" s="27">
        <v>0.95</v>
      </c>
      <c r="L279" s="27">
        <v>3200</v>
      </c>
      <c r="M279" s="27">
        <v>2800</v>
      </c>
      <c r="N279" s="27">
        <v>150</v>
      </c>
      <c r="O279" s="27">
        <v>90</v>
      </c>
      <c r="P279" s="27" t="s">
        <v>13</v>
      </c>
      <c r="Q279" s="27">
        <v>1993</v>
      </c>
      <c r="R279" s="27">
        <v>1</v>
      </c>
      <c r="S279" s="27">
        <v>0</v>
      </c>
      <c r="T279" s="27">
        <v>-1.8E-3</v>
      </c>
      <c r="U279" s="27">
        <v>-1.2E-2</v>
      </c>
      <c r="V279" s="27">
        <v>0</v>
      </c>
      <c r="W279" s="27">
        <v>0</v>
      </c>
      <c r="X279" s="27" t="s">
        <v>22</v>
      </c>
    </row>
    <row r="280" spans="1:24">
      <c r="A280" s="27">
        <v>1</v>
      </c>
      <c r="B280" s="27">
        <v>3</v>
      </c>
      <c r="C280" s="27">
        <v>9</v>
      </c>
      <c r="D280" s="27">
        <v>2013</v>
      </c>
      <c r="E280" s="27">
        <v>2013</v>
      </c>
      <c r="F280" s="27">
        <v>8</v>
      </c>
      <c r="G280" s="27">
        <v>9</v>
      </c>
      <c r="H280" s="27">
        <v>0</v>
      </c>
      <c r="I280" s="27">
        <v>0</v>
      </c>
      <c r="J280" s="27">
        <v>0</v>
      </c>
      <c r="K280" s="27">
        <v>0.95</v>
      </c>
      <c r="L280" s="27">
        <v>3200</v>
      </c>
      <c r="M280" s="27">
        <v>2800</v>
      </c>
      <c r="N280" s="27">
        <v>150</v>
      </c>
      <c r="O280" s="27">
        <v>90</v>
      </c>
      <c r="P280" s="27" t="s">
        <v>13</v>
      </c>
      <c r="Q280" s="27">
        <v>1993</v>
      </c>
      <c r="R280" s="27">
        <v>1</v>
      </c>
      <c r="S280" s="27">
        <v>0</v>
      </c>
      <c r="T280" s="27">
        <v>-1.8E-3</v>
      </c>
      <c r="U280" s="27">
        <v>-1.2E-2</v>
      </c>
      <c r="V280" s="27">
        <v>0</v>
      </c>
      <c r="W280" s="27">
        <v>0</v>
      </c>
      <c r="X280" s="27" t="s">
        <v>22</v>
      </c>
    </row>
    <row r="281" spans="1:24">
      <c r="A281" s="27">
        <v>1</v>
      </c>
      <c r="B281" s="27">
        <v>3</v>
      </c>
      <c r="C281" s="27">
        <v>9</v>
      </c>
      <c r="D281" s="27">
        <v>2013</v>
      </c>
      <c r="E281" s="27">
        <v>2013</v>
      </c>
      <c r="F281" s="27">
        <v>9</v>
      </c>
      <c r="G281" s="27">
        <v>9</v>
      </c>
      <c r="H281" s="27">
        <v>0</v>
      </c>
      <c r="I281" s="27">
        <v>0</v>
      </c>
      <c r="J281" s="27">
        <v>0</v>
      </c>
      <c r="K281" s="27">
        <v>0.95</v>
      </c>
      <c r="L281" s="27">
        <v>3200</v>
      </c>
      <c r="M281" s="27">
        <v>2800</v>
      </c>
      <c r="N281" s="27">
        <v>150</v>
      </c>
      <c r="O281" s="27">
        <v>90</v>
      </c>
      <c r="P281" s="27" t="s">
        <v>13</v>
      </c>
      <c r="Q281" s="27">
        <v>1993</v>
      </c>
      <c r="R281" s="27">
        <v>1</v>
      </c>
      <c r="S281" s="27">
        <v>0</v>
      </c>
      <c r="T281" s="27">
        <v>-1.8E-3</v>
      </c>
      <c r="U281" s="27">
        <v>-1.2E-2</v>
      </c>
      <c r="V281" s="27">
        <v>0</v>
      </c>
      <c r="W281" s="27">
        <v>0</v>
      </c>
      <c r="X281" s="27" t="s">
        <v>22</v>
      </c>
    </row>
    <row r="282" spans="1:24">
      <c r="A282" s="27">
        <v>1</v>
      </c>
      <c r="B282" s="27">
        <v>3</v>
      </c>
      <c r="C282" s="27">
        <v>9</v>
      </c>
      <c r="D282" s="27">
        <v>2014</v>
      </c>
      <c r="E282" s="27">
        <v>2050</v>
      </c>
      <c r="F282" s="27">
        <v>1</v>
      </c>
      <c r="G282" s="27">
        <v>9</v>
      </c>
      <c r="H282" s="27">
        <v>0</v>
      </c>
      <c r="I282" s="27">
        <v>0</v>
      </c>
      <c r="J282" s="27">
        <v>0</v>
      </c>
      <c r="K282" s="27">
        <v>0.95</v>
      </c>
      <c r="L282" s="27">
        <v>3200</v>
      </c>
      <c r="M282" s="27">
        <v>2800</v>
      </c>
      <c r="N282" s="27">
        <v>0</v>
      </c>
      <c r="O282" s="27">
        <v>0</v>
      </c>
      <c r="P282" s="27" t="s">
        <v>13</v>
      </c>
      <c r="Q282" s="27">
        <v>1993</v>
      </c>
      <c r="R282" s="27">
        <v>1</v>
      </c>
      <c r="S282" s="27">
        <v>0</v>
      </c>
      <c r="T282" s="27">
        <v>-1.8E-3</v>
      </c>
      <c r="U282" s="27">
        <v>-1.2E-2</v>
      </c>
      <c r="V282" s="27">
        <v>0</v>
      </c>
      <c r="W282" s="27">
        <v>0</v>
      </c>
      <c r="X282" s="27" t="s">
        <v>22</v>
      </c>
    </row>
    <row r="283" spans="1:24">
      <c r="A283" s="27">
        <v>1</v>
      </c>
      <c r="B283" s="27">
        <v>3</v>
      </c>
      <c r="C283" s="27">
        <v>9</v>
      </c>
      <c r="D283" s="27">
        <v>2014</v>
      </c>
      <c r="E283" s="27">
        <v>2050</v>
      </c>
      <c r="F283" s="27">
        <v>2</v>
      </c>
      <c r="G283" s="27">
        <v>9</v>
      </c>
      <c r="H283" s="27">
        <v>0</v>
      </c>
      <c r="I283" s="27">
        <v>0</v>
      </c>
      <c r="J283" s="27">
        <v>0</v>
      </c>
      <c r="K283" s="27">
        <v>0.95</v>
      </c>
      <c r="L283" s="27">
        <v>3200</v>
      </c>
      <c r="M283" s="27">
        <v>2800</v>
      </c>
      <c r="N283" s="27">
        <v>0</v>
      </c>
      <c r="O283" s="27">
        <v>0</v>
      </c>
      <c r="P283" s="27" t="s">
        <v>13</v>
      </c>
      <c r="Q283" s="27">
        <v>1993</v>
      </c>
      <c r="R283" s="27">
        <v>1</v>
      </c>
      <c r="S283" s="27">
        <v>0</v>
      </c>
      <c r="T283" s="27">
        <v>-1.8E-3</v>
      </c>
      <c r="U283" s="27">
        <v>-1.2E-2</v>
      </c>
      <c r="V283" s="27">
        <v>0</v>
      </c>
      <c r="W283" s="27">
        <v>0</v>
      </c>
      <c r="X283" s="27" t="s">
        <v>22</v>
      </c>
    </row>
    <row r="284" spans="1:24">
      <c r="A284" s="27">
        <v>1</v>
      </c>
      <c r="B284" s="27">
        <v>3</v>
      </c>
      <c r="C284" s="27">
        <v>9</v>
      </c>
      <c r="D284" s="27">
        <v>2014</v>
      </c>
      <c r="E284" s="27">
        <v>2050</v>
      </c>
      <c r="F284" s="27">
        <v>3</v>
      </c>
      <c r="G284" s="27">
        <v>9</v>
      </c>
      <c r="H284" s="27">
        <v>0</v>
      </c>
      <c r="I284" s="27">
        <v>0</v>
      </c>
      <c r="J284" s="27">
        <v>0</v>
      </c>
      <c r="K284" s="27">
        <v>0.95</v>
      </c>
      <c r="L284" s="27">
        <v>3200</v>
      </c>
      <c r="M284" s="27">
        <v>2800</v>
      </c>
      <c r="N284" s="27">
        <v>0</v>
      </c>
      <c r="O284" s="27">
        <v>0</v>
      </c>
      <c r="P284" s="27" t="s">
        <v>13</v>
      </c>
      <c r="Q284" s="27">
        <v>1993</v>
      </c>
      <c r="R284" s="27">
        <v>1</v>
      </c>
      <c r="S284" s="27">
        <v>0</v>
      </c>
      <c r="T284" s="27">
        <v>-1.8E-3</v>
      </c>
      <c r="U284" s="27">
        <v>-1.2E-2</v>
      </c>
      <c r="V284" s="27">
        <v>0</v>
      </c>
      <c r="W284" s="27">
        <v>0</v>
      </c>
      <c r="X284" s="27" t="s">
        <v>22</v>
      </c>
    </row>
    <row r="285" spans="1:24">
      <c r="A285" s="27">
        <v>1</v>
      </c>
      <c r="B285" s="27">
        <v>3</v>
      </c>
      <c r="C285" s="27">
        <v>9</v>
      </c>
      <c r="D285" s="27">
        <v>2014</v>
      </c>
      <c r="E285" s="27">
        <v>2050</v>
      </c>
      <c r="F285" s="27">
        <v>4</v>
      </c>
      <c r="G285" s="27">
        <v>9</v>
      </c>
      <c r="H285" s="27">
        <v>0</v>
      </c>
      <c r="I285" s="27">
        <v>0</v>
      </c>
      <c r="J285" s="27">
        <v>0</v>
      </c>
      <c r="K285" s="27">
        <v>0.95</v>
      </c>
      <c r="L285" s="27">
        <v>3200</v>
      </c>
      <c r="M285" s="27">
        <v>2800</v>
      </c>
      <c r="N285" s="27">
        <v>0</v>
      </c>
      <c r="O285" s="27">
        <v>0</v>
      </c>
      <c r="P285" s="27" t="s">
        <v>13</v>
      </c>
      <c r="Q285" s="27">
        <v>1993</v>
      </c>
      <c r="R285" s="27">
        <v>1</v>
      </c>
      <c r="S285" s="27">
        <v>0</v>
      </c>
      <c r="T285" s="27">
        <v>-1.8E-3</v>
      </c>
      <c r="U285" s="27">
        <v>-1.2E-2</v>
      </c>
      <c r="V285" s="27">
        <v>0</v>
      </c>
      <c r="W285" s="27">
        <v>0</v>
      </c>
      <c r="X285" s="27" t="s">
        <v>22</v>
      </c>
    </row>
    <row r="286" spans="1:24">
      <c r="A286" s="27">
        <v>1</v>
      </c>
      <c r="B286" s="27">
        <v>3</v>
      </c>
      <c r="C286" s="27">
        <v>9</v>
      </c>
      <c r="D286" s="27">
        <v>2014</v>
      </c>
      <c r="E286" s="27">
        <v>2050</v>
      </c>
      <c r="F286" s="27">
        <v>5</v>
      </c>
      <c r="G286" s="27">
        <v>9</v>
      </c>
      <c r="H286" s="27">
        <v>0</v>
      </c>
      <c r="I286" s="27">
        <v>0</v>
      </c>
      <c r="J286" s="27">
        <v>0</v>
      </c>
      <c r="K286" s="27">
        <v>0.95</v>
      </c>
      <c r="L286" s="27">
        <v>3200</v>
      </c>
      <c r="M286" s="27">
        <v>2800</v>
      </c>
      <c r="N286" s="27">
        <v>0</v>
      </c>
      <c r="O286" s="27">
        <v>0</v>
      </c>
      <c r="P286" s="27" t="s">
        <v>13</v>
      </c>
      <c r="Q286" s="27">
        <v>1993</v>
      </c>
      <c r="R286" s="27">
        <v>1</v>
      </c>
      <c r="S286" s="27">
        <v>0</v>
      </c>
      <c r="T286" s="27">
        <v>-1.8E-3</v>
      </c>
      <c r="U286" s="27">
        <v>-1.2E-2</v>
      </c>
      <c r="V286" s="27">
        <v>0</v>
      </c>
      <c r="W286" s="27">
        <v>0</v>
      </c>
      <c r="X286" s="27" t="s">
        <v>22</v>
      </c>
    </row>
    <row r="287" spans="1:24">
      <c r="A287" s="27">
        <v>1</v>
      </c>
      <c r="B287" s="27">
        <v>3</v>
      </c>
      <c r="C287" s="27">
        <v>9</v>
      </c>
      <c r="D287" s="27">
        <v>2014</v>
      </c>
      <c r="E287" s="27">
        <v>2050</v>
      </c>
      <c r="F287" s="27">
        <v>6</v>
      </c>
      <c r="G287" s="27">
        <v>9</v>
      </c>
      <c r="H287" s="27">
        <v>0</v>
      </c>
      <c r="I287" s="27">
        <v>0</v>
      </c>
      <c r="J287" s="27">
        <v>0</v>
      </c>
      <c r="K287" s="27">
        <v>0.95</v>
      </c>
      <c r="L287" s="27">
        <v>3200</v>
      </c>
      <c r="M287" s="27">
        <v>2800</v>
      </c>
      <c r="N287" s="27">
        <v>0</v>
      </c>
      <c r="O287" s="27">
        <v>0</v>
      </c>
      <c r="P287" s="27" t="s">
        <v>13</v>
      </c>
      <c r="Q287" s="27">
        <v>1993</v>
      </c>
      <c r="R287" s="27">
        <v>1</v>
      </c>
      <c r="S287" s="27">
        <v>0</v>
      </c>
      <c r="T287" s="27">
        <v>-1.8E-3</v>
      </c>
      <c r="U287" s="27">
        <v>-1.2E-2</v>
      </c>
      <c r="V287" s="27">
        <v>0</v>
      </c>
      <c r="W287" s="27">
        <v>0</v>
      </c>
      <c r="X287" s="27" t="s">
        <v>22</v>
      </c>
    </row>
    <row r="288" spans="1:24">
      <c r="A288" s="27">
        <v>1</v>
      </c>
      <c r="B288" s="27">
        <v>3</v>
      </c>
      <c r="C288" s="27">
        <v>9</v>
      </c>
      <c r="D288" s="27">
        <v>2014</v>
      </c>
      <c r="E288" s="27">
        <v>2050</v>
      </c>
      <c r="F288" s="27">
        <v>7</v>
      </c>
      <c r="G288" s="27">
        <v>9</v>
      </c>
      <c r="H288" s="27">
        <v>0</v>
      </c>
      <c r="I288" s="27">
        <v>0</v>
      </c>
      <c r="J288" s="27">
        <v>0</v>
      </c>
      <c r="K288" s="27">
        <v>0.95</v>
      </c>
      <c r="L288" s="27">
        <v>3200</v>
      </c>
      <c r="M288" s="27">
        <v>2800</v>
      </c>
      <c r="N288" s="27">
        <v>0</v>
      </c>
      <c r="O288" s="27">
        <v>0</v>
      </c>
      <c r="P288" s="27" t="s">
        <v>13</v>
      </c>
      <c r="Q288" s="27">
        <v>1993</v>
      </c>
      <c r="R288" s="27">
        <v>1</v>
      </c>
      <c r="S288" s="27">
        <v>0</v>
      </c>
      <c r="T288" s="27">
        <v>-1.8E-3</v>
      </c>
      <c r="U288" s="27">
        <v>-1.2E-2</v>
      </c>
      <c r="V288" s="27">
        <v>0</v>
      </c>
      <c r="W288" s="27">
        <v>0</v>
      </c>
      <c r="X288" s="27" t="s">
        <v>22</v>
      </c>
    </row>
    <row r="289" spans="1:24">
      <c r="A289" s="27">
        <v>1</v>
      </c>
      <c r="B289" s="27">
        <v>3</v>
      </c>
      <c r="C289" s="27">
        <v>9</v>
      </c>
      <c r="D289" s="27">
        <v>2014</v>
      </c>
      <c r="E289" s="27">
        <v>2050</v>
      </c>
      <c r="F289" s="27">
        <v>8</v>
      </c>
      <c r="G289" s="27">
        <v>9</v>
      </c>
      <c r="H289" s="27">
        <v>0</v>
      </c>
      <c r="I289" s="27">
        <v>0</v>
      </c>
      <c r="J289" s="27">
        <v>0</v>
      </c>
      <c r="K289" s="27">
        <v>0.95</v>
      </c>
      <c r="L289" s="27">
        <v>3200</v>
      </c>
      <c r="M289" s="27">
        <v>2800</v>
      </c>
      <c r="N289" s="27">
        <v>0</v>
      </c>
      <c r="O289" s="27">
        <v>0</v>
      </c>
      <c r="P289" s="27" t="s">
        <v>13</v>
      </c>
      <c r="Q289" s="27">
        <v>1993</v>
      </c>
      <c r="R289" s="27">
        <v>1</v>
      </c>
      <c r="S289" s="27">
        <v>0</v>
      </c>
      <c r="T289" s="27">
        <v>-1.8E-3</v>
      </c>
      <c r="U289" s="27">
        <v>-1.2E-2</v>
      </c>
      <c r="V289" s="27">
        <v>0</v>
      </c>
      <c r="W289" s="27">
        <v>0</v>
      </c>
      <c r="X289" s="27" t="s">
        <v>22</v>
      </c>
    </row>
    <row r="290" spans="1:24">
      <c r="A290" s="27">
        <v>1</v>
      </c>
      <c r="B290" s="27">
        <v>3</v>
      </c>
      <c r="C290" s="27">
        <v>9</v>
      </c>
      <c r="D290" s="27">
        <v>2014</v>
      </c>
      <c r="E290" s="27">
        <v>2050</v>
      </c>
      <c r="F290" s="27">
        <v>9</v>
      </c>
      <c r="G290" s="27">
        <v>9</v>
      </c>
      <c r="H290" s="27">
        <v>0</v>
      </c>
      <c r="I290" s="27">
        <v>0</v>
      </c>
      <c r="J290" s="27">
        <v>0</v>
      </c>
      <c r="K290" s="27">
        <v>0.95</v>
      </c>
      <c r="L290" s="27">
        <v>3200</v>
      </c>
      <c r="M290" s="27">
        <v>2800</v>
      </c>
      <c r="N290" s="27">
        <v>0</v>
      </c>
      <c r="O290" s="27">
        <v>0</v>
      </c>
      <c r="P290" s="27" t="s">
        <v>13</v>
      </c>
      <c r="Q290" s="27">
        <v>1993</v>
      </c>
      <c r="R290" s="27">
        <v>1</v>
      </c>
      <c r="S290" s="27">
        <v>0</v>
      </c>
      <c r="T290" s="27">
        <v>-1.8E-3</v>
      </c>
      <c r="U290" s="27">
        <v>-1.2E-2</v>
      </c>
      <c r="V290" s="27">
        <v>0</v>
      </c>
      <c r="W290" s="27">
        <v>0</v>
      </c>
      <c r="X290" s="27" t="s">
        <v>22</v>
      </c>
    </row>
    <row r="291" spans="1:24">
      <c r="A291" s="27">
        <v>1</v>
      </c>
      <c r="B291" s="27">
        <v>3</v>
      </c>
      <c r="C291" s="27">
        <v>10</v>
      </c>
      <c r="D291" s="27">
        <v>2010</v>
      </c>
      <c r="E291" s="27">
        <v>2010</v>
      </c>
      <c r="F291" s="27">
        <v>1</v>
      </c>
      <c r="G291" s="27">
        <v>10</v>
      </c>
      <c r="H291" s="27">
        <v>0</v>
      </c>
      <c r="I291" s="27">
        <v>0</v>
      </c>
      <c r="J291" s="27">
        <v>0</v>
      </c>
      <c r="K291" s="27">
        <v>0.98</v>
      </c>
      <c r="L291" s="27">
        <v>3750</v>
      </c>
      <c r="M291" s="27">
        <v>3330</v>
      </c>
      <c r="N291" s="27">
        <v>1125</v>
      </c>
      <c r="O291" s="27">
        <v>675</v>
      </c>
      <c r="P291" s="27" t="s">
        <v>13</v>
      </c>
      <c r="Q291" s="27">
        <v>1993</v>
      </c>
      <c r="R291" s="27">
        <v>1</v>
      </c>
      <c r="S291" s="27">
        <v>0</v>
      </c>
      <c r="T291" s="27">
        <v>-1.8E-3</v>
      </c>
      <c r="U291" s="27">
        <v>-1.2E-2</v>
      </c>
      <c r="V291" s="27">
        <v>0</v>
      </c>
      <c r="W291" s="27">
        <v>0</v>
      </c>
      <c r="X291" s="27" t="s">
        <v>23</v>
      </c>
    </row>
    <row r="292" spans="1:24">
      <c r="A292" s="27">
        <v>1</v>
      </c>
      <c r="B292" s="27">
        <v>3</v>
      </c>
      <c r="C292" s="27">
        <v>10</v>
      </c>
      <c r="D292" s="27">
        <v>2010</v>
      </c>
      <c r="E292" s="27">
        <v>2010</v>
      </c>
      <c r="F292" s="27">
        <v>2</v>
      </c>
      <c r="G292" s="27">
        <v>10</v>
      </c>
      <c r="H292" s="27">
        <v>0</v>
      </c>
      <c r="I292" s="27">
        <v>0</v>
      </c>
      <c r="J292" s="27">
        <v>0</v>
      </c>
      <c r="K292" s="27">
        <v>0.98</v>
      </c>
      <c r="L292" s="27">
        <v>3750</v>
      </c>
      <c r="M292" s="27">
        <v>3330</v>
      </c>
      <c r="N292" s="27">
        <v>1125</v>
      </c>
      <c r="O292" s="27">
        <v>675</v>
      </c>
      <c r="P292" s="27" t="s">
        <v>13</v>
      </c>
      <c r="Q292" s="27">
        <v>1993</v>
      </c>
      <c r="R292" s="27">
        <v>1</v>
      </c>
      <c r="S292" s="27">
        <v>0</v>
      </c>
      <c r="T292" s="27">
        <v>-1.8E-3</v>
      </c>
      <c r="U292" s="27">
        <v>-1.2E-2</v>
      </c>
      <c r="V292" s="27">
        <v>0</v>
      </c>
      <c r="W292" s="27">
        <v>0</v>
      </c>
      <c r="X292" s="27" t="s">
        <v>23</v>
      </c>
    </row>
    <row r="293" spans="1:24">
      <c r="A293" s="27">
        <v>1</v>
      </c>
      <c r="B293" s="27">
        <v>3</v>
      </c>
      <c r="C293" s="27">
        <v>10</v>
      </c>
      <c r="D293" s="27">
        <v>2010</v>
      </c>
      <c r="E293" s="27">
        <v>2010</v>
      </c>
      <c r="F293" s="27">
        <v>3</v>
      </c>
      <c r="G293" s="27">
        <v>10</v>
      </c>
      <c r="H293" s="27">
        <v>0</v>
      </c>
      <c r="I293" s="27">
        <v>0</v>
      </c>
      <c r="J293" s="27">
        <v>0</v>
      </c>
      <c r="K293" s="27">
        <v>0.98</v>
      </c>
      <c r="L293" s="27">
        <v>3750</v>
      </c>
      <c r="M293" s="27">
        <v>3330</v>
      </c>
      <c r="N293" s="27">
        <v>1125</v>
      </c>
      <c r="O293" s="27">
        <v>675</v>
      </c>
      <c r="P293" s="27" t="s">
        <v>13</v>
      </c>
      <c r="Q293" s="27">
        <v>1993</v>
      </c>
      <c r="R293" s="27">
        <v>1</v>
      </c>
      <c r="S293" s="27">
        <v>0</v>
      </c>
      <c r="T293" s="27">
        <v>-1.8E-3</v>
      </c>
      <c r="U293" s="27">
        <v>-1.2E-2</v>
      </c>
      <c r="V293" s="27">
        <v>0</v>
      </c>
      <c r="W293" s="27">
        <v>0</v>
      </c>
      <c r="X293" s="27" t="s">
        <v>23</v>
      </c>
    </row>
    <row r="294" spans="1:24">
      <c r="A294" s="27">
        <v>1</v>
      </c>
      <c r="B294" s="27">
        <v>3</v>
      </c>
      <c r="C294" s="27">
        <v>10</v>
      </c>
      <c r="D294" s="27">
        <v>2010</v>
      </c>
      <c r="E294" s="27">
        <v>2010</v>
      </c>
      <c r="F294" s="27">
        <v>4</v>
      </c>
      <c r="G294" s="27">
        <v>10</v>
      </c>
      <c r="H294" s="27">
        <v>0</v>
      </c>
      <c r="I294" s="27">
        <v>0</v>
      </c>
      <c r="J294" s="27">
        <v>0</v>
      </c>
      <c r="K294" s="27">
        <v>0.98</v>
      </c>
      <c r="L294" s="27">
        <v>3750</v>
      </c>
      <c r="M294" s="27">
        <v>3330</v>
      </c>
      <c r="N294" s="27">
        <v>1125</v>
      </c>
      <c r="O294" s="27">
        <v>675</v>
      </c>
      <c r="P294" s="27" t="s">
        <v>13</v>
      </c>
      <c r="Q294" s="27">
        <v>1993</v>
      </c>
      <c r="R294" s="27">
        <v>1</v>
      </c>
      <c r="S294" s="27">
        <v>0</v>
      </c>
      <c r="T294" s="27">
        <v>-1.8E-3</v>
      </c>
      <c r="U294" s="27">
        <v>-1.2E-2</v>
      </c>
      <c r="V294" s="27">
        <v>0</v>
      </c>
      <c r="W294" s="27">
        <v>0</v>
      </c>
      <c r="X294" s="27" t="s">
        <v>23</v>
      </c>
    </row>
    <row r="295" spans="1:24">
      <c r="A295" s="27">
        <v>1</v>
      </c>
      <c r="B295" s="27">
        <v>3</v>
      </c>
      <c r="C295" s="27">
        <v>10</v>
      </c>
      <c r="D295" s="27">
        <v>2010</v>
      </c>
      <c r="E295" s="27">
        <v>2010</v>
      </c>
      <c r="F295" s="27">
        <v>5</v>
      </c>
      <c r="G295" s="27">
        <v>10</v>
      </c>
      <c r="H295" s="27">
        <v>0</v>
      </c>
      <c r="I295" s="27">
        <v>0</v>
      </c>
      <c r="J295" s="27">
        <v>0</v>
      </c>
      <c r="K295" s="27">
        <v>0.98</v>
      </c>
      <c r="L295" s="27">
        <v>3750</v>
      </c>
      <c r="M295" s="27">
        <v>3330</v>
      </c>
      <c r="N295" s="27">
        <v>1125</v>
      </c>
      <c r="O295" s="27">
        <v>675</v>
      </c>
      <c r="P295" s="27" t="s">
        <v>13</v>
      </c>
      <c r="Q295" s="27">
        <v>1993</v>
      </c>
      <c r="R295" s="27">
        <v>1</v>
      </c>
      <c r="S295" s="27">
        <v>0</v>
      </c>
      <c r="T295" s="27">
        <v>-1.8E-3</v>
      </c>
      <c r="U295" s="27">
        <v>-1.2E-2</v>
      </c>
      <c r="V295" s="27">
        <v>0</v>
      </c>
      <c r="W295" s="27">
        <v>0</v>
      </c>
      <c r="X295" s="27" t="s">
        <v>23</v>
      </c>
    </row>
    <row r="296" spans="1:24">
      <c r="A296" s="27">
        <v>1</v>
      </c>
      <c r="B296" s="27">
        <v>3</v>
      </c>
      <c r="C296" s="27">
        <v>10</v>
      </c>
      <c r="D296" s="27">
        <v>2010</v>
      </c>
      <c r="E296" s="27">
        <v>2010</v>
      </c>
      <c r="F296" s="27">
        <v>6</v>
      </c>
      <c r="G296" s="27">
        <v>10</v>
      </c>
      <c r="H296" s="27">
        <v>0</v>
      </c>
      <c r="I296" s="27">
        <v>0</v>
      </c>
      <c r="J296" s="27">
        <v>0</v>
      </c>
      <c r="K296" s="27">
        <v>0.98</v>
      </c>
      <c r="L296" s="27">
        <v>3750</v>
      </c>
      <c r="M296" s="27">
        <v>3330</v>
      </c>
      <c r="N296" s="27">
        <v>1125</v>
      </c>
      <c r="O296" s="27">
        <v>675</v>
      </c>
      <c r="P296" s="27" t="s">
        <v>13</v>
      </c>
      <c r="Q296" s="27">
        <v>1993</v>
      </c>
      <c r="R296" s="27">
        <v>1</v>
      </c>
      <c r="S296" s="27">
        <v>0</v>
      </c>
      <c r="T296" s="27">
        <v>-1.8E-3</v>
      </c>
      <c r="U296" s="27">
        <v>-1.2E-2</v>
      </c>
      <c r="V296" s="27">
        <v>0</v>
      </c>
      <c r="W296" s="27">
        <v>0</v>
      </c>
      <c r="X296" s="27" t="s">
        <v>23</v>
      </c>
    </row>
    <row r="297" spans="1:24">
      <c r="A297" s="27">
        <v>1</v>
      </c>
      <c r="B297" s="27">
        <v>3</v>
      </c>
      <c r="C297" s="27">
        <v>10</v>
      </c>
      <c r="D297" s="27">
        <v>2010</v>
      </c>
      <c r="E297" s="27">
        <v>2010</v>
      </c>
      <c r="F297" s="27">
        <v>7</v>
      </c>
      <c r="G297" s="27">
        <v>10</v>
      </c>
      <c r="H297" s="27">
        <v>0</v>
      </c>
      <c r="I297" s="27">
        <v>0</v>
      </c>
      <c r="J297" s="27">
        <v>0</v>
      </c>
      <c r="K297" s="27">
        <v>0.98</v>
      </c>
      <c r="L297" s="27">
        <v>3750</v>
      </c>
      <c r="M297" s="27">
        <v>3330</v>
      </c>
      <c r="N297" s="27">
        <v>1125</v>
      </c>
      <c r="O297" s="27">
        <v>675</v>
      </c>
      <c r="P297" s="27" t="s">
        <v>13</v>
      </c>
      <c r="Q297" s="27">
        <v>1993</v>
      </c>
      <c r="R297" s="27">
        <v>1</v>
      </c>
      <c r="S297" s="27">
        <v>0</v>
      </c>
      <c r="T297" s="27">
        <v>-1.8E-3</v>
      </c>
      <c r="U297" s="27">
        <v>-1.2E-2</v>
      </c>
      <c r="V297" s="27">
        <v>0</v>
      </c>
      <c r="W297" s="27">
        <v>0</v>
      </c>
      <c r="X297" s="27" t="s">
        <v>23</v>
      </c>
    </row>
    <row r="298" spans="1:24">
      <c r="A298" s="27">
        <v>1</v>
      </c>
      <c r="B298" s="27">
        <v>3</v>
      </c>
      <c r="C298" s="27">
        <v>10</v>
      </c>
      <c r="D298" s="27">
        <v>2010</v>
      </c>
      <c r="E298" s="27">
        <v>2010</v>
      </c>
      <c r="F298" s="27">
        <v>8</v>
      </c>
      <c r="G298" s="27">
        <v>10</v>
      </c>
      <c r="H298" s="27">
        <v>0</v>
      </c>
      <c r="I298" s="27">
        <v>0</v>
      </c>
      <c r="J298" s="27">
        <v>0</v>
      </c>
      <c r="K298" s="27">
        <v>0.98</v>
      </c>
      <c r="L298" s="27">
        <v>3750</v>
      </c>
      <c r="M298" s="27">
        <v>3330</v>
      </c>
      <c r="N298" s="27">
        <v>1125</v>
      </c>
      <c r="O298" s="27">
        <v>675</v>
      </c>
      <c r="P298" s="27" t="s">
        <v>13</v>
      </c>
      <c r="Q298" s="27">
        <v>1993</v>
      </c>
      <c r="R298" s="27">
        <v>1</v>
      </c>
      <c r="S298" s="27">
        <v>0</v>
      </c>
      <c r="T298" s="27">
        <v>-1.8E-3</v>
      </c>
      <c r="U298" s="27">
        <v>-1.2E-2</v>
      </c>
      <c r="V298" s="27">
        <v>0</v>
      </c>
      <c r="W298" s="27">
        <v>0</v>
      </c>
      <c r="X298" s="27" t="s">
        <v>23</v>
      </c>
    </row>
    <row r="299" spans="1:24">
      <c r="A299" s="27">
        <v>1</v>
      </c>
      <c r="B299" s="27">
        <v>3</v>
      </c>
      <c r="C299" s="27">
        <v>10</v>
      </c>
      <c r="D299" s="27">
        <v>2010</v>
      </c>
      <c r="E299" s="27">
        <v>2010</v>
      </c>
      <c r="F299" s="27">
        <v>9</v>
      </c>
      <c r="G299" s="27">
        <v>10</v>
      </c>
      <c r="H299" s="27">
        <v>0</v>
      </c>
      <c r="I299" s="27">
        <v>0</v>
      </c>
      <c r="J299" s="27">
        <v>0</v>
      </c>
      <c r="K299" s="27">
        <v>0.98</v>
      </c>
      <c r="L299" s="27">
        <v>3750</v>
      </c>
      <c r="M299" s="27">
        <v>3330</v>
      </c>
      <c r="N299" s="27">
        <v>1125</v>
      </c>
      <c r="O299" s="27">
        <v>675</v>
      </c>
      <c r="P299" s="27" t="s">
        <v>13</v>
      </c>
      <c r="Q299" s="27">
        <v>1993</v>
      </c>
      <c r="R299" s="27">
        <v>1</v>
      </c>
      <c r="S299" s="27">
        <v>0</v>
      </c>
      <c r="T299" s="27">
        <v>-1.8E-3</v>
      </c>
      <c r="U299" s="27">
        <v>-1.2E-2</v>
      </c>
      <c r="V299" s="27">
        <v>0</v>
      </c>
      <c r="W299" s="27">
        <v>0</v>
      </c>
      <c r="X299" s="27" t="s">
        <v>23</v>
      </c>
    </row>
    <row r="300" spans="1:24">
      <c r="A300" s="27">
        <v>1</v>
      </c>
      <c r="B300" s="27">
        <v>3</v>
      </c>
      <c r="C300" s="27">
        <v>10</v>
      </c>
      <c r="D300" s="27">
        <v>2011</v>
      </c>
      <c r="E300" s="27">
        <v>2011</v>
      </c>
      <c r="F300" s="27">
        <v>1</v>
      </c>
      <c r="G300" s="27">
        <v>10</v>
      </c>
      <c r="H300" s="27">
        <v>0</v>
      </c>
      <c r="I300" s="27">
        <v>0</v>
      </c>
      <c r="J300" s="27">
        <v>0</v>
      </c>
      <c r="K300" s="27">
        <v>0.98</v>
      </c>
      <c r="L300" s="27">
        <v>3750</v>
      </c>
      <c r="M300" s="27">
        <v>3330</v>
      </c>
      <c r="N300" s="27">
        <v>150</v>
      </c>
      <c r="O300" s="27">
        <v>90</v>
      </c>
      <c r="P300" s="27" t="s">
        <v>13</v>
      </c>
      <c r="Q300" s="27">
        <v>1993</v>
      </c>
      <c r="R300" s="27">
        <v>1</v>
      </c>
      <c r="S300" s="27">
        <v>0</v>
      </c>
      <c r="T300" s="27">
        <v>-1.8E-3</v>
      </c>
      <c r="U300" s="27">
        <v>-1.2E-2</v>
      </c>
      <c r="V300" s="27">
        <v>0</v>
      </c>
      <c r="W300" s="27">
        <v>0</v>
      </c>
      <c r="X300" s="27" t="s">
        <v>23</v>
      </c>
    </row>
    <row r="301" spans="1:24">
      <c r="A301" s="27">
        <v>1</v>
      </c>
      <c r="B301" s="27">
        <v>3</v>
      </c>
      <c r="C301" s="27">
        <v>10</v>
      </c>
      <c r="D301" s="27">
        <v>2011</v>
      </c>
      <c r="E301" s="27">
        <v>2011</v>
      </c>
      <c r="F301" s="27">
        <v>2</v>
      </c>
      <c r="G301" s="27">
        <v>10</v>
      </c>
      <c r="H301" s="27">
        <v>0</v>
      </c>
      <c r="I301" s="27">
        <v>0</v>
      </c>
      <c r="J301" s="27">
        <v>0</v>
      </c>
      <c r="K301" s="27">
        <v>0.98</v>
      </c>
      <c r="L301" s="27">
        <v>3750</v>
      </c>
      <c r="M301" s="27">
        <v>3330</v>
      </c>
      <c r="N301" s="27">
        <v>150</v>
      </c>
      <c r="O301" s="27">
        <v>90</v>
      </c>
      <c r="P301" s="27" t="s">
        <v>13</v>
      </c>
      <c r="Q301" s="27">
        <v>1993</v>
      </c>
      <c r="R301" s="27">
        <v>1</v>
      </c>
      <c r="S301" s="27">
        <v>0</v>
      </c>
      <c r="T301" s="27">
        <v>-1.8E-3</v>
      </c>
      <c r="U301" s="27">
        <v>-1.2E-2</v>
      </c>
      <c r="V301" s="27">
        <v>0</v>
      </c>
      <c r="W301" s="27">
        <v>0</v>
      </c>
      <c r="X301" s="27" t="s">
        <v>23</v>
      </c>
    </row>
    <row r="302" spans="1:24">
      <c r="A302" s="27">
        <v>1</v>
      </c>
      <c r="B302" s="27">
        <v>3</v>
      </c>
      <c r="C302" s="27">
        <v>10</v>
      </c>
      <c r="D302" s="27">
        <v>2011</v>
      </c>
      <c r="E302" s="27">
        <v>2011</v>
      </c>
      <c r="F302" s="27">
        <v>3</v>
      </c>
      <c r="G302" s="27">
        <v>10</v>
      </c>
      <c r="H302" s="27">
        <v>0</v>
      </c>
      <c r="I302" s="27">
        <v>0</v>
      </c>
      <c r="J302" s="27">
        <v>0</v>
      </c>
      <c r="K302" s="27">
        <v>0.98</v>
      </c>
      <c r="L302" s="27">
        <v>3750</v>
      </c>
      <c r="M302" s="27">
        <v>3330</v>
      </c>
      <c r="N302" s="27">
        <v>150</v>
      </c>
      <c r="O302" s="27">
        <v>90</v>
      </c>
      <c r="P302" s="27" t="s">
        <v>13</v>
      </c>
      <c r="Q302" s="27">
        <v>1993</v>
      </c>
      <c r="R302" s="27">
        <v>1</v>
      </c>
      <c r="S302" s="27">
        <v>0</v>
      </c>
      <c r="T302" s="27">
        <v>-1.8E-3</v>
      </c>
      <c r="U302" s="27">
        <v>-1.2E-2</v>
      </c>
      <c r="V302" s="27">
        <v>0</v>
      </c>
      <c r="W302" s="27">
        <v>0</v>
      </c>
      <c r="X302" s="27" t="s">
        <v>23</v>
      </c>
    </row>
    <row r="303" spans="1:24">
      <c r="A303" s="27">
        <v>1</v>
      </c>
      <c r="B303" s="27">
        <v>3</v>
      </c>
      <c r="C303" s="27">
        <v>10</v>
      </c>
      <c r="D303" s="27">
        <v>2011</v>
      </c>
      <c r="E303" s="27">
        <v>2011</v>
      </c>
      <c r="F303" s="27">
        <v>4</v>
      </c>
      <c r="G303" s="27">
        <v>10</v>
      </c>
      <c r="H303" s="27">
        <v>0</v>
      </c>
      <c r="I303" s="27">
        <v>0</v>
      </c>
      <c r="J303" s="27">
        <v>0</v>
      </c>
      <c r="K303" s="27">
        <v>0.98</v>
      </c>
      <c r="L303" s="27">
        <v>3750</v>
      </c>
      <c r="M303" s="27">
        <v>3330</v>
      </c>
      <c r="N303" s="27">
        <v>150</v>
      </c>
      <c r="O303" s="27">
        <v>90</v>
      </c>
      <c r="P303" s="27" t="s">
        <v>13</v>
      </c>
      <c r="Q303" s="27">
        <v>1993</v>
      </c>
      <c r="R303" s="27">
        <v>1</v>
      </c>
      <c r="S303" s="27">
        <v>0</v>
      </c>
      <c r="T303" s="27">
        <v>-1.8E-3</v>
      </c>
      <c r="U303" s="27">
        <v>-1.2E-2</v>
      </c>
      <c r="V303" s="27">
        <v>0</v>
      </c>
      <c r="W303" s="27">
        <v>0</v>
      </c>
      <c r="X303" s="27" t="s">
        <v>23</v>
      </c>
    </row>
    <row r="304" spans="1:24">
      <c r="A304" s="27">
        <v>1</v>
      </c>
      <c r="B304" s="27">
        <v>3</v>
      </c>
      <c r="C304" s="27">
        <v>10</v>
      </c>
      <c r="D304" s="27">
        <v>2011</v>
      </c>
      <c r="E304" s="27">
        <v>2011</v>
      </c>
      <c r="F304" s="27">
        <v>5</v>
      </c>
      <c r="G304" s="27">
        <v>10</v>
      </c>
      <c r="H304" s="27">
        <v>0</v>
      </c>
      <c r="I304" s="27">
        <v>0</v>
      </c>
      <c r="J304" s="27">
        <v>0</v>
      </c>
      <c r="K304" s="27">
        <v>0.98</v>
      </c>
      <c r="L304" s="27">
        <v>3750</v>
      </c>
      <c r="M304" s="27">
        <v>3330</v>
      </c>
      <c r="N304" s="27">
        <v>150</v>
      </c>
      <c r="O304" s="27">
        <v>90</v>
      </c>
      <c r="P304" s="27" t="s">
        <v>13</v>
      </c>
      <c r="Q304" s="27">
        <v>1993</v>
      </c>
      <c r="R304" s="27">
        <v>1</v>
      </c>
      <c r="S304" s="27">
        <v>0</v>
      </c>
      <c r="T304" s="27">
        <v>-1.8E-3</v>
      </c>
      <c r="U304" s="27">
        <v>-1.2E-2</v>
      </c>
      <c r="V304" s="27">
        <v>0</v>
      </c>
      <c r="W304" s="27">
        <v>0</v>
      </c>
      <c r="X304" s="27" t="s">
        <v>23</v>
      </c>
    </row>
    <row r="305" spans="1:24">
      <c r="A305" s="27">
        <v>1</v>
      </c>
      <c r="B305" s="27">
        <v>3</v>
      </c>
      <c r="C305" s="27">
        <v>10</v>
      </c>
      <c r="D305" s="27">
        <v>2011</v>
      </c>
      <c r="E305" s="27">
        <v>2011</v>
      </c>
      <c r="F305" s="27">
        <v>6</v>
      </c>
      <c r="G305" s="27">
        <v>10</v>
      </c>
      <c r="H305" s="27">
        <v>0</v>
      </c>
      <c r="I305" s="27">
        <v>0</v>
      </c>
      <c r="J305" s="27">
        <v>0</v>
      </c>
      <c r="K305" s="27">
        <v>0.98</v>
      </c>
      <c r="L305" s="27">
        <v>3750</v>
      </c>
      <c r="M305" s="27">
        <v>3330</v>
      </c>
      <c r="N305" s="27">
        <v>150</v>
      </c>
      <c r="O305" s="27">
        <v>90</v>
      </c>
      <c r="P305" s="27" t="s">
        <v>13</v>
      </c>
      <c r="Q305" s="27">
        <v>1993</v>
      </c>
      <c r="R305" s="27">
        <v>1</v>
      </c>
      <c r="S305" s="27">
        <v>0</v>
      </c>
      <c r="T305" s="27">
        <v>-1.8E-3</v>
      </c>
      <c r="U305" s="27">
        <v>-1.2E-2</v>
      </c>
      <c r="V305" s="27">
        <v>0</v>
      </c>
      <c r="W305" s="27">
        <v>0</v>
      </c>
      <c r="X305" s="27" t="s">
        <v>23</v>
      </c>
    </row>
    <row r="306" spans="1:24">
      <c r="A306" s="27">
        <v>1</v>
      </c>
      <c r="B306" s="27">
        <v>3</v>
      </c>
      <c r="C306" s="27">
        <v>10</v>
      </c>
      <c r="D306" s="27">
        <v>2011</v>
      </c>
      <c r="E306" s="27">
        <v>2011</v>
      </c>
      <c r="F306" s="27">
        <v>7</v>
      </c>
      <c r="G306" s="27">
        <v>10</v>
      </c>
      <c r="H306" s="27">
        <v>0</v>
      </c>
      <c r="I306" s="27">
        <v>0</v>
      </c>
      <c r="J306" s="27">
        <v>0</v>
      </c>
      <c r="K306" s="27">
        <v>0.98</v>
      </c>
      <c r="L306" s="27">
        <v>3750</v>
      </c>
      <c r="M306" s="27">
        <v>3330</v>
      </c>
      <c r="N306" s="27">
        <v>150</v>
      </c>
      <c r="O306" s="27">
        <v>90</v>
      </c>
      <c r="P306" s="27" t="s">
        <v>13</v>
      </c>
      <c r="Q306" s="27">
        <v>1993</v>
      </c>
      <c r="R306" s="27">
        <v>1</v>
      </c>
      <c r="S306" s="27">
        <v>0</v>
      </c>
      <c r="T306" s="27">
        <v>-1.8E-3</v>
      </c>
      <c r="U306" s="27">
        <v>-1.2E-2</v>
      </c>
      <c r="V306" s="27">
        <v>0</v>
      </c>
      <c r="W306" s="27">
        <v>0</v>
      </c>
      <c r="X306" s="27" t="s">
        <v>23</v>
      </c>
    </row>
    <row r="307" spans="1:24">
      <c r="A307" s="27">
        <v>1</v>
      </c>
      <c r="B307" s="27">
        <v>3</v>
      </c>
      <c r="C307" s="27">
        <v>10</v>
      </c>
      <c r="D307" s="27">
        <v>2011</v>
      </c>
      <c r="E307" s="27">
        <v>2011</v>
      </c>
      <c r="F307" s="27">
        <v>8</v>
      </c>
      <c r="G307" s="27">
        <v>10</v>
      </c>
      <c r="H307" s="27">
        <v>0</v>
      </c>
      <c r="I307" s="27">
        <v>0</v>
      </c>
      <c r="J307" s="27">
        <v>0</v>
      </c>
      <c r="K307" s="27">
        <v>0.98</v>
      </c>
      <c r="L307" s="27">
        <v>3750</v>
      </c>
      <c r="M307" s="27">
        <v>3330</v>
      </c>
      <c r="N307" s="27">
        <v>150</v>
      </c>
      <c r="O307" s="27">
        <v>90</v>
      </c>
      <c r="P307" s="27" t="s">
        <v>13</v>
      </c>
      <c r="Q307" s="27">
        <v>1993</v>
      </c>
      <c r="R307" s="27">
        <v>1</v>
      </c>
      <c r="S307" s="27">
        <v>0</v>
      </c>
      <c r="T307" s="27">
        <v>-1.8E-3</v>
      </c>
      <c r="U307" s="27">
        <v>-1.2E-2</v>
      </c>
      <c r="V307" s="27">
        <v>0</v>
      </c>
      <c r="W307" s="27">
        <v>0</v>
      </c>
      <c r="X307" s="27" t="s">
        <v>23</v>
      </c>
    </row>
    <row r="308" spans="1:24">
      <c r="A308" s="27">
        <v>1</v>
      </c>
      <c r="B308" s="27">
        <v>3</v>
      </c>
      <c r="C308" s="27">
        <v>10</v>
      </c>
      <c r="D308" s="27">
        <v>2011</v>
      </c>
      <c r="E308" s="27">
        <v>2011</v>
      </c>
      <c r="F308" s="27">
        <v>9</v>
      </c>
      <c r="G308" s="27">
        <v>10</v>
      </c>
      <c r="H308" s="27">
        <v>0</v>
      </c>
      <c r="I308" s="27">
        <v>0</v>
      </c>
      <c r="J308" s="27">
        <v>0</v>
      </c>
      <c r="K308" s="27">
        <v>0.98</v>
      </c>
      <c r="L308" s="27">
        <v>3750</v>
      </c>
      <c r="M308" s="27">
        <v>3330</v>
      </c>
      <c r="N308" s="27">
        <v>150</v>
      </c>
      <c r="O308" s="27">
        <v>90</v>
      </c>
      <c r="P308" s="27" t="s">
        <v>13</v>
      </c>
      <c r="Q308" s="27">
        <v>1993</v>
      </c>
      <c r="R308" s="27">
        <v>1</v>
      </c>
      <c r="S308" s="27">
        <v>0</v>
      </c>
      <c r="T308" s="27">
        <v>-1.8E-3</v>
      </c>
      <c r="U308" s="27">
        <v>-1.2E-2</v>
      </c>
      <c r="V308" s="27">
        <v>0</v>
      </c>
      <c r="W308" s="27">
        <v>0</v>
      </c>
      <c r="X308" s="27" t="s">
        <v>23</v>
      </c>
    </row>
    <row r="309" spans="1:24">
      <c r="A309" s="27">
        <v>1</v>
      </c>
      <c r="B309" s="27">
        <v>3</v>
      </c>
      <c r="C309" s="27">
        <v>10</v>
      </c>
      <c r="D309" s="27">
        <v>2012</v>
      </c>
      <c r="E309" s="27">
        <v>2012</v>
      </c>
      <c r="F309" s="27">
        <v>1</v>
      </c>
      <c r="G309" s="27">
        <v>10</v>
      </c>
      <c r="H309" s="27">
        <v>0</v>
      </c>
      <c r="I309" s="27">
        <v>0</v>
      </c>
      <c r="J309" s="27">
        <v>0</v>
      </c>
      <c r="K309" s="27">
        <v>0.98</v>
      </c>
      <c r="L309" s="27">
        <v>3750</v>
      </c>
      <c r="M309" s="27">
        <v>3330</v>
      </c>
      <c r="N309" s="27">
        <v>0</v>
      </c>
      <c r="O309" s="27">
        <v>0</v>
      </c>
      <c r="P309" s="27" t="s">
        <v>13</v>
      </c>
      <c r="Q309" s="27">
        <v>1993</v>
      </c>
      <c r="R309" s="27">
        <v>1</v>
      </c>
      <c r="S309" s="27">
        <v>0</v>
      </c>
      <c r="T309" s="27">
        <v>-1.8E-3</v>
      </c>
      <c r="U309" s="27">
        <v>-1.2E-2</v>
      </c>
      <c r="V309" s="27">
        <v>0</v>
      </c>
      <c r="W309" s="27">
        <v>0</v>
      </c>
      <c r="X309" s="27" t="s">
        <v>23</v>
      </c>
    </row>
    <row r="310" spans="1:24">
      <c r="A310" s="27">
        <v>1</v>
      </c>
      <c r="B310" s="27">
        <v>3</v>
      </c>
      <c r="C310" s="27">
        <v>10</v>
      </c>
      <c r="D310" s="27">
        <v>2012</v>
      </c>
      <c r="E310" s="27">
        <v>2012</v>
      </c>
      <c r="F310" s="27">
        <v>2</v>
      </c>
      <c r="G310" s="27">
        <v>10</v>
      </c>
      <c r="H310" s="27">
        <v>0</v>
      </c>
      <c r="I310" s="27">
        <v>0</v>
      </c>
      <c r="J310" s="27">
        <v>0</v>
      </c>
      <c r="K310" s="27">
        <v>0.98</v>
      </c>
      <c r="L310" s="27">
        <v>3750</v>
      </c>
      <c r="M310" s="27">
        <v>3330</v>
      </c>
      <c r="N310" s="27">
        <v>0</v>
      </c>
      <c r="O310" s="27">
        <v>0</v>
      </c>
      <c r="P310" s="27" t="s">
        <v>13</v>
      </c>
      <c r="Q310" s="27">
        <v>1993</v>
      </c>
      <c r="R310" s="27">
        <v>1</v>
      </c>
      <c r="S310" s="27">
        <v>0</v>
      </c>
      <c r="T310" s="27">
        <v>-1.8E-3</v>
      </c>
      <c r="U310" s="27">
        <v>-1.2E-2</v>
      </c>
      <c r="V310" s="27">
        <v>0</v>
      </c>
      <c r="W310" s="27">
        <v>0</v>
      </c>
      <c r="X310" s="27" t="s">
        <v>23</v>
      </c>
    </row>
    <row r="311" spans="1:24">
      <c r="A311" s="27">
        <v>1</v>
      </c>
      <c r="B311" s="27">
        <v>3</v>
      </c>
      <c r="C311" s="27">
        <v>10</v>
      </c>
      <c r="D311" s="27">
        <v>2012</v>
      </c>
      <c r="E311" s="27">
        <v>2012</v>
      </c>
      <c r="F311" s="27">
        <v>3</v>
      </c>
      <c r="G311" s="27">
        <v>10</v>
      </c>
      <c r="H311" s="27">
        <v>0</v>
      </c>
      <c r="I311" s="27">
        <v>0</v>
      </c>
      <c r="J311" s="27">
        <v>0</v>
      </c>
      <c r="K311" s="27">
        <v>0.98</v>
      </c>
      <c r="L311" s="27">
        <v>3750</v>
      </c>
      <c r="M311" s="27">
        <v>3330</v>
      </c>
      <c r="N311" s="27">
        <v>0</v>
      </c>
      <c r="O311" s="27">
        <v>0</v>
      </c>
      <c r="P311" s="27" t="s">
        <v>13</v>
      </c>
      <c r="Q311" s="27">
        <v>1993</v>
      </c>
      <c r="R311" s="27">
        <v>1</v>
      </c>
      <c r="S311" s="27">
        <v>0</v>
      </c>
      <c r="T311" s="27">
        <v>-1.8E-3</v>
      </c>
      <c r="U311" s="27">
        <v>-1.2E-2</v>
      </c>
      <c r="V311" s="27">
        <v>0</v>
      </c>
      <c r="W311" s="27">
        <v>0</v>
      </c>
      <c r="X311" s="27" t="s">
        <v>23</v>
      </c>
    </row>
    <row r="312" spans="1:24">
      <c r="A312" s="27">
        <v>1</v>
      </c>
      <c r="B312" s="27">
        <v>3</v>
      </c>
      <c r="C312" s="27">
        <v>10</v>
      </c>
      <c r="D312" s="27">
        <v>2012</v>
      </c>
      <c r="E312" s="27">
        <v>2012</v>
      </c>
      <c r="F312" s="27">
        <v>4</v>
      </c>
      <c r="G312" s="27">
        <v>10</v>
      </c>
      <c r="H312" s="27">
        <v>0</v>
      </c>
      <c r="I312" s="27">
        <v>0</v>
      </c>
      <c r="J312" s="27">
        <v>0</v>
      </c>
      <c r="K312" s="27">
        <v>0.98</v>
      </c>
      <c r="L312" s="27">
        <v>3750</v>
      </c>
      <c r="M312" s="27">
        <v>3330</v>
      </c>
      <c r="N312" s="27">
        <v>0</v>
      </c>
      <c r="O312" s="27">
        <v>0</v>
      </c>
      <c r="P312" s="27" t="s">
        <v>13</v>
      </c>
      <c r="Q312" s="27">
        <v>1993</v>
      </c>
      <c r="R312" s="27">
        <v>1</v>
      </c>
      <c r="S312" s="27">
        <v>0</v>
      </c>
      <c r="T312" s="27">
        <v>-1.8E-3</v>
      </c>
      <c r="U312" s="27">
        <v>-1.2E-2</v>
      </c>
      <c r="V312" s="27">
        <v>0</v>
      </c>
      <c r="W312" s="27">
        <v>0</v>
      </c>
      <c r="X312" s="27" t="s">
        <v>23</v>
      </c>
    </row>
    <row r="313" spans="1:24">
      <c r="A313" s="27">
        <v>1</v>
      </c>
      <c r="B313" s="27">
        <v>3</v>
      </c>
      <c r="C313" s="27">
        <v>10</v>
      </c>
      <c r="D313" s="27">
        <v>2012</v>
      </c>
      <c r="E313" s="27">
        <v>2012</v>
      </c>
      <c r="F313" s="27">
        <v>5</v>
      </c>
      <c r="G313" s="27">
        <v>10</v>
      </c>
      <c r="H313" s="27">
        <v>0</v>
      </c>
      <c r="I313" s="27">
        <v>0</v>
      </c>
      <c r="J313" s="27">
        <v>0</v>
      </c>
      <c r="K313" s="27">
        <v>0.98</v>
      </c>
      <c r="L313" s="27">
        <v>3750</v>
      </c>
      <c r="M313" s="27">
        <v>3330</v>
      </c>
      <c r="N313" s="27">
        <v>0</v>
      </c>
      <c r="O313" s="27">
        <v>0</v>
      </c>
      <c r="P313" s="27" t="s">
        <v>13</v>
      </c>
      <c r="Q313" s="27">
        <v>1993</v>
      </c>
      <c r="R313" s="27">
        <v>1</v>
      </c>
      <c r="S313" s="27">
        <v>0</v>
      </c>
      <c r="T313" s="27">
        <v>-1.8E-3</v>
      </c>
      <c r="U313" s="27">
        <v>-1.2E-2</v>
      </c>
      <c r="V313" s="27">
        <v>0</v>
      </c>
      <c r="W313" s="27">
        <v>0</v>
      </c>
      <c r="X313" s="27" t="s">
        <v>23</v>
      </c>
    </row>
    <row r="314" spans="1:24">
      <c r="A314" s="27">
        <v>1</v>
      </c>
      <c r="B314" s="27">
        <v>3</v>
      </c>
      <c r="C314" s="27">
        <v>10</v>
      </c>
      <c r="D314" s="27">
        <v>2012</v>
      </c>
      <c r="E314" s="27">
        <v>2012</v>
      </c>
      <c r="F314" s="27">
        <v>6</v>
      </c>
      <c r="G314" s="27">
        <v>10</v>
      </c>
      <c r="H314" s="27">
        <v>0</v>
      </c>
      <c r="I314" s="27">
        <v>0</v>
      </c>
      <c r="J314" s="27">
        <v>0</v>
      </c>
      <c r="K314" s="27">
        <v>0.98</v>
      </c>
      <c r="L314" s="27">
        <v>3750</v>
      </c>
      <c r="M314" s="27">
        <v>3330</v>
      </c>
      <c r="N314" s="27">
        <v>0</v>
      </c>
      <c r="O314" s="27">
        <v>0</v>
      </c>
      <c r="P314" s="27" t="s">
        <v>13</v>
      </c>
      <c r="Q314" s="27">
        <v>1993</v>
      </c>
      <c r="R314" s="27">
        <v>1</v>
      </c>
      <c r="S314" s="27">
        <v>0</v>
      </c>
      <c r="T314" s="27">
        <v>-1.8E-3</v>
      </c>
      <c r="U314" s="27">
        <v>-1.2E-2</v>
      </c>
      <c r="V314" s="27">
        <v>0</v>
      </c>
      <c r="W314" s="27">
        <v>0</v>
      </c>
      <c r="X314" s="27" t="s">
        <v>23</v>
      </c>
    </row>
    <row r="315" spans="1:24">
      <c r="A315" s="27">
        <v>1</v>
      </c>
      <c r="B315" s="27">
        <v>3</v>
      </c>
      <c r="C315" s="27">
        <v>10</v>
      </c>
      <c r="D315" s="27">
        <v>2012</v>
      </c>
      <c r="E315" s="27">
        <v>2012</v>
      </c>
      <c r="F315" s="27">
        <v>7</v>
      </c>
      <c r="G315" s="27">
        <v>10</v>
      </c>
      <c r="H315" s="27">
        <v>0</v>
      </c>
      <c r="I315" s="27">
        <v>0</v>
      </c>
      <c r="J315" s="27">
        <v>0</v>
      </c>
      <c r="K315" s="27">
        <v>0.98</v>
      </c>
      <c r="L315" s="27">
        <v>3750</v>
      </c>
      <c r="M315" s="27">
        <v>3330</v>
      </c>
      <c r="N315" s="27">
        <v>0</v>
      </c>
      <c r="O315" s="27">
        <v>0</v>
      </c>
      <c r="P315" s="27" t="s">
        <v>13</v>
      </c>
      <c r="Q315" s="27">
        <v>1993</v>
      </c>
      <c r="R315" s="27">
        <v>1</v>
      </c>
      <c r="S315" s="27">
        <v>0</v>
      </c>
      <c r="T315" s="27">
        <v>-1.8E-3</v>
      </c>
      <c r="U315" s="27">
        <v>-1.2E-2</v>
      </c>
      <c r="V315" s="27">
        <v>0</v>
      </c>
      <c r="W315" s="27">
        <v>0</v>
      </c>
      <c r="X315" s="27" t="s">
        <v>23</v>
      </c>
    </row>
    <row r="316" spans="1:24">
      <c r="A316" s="27">
        <v>1</v>
      </c>
      <c r="B316" s="27">
        <v>3</v>
      </c>
      <c r="C316" s="27">
        <v>10</v>
      </c>
      <c r="D316" s="27">
        <v>2012</v>
      </c>
      <c r="E316" s="27">
        <v>2012</v>
      </c>
      <c r="F316" s="27">
        <v>8</v>
      </c>
      <c r="G316" s="27">
        <v>10</v>
      </c>
      <c r="H316" s="27">
        <v>0</v>
      </c>
      <c r="I316" s="27">
        <v>0</v>
      </c>
      <c r="J316" s="27">
        <v>0</v>
      </c>
      <c r="K316" s="27">
        <v>0.98</v>
      </c>
      <c r="L316" s="27">
        <v>3750</v>
      </c>
      <c r="M316" s="27">
        <v>3330</v>
      </c>
      <c r="N316" s="27">
        <v>0</v>
      </c>
      <c r="O316" s="27">
        <v>0</v>
      </c>
      <c r="P316" s="27" t="s">
        <v>13</v>
      </c>
      <c r="Q316" s="27">
        <v>1993</v>
      </c>
      <c r="R316" s="27">
        <v>1</v>
      </c>
      <c r="S316" s="27">
        <v>0</v>
      </c>
      <c r="T316" s="27">
        <v>-1.8E-3</v>
      </c>
      <c r="U316" s="27">
        <v>-1.2E-2</v>
      </c>
      <c r="V316" s="27">
        <v>0</v>
      </c>
      <c r="W316" s="27">
        <v>0</v>
      </c>
      <c r="X316" s="27" t="s">
        <v>23</v>
      </c>
    </row>
    <row r="317" spans="1:24">
      <c r="A317" s="27">
        <v>1</v>
      </c>
      <c r="B317" s="27">
        <v>3</v>
      </c>
      <c r="C317" s="27">
        <v>10</v>
      </c>
      <c r="D317" s="27">
        <v>2012</v>
      </c>
      <c r="E317" s="27">
        <v>2012</v>
      </c>
      <c r="F317" s="27">
        <v>9</v>
      </c>
      <c r="G317" s="27">
        <v>10</v>
      </c>
      <c r="H317" s="27">
        <v>0</v>
      </c>
      <c r="I317" s="27">
        <v>0</v>
      </c>
      <c r="J317" s="27">
        <v>0</v>
      </c>
      <c r="K317" s="27">
        <v>0.98</v>
      </c>
      <c r="L317" s="27">
        <v>3750</v>
      </c>
      <c r="M317" s="27">
        <v>3330</v>
      </c>
      <c r="N317" s="27">
        <v>0</v>
      </c>
      <c r="O317" s="27">
        <v>0</v>
      </c>
      <c r="P317" s="27" t="s">
        <v>13</v>
      </c>
      <c r="Q317" s="27">
        <v>1993</v>
      </c>
      <c r="R317" s="27">
        <v>1</v>
      </c>
      <c r="S317" s="27">
        <v>0</v>
      </c>
      <c r="T317" s="27">
        <v>-1.8E-3</v>
      </c>
      <c r="U317" s="27">
        <v>-1.2E-2</v>
      </c>
      <c r="V317" s="27">
        <v>0</v>
      </c>
      <c r="W317" s="27">
        <v>0</v>
      </c>
      <c r="X317" s="27" t="s">
        <v>23</v>
      </c>
    </row>
    <row r="318" spans="1:24">
      <c r="A318" s="27">
        <v>1</v>
      </c>
      <c r="B318" s="27">
        <v>3</v>
      </c>
      <c r="C318" s="27">
        <v>10</v>
      </c>
      <c r="D318" s="27">
        <v>2013</v>
      </c>
      <c r="E318" s="27">
        <v>2013</v>
      </c>
      <c r="F318" s="27">
        <v>1</v>
      </c>
      <c r="G318" s="27">
        <v>10</v>
      </c>
      <c r="H318" s="27">
        <v>0</v>
      </c>
      <c r="I318" s="27">
        <v>0</v>
      </c>
      <c r="J318" s="27">
        <v>0</v>
      </c>
      <c r="K318" s="27">
        <v>0.98</v>
      </c>
      <c r="L318" s="27">
        <v>3750</v>
      </c>
      <c r="M318" s="27">
        <v>3330</v>
      </c>
      <c r="N318" s="27">
        <v>150</v>
      </c>
      <c r="O318" s="27">
        <v>90</v>
      </c>
      <c r="P318" s="27" t="s">
        <v>13</v>
      </c>
      <c r="Q318" s="27">
        <v>1993</v>
      </c>
      <c r="R318" s="27">
        <v>1</v>
      </c>
      <c r="S318" s="27">
        <v>0</v>
      </c>
      <c r="T318" s="27">
        <v>-1.8E-3</v>
      </c>
      <c r="U318" s="27">
        <v>-1.2E-2</v>
      </c>
      <c r="V318" s="27">
        <v>0</v>
      </c>
      <c r="W318" s="27">
        <v>0</v>
      </c>
      <c r="X318" s="27" t="s">
        <v>23</v>
      </c>
    </row>
    <row r="319" spans="1:24">
      <c r="A319" s="27">
        <v>1</v>
      </c>
      <c r="B319" s="27">
        <v>3</v>
      </c>
      <c r="C319" s="27">
        <v>10</v>
      </c>
      <c r="D319" s="27">
        <v>2013</v>
      </c>
      <c r="E319" s="27">
        <v>2013</v>
      </c>
      <c r="F319" s="27">
        <v>2</v>
      </c>
      <c r="G319" s="27">
        <v>10</v>
      </c>
      <c r="H319" s="27">
        <v>0</v>
      </c>
      <c r="I319" s="27">
        <v>0</v>
      </c>
      <c r="J319" s="27">
        <v>0</v>
      </c>
      <c r="K319" s="27">
        <v>0.98</v>
      </c>
      <c r="L319" s="27">
        <v>3750</v>
      </c>
      <c r="M319" s="27">
        <v>3330</v>
      </c>
      <c r="N319" s="27">
        <v>150</v>
      </c>
      <c r="O319" s="27">
        <v>90</v>
      </c>
      <c r="P319" s="27" t="s">
        <v>13</v>
      </c>
      <c r="Q319" s="27">
        <v>1993</v>
      </c>
      <c r="R319" s="27">
        <v>1</v>
      </c>
      <c r="S319" s="27">
        <v>0</v>
      </c>
      <c r="T319" s="27">
        <v>-1.8E-3</v>
      </c>
      <c r="U319" s="27">
        <v>-1.2E-2</v>
      </c>
      <c r="V319" s="27">
        <v>0</v>
      </c>
      <c r="W319" s="27">
        <v>0</v>
      </c>
      <c r="X319" s="27" t="s">
        <v>23</v>
      </c>
    </row>
    <row r="320" spans="1:24">
      <c r="A320" s="27">
        <v>1</v>
      </c>
      <c r="B320" s="27">
        <v>3</v>
      </c>
      <c r="C320" s="27">
        <v>10</v>
      </c>
      <c r="D320" s="27">
        <v>2013</v>
      </c>
      <c r="E320" s="27">
        <v>2013</v>
      </c>
      <c r="F320" s="27">
        <v>3</v>
      </c>
      <c r="G320" s="27">
        <v>10</v>
      </c>
      <c r="H320" s="27">
        <v>0</v>
      </c>
      <c r="I320" s="27">
        <v>0</v>
      </c>
      <c r="J320" s="27">
        <v>0</v>
      </c>
      <c r="K320" s="27">
        <v>0.98</v>
      </c>
      <c r="L320" s="27">
        <v>3750</v>
      </c>
      <c r="M320" s="27">
        <v>3330</v>
      </c>
      <c r="N320" s="27">
        <v>150</v>
      </c>
      <c r="O320" s="27">
        <v>90</v>
      </c>
      <c r="P320" s="27" t="s">
        <v>13</v>
      </c>
      <c r="Q320" s="27">
        <v>1993</v>
      </c>
      <c r="R320" s="27">
        <v>1</v>
      </c>
      <c r="S320" s="27">
        <v>0</v>
      </c>
      <c r="T320" s="27">
        <v>-1.8E-3</v>
      </c>
      <c r="U320" s="27">
        <v>-1.2E-2</v>
      </c>
      <c r="V320" s="27">
        <v>0</v>
      </c>
      <c r="W320" s="27">
        <v>0</v>
      </c>
      <c r="X320" s="27" t="s">
        <v>23</v>
      </c>
    </row>
    <row r="321" spans="1:24">
      <c r="A321" s="27">
        <v>1</v>
      </c>
      <c r="B321" s="27">
        <v>3</v>
      </c>
      <c r="C321" s="27">
        <v>10</v>
      </c>
      <c r="D321" s="27">
        <v>2013</v>
      </c>
      <c r="E321" s="27">
        <v>2013</v>
      </c>
      <c r="F321" s="27">
        <v>4</v>
      </c>
      <c r="G321" s="27">
        <v>10</v>
      </c>
      <c r="H321" s="27">
        <v>0</v>
      </c>
      <c r="I321" s="27">
        <v>0</v>
      </c>
      <c r="J321" s="27">
        <v>0</v>
      </c>
      <c r="K321" s="27">
        <v>0.98</v>
      </c>
      <c r="L321" s="27">
        <v>3750</v>
      </c>
      <c r="M321" s="27">
        <v>3330</v>
      </c>
      <c r="N321" s="27">
        <v>150</v>
      </c>
      <c r="O321" s="27">
        <v>90</v>
      </c>
      <c r="P321" s="27" t="s">
        <v>13</v>
      </c>
      <c r="Q321" s="27">
        <v>1993</v>
      </c>
      <c r="R321" s="27">
        <v>1</v>
      </c>
      <c r="S321" s="27">
        <v>0</v>
      </c>
      <c r="T321" s="27">
        <v>-1.8E-3</v>
      </c>
      <c r="U321" s="27">
        <v>-1.2E-2</v>
      </c>
      <c r="V321" s="27">
        <v>0</v>
      </c>
      <c r="W321" s="27">
        <v>0</v>
      </c>
      <c r="X321" s="27" t="s">
        <v>23</v>
      </c>
    </row>
    <row r="322" spans="1:24">
      <c r="A322" s="27">
        <v>1</v>
      </c>
      <c r="B322" s="27">
        <v>3</v>
      </c>
      <c r="C322" s="27">
        <v>10</v>
      </c>
      <c r="D322" s="27">
        <v>2013</v>
      </c>
      <c r="E322" s="27">
        <v>2013</v>
      </c>
      <c r="F322" s="27">
        <v>5</v>
      </c>
      <c r="G322" s="27">
        <v>10</v>
      </c>
      <c r="H322" s="27">
        <v>0</v>
      </c>
      <c r="I322" s="27">
        <v>0</v>
      </c>
      <c r="J322" s="27">
        <v>0</v>
      </c>
      <c r="K322" s="27">
        <v>0.98</v>
      </c>
      <c r="L322" s="27">
        <v>3750</v>
      </c>
      <c r="M322" s="27">
        <v>3330</v>
      </c>
      <c r="N322" s="27">
        <v>150</v>
      </c>
      <c r="O322" s="27">
        <v>90</v>
      </c>
      <c r="P322" s="27" t="s">
        <v>13</v>
      </c>
      <c r="Q322" s="27">
        <v>1993</v>
      </c>
      <c r="R322" s="27">
        <v>1</v>
      </c>
      <c r="S322" s="27">
        <v>0</v>
      </c>
      <c r="T322" s="27">
        <v>-1.8E-3</v>
      </c>
      <c r="U322" s="27">
        <v>-1.2E-2</v>
      </c>
      <c r="V322" s="27">
        <v>0</v>
      </c>
      <c r="W322" s="27">
        <v>0</v>
      </c>
      <c r="X322" s="27" t="s">
        <v>23</v>
      </c>
    </row>
    <row r="323" spans="1:24">
      <c r="A323" s="27">
        <v>1</v>
      </c>
      <c r="B323" s="27">
        <v>3</v>
      </c>
      <c r="C323" s="27">
        <v>10</v>
      </c>
      <c r="D323" s="27">
        <v>2013</v>
      </c>
      <c r="E323" s="27">
        <v>2013</v>
      </c>
      <c r="F323" s="27">
        <v>6</v>
      </c>
      <c r="G323" s="27">
        <v>10</v>
      </c>
      <c r="H323" s="27">
        <v>0</v>
      </c>
      <c r="I323" s="27">
        <v>0</v>
      </c>
      <c r="J323" s="27">
        <v>0</v>
      </c>
      <c r="K323" s="27">
        <v>0.98</v>
      </c>
      <c r="L323" s="27">
        <v>3750</v>
      </c>
      <c r="M323" s="27">
        <v>3330</v>
      </c>
      <c r="N323" s="27">
        <v>150</v>
      </c>
      <c r="O323" s="27">
        <v>90</v>
      </c>
      <c r="P323" s="27" t="s">
        <v>13</v>
      </c>
      <c r="Q323" s="27">
        <v>1993</v>
      </c>
      <c r="R323" s="27">
        <v>1</v>
      </c>
      <c r="S323" s="27">
        <v>0</v>
      </c>
      <c r="T323" s="27">
        <v>-1.8E-3</v>
      </c>
      <c r="U323" s="27">
        <v>-1.2E-2</v>
      </c>
      <c r="V323" s="27">
        <v>0</v>
      </c>
      <c r="W323" s="27">
        <v>0</v>
      </c>
      <c r="X323" s="27" t="s">
        <v>23</v>
      </c>
    </row>
    <row r="324" spans="1:24">
      <c r="A324" s="27">
        <v>1</v>
      </c>
      <c r="B324" s="27">
        <v>3</v>
      </c>
      <c r="C324" s="27">
        <v>10</v>
      </c>
      <c r="D324" s="27">
        <v>2013</v>
      </c>
      <c r="E324" s="27">
        <v>2013</v>
      </c>
      <c r="F324" s="27">
        <v>7</v>
      </c>
      <c r="G324" s="27">
        <v>10</v>
      </c>
      <c r="H324" s="27">
        <v>0</v>
      </c>
      <c r="I324" s="27">
        <v>0</v>
      </c>
      <c r="J324" s="27">
        <v>0</v>
      </c>
      <c r="K324" s="27">
        <v>0.98</v>
      </c>
      <c r="L324" s="27">
        <v>3750</v>
      </c>
      <c r="M324" s="27">
        <v>3330</v>
      </c>
      <c r="N324" s="27">
        <v>150</v>
      </c>
      <c r="O324" s="27">
        <v>90</v>
      </c>
      <c r="P324" s="27" t="s">
        <v>13</v>
      </c>
      <c r="Q324" s="27">
        <v>1993</v>
      </c>
      <c r="R324" s="27">
        <v>1</v>
      </c>
      <c r="S324" s="27">
        <v>0</v>
      </c>
      <c r="T324" s="27">
        <v>-1.8E-3</v>
      </c>
      <c r="U324" s="27">
        <v>-1.2E-2</v>
      </c>
      <c r="V324" s="27">
        <v>0</v>
      </c>
      <c r="W324" s="27">
        <v>0</v>
      </c>
      <c r="X324" s="27" t="s">
        <v>23</v>
      </c>
    </row>
    <row r="325" spans="1:24">
      <c r="A325" s="27">
        <v>1</v>
      </c>
      <c r="B325" s="27">
        <v>3</v>
      </c>
      <c r="C325" s="27">
        <v>10</v>
      </c>
      <c r="D325" s="27">
        <v>2013</v>
      </c>
      <c r="E325" s="27">
        <v>2013</v>
      </c>
      <c r="F325" s="27">
        <v>8</v>
      </c>
      <c r="G325" s="27">
        <v>10</v>
      </c>
      <c r="H325" s="27">
        <v>0</v>
      </c>
      <c r="I325" s="27">
        <v>0</v>
      </c>
      <c r="J325" s="27">
        <v>0</v>
      </c>
      <c r="K325" s="27">
        <v>0.98</v>
      </c>
      <c r="L325" s="27">
        <v>3750</v>
      </c>
      <c r="M325" s="27">
        <v>3330</v>
      </c>
      <c r="N325" s="27">
        <v>150</v>
      </c>
      <c r="O325" s="27">
        <v>90</v>
      </c>
      <c r="P325" s="27" t="s">
        <v>13</v>
      </c>
      <c r="Q325" s="27">
        <v>1993</v>
      </c>
      <c r="R325" s="27">
        <v>1</v>
      </c>
      <c r="S325" s="27">
        <v>0</v>
      </c>
      <c r="T325" s="27">
        <v>-1.8E-3</v>
      </c>
      <c r="U325" s="27">
        <v>-1.2E-2</v>
      </c>
      <c r="V325" s="27">
        <v>0</v>
      </c>
      <c r="W325" s="27">
        <v>0</v>
      </c>
      <c r="X325" s="27" t="s">
        <v>23</v>
      </c>
    </row>
    <row r="326" spans="1:24">
      <c r="A326" s="27">
        <v>1</v>
      </c>
      <c r="B326" s="27">
        <v>3</v>
      </c>
      <c r="C326" s="27">
        <v>10</v>
      </c>
      <c r="D326" s="27">
        <v>2013</v>
      </c>
      <c r="E326" s="27">
        <v>2013</v>
      </c>
      <c r="F326" s="27">
        <v>9</v>
      </c>
      <c r="G326" s="27">
        <v>10</v>
      </c>
      <c r="H326" s="27">
        <v>0</v>
      </c>
      <c r="I326" s="27">
        <v>0</v>
      </c>
      <c r="J326" s="27">
        <v>0</v>
      </c>
      <c r="K326" s="27">
        <v>0.98</v>
      </c>
      <c r="L326" s="27">
        <v>3750</v>
      </c>
      <c r="M326" s="27">
        <v>3330</v>
      </c>
      <c r="N326" s="27">
        <v>150</v>
      </c>
      <c r="O326" s="27">
        <v>90</v>
      </c>
      <c r="P326" s="27" t="s">
        <v>13</v>
      </c>
      <c r="Q326" s="27">
        <v>1993</v>
      </c>
      <c r="R326" s="27">
        <v>1</v>
      </c>
      <c r="S326" s="27">
        <v>0</v>
      </c>
      <c r="T326" s="27">
        <v>-1.8E-3</v>
      </c>
      <c r="U326" s="27">
        <v>-1.2E-2</v>
      </c>
      <c r="V326" s="27">
        <v>0</v>
      </c>
      <c r="W326" s="27">
        <v>0</v>
      </c>
      <c r="X326" s="27" t="s">
        <v>23</v>
      </c>
    </row>
    <row r="327" spans="1:24">
      <c r="A327" s="27">
        <v>1</v>
      </c>
      <c r="B327" s="27">
        <v>3</v>
      </c>
      <c r="C327" s="27">
        <v>10</v>
      </c>
      <c r="D327" s="27">
        <v>2014</v>
      </c>
      <c r="E327" s="27">
        <v>2019</v>
      </c>
      <c r="F327" s="27">
        <v>1</v>
      </c>
      <c r="G327" s="27">
        <v>10</v>
      </c>
      <c r="H327" s="27">
        <v>0</v>
      </c>
      <c r="I327" s="27">
        <v>0</v>
      </c>
      <c r="J327" s="27">
        <v>0</v>
      </c>
      <c r="K327" s="27">
        <v>0.98</v>
      </c>
      <c r="L327" s="27">
        <v>3750</v>
      </c>
      <c r="M327" s="27">
        <v>3330</v>
      </c>
      <c r="N327" s="27">
        <v>0</v>
      </c>
      <c r="O327" s="27">
        <v>0</v>
      </c>
      <c r="P327" s="27" t="s">
        <v>13</v>
      </c>
      <c r="Q327" s="27">
        <v>1993</v>
      </c>
      <c r="R327" s="27">
        <v>1</v>
      </c>
      <c r="S327" s="27">
        <v>0</v>
      </c>
      <c r="T327" s="27">
        <v>-1.8E-3</v>
      </c>
      <c r="U327" s="27">
        <v>-1.2E-2</v>
      </c>
      <c r="V327" s="27">
        <v>0</v>
      </c>
      <c r="W327" s="27">
        <v>0</v>
      </c>
      <c r="X327" s="27" t="s">
        <v>23</v>
      </c>
    </row>
    <row r="328" spans="1:24">
      <c r="A328" s="27">
        <v>1</v>
      </c>
      <c r="B328" s="27">
        <v>3</v>
      </c>
      <c r="C328" s="27">
        <v>10</v>
      </c>
      <c r="D328" s="27">
        <v>2014</v>
      </c>
      <c r="E328" s="27">
        <v>2019</v>
      </c>
      <c r="F328" s="27">
        <v>2</v>
      </c>
      <c r="G328" s="27">
        <v>10</v>
      </c>
      <c r="H328" s="27">
        <v>0</v>
      </c>
      <c r="I328" s="27">
        <v>0</v>
      </c>
      <c r="J328" s="27">
        <v>0</v>
      </c>
      <c r="K328" s="27">
        <v>0.98</v>
      </c>
      <c r="L328" s="27">
        <v>3750</v>
      </c>
      <c r="M328" s="27">
        <v>3330</v>
      </c>
      <c r="N328" s="27">
        <v>0</v>
      </c>
      <c r="O328" s="27">
        <v>0</v>
      </c>
      <c r="P328" s="27" t="s">
        <v>13</v>
      </c>
      <c r="Q328" s="27">
        <v>1993</v>
      </c>
      <c r="R328" s="27">
        <v>1</v>
      </c>
      <c r="S328" s="27">
        <v>0</v>
      </c>
      <c r="T328" s="27">
        <v>-1.8E-3</v>
      </c>
      <c r="U328" s="27">
        <v>-1.2E-2</v>
      </c>
      <c r="V328" s="27">
        <v>0</v>
      </c>
      <c r="W328" s="27">
        <v>0</v>
      </c>
      <c r="X328" s="27" t="s">
        <v>23</v>
      </c>
    </row>
    <row r="329" spans="1:24">
      <c r="A329" s="27">
        <v>1</v>
      </c>
      <c r="B329" s="27">
        <v>3</v>
      </c>
      <c r="C329" s="27">
        <v>10</v>
      </c>
      <c r="D329" s="27">
        <v>2014</v>
      </c>
      <c r="E329" s="27">
        <v>2019</v>
      </c>
      <c r="F329" s="27">
        <v>3</v>
      </c>
      <c r="G329" s="27">
        <v>10</v>
      </c>
      <c r="H329" s="27">
        <v>0</v>
      </c>
      <c r="I329" s="27">
        <v>0</v>
      </c>
      <c r="J329" s="27">
        <v>0</v>
      </c>
      <c r="K329" s="27">
        <v>0.98</v>
      </c>
      <c r="L329" s="27">
        <v>3750</v>
      </c>
      <c r="M329" s="27">
        <v>3330</v>
      </c>
      <c r="N329" s="27">
        <v>0</v>
      </c>
      <c r="O329" s="27">
        <v>0</v>
      </c>
      <c r="P329" s="27" t="s">
        <v>13</v>
      </c>
      <c r="Q329" s="27">
        <v>1993</v>
      </c>
      <c r="R329" s="27">
        <v>1</v>
      </c>
      <c r="S329" s="27">
        <v>0</v>
      </c>
      <c r="T329" s="27">
        <v>-1.8E-3</v>
      </c>
      <c r="U329" s="27">
        <v>-1.2E-2</v>
      </c>
      <c r="V329" s="27">
        <v>0</v>
      </c>
      <c r="W329" s="27">
        <v>0</v>
      </c>
      <c r="X329" s="27" t="s">
        <v>23</v>
      </c>
    </row>
    <row r="330" spans="1:24">
      <c r="A330" s="27">
        <v>1</v>
      </c>
      <c r="B330" s="27">
        <v>3</v>
      </c>
      <c r="C330" s="27">
        <v>10</v>
      </c>
      <c r="D330" s="27">
        <v>2014</v>
      </c>
      <c r="E330" s="27">
        <v>2019</v>
      </c>
      <c r="F330" s="27">
        <v>4</v>
      </c>
      <c r="G330" s="27">
        <v>10</v>
      </c>
      <c r="H330" s="27">
        <v>0</v>
      </c>
      <c r="I330" s="27">
        <v>0</v>
      </c>
      <c r="J330" s="27">
        <v>0</v>
      </c>
      <c r="K330" s="27">
        <v>0.98</v>
      </c>
      <c r="L330" s="27">
        <v>3750</v>
      </c>
      <c r="M330" s="27">
        <v>3330</v>
      </c>
      <c r="N330" s="27">
        <v>0</v>
      </c>
      <c r="O330" s="27">
        <v>0</v>
      </c>
      <c r="P330" s="27" t="s">
        <v>13</v>
      </c>
      <c r="Q330" s="27">
        <v>1993</v>
      </c>
      <c r="R330" s="27">
        <v>1</v>
      </c>
      <c r="S330" s="27">
        <v>0</v>
      </c>
      <c r="T330" s="27">
        <v>-1.8E-3</v>
      </c>
      <c r="U330" s="27">
        <v>-1.2E-2</v>
      </c>
      <c r="V330" s="27">
        <v>0</v>
      </c>
      <c r="W330" s="27">
        <v>0</v>
      </c>
      <c r="X330" s="27" t="s">
        <v>23</v>
      </c>
    </row>
    <row r="331" spans="1:24">
      <c r="A331" s="27">
        <v>1</v>
      </c>
      <c r="B331" s="27">
        <v>3</v>
      </c>
      <c r="C331" s="27">
        <v>10</v>
      </c>
      <c r="D331" s="27">
        <v>2014</v>
      </c>
      <c r="E331" s="27">
        <v>2019</v>
      </c>
      <c r="F331" s="27">
        <v>5</v>
      </c>
      <c r="G331" s="27">
        <v>10</v>
      </c>
      <c r="H331" s="27">
        <v>0</v>
      </c>
      <c r="I331" s="27">
        <v>0</v>
      </c>
      <c r="J331" s="27">
        <v>0</v>
      </c>
      <c r="K331" s="27">
        <v>0.98</v>
      </c>
      <c r="L331" s="27">
        <v>3750</v>
      </c>
      <c r="M331" s="27">
        <v>3330</v>
      </c>
      <c r="N331" s="27">
        <v>0</v>
      </c>
      <c r="O331" s="27">
        <v>0</v>
      </c>
      <c r="P331" s="27" t="s">
        <v>13</v>
      </c>
      <c r="Q331" s="27">
        <v>1993</v>
      </c>
      <c r="R331" s="27">
        <v>1</v>
      </c>
      <c r="S331" s="27">
        <v>0</v>
      </c>
      <c r="T331" s="27">
        <v>-1.8E-3</v>
      </c>
      <c r="U331" s="27">
        <v>-1.2E-2</v>
      </c>
      <c r="V331" s="27">
        <v>0</v>
      </c>
      <c r="W331" s="27">
        <v>0</v>
      </c>
      <c r="X331" s="27" t="s">
        <v>23</v>
      </c>
    </row>
    <row r="332" spans="1:24">
      <c r="A332" s="27">
        <v>1</v>
      </c>
      <c r="B332" s="27">
        <v>3</v>
      </c>
      <c r="C332" s="27">
        <v>10</v>
      </c>
      <c r="D332" s="27">
        <v>2014</v>
      </c>
      <c r="E332" s="27">
        <v>2019</v>
      </c>
      <c r="F332" s="27">
        <v>6</v>
      </c>
      <c r="G332" s="27">
        <v>10</v>
      </c>
      <c r="H332" s="27">
        <v>0</v>
      </c>
      <c r="I332" s="27">
        <v>0</v>
      </c>
      <c r="J332" s="27">
        <v>0</v>
      </c>
      <c r="K332" s="27">
        <v>0.98</v>
      </c>
      <c r="L332" s="27">
        <v>3750</v>
      </c>
      <c r="M332" s="27">
        <v>3330</v>
      </c>
      <c r="N332" s="27">
        <v>0</v>
      </c>
      <c r="O332" s="27">
        <v>0</v>
      </c>
      <c r="P332" s="27" t="s">
        <v>13</v>
      </c>
      <c r="Q332" s="27">
        <v>1993</v>
      </c>
      <c r="R332" s="27">
        <v>1</v>
      </c>
      <c r="S332" s="27">
        <v>0</v>
      </c>
      <c r="T332" s="27">
        <v>-1.8E-3</v>
      </c>
      <c r="U332" s="27">
        <v>-1.2E-2</v>
      </c>
      <c r="V332" s="27">
        <v>0</v>
      </c>
      <c r="W332" s="27">
        <v>0</v>
      </c>
      <c r="X332" s="27" t="s">
        <v>23</v>
      </c>
    </row>
    <row r="333" spans="1:24">
      <c r="A333" s="27">
        <v>1</v>
      </c>
      <c r="B333" s="27">
        <v>3</v>
      </c>
      <c r="C333" s="27">
        <v>10</v>
      </c>
      <c r="D333" s="27">
        <v>2014</v>
      </c>
      <c r="E333" s="27">
        <v>2019</v>
      </c>
      <c r="F333" s="27">
        <v>7</v>
      </c>
      <c r="G333" s="27">
        <v>10</v>
      </c>
      <c r="H333" s="27">
        <v>0</v>
      </c>
      <c r="I333" s="27">
        <v>0</v>
      </c>
      <c r="J333" s="27">
        <v>0</v>
      </c>
      <c r="K333" s="27">
        <v>0.98</v>
      </c>
      <c r="L333" s="27">
        <v>3750</v>
      </c>
      <c r="M333" s="27">
        <v>3330</v>
      </c>
      <c r="N333" s="27">
        <v>0</v>
      </c>
      <c r="O333" s="27">
        <v>0</v>
      </c>
      <c r="P333" s="27" t="s">
        <v>13</v>
      </c>
      <c r="Q333" s="27">
        <v>1993</v>
      </c>
      <c r="R333" s="27">
        <v>1</v>
      </c>
      <c r="S333" s="27">
        <v>0</v>
      </c>
      <c r="T333" s="27">
        <v>-1.8E-3</v>
      </c>
      <c r="U333" s="27">
        <v>-1.2E-2</v>
      </c>
      <c r="V333" s="27">
        <v>0</v>
      </c>
      <c r="W333" s="27">
        <v>0</v>
      </c>
      <c r="X333" s="27" t="s">
        <v>23</v>
      </c>
    </row>
    <row r="334" spans="1:24">
      <c r="A334" s="27">
        <v>1</v>
      </c>
      <c r="B334" s="27">
        <v>3</v>
      </c>
      <c r="C334" s="27">
        <v>10</v>
      </c>
      <c r="D334" s="27">
        <v>2014</v>
      </c>
      <c r="E334" s="27">
        <v>2019</v>
      </c>
      <c r="F334" s="27">
        <v>8</v>
      </c>
      <c r="G334" s="27">
        <v>10</v>
      </c>
      <c r="H334" s="27">
        <v>0</v>
      </c>
      <c r="I334" s="27">
        <v>0</v>
      </c>
      <c r="J334" s="27">
        <v>0</v>
      </c>
      <c r="K334" s="27">
        <v>0.98</v>
      </c>
      <c r="L334" s="27">
        <v>3750</v>
      </c>
      <c r="M334" s="27">
        <v>3330</v>
      </c>
      <c r="N334" s="27">
        <v>0</v>
      </c>
      <c r="O334" s="27">
        <v>0</v>
      </c>
      <c r="P334" s="27" t="s">
        <v>13</v>
      </c>
      <c r="Q334" s="27">
        <v>1993</v>
      </c>
      <c r="R334" s="27">
        <v>1</v>
      </c>
      <c r="S334" s="27">
        <v>0</v>
      </c>
      <c r="T334" s="27">
        <v>-1.8E-3</v>
      </c>
      <c r="U334" s="27">
        <v>-1.2E-2</v>
      </c>
      <c r="V334" s="27">
        <v>0</v>
      </c>
      <c r="W334" s="27">
        <v>0</v>
      </c>
      <c r="X334" s="27" t="s">
        <v>23</v>
      </c>
    </row>
    <row r="335" spans="1:24">
      <c r="A335" s="27">
        <v>1</v>
      </c>
      <c r="B335" s="27">
        <v>3</v>
      </c>
      <c r="C335" s="27">
        <v>10</v>
      </c>
      <c r="D335" s="27">
        <v>2014</v>
      </c>
      <c r="E335" s="27">
        <v>2019</v>
      </c>
      <c r="F335" s="27">
        <v>9</v>
      </c>
      <c r="G335" s="27">
        <v>10</v>
      </c>
      <c r="H335" s="27">
        <v>0</v>
      </c>
      <c r="I335" s="27">
        <v>0</v>
      </c>
      <c r="J335" s="27">
        <v>0</v>
      </c>
      <c r="K335" s="27">
        <v>0.98</v>
      </c>
      <c r="L335" s="27">
        <v>3750</v>
      </c>
      <c r="M335" s="27">
        <v>3330</v>
      </c>
      <c r="N335" s="27">
        <v>0</v>
      </c>
      <c r="O335" s="27">
        <v>0</v>
      </c>
      <c r="P335" s="27" t="s">
        <v>13</v>
      </c>
      <c r="Q335" s="27">
        <v>1993</v>
      </c>
      <c r="R335" s="27">
        <v>1</v>
      </c>
      <c r="S335" s="27">
        <v>0</v>
      </c>
      <c r="T335" s="27">
        <v>-1.8E-3</v>
      </c>
      <c r="U335" s="27">
        <v>-1.2E-2</v>
      </c>
      <c r="V335" s="27">
        <v>0</v>
      </c>
      <c r="W335" s="27">
        <v>0</v>
      </c>
      <c r="X335" s="27" t="s">
        <v>23</v>
      </c>
    </row>
    <row r="336" spans="1:24">
      <c r="A336" s="27">
        <v>1</v>
      </c>
      <c r="B336" s="27">
        <v>3</v>
      </c>
      <c r="C336" s="27">
        <v>10</v>
      </c>
      <c r="D336" s="27">
        <v>2020</v>
      </c>
      <c r="E336" s="27">
        <v>2029</v>
      </c>
      <c r="F336" s="27">
        <v>1</v>
      </c>
      <c r="G336" s="27">
        <v>10</v>
      </c>
      <c r="H336" s="27">
        <v>0</v>
      </c>
      <c r="I336" s="27">
        <v>0</v>
      </c>
      <c r="J336" s="27">
        <v>0</v>
      </c>
      <c r="K336" s="27">
        <v>0.98</v>
      </c>
      <c r="L336" s="27">
        <v>3750</v>
      </c>
      <c r="M336" s="27">
        <v>3330</v>
      </c>
      <c r="N336" s="27">
        <v>0</v>
      </c>
      <c r="O336" s="27">
        <v>0</v>
      </c>
      <c r="P336" s="27" t="s">
        <v>13</v>
      </c>
      <c r="Q336" s="27">
        <v>1993</v>
      </c>
      <c r="R336" s="27">
        <v>1</v>
      </c>
      <c r="S336" s="27">
        <v>0</v>
      </c>
      <c r="T336" s="27">
        <v>-1.8E-3</v>
      </c>
      <c r="U336" s="27">
        <v>-1.2E-2</v>
      </c>
      <c r="V336" s="27">
        <v>0</v>
      </c>
      <c r="W336" s="27">
        <v>0</v>
      </c>
      <c r="X336" s="27" t="s">
        <v>23</v>
      </c>
    </row>
    <row r="337" spans="1:24">
      <c r="A337" s="27">
        <v>1</v>
      </c>
      <c r="B337" s="27">
        <v>3</v>
      </c>
      <c r="C337" s="27">
        <v>10</v>
      </c>
      <c r="D337" s="27">
        <v>2020</v>
      </c>
      <c r="E337" s="27">
        <v>2029</v>
      </c>
      <c r="F337" s="27">
        <v>2</v>
      </c>
      <c r="G337" s="27">
        <v>10</v>
      </c>
      <c r="H337" s="27">
        <v>0</v>
      </c>
      <c r="I337" s="27">
        <v>0</v>
      </c>
      <c r="J337" s="27">
        <v>0</v>
      </c>
      <c r="K337" s="27">
        <v>0.98</v>
      </c>
      <c r="L337" s="27">
        <v>3750</v>
      </c>
      <c r="M337" s="27">
        <v>3330</v>
      </c>
      <c r="N337" s="27">
        <v>0</v>
      </c>
      <c r="O337" s="27">
        <v>0</v>
      </c>
      <c r="P337" s="27" t="s">
        <v>13</v>
      </c>
      <c r="Q337" s="27">
        <v>1993</v>
      </c>
      <c r="R337" s="27">
        <v>1</v>
      </c>
      <c r="S337" s="27">
        <v>0</v>
      </c>
      <c r="T337" s="27">
        <v>-1.8E-3</v>
      </c>
      <c r="U337" s="27">
        <v>-1.2E-2</v>
      </c>
      <c r="V337" s="27">
        <v>0</v>
      </c>
      <c r="W337" s="27">
        <v>0</v>
      </c>
      <c r="X337" s="27" t="s">
        <v>23</v>
      </c>
    </row>
    <row r="338" spans="1:24">
      <c r="A338" s="27">
        <v>1</v>
      </c>
      <c r="B338" s="27">
        <v>3</v>
      </c>
      <c r="C338" s="27">
        <v>10</v>
      </c>
      <c r="D338" s="27">
        <v>2020</v>
      </c>
      <c r="E338" s="27">
        <v>2029</v>
      </c>
      <c r="F338" s="27">
        <v>3</v>
      </c>
      <c r="G338" s="27">
        <v>10</v>
      </c>
      <c r="H338" s="27">
        <v>0</v>
      </c>
      <c r="I338" s="27">
        <v>0</v>
      </c>
      <c r="J338" s="27">
        <v>0</v>
      </c>
      <c r="K338" s="27">
        <v>0.98</v>
      </c>
      <c r="L338" s="27">
        <v>3750</v>
      </c>
      <c r="M338" s="27">
        <v>3330</v>
      </c>
      <c r="N338" s="27">
        <v>0</v>
      </c>
      <c r="O338" s="27">
        <v>0</v>
      </c>
      <c r="P338" s="27" t="s">
        <v>13</v>
      </c>
      <c r="Q338" s="27">
        <v>1993</v>
      </c>
      <c r="R338" s="27">
        <v>1</v>
      </c>
      <c r="S338" s="27">
        <v>0</v>
      </c>
      <c r="T338" s="27">
        <v>-1.8E-3</v>
      </c>
      <c r="U338" s="27">
        <v>-1.2E-2</v>
      </c>
      <c r="V338" s="27">
        <v>0</v>
      </c>
      <c r="W338" s="27">
        <v>0</v>
      </c>
      <c r="X338" s="27" t="s">
        <v>23</v>
      </c>
    </row>
    <row r="339" spans="1:24">
      <c r="A339" s="27">
        <v>1</v>
      </c>
      <c r="B339" s="27">
        <v>3</v>
      </c>
      <c r="C339" s="27">
        <v>10</v>
      </c>
      <c r="D339" s="27">
        <v>2020</v>
      </c>
      <c r="E339" s="27">
        <v>2029</v>
      </c>
      <c r="F339" s="27">
        <v>4</v>
      </c>
      <c r="G339" s="27">
        <v>10</v>
      </c>
      <c r="H339" s="27">
        <v>0</v>
      </c>
      <c r="I339" s="27">
        <v>0</v>
      </c>
      <c r="J339" s="27">
        <v>0</v>
      </c>
      <c r="K339" s="27">
        <v>0.98</v>
      </c>
      <c r="L339" s="27">
        <v>3750</v>
      </c>
      <c r="M339" s="27">
        <v>3330</v>
      </c>
      <c r="N339" s="27">
        <v>0</v>
      </c>
      <c r="O339" s="27">
        <v>0</v>
      </c>
      <c r="P339" s="27" t="s">
        <v>13</v>
      </c>
      <c r="Q339" s="27">
        <v>1993</v>
      </c>
      <c r="R339" s="27">
        <v>1</v>
      </c>
      <c r="S339" s="27">
        <v>0</v>
      </c>
      <c r="T339" s="27">
        <v>-1.8E-3</v>
      </c>
      <c r="U339" s="27">
        <v>-1.2E-2</v>
      </c>
      <c r="V339" s="27">
        <v>0</v>
      </c>
      <c r="W339" s="27">
        <v>0</v>
      </c>
      <c r="X339" s="27" t="s">
        <v>23</v>
      </c>
    </row>
    <row r="340" spans="1:24">
      <c r="A340" s="27">
        <v>1</v>
      </c>
      <c r="B340" s="27">
        <v>3</v>
      </c>
      <c r="C340" s="27">
        <v>10</v>
      </c>
      <c r="D340" s="27">
        <v>2020</v>
      </c>
      <c r="E340" s="27">
        <v>2029</v>
      </c>
      <c r="F340" s="27">
        <v>5</v>
      </c>
      <c r="G340" s="27">
        <v>10</v>
      </c>
      <c r="H340" s="27">
        <v>0</v>
      </c>
      <c r="I340" s="27">
        <v>0</v>
      </c>
      <c r="J340" s="27">
        <v>0</v>
      </c>
      <c r="K340" s="27">
        <v>0.98</v>
      </c>
      <c r="L340" s="27">
        <v>3750</v>
      </c>
      <c r="M340" s="27">
        <v>3330</v>
      </c>
      <c r="N340" s="27">
        <v>0</v>
      </c>
      <c r="O340" s="27">
        <v>0</v>
      </c>
      <c r="P340" s="27" t="s">
        <v>13</v>
      </c>
      <c r="Q340" s="27">
        <v>1993</v>
      </c>
      <c r="R340" s="27">
        <v>1</v>
      </c>
      <c r="S340" s="27">
        <v>0</v>
      </c>
      <c r="T340" s="27">
        <v>-1.8E-3</v>
      </c>
      <c r="U340" s="27">
        <v>-1.2E-2</v>
      </c>
      <c r="V340" s="27">
        <v>0</v>
      </c>
      <c r="W340" s="27">
        <v>0</v>
      </c>
      <c r="X340" s="27" t="s">
        <v>23</v>
      </c>
    </row>
    <row r="341" spans="1:24">
      <c r="A341" s="27">
        <v>1</v>
      </c>
      <c r="B341" s="27">
        <v>3</v>
      </c>
      <c r="C341" s="27">
        <v>10</v>
      </c>
      <c r="D341" s="27">
        <v>2020</v>
      </c>
      <c r="E341" s="27">
        <v>2029</v>
      </c>
      <c r="F341" s="27">
        <v>6</v>
      </c>
      <c r="G341" s="27">
        <v>10</v>
      </c>
      <c r="H341" s="27">
        <v>0</v>
      </c>
      <c r="I341" s="27">
        <v>0</v>
      </c>
      <c r="J341" s="27">
        <v>0</v>
      </c>
      <c r="K341" s="27">
        <v>0.98</v>
      </c>
      <c r="L341" s="27">
        <v>3750</v>
      </c>
      <c r="M341" s="27">
        <v>3330</v>
      </c>
      <c r="N341" s="27">
        <v>0</v>
      </c>
      <c r="O341" s="27">
        <v>0</v>
      </c>
      <c r="P341" s="27" t="s">
        <v>13</v>
      </c>
      <c r="Q341" s="27">
        <v>1993</v>
      </c>
      <c r="R341" s="27">
        <v>1</v>
      </c>
      <c r="S341" s="27">
        <v>0</v>
      </c>
      <c r="T341" s="27">
        <v>-1.8E-3</v>
      </c>
      <c r="U341" s="27">
        <v>-1.2E-2</v>
      </c>
      <c r="V341" s="27">
        <v>0</v>
      </c>
      <c r="W341" s="27">
        <v>0</v>
      </c>
      <c r="X341" s="27" t="s">
        <v>23</v>
      </c>
    </row>
    <row r="342" spans="1:24">
      <c r="A342" s="27">
        <v>1</v>
      </c>
      <c r="B342" s="27">
        <v>3</v>
      </c>
      <c r="C342" s="27">
        <v>10</v>
      </c>
      <c r="D342" s="27">
        <v>2020</v>
      </c>
      <c r="E342" s="27">
        <v>2029</v>
      </c>
      <c r="F342" s="27">
        <v>7</v>
      </c>
      <c r="G342" s="27">
        <v>10</v>
      </c>
      <c r="H342" s="27">
        <v>0</v>
      </c>
      <c r="I342" s="27">
        <v>0</v>
      </c>
      <c r="J342" s="27">
        <v>0</v>
      </c>
      <c r="K342" s="27">
        <v>0.98</v>
      </c>
      <c r="L342" s="27">
        <v>3750</v>
      </c>
      <c r="M342" s="27">
        <v>3330</v>
      </c>
      <c r="N342" s="27">
        <v>0</v>
      </c>
      <c r="O342" s="27">
        <v>0</v>
      </c>
      <c r="P342" s="27" t="s">
        <v>13</v>
      </c>
      <c r="Q342" s="27">
        <v>1993</v>
      </c>
      <c r="R342" s="27">
        <v>1</v>
      </c>
      <c r="S342" s="27">
        <v>0</v>
      </c>
      <c r="T342" s="27">
        <v>-1.8E-3</v>
      </c>
      <c r="U342" s="27">
        <v>-1.2E-2</v>
      </c>
      <c r="V342" s="27">
        <v>0</v>
      </c>
      <c r="W342" s="27">
        <v>0</v>
      </c>
      <c r="X342" s="27" t="s">
        <v>23</v>
      </c>
    </row>
    <row r="343" spans="1:24">
      <c r="A343" s="27">
        <v>1</v>
      </c>
      <c r="B343" s="27">
        <v>3</v>
      </c>
      <c r="C343" s="27">
        <v>10</v>
      </c>
      <c r="D343" s="27">
        <v>2020</v>
      </c>
      <c r="E343" s="27">
        <v>2029</v>
      </c>
      <c r="F343" s="27">
        <v>8</v>
      </c>
      <c r="G343" s="27">
        <v>10</v>
      </c>
      <c r="H343" s="27">
        <v>0</v>
      </c>
      <c r="I343" s="27">
        <v>0</v>
      </c>
      <c r="J343" s="27">
        <v>0</v>
      </c>
      <c r="K343" s="27">
        <v>0.98</v>
      </c>
      <c r="L343" s="27">
        <v>3750</v>
      </c>
      <c r="M343" s="27">
        <v>3330</v>
      </c>
      <c r="N343" s="27">
        <v>0</v>
      </c>
      <c r="O343" s="27">
        <v>0</v>
      </c>
      <c r="P343" s="27" t="s">
        <v>13</v>
      </c>
      <c r="Q343" s="27">
        <v>1993</v>
      </c>
      <c r="R343" s="27">
        <v>1</v>
      </c>
      <c r="S343" s="27">
        <v>0</v>
      </c>
      <c r="T343" s="27">
        <v>-1.8E-3</v>
      </c>
      <c r="U343" s="27">
        <v>-1.2E-2</v>
      </c>
      <c r="V343" s="27">
        <v>0</v>
      </c>
      <c r="W343" s="27">
        <v>0</v>
      </c>
      <c r="X343" s="27" t="s">
        <v>23</v>
      </c>
    </row>
    <row r="344" spans="1:24">
      <c r="A344" s="27">
        <v>1</v>
      </c>
      <c r="B344" s="27">
        <v>3</v>
      </c>
      <c r="C344" s="27">
        <v>10</v>
      </c>
      <c r="D344" s="27">
        <v>2020</v>
      </c>
      <c r="E344" s="27">
        <v>2029</v>
      </c>
      <c r="F344" s="27">
        <v>9</v>
      </c>
      <c r="G344" s="27">
        <v>10</v>
      </c>
      <c r="H344" s="27">
        <v>0</v>
      </c>
      <c r="I344" s="27">
        <v>0</v>
      </c>
      <c r="J344" s="27">
        <v>0</v>
      </c>
      <c r="K344" s="27">
        <v>0.98</v>
      </c>
      <c r="L344" s="27">
        <v>3750</v>
      </c>
      <c r="M344" s="27">
        <v>3330</v>
      </c>
      <c r="N344" s="27">
        <v>0</v>
      </c>
      <c r="O344" s="27">
        <v>0</v>
      </c>
      <c r="P344" s="27" t="s">
        <v>13</v>
      </c>
      <c r="Q344" s="27">
        <v>1993</v>
      </c>
      <c r="R344" s="27">
        <v>1</v>
      </c>
      <c r="S344" s="27">
        <v>0</v>
      </c>
      <c r="T344" s="27">
        <v>-1.8E-3</v>
      </c>
      <c r="U344" s="27">
        <v>-1.2E-2</v>
      </c>
      <c r="V344" s="27">
        <v>0</v>
      </c>
      <c r="W344" s="27">
        <v>0</v>
      </c>
      <c r="X344" s="27" t="s">
        <v>23</v>
      </c>
    </row>
    <row r="345" spans="1:24">
      <c r="A345" s="27">
        <v>1</v>
      </c>
      <c r="B345" s="27">
        <v>3</v>
      </c>
      <c r="C345" s="27">
        <v>10</v>
      </c>
      <c r="D345" s="27">
        <v>2030</v>
      </c>
      <c r="E345" s="27">
        <v>2050</v>
      </c>
      <c r="F345" s="27">
        <v>1</v>
      </c>
      <c r="G345" s="27">
        <v>10</v>
      </c>
      <c r="H345" s="27">
        <v>0</v>
      </c>
      <c r="I345" s="27">
        <v>0</v>
      </c>
      <c r="J345" s="27">
        <v>0</v>
      </c>
      <c r="K345" s="27">
        <v>0.98</v>
      </c>
      <c r="L345" s="27">
        <v>3750</v>
      </c>
      <c r="M345" s="27">
        <v>3330</v>
      </c>
      <c r="N345" s="27">
        <v>0</v>
      </c>
      <c r="O345" s="27">
        <v>0</v>
      </c>
      <c r="P345" s="27" t="s">
        <v>13</v>
      </c>
      <c r="Q345" s="27">
        <v>1993</v>
      </c>
      <c r="R345" s="27">
        <v>1</v>
      </c>
      <c r="S345" s="27">
        <v>0</v>
      </c>
      <c r="T345" s="27">
        <v>-1.8E-3</v>
      </c>
      <c r="U345" s="27">
        <v>-1.2E-2</v>
      </c>
      <c r="V345" s="27">
        <v>0</v>
      </c>
      <c r="W345" s="27">
        <v>0</v>
      </c>
      <c r="X345" s="27" t="s">
        <v>23</v>
      </c>
    </row>
    <row r="346" spans="1:24">
      <c r="A346" s="27">
        <v>1</v>
      </c>
      <c r="B346" s="27">
        <v>3</v>
      </c>
      <c r="C346" s="27">
        <v>10</v>
      </c>
      <c r="D346" s="27">
        <v>2030</v>
      </c>
      <c r="E346" s="27">
        <v>2050</v>
      </c>
      <c r="F346" s="27">
        <v>2</v>
      </c>
      <c r="G346" s="27">
        <v>10</v>
      </c>
      <c r="H346" s="27">
        <v>0</v>
      </c>
      <c r="I346" s="27">
        <v>0</v>
      </c>
      <c r="J346" s="27">
        <v>0</v>
      </c>
      <c r="K346" s="27">
        <v>0.98</v>
      </c>
      <c r="L346" s="27">
        <v>3750</v>
      </c>
      <c r="M346" s="27">
        <v>3330</v>
      </c>
      <c r="N346" s="27">
        <v>0</v>
      </c>
      <c r="O346" s="27">
        <v>0</v>
      </c>
      <c r="P346" s="27" t="s">
        <v>13</v>
      </c>
      <c r="Q346" s="27">
        <v>1993</v>
      </c>
      <c r="R346" s="27">
        <v>1</v>
      </c>
      <c r="S346" s="27">
        <v>0</v>
      </c>
      <c r="T346" s="27">
        <v>-1.8E-3</v>
      </c>
      <c r="U346" s="27">
        <v>-1.2E-2</v>
      </c>
      <c r="V346" s="27">
        <v>0</v>
      </c>
      <c r="W346" s="27">
        <v>0</v>
      </c>
      <c r="X346" s="27" t="s">
        <v>23</v>
      </c>
    </row>
    <row r="347" spans="1:24">
      <c r="A347" s="27">
        <v>1</v>
      </c>
      <c r="B347" s="27">
        <v>3</v>
      </c>
      <c r="C347" s="27">
        <v>10</v>
      </c>
      <c r="D347" s="27">
        <v>2030</v>
      </c>
      <c r="E347" s="27">
        <v>2050</v>
      </c>
      <c r="F347" s="27">
        <v>3</v>
      </c>
      <c r="G347" s="27">
        <v>10</v>
      </c>
      <c r="H347" s="27">
        <v>0</v>
      </c>
      <c r="I347" s="27">
        <v>0</v>
      </c>
      <c r="J347" s="27">
        <v>0</v>
      </c>
      <c r="K347" s="27">
        <v>0.98</v>
      </c>
      <c r="L347" s="27">
        <v>3750</v>
      </c>
      <c r="M347" s="27">
        <v>3330</v>
      </c>
      <c r="N347" s="27">
        <v>0</v>
      </c>
      <c r="O347" s="27">
        <v>0</v>
      </c>
      <c r="P347" s="27" t="s">
        <v>13</v>
      </c>
      <c r="Q347" s="27">
        <v>1993</v>
      </c>
      <c r="R347" s="27">
        <v>1</v>
      </c>
      <c r="S347" s="27">
        <v>0</v>
      </c>
      <c r="T347" s="27">
        <v>-1.8E-3</v>
      </c>
      <c r="U347" s="27">
        <v>-1.2E-2</v>
      </c>
      <c r="V347" s="27">
        <v>0</v>
      </c>
      <c r="W347" s="27">
        <v>0</v>
      </c>
      <c r="X347" s="27" t="s">
        <v>23</v>
      </c>
    </row>
    <row r="348" spans="1:24">
      <c r="A348" s="27">
        <v>1</v>
      </c>
      <c r="B348" s="27">
        <v>3</v>
      </c>
      <c r="C348" s="27">
        <v>10</v>
      </c>
      <c r="D348" s="27">
        <v>2030</v>
      </c>
      <c r="E348" s="27">
        <v>2050</v>
      </c>
      <c r="F348" s="27">
        <v>4</v>
      </c>
      <c r="G348" s="27">
        <v>10</v>
      </c>
      <c r="H348" s="27">
        <v>0</v>
      </c>
      <c r="I348" s="27">
        <v>0</v>
      </c>
      <c r="J348" s="27">
        <v>0</v>
      </c>
      <c r="K348" s="27">
        <v>0.98</v>
      </c>
      <c r="L348" s="27">
        <v>3750</v>
      </c>
      <c r="M348" s="27">
        <v>3330</v>
      </c>
      <c r="N348" s="27">
        <v>0</v>
      </c>
      <c r="O348" s="27">
        <v>0</v>
      </c>
      <c r="P348" s="27" t="s">
        <v>13</v>
      </c>
      <c r="Q348" s="27">
        <v>1993</v>
      </c>
      <c r="R348" s="27">
        <v>1</v>
      </c>
      <c r="S348" s="27">
        <v>0</v>
      </c>
      <c r="T348" s="27">
        <v>-1.8E-3</v>
      </c>
      <c r="U348" s="27">
        <v>-1.2E-2</v>
      </c>
      <c r="V348" s="27">
        <v>0</v>
      </c>
      <c r="W348" s="27">
        <v>0</v>
      </c>
      <c r="X348" s="27" t="s">
        <v>23</v>
      </c>
    </row>
    <row r="349" spans="1:24">
      <c r="A349" s="27">
        <v>1</v>
      </c>
      <c r="B349" s="27">
        <v>3</v>
      </c>
      <c r="C349" s="27">
        <v>10</v>
      </c>
      <c r="D349" s="27">
        <v>2030</v>
      </c>
      <c r="E349" s="27">
        <v>2050</v>
      </c>
      <c r="F349" s="27">
        <v>5</v>
      </c>
      <c r="G349" s="27">
        <v>10</v>
      </c>
      <c r="H349" s="27">
        <v>0</v>
      </c>
      <c r="I349" s="27">
        <v>0</v>
      </c>
      <c r="J349" s="27">
        <v>0</v>
      </c>
      <c r="K349" s="27">
        <v>0.98</v>
      </c>
      <c r="L349" s="27">
        <v>3750</v>
      </c>
      <c r="M349" s="27">
        <v>3330</v>
      </c>
      <c r="N349" s="27">
        <v>0</v>
      </c>
      <c r="O349" s="27">
        <v>0</v>
      </c>
      <c r="P349" s="27" t="s">
        <v>13</v>
      </c>
      <c r="Q349" s="27">
        <v>1993</v>
      </c>
      <c r="R349" s="27">
        <v>1</v>
      </c>
      <c r="S349" s="27">
        <v>0</v>
      </c>
      <c r="T349" s="27">
        <v>-1.8E-3</v>
      </c>
      <c r="U349" s="27">
        <v>-1.2E-2</v>
      </c>
      <c r="V349" s="27">
        <v>0</v>
      </c>
      <c r="W349" s="27">
        <v>0</v>
      </c>
      <c r="X349" s="27" t="s">
        <v>23</v>
      </c>
    </row>
    <row r="350" spans="1:24">
      <c r="A350" s="27">
        <v>1</v>
      </c>
      <c r="B350" s="27">
        <v>3</v>
      </c>
      <c r="C350" s="27">
        <v>10</v>
      </c>
      <c r="D350" s="27">
        <v>2030</v>
      </c>
      <c r="E350" s="27">
        <v>2050</v>
      </c>
      <c r="F350" s="27">
        <v>6</v>
      </c>
      <c r="G350" s="27">
        <v>10</v>
      </c>
      <c r="H350" s="27">
        <v>0</v>
      </c>
      <c r="I350" s="27">
        <v>0</v>
      </c>
      <c r="J350" s="27">
        <v>0</v>
      </c>
      <c r="K350" s="27">
        <v>0.98</v>
      </c>
      <c r="L350" s="27">
        <v>3750</v>
      </c>
      <c r="M350" s="27">
        <v>3330</v>
      </c>
      <c r="N350" s="27">
        <v>0</v>
      </c>
      <c r="O350" s="27">
        <v>0</v>
      </c>
      <c r="P350" s="27" t="s">
        <v>13</v>
      </c>
      <c r="Q350" s="27">
        <v>1993</v>
      </c>
      <c r="R350" s="27">
        <v>1</v>
      </c>
      <c r="S350" s="27">
        <v>0</v>
      </c>
      <c r="T350" s="27">
        <v>-1.8E-3</v>
      </c>
      <c r="U350" s="27">
        <v>-1.2E-2</v>
      </c>
      <c r="V350" s="27">
        <v>0</v>
      </c>
      <c r="W350" s="27">
        <v>0</v>
      </c>
      <c r="X350" s="27" t="s">
        <v>23</v>
      </c>
    </row>
    <row r="351" spans="1:24">
      <c r="A351" s="27">
        <v>1</v>
      </c>
      <c r="B351" s="27">
        <v>3</v>
      </c>
      <c r="C351" s="27">
        <v>10</v>
      </c>
      <c r="D351" s="27">
        <v>2030</v>
      </c>
      <c r="E351" s="27">
        <v>2050</v>
      </c>
      <c r="F351" s="27">
        <v>7</v>
      </c>
      <c r="G351" s="27">
        <v>10</v>
      </c>
      <c r="H351" s="27">
        <v>0</v>
      </c>
      <c r="I351" s="27">
        <v>0</v>
      </c>
      <c r="J351" s="27">
        <v>0</v>
      </c>
      <c r="K351" s="27">
        <v>0.98</v>
      </c>
      <c r="L351" s="27">
        <v>3750</v>
      </c>
      <c r="M351" s="27">
        <v>3330</v>
      </c>
      <c r="N351" s="27">
        <v>0</v>
      </c>
      <c r="O351" s="27">
        <v>0</v>
      </c>
      <c r="P351" s="27" t="s">
        <v>13</v>
      </c>
      <c r="Q351" s="27">
        <v>1993</v>
      </c>
      <c r="R351" s="27">
        <v>1</v>
      </c>
      <c r="S351" s="27">
        <v>0</v>
      </c>
      <c r="T351" s="27">
        <v>-1.8E-3</v>
      </c>
      <c r="U351" s="27">
        <v>-1.2E-2</v>
      </c>
      <c r="V351" s="27">
        <v>0</v>
      </c>
      <c r="W351" s="27">
        <v>0</v>
      </c>
      <c r="X351" s="27" t="s">
        <v>23</v>
      </c>
    </row>
    <row r="352" spans="1:24">
      <c r="A352" s="27">
        <v>1</v>
      </c>
      <c r="B352" s="27">
        <v>3</v>
      </c>
      <c r="C352" s="27">
        <v>10</v>
      </c>
      <c r="D352" s="27">
        <v>2030</v>
      </c>
      <c r="E352" s="27">
        <v>2050</v>
      </c>
      <c r="F352" s="27">
        <v>8</v>
      </c>
      <c r="G352" s="27">
        <v>10</v>
      </c>
      <c r="H352" s="27">
        <v>0</v>
      </c>
      <c r="I352" s="27">
        <v>0</v>
      </c>
      <c r="J352" s="27">
        <v>0</v>
      </c>
      <c r="K352" s="27">
        <v>0.98</v>
      </c>
      <c r="L352" s="27">
        <v>3750</v>
      </c>
      <c r="M352" s="27">
        <v>3330</v>
      </c>
      <c r="N352" s="27">
        <v>0</v>
      </c>
      <c r="O352" s="27">
        <v>0</v>
      </c>
      <c r="P352" s="27" t="s">
        <v>13</v>
      </c>
      <c r="Q352" s="27">
        <v>1993</v>
      </c>
      <c r="R352" s="27">
        <v>1</v>
      </c>
      <c r="S352" s="27">
        <v>0</v>
      </c>
      <c r="T352" s="27">
        <v>-1.8E-3</v>
      </c>
      <c r="U352" s="27">
        <v>-1.2E-2</v>
      </c>
      <c r="V352" s="27">
        <v>0</v>
      </c>
      <c r="W352" s="27">
        <v>0</v>
      </c>
      <c r="X352" s="27" t="s">
        <v>23</v>
      </c>
    </row>
    <row r="353" spans="1:24">
      <c r="A353" s="27">
        <v>1</v>
      </c>
      <c r="B353" s="27">
        <v>3</v>
      </c>
      <c r="C353" s="27">
        <v>10</v>
      </c>
      <c r="D353" s="27">
        <v>2030</v>
      </c>
      <c r="E353" s="27">
        <v>2050</v>
      </c>
      <c r="F353" s="27">
        <v>9</v>
      </c>
      <c r="G353" s="27">
        <v>10</v>
      </c>
      <c r="H353" s="27">
        <v>0</v>
      </c>
      <c r="I353" s="27">
        <v>0</v>
      </c>
      <c r="J353" s="27">
        <v>0</v>
      </c>
      <c r="K353" s="27">
        <v>0.98</v>
      </c>
      <c r="L353" s="27">
        <v>3750</v>
      </c>
      <c r="M353" s="27">
        <v>3330</v>
      </c>
      <c r="N353" s="27">
        <v>0</v>
      </c>
      <c r="O353" s="27">
        <v>0</v>
      </c>
      <c r="P353" s="27" t="s">
        <v>13</v>
      </c>
      <c r="Q353" s="27">
        <v>1993</v>
      </c>
      <c r="R353" s="27">
        <v>1</v>
      </c>
      <c r="S353" s="27">
        <v>0</v>
      </c>
      <c r="T353" s="27">
        <v>-1.8E-3</v>
      </c>
      <c r="U353" s="27">
        <v>-1.2E-2</v>
      </c>
      <c r="V353" s="27">
        <v>0</v>
      </c>
      <c r="W353" s="27">
        <v>0</v>
      </c>
      <c r="X353" s="27" t="s">
        <v>23</v>
      </c>
    </row>
    <row r="354" spans="1:24">
      <c r="A354" s="27">
        <v>1</v>
      </c>
      <c r="B354" s="27">
        <v>4</v>
      </c>
      <c r="C354" s="27">
        <v>11</v>
      </c>
      <c r="D354" s="27">
        <v>2010</v>
      </c>
      <c r="E354" s="27">
        <v>2012</v>
      </c>
      <c r="F354" s="27">
        <v>1</v>
      </c>
      <c r="G354" s="27">
        <v>11</v>
      </c>
      <c r="H354" s="27">
        <v>0</v>
      </c>
      <c r="I354" s="27">
        <v>0</v>
      </c>
      <c r="J354" s="27">
        <v>0</v>
      </c>
      <c r="K354" s="27">
        <v>0.8</v>
      </c>
      <c r="L354" s="27">
        <v>3300</v>
      </c>
      <c r="M354" s="27">
        <v>2540</v>
      </c>
      <c r="N354" s="27">
        <v>0</v>
      </c>
      <c r="O354" s="27">
        <v>0</v>
      </c>
      <c r="P354" s="27" t="s">
        <v>13</v>
      </c>
      <c r="Q354" s="27">
        <v>1993</v>
      </c>
      <c r="R354" s="27">
        <v>1</v>
      </c>
      <c r="S354" s="27">
        <v>0</v>
      </c>
      <c r="T354" s="27">
        <v>-1.8E-3</v>
      </c>
      <c r="U354" s="27">
        <v>-1.2E-2</v>
      </c>
      <c r="V354" s="27">
        <v>0</v>
      </c>
      <c r="W354" s="27">
        <v>0</v>
      </c>
      <c r="X354" s="27" t="s">
        <v>857</v>
      </c>
    </row>
    <row r="355" spans="1:24">
      <c r="A355" s="27">
        <v>1</v>
      </c>
      <c r="B355" s="27">
        <v>4</v>
      </c>
      <c r="C355" s="27">
        <v>11</v>
      </c>
      <c r="D355" s="27">
        <v>2010</v>
      </c>
      <c r="E355" s="27">
        <v>2012</v>
      </c>
      <c r="F355" s="27">
        <v>2</v>
      </c>
      <c r="G355" s="27">
        <v>11</v>
      </c>
      <c r="H355" s="27">
        <v>0</v>
      </c>
      <c r="I355" s="27">
        <v>0</v>
      </c>
      <c r="J355" s="27">
        <v>0</v>
      </c>
      <c r="K355" s="27">
        <v>0.8</v>
      </c>
      <c r="L355" s="27">
        <v>3300</v>
      </c>
      <c r="M355" s="27">
        <v>2540</v>
      </c>
      <c r="N355" s="27">
        <v>0</v>
      </c>
      <c r="O355" s="27">
        <v>0</v>
      </c>
      <c r="P355" s="27" t="s">
        <v>13</v>
      </c>
      <c r="Q355" s="27">
        <v>1993</v>
      </c>
      <c r="R355" s="27">
        <v>1</v>
      </c>
      <c r="S355" s="27">
        <v>0</v>
      </c>
      <c r="T355" s="27">
        <v>-1.8E-3</v>
      </c>
      <c r="U355" s="27">
        <v>-1.2E-2</v>
      </c>
      <c r="V355" s="27">
        <v>0</v>
      </c>
      <c r="W355" s="27">
        <v>0</v>
      </c>
      <c r="X355" s="27" t="s">
        <v>857</v>
      </c>
    </row>
    <row r="356" spans="1:24">
      <c r="A356" s="27">
        <v>1</v>
      </c>
      <c r="B356" s="27">
        <v>4</v>
      </c>
      <c r="C356" s="27">
        <v>11</v>
      </c>
      <c r="D356" s="27">
        <v>2010</v>
      </c>
      <c r="E356" s="27">
        <v>2012</v>
      </c>
      <c r="F356" s="27">
        <v>3</v>
      </c>
      <c r="G356" s="27">
        <v>11</v>
      </c>
      <c r="H356" s="27">
        <v>0</v>
      </c>
      <c r="I356" s="27">
        <v>0</v>
      </c>
      <c r="J356" s="27">
        <v>0</v>
      </c>
      <c r="K356" s="27">
        <v>0.8</v>
      </c>
      <c r="L356" s="27">
        <v>3300</v>
      </c>
      <c r="M356" s="27">
        <v>2540</v>
      </c>
      <c r="N356" s="27">
        <v>0</v>
      </c>
      <c r="O356" s="27">
        <v>0</v>
      </c>
      <c r="P356" s="27" t="s">
        <v>13</v>
      </c>
      <c r="Q356" s="27">
        <v>1993</v>
      </c>
      <c r="R356" s="27">
        <v>1</v>
      </c>
      <c r="S356" s="27">
        <v>0</v>
      </c>
      <c r="T356" s="27">
        <v>-1.8E-3</v>
      </c>
      <c r="U356" s="27">
        <v>-1.2E-2</v>
      </c>
      <c r="V356" s="27">
        <v>0</v>
      </c>
      <c r="W356" s="27">
        <v>0</v>
      </c>
      <c r="X356" s="27" t="s">
        <v>857</v>
      </c>
    </row>
    <row r="357" spans="1:24">
      <c r="A357" s="27">
        <v>1</v>
      </c>
      <c r="B357" s="27">
        <v>4</v>
      </c>
      <c r="C357" s="27">
        <v>11</v>
      </c>
      <c r="D357" s="27">
        <v>2010</v>
      </c>
      <c r="E357" s="27">
        <v>2012</v>
      </c>
      <c r="F357" s="27">
        <v>4</v>
      </c>
      <c r="G357" s="27">
        <v>11</v>
      </c>
      <c r="H357" s="27">
        <v>0</v>
      </c>
      <c r="I357" s="27">
        <v>0</v>
      </c>
      <c r="J357" s="27">
        <v>0</v>
      </c>
      <c r="K357" s="27">
        <v>0.8</v>
      </c>
      <c r="L357" s="27">
        <v>3300</v>
      </c>
      <c r="M357" s="27">
        <v>2540</v>
      </c>
      <c r="N357" s="27">
        <v>0</v>
      </c>
      <c r="O357" s="27">
        <v>0</v>
      </c>
      <c r="P357" s="27" t="s">
        <v>13</v>
      </c>
      <c r="Q357" s="27">
        <v>1993</v>
      </c>
      <c r="R357" s="27">
        <v>1</v>
      </c>
      <c r="S357" s="27">
        <v>0</v>
      </c>
      <c r="T357" s="27">
        <v>-1.8E-3</v>
      </c>
      <c r="U357" s="27">
        <v>-1.2E-2</v>
      </c>
      <c r="V357" s="27">
        <v>0</v>
      </c>
      <c r="W357" s="27">
        <v>0</v>
      </c>
      <c r="X357" s="27" t="s">
        <v>857</v>
      </c>
    </row>
    <row r="358" spans="1:24">
      <c r="A358" s="27">
        <v>1</v>
      </c>
      <c r="B358" s="27">
        <v>4</v>
      </c>
      <c r="C358" s="27">
        <v>11</v>
      </c>
      <c r="D358" s="27">
        <v>2010</v>
      </c>
      <c r="E358" s="27">
        <v>2012</v>
      </c>
      <c r="F358" s="27">
        <v>5</v>
      </c>
      <c r="G358" s="27">
        <v>11</v>
      </c>
      <c r="H358" s="27">
        <v>0</v>
      </c>
      <c r="I358" s="27">
        <v>0</v>
      </c>
      <c r="J358" s="27">
        <v>0</v>
      </c>
      <c r="K358" s="27">
        <v>0.8</v>
      </c>
      <c r="L358" s="27">
        <v>3300</v>
      </c>
      <c r="M358" s="27">
        <v>2540</v>
      </c>
      <c r="N358" s="27">
        <v>0</v>
      </c>
      <c r="O358" s="27">
        <v>0</v>
      </c>
      <c r="P358" s="27" t="s">
        <v>13</v>
      </c>
      <c r="Q358" s="27">
        <v>1993</v>
      </c>
      <c r="R358" s="27">
        <v>1</v>
      </c>
      <c r="S358" s="27">
        <v>0</v>
      </c>
      <c r="T358" s="27">
        <v>-1.8E-3</v>
      </c>
      <c r="U358" s="27">
        <v>-1.2E-2</v>
      </c>
      <c r="V358" s="27">
        <v>0</v>
      </c>
      <c r="W358" s="27">
        <v>0</v>
      </c>
      <c r="X358" s="27" t="s">
        <v>857</v>
      </c>
    </row>
    <row r="359" spans="1:24">
      <c r="A359" s="27">
        <v>1</v>
      </c>
      <c r="B359" s="27">
        <v>4</v>
      </c>
      <c r="C359" s="27">
        <v>11</v>
      </c>
      <c r="D359" s="27">
        <v>2010</v>
      </c>
      <c r="E359" s="27">
        <v>2012</v>
      </c>
      <c r="F359" s="27">
        <v>6</v>
      </c>
      <c r="G359" s="27">
        <v>11</v>
      </c>
      <c r="H359" s="27">
        <v>0</v>
      </c>
      <c r="I359" s="27">
        <v>0</v>
      </c>
      <c r="J359" s="27">
        <v>0</v>
      </c>
      <c r="K359" s="27">
        <v>0.8</v>
      </c>
      <c r="L359" s="27">
        <v>3300</v>
      </c>
      <c r="M359" s="27">
        <v>2540</v>
      </c>
      <c r="N359" s="27">
        <v>0</v>
      </c>
      <c r="O359" s="27">
        <v>0</v>
      </c>
      <c r="P359" s="27" t="s">
        <v>13</v>
      </c>
      <c r="Q359" s="27">
        <v>1993</v>
      </c>
      <c r="R359" s="27">
        <v>1</v>
      </c>
      <c r="S359" s="27">
        <v>0</v>
      </c>
      <c r="T359" s="27">
        <v>-1.8E-3</v>
      </c>
      <c r="U359" s="27">
        <v>-1.2E-2</v>
      </c>
      <c r="V359" s="27">
        <v>0</v>
      </c>
      <c r="W359" s="27">
        <v>0</v>
      </c>
      <c r="X359" s="27" t="s">
        <v>857</v>
      </c>
    </row>
    <row r="360" spans="1:24">
      <c r="A360" s="27">
        <v>1</v>
      </c>
      <c r="B360" s="27">
        <v>4</v>
      </c>
      <c r="C360" s="27">
        <v>11</v>
      </c>
      <c r="D360" s="27">
        <v>2010</v>
      </c>
      <c r="E360" s="27">
        <v>2012</v>
      </c>
      <c r="F360" s="27">
        <v>7</v>
      </c>
      <c r="G360" s="27">
        <v>11</v>
      </c>
      <c r="H360" s="27">
        <v>0</v>
      </c>
      <c r="I360" s="27">
        <v>0</v>
      </c>
      <c r="J360" s="27">
        <v>0</v>
      </c>
      <c r="K360" s="27">
        <v>0.8</v>
      </c>
      <c r="L360" s="27">
        <v>3300</v>
      </c>
      <c r="M360" s="27">
        <v>2540</v>
      </c>
      <c r="N360" s="27">
        <v>0</v>
      </c>
      <c r="O360" s="27">
        <v>0</v>
      </c>
      <c r="P360" s="27" t="s">
        <v>13</v>
      </c>
      <c r="Q360" s="27">
        <v>1993</v>
      </c>
      <c r="R360" s="27">
        <v>1</v>
      </c>
      <c r="S360" s="27">
        <v>0</v>
      </c>
      <c r="T360" s="27">
        <v>-1.8E-3</v>
      </c>
      <c r="U360" s="27">
        <v>-1.2E-2</v>
      </c>
      <c r="V360" s="27">
        <v>0</v>
      </c>
      <c r="W360" s="27">
        <v>0</v>
      </c>
      <c r="X360" s="27" t="s">
        <v>857</v>
      </c>
    </row>
    <row r="361" spans="1:24">
      <c r="A361" s="27">
        <v>1</v>
      </c>
      <c r="B361" s="27">
        <v>4</v>
      </c>
      <c r="C361" s="27">
        <v>11</v>
      </c>
      <c r="D361" s="27">
        <v>2010</v>
      </c>
      <c r="E361" s="27">
        <v>2012</v>
      </c>
      <c r="F361" s="27">
        <v>8</v>
      </c>
      <c r="G361" s="27">
        <v>11</v>
      </c>
      <c r="H361" s="27">
        <v>0</v>
      </c>
      <c r="I361" s="27">
        <v>0</v>
      </c>
      <c r="J361" s="27">
        <v>0</v>
      </c>
      <c r="K361" s="27">
        <v>0.8</v>
      </c>
      <c r="L361" s="27">
        <v>3300</v>
      </c>
      <c r="M361" s="27">
        <v>2540</v>
      </c>
      <c r="N361" s="27">
        <v>0</v>
      </c>
      <c r="O361" s="27">
        <v>0</v>
      </c>
      <c r="P361" s="27" t="s">
        <v>13</v>
      </c>
      <c r="Q361" s="27">
        <v>1993</v>
      </c>
      <c r="R361" s="27">
        <v>1</v>
      </c>
      <c r="S361" s="27">
        <v>0</v>
      </c>
      <c r="T361" s="27">
        <v>-1.8E-3</v>
      </c>
      <c r="U361" s="27">
        <v>-1.2E-2</v>
      </c>
      <c r="V361" s="27">
        <v>0</v>
      </c>
      <c r="W361" s="27">
        <v>0</v>
      </c>
      <c r="X361" s="27" t="s">
        <v>857</v>
      </c>
    </row>
    <row r="362" spans="1:24">
      <c r="A362" s="27">
        <v>1</v>
      </c>
      <c r="B362" s="27">
        <v>4</v>
      </c>
      <c r="C362" s="27">
        <v>11</v>
      </c>
      <c r="D362" s="27">
        <v>2010</v>
      </c>
      <c r="E362" s="27">
        <v>2012</v>
      </c>
      <c r="F362" s="27">
        <v>9</v>
      </c>
      <c r="G362" s="27">
        <v>11</v>
      </c>
      <c r="H362" s="27">
        <v>0</v>
      </c>
      <c r="I362" s="27">
        <v>0</v>
      </c>
      <c r="J362" s="27">
        <v>0</v>
      </c>
      <c r="K362" s="27">
        <v>0.8</v>
      </c>
      <c r="L362" s="27">
        <v>3300</v>
      </c>
      <c r="M362" s="27">
        <v>2540</v>
      </c>
      <c r="N362" s="27">
        <v>0</v>
      </c>
      <c r="O362" s="27">
        <v>0</v>
      </c>
      <c r="P362" s="27" t="s">
        <v>13</v>
      </c>
      <c r="Q362" s="27">
        <v>1993</v>
      </c>
      <c r="R362" s="27">
        <v>1</v>
      </c>
      <c r="S362" s="27">
        <v>0</v>
      </c>
      <c r="T362" s="27">
        <v>-1.8E-3</v>
      </c>
      <c r="U362" s="27">
        <v>-1.2E-2</v>
      </c>
      <c r="V362" s="27">
        <v>0</v>
      </c>
      <c r="W362" s="27">
        <v>0</v>
      </c>
      <c r="X362" s="27" t="s">
        <v>857</v>
      </c>
    </row>
    <row r="363" spans="1:24">
      <c r="A363" s="27">
        <v>1</v>
      </c>
      <c r="B363" s="27">
        <v>4</v>
      </c>
      <c r="C363" s="27">
        <v>11</v>
      </c>
      <c r="D363" s="27">
        <v>2013</v>
      </c>
      <c r="E363" s="27">
        <v>2050</v>
      </c>
      <c r="F363" s="27">
        <v>1</v>
      </c>
      <c r="G363" s="27">
        <v>11</v>
      </c>
      <c r="H363" s="27">
        <v>0</v>
      </c>
      <c r="I363" s="27">
        <v>0</v>
      </c>
      <c r="J363" s="27">
        <v>0</v>
      </c>
      <c r="K363" s="27">
        <v>0.82</v>
      </c>
      <c r="L363" s="27">
        <v>3500</v>
      </c>
      <c r="M363" s="27">
        <v>2740</v>
      </c>
      <c r="N363" s="27">
        <v>0</v>
      </c>
      <c r="O363" s="27">
        <v>0</v>
      </c>
      <c r="P363" s="27" t="s">
        <v>13</v>
      </c>
      <c r="Q363" s="27">
        <v>1993</v>
      </c>
      <c r="R363" s="27">
        <v>1</v>
      </c>
      <c r="S363" s="27">
        <v>0</v>
      </c>
      <c r="T363" s="27">
        <v>-1.8E-3</v>
      </c>
      <c r="U363" s="27">
        <v>-1.2E-2</v>
      </c>
      <c r="V363" s="27">
        <v>0</v>
      </c>
      <c r="W363" s="27">
        <v>0</v>
      </c>
      <c r="X363" s="27" t="s">
        <v>857</v>
      </c>
    </row>
    <row r="364" spans="1:24">
      <c r="A364" s="27">
        <v>1</v>
      </c>
      <c r="B364" s="27">
        <v>4</v>
      </c>
      <c r="C364" s="27">
        <v>11</v>
      </c>
      <c r="D364" s="27">
        <v>2013</v>
      </c>
      <c r="E364" s="27">
        <v>2050</v>
      </c>
      <c r="F364" s="27">
        <v>2</v>
      </c>
      <c r="G364" s="27">
        <v>11</v>
      </c>
      <c r="H364" s="27">
        <v>0</v>
      </c>
      <c r="I364" s="27">
        <v>0</v>
      </c>
      <c r="J364" s="27">
        <v>0</v>
      </c>
      <c r="K364" s="27">
        <v>0.82</v>
      </c>
      <c r="L364" s="27">
        <v>3500</v>
      </c>
      <c r="M364" s="27">
        <v>2740</v>
      </c>
      <c r="N364" s="27">
        <v>0</v>
      </c>
      <c r="O364" s="27">
        <v>0</v>
      </c>
      <c r="P364" s="27" t="s">
        <v>13</v>
      </c>
      <c r="Q364" s="27">
        <v>1993</v>
      </c>
      <c r="R364" s="27">
        <v>1</v>
      </c>
      <c r="S364" s="27">
        <v>0</v>
      </c>
      <c r="T364" s="27">
        <v>-1.8E-3</v>
      </c>
      <c r="U364" s="27">
        <v>-1.2E-2</v>
      </c>
      <c r="V364" s="27">
        <v>0</v>
      </c>
      <c r="W364" s="27">
        <v>0</v>
      </c>
      <c r="X364" s="27" t="s">
        <v>857</v>
      </c>
    </row>
    <row r="365" spans="1:24">
      <c r="A365" s="27">
        <v>1</v>
      </c>
      <c r="B365" s="27">
        <v>4</v>
      </c>
      <c r="C365" s="27">
        <v>11</v>
      </c>
      <c r="D365" s="27">
        <v>2013</v>
      </c>
      <c r="E365" s="27">
        <v>2050</v>
      </c>
      <c r="F365" s="27">
        <v>3</v>
      </c>
      <c r="G365" s="27">
        <v>11</v>
      </c>
      <c r="H365" s="27">
        <v>0</v>
      </c>
      <c r="I365" s="27">
        <v>0</v>
      </c>
      <c r="J365" s="27">
        <v>0</v>
      </c>
      <c r="K365" s="27">
        <v>0.82</v>
      </c>
      <c r="L365" s="27">
        <v>3500</v>
      </c>
      <c r="M365" s="27">
        <v>2740</v>
      </c>
      <c r="N365" s="27">
        <v>0</v>
      </c>
      <c r="O365" s="27">
        <v>0</v>
      </c>
      <c r="P365" s="27" t="s">
        <v>13</v>
      </c>
      <c r="Q365" s="27">
        <v>1993</v>
      </c>
      <c r="R365" s="27">
        <v>1</v>
      </c>
      <c r="S365" s="27">
        <v>0</v>
      </c>
      <c r="T365" s="27">
        <v>-1.8E-3</v>
      </c>
      <c r="U365" s="27">
        <v>-1.2E-2</v>
      </c>
      <c r="V365" s="27">
        <v>0</v>
      </c>
      <c r="W365" s="27">
        <v>0</v>
      </c>
      <c r="X365" s="27" t="s">
        <v>857</v>
      </c>
    </row>
    <row r="366" spans="1:24">
      <c r="A366" s="27">
        <v>1</v>
      </c>
      <c r="B366" s="27">
        <v>4</v>
      </c>
      <c r="C366" s="27">
        <v>11</v>
      </c>
      <c r="D366" s="27">
        <v>2013</v>
      </c>
      <c r="E366" s="27">
        <v>2050</v>
      </c>
      <c r="F366" s="27">
        <v>4</v>
      </c>
      <c r="G366" s="27">
        <v>11</v>
      </c>
      <c r="H366" s="27">
        <v>0</v>
      </c>
      <c r="I366" s="27">
        <v>0</v>
      </c>
      <c r="J366" s="27">
        <v>0</v>
      </c>
      <c r="K366" s="27">
        <v>0.82</v>
      </c>
      <c r="L366" s="27">
        <v>3500</v>
      </c>
      <c r="M366" s="27">
        <v>2740</v>
      </c>
      <c r="N366" s="27">
        <v>0</v>
      </c>
      <c r="O366" s="27">
        <v>0</v>
      </c>
      <c r="P366" s="27" t="s">
        <v>13</v>
      </c>
      <c r="Q366" s="27">
        <v>1993</v>
      </c>
      <c r="R366" s="27">
        <v>1</v>
      </c>
      <c r="S366" s="27">
        <v>0</v>
      </c>
      <c r="T366" s="27">
        <v>-1.8E-3</v>
      </c>
      <c r="U366" s="27">
        <v>-1.2E-2</v>
      </c>
      <c r="V366" s="27">
        <v>0</v>
      </c>
      <c r="W366" s="27">
        <v>0</v>
      </c>
      <c r="X366" s="27" t="s">
        <v>857</v>
      </c>
    </row>
    <row r="367" spans="1:24">
      <c r="A367" s="27">
        <v>1</v>
      </c>
      <c r="B367" s="27">
        <v>4</v>
      </c>
      <c r="C367" s="27">
        <v>11</v>
      </c>
      <c r="D367" s="27">
        <v>2013</v>
      </c>
      <c r="E367" s="27">
        <v>2050</v>
      </c>
      <c r="F367" s="27">
        <v>5</v>
      </c>
      <c r="G367" s="27">
        <v>11</v>
      </c>
      <c r="H367" s="27">
        <v>0</v>
      </c>
      <c r="I367" s="27">
        <v>0</v>
      </c>
      <c r="J367" s="27">
        <v>0</v>
      </c>
      <c r="K367" s="27">
        <v>0.82</v>
      </c>
      <c r="L367" s="27">
        <v>3500</v>
      </c>
      <c r="M367" s="27">
        <v>2740</v>
      </c>
      <c r="N367" s="27">
        <v>0</v>
      </c>
      <c r="O367" s="27">
        <v>0</v>
      </c>
      <c r="P367" s="27" t="s">
        <v>13</v>
      </c>
      <c r="Q367" s="27">
        <v>1993</v>
      </c>
      <c r="R367" s="27">
        <v>1</v>
      </c>
      <c r="S367" s="27">
        <v>0</v>
      </c>
      <c r="T367" s="27">
        <v>-1.8E-3</v>
      </c>
      <c r="U367" s="27">
        <v>-1.2E-2</v>
      </c>
      <c r="V367" s="27">
        <v>0</v>
      </c>
      <c r="W367" s="27">
        <v>0</v>
      </c>
      <c r="X367" s="27" t="s">
        <v>857</v>
      </c>
    </row>
    <row r="368" spans="1:24">
      <c r="A368" s="27">
        <v>1</v>
      </c>
      <c r="B368" s="27">
        <v>4</v>
      </c>
      <c r="C368" s="27">
        <v>11</v>
      </c>
      <c r="D368" s="27">
        <v>2013</v>
      </c>
      <c r="E368" s="27">
        <v>2050</v>
      </c>
      <c r="F368" s="27">
        <v>6</v>
      </c>
      <c r="G368" s="27">
        <v>11</v>
      </c>
      <c r="H368" s="27">
        <v>0</v>
      </c>
      <c r="I368" s="27">
        <v>0</v>
      </c>
      <c r="J368" s="27">
        <v>0</v>
      </c>
      <c r="K368" s="27">
        <v>0.82</v>
      </c>
      <c r="L368" s="27">
        <v>3500</v>
      </c>
      <c r="M368" s="27">
        <v>2740</v>
      </c>
      <c r="N368" s="27">
        <v>0</v>
      </c>
      <c r="O368" s="27">
        <v>0</v>
      </c>
      <c r="P368" s="27" t="s">
        <v>13</v>
      </c>
      <c r="Q368" s="27">
        <v>1993</v>
      </c>
      <c r="R368" s="27">
        <v>1</v>
      </c>
      <c r="S368" s="27">
        <v>0</v>
      </c>
      <c r="T368" s="27">
        <v>-1.8E-3</v>
      </c>
      <c r="U368" s="27">
        <v>-1.2E-2</v>
      </c>
      <c r="V368" s="27">
        <v>0</v>
      </c>
      <c r="W368" s="27">
        <v>0</v>
      </c>
      <c r="X368" s="27" t="s">
        <v>857</v>
      </c>
    </row>
    <row r="369" spans="1:24">
      <c r="A369" s="27">
        <v>1</v>
      </c>
      <c r="B369" s="27">
        <v>4</v>
      </c>
      <c r="C369" s="27">
        <v>11</v>
      </c>
      <c r="D369" s="27">
        <v>2013</v>
      </c>
      <c r="E369" s="27">
        <v>2050</v>
      </c>
      <c r="F369" s="27">
        <v>7</v>
      </c>
      <c r="G369" s="27">
        <v>11</v>
      </c>
      <c r="H369" s="27">
        <v>0</v>
      </c>
      <c r="I369" s="27">
        <v>0</v>
      </c>
      <c r="J369" s="27">
        <v>0</v>
      </c>
      <c r="K369" s="27">
        <v>0.82</v>
      </c>
      <c r="L369" s="27">
        <v>3500</v>
      </c>
      <c r="M369" s="27">
        <v>2740</v>
      </c>
      <c r="N369" s="27">
        <v>0</v>
      </c>
      <c r="O369" s="27">
        <v>0</v>
      </c>
      <c r="P369" s="27" t="s">
        <v>13</v>
      </c>
      <c r="Q369" s="27">
        <v>1993</v>
      </c>
      <c r="R369" s="27">
        <v>1</v>
      </c>
      <c r="S369" s="27">
        <v>0</v>
      </c>
      <c r="T369" s="27">
        <v>-1.8E-3</v>
      </c>
      <c r="U369" s="27">
        <v>-1.2E-2</v>
      </c>
      <c r="V369" s="27">
        <v>0</v>
      </c>
      <c r="W369" s="27">
        <v>0</v>
      </c>
      <c r="X369" s="27" t="s">
        <v>857</v>
      </c>
    </row>
    <row r="370" spans="1:24">
      <c r="A370" s="27">
        <v>1</v>
      </c>
      <c r="B370" s="27">
        <v>4</v>
      </c>
      <c r="C370" s="27">
        <v>11</v>
      </c>
      <c r="D370" s="27">
        <v>2013</v>
      </c>
      <c r="E370" s="27">
        <v>2050</v>
      </c>
      <c r="F370" s="27">
        <v>8</v>
      </c>
      <c r="G370" s="27">
        <v>11</v>
      </c>
      <c r="H370" s="27">
        <v>0</v>
      </c>
      <c r="I370" s="27">
        <v>0</v>
      </c>
      <c r="J370" s="27">
        <v>0</v>
      </c>
      <c r="K370" s="27">
        <v>0.82</v>
      </c>
      <c r="L370" s="27">
        <v>3500</v>
      </c>
      <c r="M370" s="27">
        <v>2740</v>
      </c>
      <c r="N370" s="27">
        <v>0</v>
      </c>
      <c r="O370" s="27">
        <v>0</v>
      </c>
      <c r="P370" s="27" t="s">
        <v>13</v>
      </c>
      <c r="Q370" s="27">
        <v>1993</v>
      </c>
      <c r="R370" s="27">
        <v>1</v>
      </c>
      <c r="S370" s="27">
        <v>0</v>
      </c>
      <c r="T370" s="27">
        <v>-1.8E-3</v>
      </c>
      <c r="U370" s="27">
        <v>-1.2E-2</v>
      </c>
      <c r="V370" s="27">
        <v>0</v>
      </c>
      <c r="W370" s="27">
        <v>0</v>
      </c>
      <c r="X370" s="27" t="s">
        <v>857</v>
      </c>
    </row>
    <row r="371" spans="1:24">
      <c r="A371" s="27">
        <v>1</v>
      </c>
      <c r="B371" s="27">
        <v>4</v>
      </c>
      <c r="C371" s="27">
        <v>11</v>
      </c>
      <c r="D371" s="27">
        <v>2013</v>
      </c>
      <c r="E371" s="27">
        <v>2050</v>
      </c>
      <c r="F371" s="27">
        <v>9</v>
      </c>
      <c r="G371" s="27">
        <v>11</v>
      </c>
      <c r="H371" s="27">
        <v>0</v>
      </c>
      <c r="I371" s="27">
        <v>0</v>
      </c>
      <c r="J371" s="27">
        <v>0</v>
      </c>
      <c r="K371" s="27">
        <v>0.82</v>
      </c>
      <c r="L371" s="27">
        <v>3500</v>
      </c>
      <c r="M371" s="27">
        <v>2740</v>
      </c>
      <c r="N371" s="27">
        <v>0</v>
      </c>
      <c r="O371" s="27">
        <v>0</v>
      </c>
      <c r="P371" s="27" t="s">
        <v>13</v>
      </c>
      <c r="Q371" s="27">
        <v>1993</v>
      </c>
      <c r="R371" s="27">
        <v>1</v>
      </c>
      <c r="S371" s="27">
        <v>0</v>
      </c>
      <c r="T371" s="27">
        <v>-1.8E-3</v>
      </c>
      <c r="U371" s="27">
        <v>-1.2E-2</v>
      </c>
      <c r="V371" s="27">
        <v>0</v>
      </c>
      <c r="W371" s="27">
        <v>0</v>
      </c>
      <c r="X371" s="27" t="s">
        <v>857</v>
      </c>
    </row>
    <row r="372" spans="1:24">
      <c r="A372" s="27">
        <v>1</v>
      </c>
      <c r="B372" s="27">
        <v>4</v>
      </c>
      <c r="C372" s="27">
        <v>12</v>
      </c>
      <c r="D372" s="27">
        <v>2010</v>
      </c>
      <c r="E372" s="27">
        <v>2050</v>
      </c>
      <c r="F372" s="27">
        <v>1</v>
      </c>
      <c r="G372" s="27">
        <v>12</v>
      </c>
      <c r="H372" s="27">
        <v>0</v>
      </c>
      <c r="I372" s="27">
        <v>0</v>
      </c>
      <c r="J372" s="27">
        <v>0</v>
      </c>
      <c r="K372" s="27">
        <v>0.85</v>
      </c>
      <c r="L372" s="27">
        <v>4250</v>
      </c>
      <c r="M372" s="27">
        <v>3470</v>
      </c>
      <c r="N372" s="27">
        <v>0</v>
      </c>
      <c r="O372" s="27">
        <v>0</v>
      </c>
      <c r="P372" s="27" t="s">
        <v>13</v>
      </c>
      <c r="Q372" s="27">
        <v>1993</v>
      </c>
      <c r="R372" s="27">
        <v>1</v>
      </c>
      <c r="S372" s="27">
        <v>0</v>
      </c>
      <c r="T372" s="27">
        <v>-1.8E-3</v>
      </c>
      <c r="U372" s="27">
        <v>-1.2E-2</v>
      </c>
      <c r="V372" s="27">
        <v>0</v>
      </c>
      <c r="W372" s="27">
        <v>0</v>
      </c>
      <c r="X372" s="27" t="s">
        <v>858</v>
      </c>
    </row>
    <row r="373" spans="1:24">
      <c r="A373" s="27">
        <v>1</v>
      </c>
      <c r="B373" s="27">
        <v>4</v>
      </c>
      <c r="C373" s="27">
        <v>12</v>
      </c>
      <c r="D373" s="27">
        <v>2010</v>
      </c>
      <c r="E373" s="27">
        <v>2050</v>
      </c>
      <c r="F373" s="27">
        <v>2</v>
      </c>
      <c r="G373" s="27">
        <v>12</v>
      </c>
      <c r="H373" s="27">
        <v>0</v>
      </c>
      <c r="I373" s="27">
        <v>0</v>
      </c>
      <c r="J373" s="27">
        <v>0</v>
      </c>
      <c r="K373" s="27">
        <v>0.85</v>
      </c>
      <c r="L373" s="27">
        <v>4250</v>
      </c>
      <c r="M373" s="27">
        <v>3470</v>
      </c>
      <c r="N373" s="27">
        <v>0</v>
      </c>
      <c r="O373" s="27">
        <v>0</v>
      </c>
      <c r="P373" s="27" t="s">
        <v>13</v>
      </c>
      <c r="Q373" s="27">
        <v>1993</v>
      </c>
      <c r="R373" s="27">
        <v>1</v>
      </c>
      <c r="S373" s="27">
        <v>0</v>
      </c>
      <c r="T373" s="27">
        <v>-1.8E-3</v>
      </c>
      <c r="U373" s="27">
        <v>-1.2E-2</v>
      </c>
      <c r="V373" s="27">
        <v>0</v>
      </c>
      <c r="W373" s="27">
        <v>0</v>
      </c>
      <c r="X373" s="27" t="s">
        <v>858</v>
      </c>
    </row>
    <row r="374" spans="1:24">
      <c r="A374" s="27">
        <v>1</v>
      </c>
      <c r="B374" s="27">
        <v>4</v>
      </c>
      <c r="C374" s="27">
        <v>12</v>
      </c>
      <c r="D374" s="27">
        <v>2010</v>
      </c>
      <c r="E374" s="27">
        <v>2050</v>
      </c>
      <c r="F374" s="27">
        <v>3</v>
      </c>
      <c r="G374" s="27">
        <v>12</v>
      </c>
      <c r="H374" s="27">
        <v>0</v>
      </c>
      <c r="I374" s="27">
        <v>0</v>
      </c>
      <c r="J374" s="27">
        <v>0</v>
      </c>
      <c r="K374" s="27">
        <v>0.85</v>
      </c>
      <c r="L374" s="27">
        <v>4250</v>
      </c>
      <c r="M374" s="27">
        <v>3470</v>
      </c>
      <c r="N374" s="27">
        <v>0</v>
      </c>
      <c r="O374" s="27">
        <v>0</v>
      </c>
      <c r="P374" s="27" t="s">
        <v>13</v>
      </c>
      <c r="Q374" s="27">
        <v>1993</v>
      </c>
      <c r="R374" s="27">
        <v>1</v>
      </c>
      <c r="S374" s="27">
        <v>0</v>
      </c>
      <c r="T374" s="27">
        <v>-1.8E-3</v>
      </c>
      <c r="U374" s="27">
        <v>-1.2E-2</v>
      </c>
      <c r="V374" s="27">
        <v>0</v>
      </c>
      <c r="W374" s="27">
        <v>0</v>
      </c>
      <c r="X374" s="27" t="s">
        <v>858</v>
      </c>
    </row>
    <row r="375" spans="1:24">
      <c r="A375" s="27">
        <v>1</v>
      </c>
      <c r="B375" s="27">
        <v>4</v>
      </c>
      <c r="C375" s="27">
        <v>12</v>
      </c>
      <c r="D375" s="27">
        <v>2010</v>
      </c>
      <c r="E375" s="27">
        <v>2050</v>
      </c>
      <c r="F375" s="27">
        <v>4</v>
      </c>
      <c r="G375" s="27">
        <v>12</v>
      </c>
      <c r="H375" s="27">
        <v>0</v>
      </c>
      <c r="I375" s="27">
        <v>0</v>
      </c>
      <c r="J375" s="27">
        <v>0</v>
      </c>
      <c r="K375" s="27">
        <v>0.85</v>
      </c>
      <c r="L375" s="27">
        <v>4250</v>
      </c>
      <c r="M375" s="27">
        <v>3470</v>
      </c>
      <c r="N375" s="27">
        <v>0</v>
      </c>
      <c r="O375" s="27">
        <v>0</v>
      </c>
      <c r="P375" s="27" t="s">
        <v>13</v>
      </c>
      <c r="Q375" s="27">
        <v>1993</v>
      </c>
      <c r="R375" s="27">
        <v>1</v>
      </c>
      <c r="S375" s="27">
        <v>0</v>
      </c>
      <c r="T375" s="27">
        <v>-1.8E-3</v>
      </c>
      <c r="U375" s="27">
        <v>-1.2E-2</v>
      </c>
      <c r="V375" s="27">
        <v>0</v>
      </c>
      <c r="W375" s="27">
        <v>0</v>
      </c>
      <c r="X375" s="27" t="s">
        <v>858</v>
      </c>
    </row>
    <row r="376" spans="1:24">
      <c r="A376" s="27">
        <v>1</v>
      </c>
      <c r="B376" s="27">
        <v>4</v>
      </c>
      <c r="C376" s="27">
        <v>12</v>
      </c>
      <c r="D376" s="27">
        <v>2010</v>
      </c>
      <c r="E376" s="27">
        <v>2050</v>
      </c>
      <c r="F376" s="27">
        <v>5</v>
      </c>
      <c r="G376" s="27">
        <v>12</v>
      </c>
      <c r="H376" s="27">
        <v>0</v>
      </c>
      <c r="I376" s="27">
        <v>0</v>
      </c>
      <c r="J376" s="27">
        <v>0</v>
      </c>
      <c r="K376" s="27">
        <v>0.85</v>
      </c>
      <c r="L376" s="27">
        <v>4250</v>
      </c>
      <c r="M376" s="27">
        <v>3470</v>
      </c>
      <c r="N376" s="27">
        <v>0</v>
      </c>
      <c r="O376" s="27">
        <v>0</v>
      </c>
      <c r="P376" s="27" t="s">
        <v>13</v>
      </c>
      <c r="Q376" s="27">
        <v>1993</v>
      </c>
      <c r="R376" s="27">
        <v>1</v>
      </c>
      <c r="S376" s="27">
        <v>0</v>
      </c>
      <c r="T376" s="27">
        <v>-1.8E-3</v>
      </c>
      <c r="U376" s="27">
        <v>-1.2E-2</v>
      </c>
      <c r="V376" s="27">
        <v>0</v>
      </c>
      <c r="W376" s="27">
        <v>0</v>
      </c>
      <c r="X376" s="27" t="s">
        <v>858</v>
      </c>
    </row>
    <row r="377" spans="1:24">
      <c r="A377" s="27">
        <v>1</v>
      </c>
      <c r="B377" s="27">
        <v>4</v>
      </c>
      <c r="C377" s="27">
        <v>12</v>
      </c>
      <c r="D377" s="27">
        <v>2010</v>
      </c>
      <c r="E377" s="27">
        <v>2050</v>
      </c>
      <c r="F377" s="27">
        <v>6</v>
      </c>
      <c r="G377" s="27">
        <v>12</v>
      </c>
      <c r="H377" s="27">
        <v>0</v>
      </c>
      <c r="I377" s="27">
        <v>0</v>
      </c>
      <c r="J377" s="27">
        <v>0</v>
      </c>
      <c r="K377" s="27">
        <v>0.85</v>
      </c>
      <c r="L377" s="27">
        <v>4250</v>
      </c>
      <c r="M377" s="27">
        <v>3470</v>
      </c>
      <c r="N377" s="27">
        <v>0</v>
      </c>
      <c r="O377" s="27">
        <v>0</v>
      </c>
      <c r="P377" s="27" t="s">
        <v>13</v>
      </c>
      <c r="Q377" s="27">
        <v>1993</v>
      </c>
      <c r="R377" s="27">
        <v>1</v>
      </c>
      <c r="S377" s="27">
        <v>0</v>
      </c>
      <c r="T377" s="27">
        <v>-1.8E-3</v>
      </c>
      <c r="U377" s="27">
        <v>-1.2E-2</v>
      </c>
      <c r="V377" s="27">
        <v>0</v>
      </c>
      <c r="W377" s="27">
        <v>0</v>
      </c>
      <c r="X377" s="27" t="s">
        <v>858</v>
      </c>
    </row>
    <row r="378" spans="1:24">
      <c r="A378" s="27">
        <v>1</v>
      </c>
      <c r="B378" s="27">
        <v>4</v>
      </c>
      <c r="C378" s="27">
        <v>12</v>
      </c>
      <c r="D378" s="27">
        <v>2010</v>
      </c>
      <c r="E378" s="27">
        <v>2050</v>
      </c>
      <c r="F378" s="27">
        <v>7</v>
      </c>
      <c r="G378" s="27">
        <v>12</v>
      </c>
      <c r="H378" s="27">
        <v>0</v>
      </c>
      <c r="I378" s="27">
        <v>0</v>
      </c>
      <c r="J378" s="27">
        <v>0</v>
      </c>
      <c r="K378" s="27">
        <v>0.85</v>
      </c>
      <c r="L378" s="27">
        <v>4250</v>
      </c>
      <c r="M378" s="27">
        <v>3470</v>
      </c>
      <c r="N378" s="27">
        <v>0</v>
      </c>
      <c r="O378" s="27">
        <v>0</v>
      </c>
      <c r="P378" s="27" t="s">
        <v>13</v>
      </c>
      <c r="Q378" s="27">
        <v>1993</v>
      </c>
      <c r="R378" s="27">
        <v>1</v>
      </c>
      <c r="S378" s="27">
        <v>0</v>
      </c>
      <c r="T378" s="27">
        <v>-1.8E-3</v>
      </c>
      <c r="U378" s="27">
        <v>-1.2E-2</v>
      </c>
      <c r="V378" s="27">
        <v>0</v>
      </c>
      <c r="W378" s="27">
        <v>0</v>
      </c>
      <c r="X378" s="27" t="s">
        <v>858</v>
      </c>
    </row>
    <row r="379" spans="1:24">
      <c r="A379" s="27">
        <v>1</v>
      </c>
      <c r="B379" s="27">
        <v>4</v>
      </c>
      <c r="C379" s="27">
        <v>12</v>
      </c>
      <c r="D379" s="27">
        <v>2010</v>
      </c>
      <c r="E379" s="27">
        <v>2050</v>
      </c>
      <c r="F379" s="27">
        <v>8</v>
      </c>
      <c r="G379" s="27">
        <v>12</v>
      </c>
      <c r="H379" s="27">
        <v>0</v>
      </c>
      <c r="I379" s="27">
        <v>0</v>
      </c>
      <c r="J379" s="27">
        <v>0</v>
      </c>
      <c r="K379" s="27">
        <v>0.85</v>
      </c>
      <c r="L379" s="27">
        <v>4250</v>
      </c>
      <c r="M379" s="27">
        <v>3470</v>
      </c>
      <c r="N379" s="27">
        <v>0</v>
      </c>
      <c r="O379" s="27">
        <v>0</v>
      </c>
      <c r="P379" s="27" t="s">
        <v>13</v>
      </c>
      <c r="Q379" s="27">
        <v>1993</v>
      </c>
      <c r="R379" s="27">
        <v>1</v>
      </c>
      <c r="S379" s="27">
        <v>0</v>
      </c>
      <c r="T379" s="27">
        <v>-1.8E-3</v>
      </c>
      <c r="U379" s="27">
        <v>-1.2E-2</v>
      </c>
      <c r="V379" s="27">
        <v>0</v>
      </c>
      <c r="W379" s="27">
        <v>0</v>
      </c>
      <c r="X379" s="27" t="s">
        <v>858</v>
      </c>
    </row>
    <row r="380" spans="1:24">
      <c r="A380" s="27">
        <v>1</v>
      </c>
      <c r="B380" s="27">
        <v>4</v>
      </c>
      <c r="C380" s="27">
        <v>12</v>
      </c>
      <c r="D380" s="27">
        <v>2010</v>
      </c>
      <c r="E380" s="27">
        <v>2050</v>
      </c>
      <c r="F380" s="27">
        <v>9</v>
      </c>
      <c r="G380" s="27">
        <v>12</v>
      </c>
      <c r="H380" s="27">
        <v>0</v>
      </c>
      <c r="I380" s="27">
        <v>0</v>
      </c>
      <c r="J380" s="27">
        <v>0</v>
      </c>
      <c r="K380" s="27">
        <v>0.85</v>
      </c>
      <c r="L380" s="27">
        <v>4250</v>
      </c>
      <c r="M380" s="27">
        <v>3470</v>
      </c>
      <c r="N380" s="27">
        <v>0</v>
      </c>
      <c r="O380" s="27">
        <v>0</v>
      </c>
      <c r="P380" s="27" t="s">
        <v>13</v>
      </c>
      <c r="Q380" s="27">
        <v>1993</v>
      </c>
      <c r="R380" s="27">
        <v>1</v>
      </c>
      <c r="S380" s="27">
        <v>0</v>
      </c>
      <c r="T380" s="27">
        <v>-1.8E-3</v>
      </c>
      <c r="U380" s="27">
        <v>-1.2E-2</v>
      </c>
      <c r="V380" s="27">
        <v>0</v>
      </c>
      <c r="W380" s="27">
        <v>0</v>
      </c>
      <c r="X380" s="27" t="s">
        <v>858</v>
      </c>
    </row>
    <row r="381" spans="1:24">
      <c r="A381" s="27">
        <v>1</v>
      </c>
      <c r="B381" s="27">
        <v>4</v>
      </c>
      <c r="C381" s="27">
        <v>13</v>
      </c>
      <c r="D381" s="27">
        <v>2010</v>
      </c>
      <c r="E381" s="27">
        <v>2010</v>
      </c>
      <c r="F381" s="27">
        <v>1</v>
      </c>
      <c r="G381" s="27">
        <v>13</v>
      </c>
      <c r="H381" s="27">
        <v>0</v>
      </c>
      <c r="I381" s="27">
        <v>0</v>
      </c>
      <c r="J381" s="27">
        <v>0</v>
      </c>
      <c r="K381" s="27">
        <v>0.98</v>
      </c>
      <c r="L381" s="27">
        <v>4000</v>
      </c>
      <c r="M381" s="27">
        <v>3600</v>
      </c>
      <c r="N381" s="27">
        <v>1200</v>
      </c>
      <c r="O381" s="27">
        <v>720</v>
      </c>
      <c r="P381" s="27" t="s">
        <v>13</v>
      </c>
      <c r="Q381" s="27">
        <v>1993</v>
      </c>
      <c r="R381" s="27">
        <v>1</v>
      </c>
      <c r="S381" s="27">
        <v>0</v>
      </c>
      <c r="T381" s="27">
        <v>-1.8E-3</v>
      </c>
      <c r="U381" s="27">
        <v>-1.2E-2</v>
      </c>
      <c r="V381" s="27">
        <v>0</v>
      </c>
      <c r="W381" s="27">
        <v>0</v>
      </c>
      <c r="X381" s="27" t="s">
        <v>859</v>
      </c>
    </row>
    <row r="382" spans="1:24">
      <c r="A382" s="27">
        <v>1</v>
      </c>
      <c r="B382" s="27">
        <v>4</v>
      </c>
      <c r="C382" s="27">
        <v>13</v>
      </c>
      <c r="D382" s="27">
        <v>2010</v>
      </c>
      <c r="E382" s="27">
        <v>2010</v>
      </c>
      <c r="F382" s="27">
        <v>2</v>
      </c>
      <c r="G382" s="27">
        <v>13</v>
      </c>
      <c r="H382" s="27">
        <v>0</v>
      </c>
      <c r="I382" s="27">
        <v>0</v>
      </c>
      <c r="J382" s="27">
        <v>0</v>
      </c>
      <c r="K382" s="27">
        <v>0.98</v>
      </c>
      <c r="L382" s="27">
        <v>4000</v>
      </c>
      <c r="M382" s="27">
        <v>3600</v>
      </c>
      <c r="N382" s="27">
        <v>1200</v>
      </c>
      <c r="O382" s="27">
        <v>720</v>
      </c>
      <c r="P382" s="27" t="s">
        <v>13</v>
      </c>
      <c r="Q382" s="27">
        <v>1993</v>
      </c>
      <c r="R382" s="27">
        <v>1</v>
      </c>
      <c r="S382" s="27">
        <v>0</v>
      </c>
      <c r="T382" s="27">
        <v>-1.8E-3</v>
      </c>
      <c r="U382" s="27">
        <v>-1.2E-2</v>
      </c>
      <c r="V382" s="27">
        <v>0</v>
      </c>
      <c r="W382" s="27">
        <v>0</v>
      </c>
      <c r="X382" s="27" t="s">
        <v>859</v>
      </c>
    </row>
    <row r="383" spans="1:24">
      <c r="A383" s="27">
        <v>1</v>
      </c>
      <c r="B383" s="27">
        <v>4</v>
      </c>
      <c r="C383" s="27">
        <v>13</v>
      </c>
      <c r="D383" s="27">
        <v>2010</v>
      </c>
      <c r="E383" s="27">
        <v>2010</v>
      </c>
      <c r="F383" s="27">
        <v>3</v>
      </c>
      <c r="G383" s="27">
        <v>13</v>
      </c>
      <c r="H383" s="27">
        <v>0</v>
      </c>
      <c r="I383" s="27">
        <v>0</v>
      </c>
      <c r="J383" s="27">
        <v>0</v>
      </c>
      <c r="K383" s="27">
        <v>0.98</v>
      </c>
      <c r="L383" s="27">
        <v>4000</v>
      </c>
      <c r="M383" s="27">
        <v>3600</v>
      </c>
      <c r="N383" s="27">
        <v>1200</v>
      </c>
      <c r="O383" s="27">
        <v>720</v>
      </c>
      <c r="P383" s="27" t="s">
        <v>13</v>
      </c>
      <c r="Q383" s="27">
        <v>1993</v>
      </c>
      <c r="R383" s="27">
        <v>1</v>
      </c>
      <c r="S383" s="27">
        <v>0</v>
      </c>
      <c r="T383" s="27">
        <v>-1.8E-3</v>
      </c>
      <c r="U383" s="27">
        <v>-1.2E-2</v>
      </c>
      <c r="V383" s="27">
        <v>0</v>
      </c>
      <c r="W383" s="27">
        <v>0</v>
      </c>
      <c r="X383" s="27" t="s">
        <v>859</v>
      </c>
    </row>
    <row r="384" spans="1:24">
      <c r="A384" s="27">
        <v>1</v>
      </c>
      <c r="B384" s="27">
        <v>4</v>
      </c>
      <c r="C384" s="27">
        <v>13</v>
      </c>
      <c r="D384" s="27">
        <v>2010</v>
      </c>
      <c r="E384" s="27">
        <v>2010</v>
      </c>
      <c r="F384" s="27">
        <v>4</v>
      </c>
      <c r="G384" s="27">
        <v>13</v>
      </c>
      <c r="H384" s="27">
        <v>0</v>
      </c>
      <c r="I384" s="27">
        <v>0</v>
      </c>
      <c r="J384" s="27">
        <v>0</v>
      </c>
      <c r="K384" s="27">
        <v>0.98</v>
      </c>
      <c r="L384" s="27">
        <v>4000</v>
      </c>
      <c r="M384" s="27">
        <v>3600</v>
      </c>
      <c r="N384" s="27">
        <v>1200</v>
      </c>
      <c r="O384" s="27">
        <v>720</v>
      </c>
      <c r="P384" s="27" t="s">
        <v>13</v>
      </c>
      <c r="Q384" s="27">
        <v>1993</v>
      </c>
      <c r="R384" s="27">
        <v>1</v>
      </c>
      <c r="S384" s="27">
        <v>0</v>
      </c>
      <c r="T384" s="27">
        <v>-1.8E-3</v>
      </c>
      <c r="U384" s="27">
        <v>-1.2E-2</v>
      </c>
      <c r="V384" s="27">
        <v>0</v>
      </c>
      <c r="W384" s="27">
        <v>0</v>
      </c>
      <c r="X384" s="27" t="s">
        <v>859</v>
      </c>
    </row>
    <row r="385" spans="1:24">
      <c r="A385" s="27">
        <v>1</v>
      </c>
      <c r="B385" s="27">
        <v>4</v>
      </c>
      <c r="C385" s="27">
        <v>13</v>
      </c>
      <c r="D385" s="27">
        <v>2010</v>
      </c>
      <c r="E385" s="27">
        <v>2010</v>
      </c>
      <c r="F385" s="27">
        <v>5</v>
      </c>
      <c r="G385" s="27">
        <v>13</v>
      </c>
      <c r="H385" s="27">
        <v>0</v>
      </c>
      <c r="I385" s="27">
        <v>0</v>
      </c>
      <c r="J385" s="27">
        <v>0</v>
      </c>
      <c r="K385" s="27">
        <v>0.98</v>
      </c>
      <c r="L385" s="27">
        <v>4000</v>
      </c>
      <c r="M385" s="27">
        <v>3600</v>
      </c>
      <c r="N385" s="27">
        <v>1200</v>
      </c>
      <c r="O385" s="27">
        <v>720</v>
      </c>
      <c r="P385" s="27" t="s">
        <v>13</v>
      </c>
      <c r="Q385" s="27">
        <v>1993</v>
      </c>
      <c r="R385" s="27">
        <v>1</v>
      </c>
      <c r="S385" s="27">
        <v>0</v>
      </c>
      <c r="T385" s="27">
        <v>-1.8E-3</v>
      </c>
      <c r="U385" s="27">
        <v>-1.2E-2</v>
      </c>
      <c r="V385" s="27">
        <v>0</v>
      </c>
      <c r="W385" s="27">
        <v>0</v>
      </c>
      <c r="X385" s="27" t="s">
        <v>859</v>
      </c>
    </row>
    <row r="386" spans="1:24">
      <c r="A386" s="27">
        <v>1</v>
      </c>
      <c r="B386" s="27">
        <v>4</v>
      </c>
      <c r="C386" s="27">
        <v>13</v>
      </c>
      <c r="D386" s="27">
        <v>2010</v>
      </c>
      <c r="E386" s="27">
        <v>2010</v>
      </c>
      <c r="F386" s="27">
        <v>6</v>
      </c>
      <c r="G386" s="27">
        <v>13</v>
      </c>
      <c r="H386" s="27">
        <v>0</v>
      </c>
      <c r="I386" s="27">
        <v>0</v>
      </c>
      <c r="J386" s="27">
        <v>0</v>
      </c>
      <c r="K386" s="27">
        <v>0.98</v>
      </c>
      <c r="L386" s="27">
        <v>4000</v>
      </c>
      <c r="M386" s="27">
        <v>3600</v>
      </c>
      <c r="N386" s="27">
        <v>1200</v>
      </c>
      <c r="O386" s="27">
        <v>720</v>
      </c>
      <c r="P386" s="27" t="s">
        <v>13</v>
      </c>
      <c r="Q386" s="27">
        <v>1993</v>
      </c>
      <c r="R386" s="27">
        <v>1</v>
      </c>
      <c r="S386" s="27">
        <v>0</v>
      </c>
      <c r="T386" s="27">
        <v>-1.8E-3</v>
      </c>
      <c r="U386" s="27">
        <v>-1.2E-2</v>
      </c>
      <c r="V386" s="27">
        <v>0</v>
      </c>
      <c r="W386" s="27">
        <v>0</v>
      </c>
      <c r="X386" s="27" t="s">
        <v>859</v>
      </c>
    </row>
    <row r="387" spans="1:24">
      <c r="A387" s="27">
        <v>1</v>
      </c>
      <c r="B387" s="27">
        <v>4</v>
      </c>
      <c r="C387" s="27">
        <v>13</v>
      </c>
      <c r="D387" s="27">
        <v>2010</v>
      </c>
      <c r="E387" s="27">
        <v>2010</v>
      </c>
      <c r="F387" s="27">
        <v>7</v>
      </c>
      <c r="G387" s="27">
        <v>13</v>
      </c>
      <c r="H387" s="27">
        <v>0</v>
      </c>
      <c r="I387" s="27">
        <v>0</v>
      </c>
      <c r="J387" s="27">
        <v>0</v>
      </c>
      <c r="K387" s="27">
        <v>0.98</v>
      </c>
      <c r="L387" s="27">
        <v>4000</v>
      </c>
      <c r="M387" s="27">
        <v>3600</v>
      </c>
      <c r="N387" s="27">
        <v>1200</v>
      </c>
      <c r="O387" s="27">
        <v>720</v>
      </c>
      <c r="P387" s="27" t="s">
        <v>13</v>
      </c>
      <c r="Q387" s="27">
        <v>1993</v>
      </c>
      <c r="R387" s="27">
        <v>1</v>
      </c>
      <c r="S387" s="27">
        <v>0</v>
      </c>
      <c r="T387" s="27">
        <v>-1.8E-3</v>
      </c>
      <c r="U387" s="27">
        <v>-1.2E-2</v>
      </c>
      <c r="V387" s="27">
        <v>0</v>
      </c>
      <c r="W387" s="27">
        <v>0</v>
      </c>
      <c r="X387" s="27" t="s">
        <v>859</v>
      </c>
    </row>
    <row r="388" spans="1:24">
      <c r="A388" s="27">
        <v>1</v>
      </c>
      <c r="B388" s="27">
        <v>4</v>
      </c>
      <c r="C388" s="27">
        <v>13</v>
      </c>
      <c r="D388" s="27">
        <v>2010</v>
      </c>
      <c r="E388" s="27">
        <v>2010</v>
      </c>
      <c r="F388" s="27">
        <v>8</v>
      </c>
      <c r="G388" s="27">
        <v>13</v>
      </c>
      <c r="H388" s="27">
        <v>0</v>
      </c>
      <c r="I388" s="27">
        <v>0</v>
      </c>
      <c r="J388" s="27">
        <v>0</v>
      </c>
      <c r="K388" s="27">
        <v>0.98</v>
      </c>
      <c r="L388" s="27">
        <v>4000</v>
      </c>
      <c r="M388" s="27">
        <v>3600</v>
      </c>
      <c r="N388" s="27">
        <v>1200</v>
      </c>
      <c r="O388" s="27">
        <v>720</v>
      </c>
      <c r="P388" s="27" t="s">
        <v>13</v>
      </c>
      <c r="Q388" s="27">
        <v>1993</v>
      </c>
      <c r="R388" s="27">
        <v>1</v>
      </c>
      <c r="S388" s="27">
        <v>0</v>
      </c>
      <c r="T388" s="27">
        <v>-1.8E-3</v>
      </c>
      <c r="U388" s="27">
        <v>-1.2E-2</v>
      </c>
      <c r="V388" s="27">
        <v>0</v>
      </c>
      <c r="W388" s="27">
        <v>0</v>
      </c>
      <c r="X388" s="27" t="s">
        <v>859</v>
      </c>
    </row>
    <row r="389" spans="1:24">
      <c r="A389" s="27">
        <v>1</v>
      </c>
      <c r="B389" s="27">
        <v>4</v>
      </c>
      <c r="C389" s="27">
        <v>13</v>
      </c>
      <c r="D389" s="27">
        <v>2010</v>
      </c>
      <c r="E389" s="27">
        <v>2010</v>
      </c>
      <c r="F389" s="27">
        <v>9</v>
      </c>
      <c r="G389" s="27">
        <v>13</v>
      </c>
      <c r="H389" s="27">
        <v>0</v>
      </c>
      <c r="I389" s="27">
        <v>0</v>
      </c>
      <c r="J389" s="27">
        <v>0</v>
      </c>
      <c r="K389" s="27">
        <v>0.98</v>
      </c>
      <c r="L389" s="27">
        <v>4000</v>
      </c>
      <c r="M389" s="27">
        <v>3600</v>
      </c>
      <c r="N389" s="27">
        <v>1200</v>
      </c>
      <c r="O389" s="27">
        <v>720</v>
      </c>
      <c r="P389" s="27" t="s">
        <v>13</v>
      </c>
      <c r="Q389" s="27">
        <v>1993</v>
      </c>
      <c r="R389" s="27">
        <v>1</v>
      </c>
      <c r="S389" s="27">
        <v>0</v>
      </c>
      <c r="T389" s="27">
        <v>-1.8E-3</v>
      </c>
      <c r="U389" s="27">
        <v>-1.2E-2</v>
      </c>
      <c r="V389" s="27">
        <v>0</v>
      </c>
      <c r="W389" s="27">
        <v>0</v>
      </c>
      <c r="X389" s="27" t="s">
        <v>859</v>
      </c>
    </row>
    <row r="390" spans="1:24">
      <c r="A390" s="27">
        <v>1</v>
      </c>
      <c r="B390" s="27">
        <v>4</v>
      </c>
      <c r="C390" s="27">
        <v>13</v>
      </c>
      <c r="D390" s="27">
        <v>2011</v>
      </c>
      <c r="E390" s="27">
        <v>2011</v>
      </c>
      <c r="F390" s="27">
        <v>1</v>
      </c>
      <c r="G390" s="27">
        <v>13</v>
      </c>
      <c r="H390" s="27">
        <v>0</v>
      </c>
      <c r="I390" s="27">
        <v>0</v>
      </c>
      <c r="J390" s="27">
        <v>0</v>
      </c>
      <c r="K390" s="27">
        <v>0.98</v>
      </c>
      <c r="L390" s="27">
        <v>4000</v>
      </c>
      <c r="M390" s="27">
        <v>3600</v>
      </c>
      <c r="N390" s="27">
        <v>150</v>
      </c>
      <c r="O390" s="27">
        <v>90</v>
      </c>
      <c r="P390" s="27" t="s">
        <v>13</v>
      </c>
      <c r="Q390" s="27">
        <v>1993</v>
      </c>
      <c r="R390" s="27">
        <v>1</v>
      </c>
      <c r="S390" s="27">
        <v>0</v>
      </c>
      <c r="T390" s="27">
        <v>-1.8E-3</v>
      </c>
      <c r="U390" s="27">
        <v>-1.2E-2</v>
      </c>
      <c r="V390" s="27">
        <v>0</v>
      </c>
      <c r="W390" s="27">
        <v>0</v>
      </c>
      <c r="X390" s="27" t="s">
        <v>859</v>
      </c>
    </row>
    <row r="391" spans="1:24">
      <c r="A391" s="27">
        <v>1</v>
      </c>
      <c r="B391" s="27">
        <v>4</v>
      </c>
      <c r="C391" s="27">
        <v>13</v>
      </c>
      <c r="D391" s="27">
        <v>2011</v>
      </c>
      <c r="E391" s="27">
        <v>2011</v>
      </c>
      <c r="F391" s="27">
        <v>2</v>
      </c>
      <c r="G391" s="27">
        <v>13</v>
      </c>
      <c r="H391" s="27">
        <v>0</v>
      </c>
      <c r="I391" s="27">
        <v>0</v>
      </c>
      <c r="J391" s="27">
        <v>0</v>
      </c>
      <c r="K391" s="27">
        <v>0.98</v>
      </c>
      <c r="L391" s="27">
        <v>4000</v>
      </c>
      <c r="M391" s="27">
        <v>3600</v>
      </c>
      <c r="N391" s="27">
        <v>150</v>
      </c>
      <c r="O391" s="27">
        <v>90</v>
      </c>
      <c r="P391" s="27" t="s">
        <v>13</v>
      </c>
      <c r="Q391" s="27">
        <v>1993</v>
      </c>
      <c r="R391" s="27">
        <v>1</v>
      </c>
      <c r="S391" s="27">
        <v>0</v>
      </c>
      <c r="T391" s="27">
        <v>-1.8E-3</v>
      </c>
      <c r="U391" s="27">
        <v>-1.2E-2</v>
      </c>
      <c r="V391" s="27">
        <v>0</v>
      </c>
      <c r="W391" s="27">
        <v>0</v>
      </c>
      <c r="X391" s="27" t="s">
        <v>859</v>
      </c>
    </row>
    <row r="392" spans="1:24">
      <c r="A392" s="27">
        <v>1</v>
      </c>
      <c r="B392" s="27">
        <v>4</v>
      </c>
      <c r="C392" s="27">
        <v>13</v>
      </c>
      <c r="D392" s="27">
        <v>2011</v>
      </c>
      <c r="E392" s="27">
        <v>2011</v>
      </c>
      <c r="F392" s="27">
        <v>3</v>
      </c>
      <c r="G392" s="27">
        <v>13</v>
      </c>
      <c r="H392" s="27">
        <v>0</v>
      </c>
      <c r="I392" s="27">
        <v>0</v>
      </c>
      <c r="J392" s="27">
        <v>0</v>
      </c>
      <c r="K392" s="27">
        <v>0.98</v>
      </c>
      <c r="L392" s="27">
        <v>4000</v>
      </c>
      <c r="M392" s="27">
        <v>3600</v>
      </c>
      <c r="N392" s="27">
        <v>150</v>
      </c>
      <c r="O392" s="27">
        <v>90</v>
      </c>
      <c r="P392" s="27" t="s">
        <v>13</v>
      </c>
      <c r="Q392" s="27">
        <v>1993</v>
      </c>
      <c r="R392" s="27">
        <v>1</v>
      </c>
      <c r="S392" s="27">
        <v>0</v>
      </c>
      <c r="T392" s="27">
        <v>-1.8E-3</v>
      </c>
      <c r="U392" s="27">
        <v>-1.2E-2</v>
      </c>
      <c r="V392" s="27">
        <v>0</v>
      </c>
      <c r="W392" s="27">
        <v>0</v>
      </c>
      <c r="X392" s="27" t="s">
        <v>859</v>
      </c>
    </row>
    <row r="393" spans="1:24">
      <c r="A393" s="27">
        <v>1</v>
      </c>
      <c r="B393" s="27">
        <v>4</v>
      </c>
      <c r="C393" s="27">
        <v>13</v>
      </c>
      <c r="D393" s="27">
        <v>2011</v>
      </c>
      <c r="E393" s="27">
        <v>2011</v>
      </c>
      <c r="F393" s="27">
        <v>4</v>
      </c>
      <c r="G393" s="27">
        <v>13</v>
      </c>
      <c r="H393" s="27">
        <v>0</v>
      </c>
      <c r="I393" s="27">
        <v>0</v>
      </c>
      <c r="J393" s="27">
        <v>0</v>
      </c>
      <c r="K393" s="27">
        <v>0.98</v>
      </c>
      <c r="L393" s="27">
        <v>4000</v>
      </c>
      <c r="M393" s="27">
        <v>3600</v>
      </c>
      <c r="N393" s="27">
        <v>150</v>
      </c>
      <c r="O393" s="27">
        <v>90</v>
      </c>
      <c r="P393" s="27" t="s">
        <v>13</v>
      </c>
      <c r="Q393" s="27">
        <v>1993</v>
      </c>
      <c r="R393" s="27">
        <v>1</v>
      </c>
      <c r="S393" s="27">
        <v>0</v>
      </c>
      <c r="T393" s="27">
        <v>-1.8E-3</v>
      </c>
      <c r="U393" s="27">
        <v>-1.2E-2</v>
      </c>
      <c r="V393" s="27">
        <v>0</v>
      </c>
      <c r="W393" s="27">
        <v>0</v>
      </c>
      <c r="X393" s="27" t="s">
        <v>859</v>
      </c>
    </row>
    <row r="394" spans="1:24">
      <c r="A394" s="27">
        <v>1</v>
      </c>
      <c r="B394" s="27">
        <v>4</v>
      </c>
      <c r="C394" s="27">
        <v>13</v>
      </c>
      <c r="D394" s="27">
        <v>2011</v>
      </c>
      <c r="E394" s="27">
        <v>2011</v>
      </c>
      <c r="F394" s="27">
        <v>5</v>
      </c>
      <c r="G394" s="27">
        <v>13</v>
      </c>
      <c r="H394" s="27">
        <v>0</v>
      </c>
      <c r="I394" s="27">
        <v>0</v>
      </c>
      <c r="J394" s="27">
        <v>0</v>
      </c>
      <c r="K394" s="27">
        <v>0.98</v>
      </c>
      <c r="L394" s="27">
        <v>4000</v>
      </c>
      <c r="M394" s="27">
        <v>3600</v>
      </c>
      <c r="N394" s="27">
        <v>150</v>
      </c>
      <c r="O394" s="27">
        <v>90</v>
      </c>
      <c r="P394" s="27" t="s">
        <v>13</v>
      </c>
      <c r="Q394" s="27">
        <v>1993</v>
      </c>
      <c r="R394" s="27">
        <v>1</v>
      </c>
      <c r="S394" s="27">
        <v>0</v>
      </c>
      <c r="T394" s="27">
        <v>-1.8E-3</v>
      </c>
      <c r="U394" s="27">
        <v>-1.2E-2</v>
      </c>
      <c r="V394" s="27">
        <v>0</v>
      </c>
      <c r="W394" s="27">
        <v>0</v>
      </c>
      <c r="X394" s="27" t="s">
        <v>859</v>
      </c>
    </row>
    <row r="395" spans="1:24">
      <c r="A395" s="27">
        <v>1</v>
      </c>
      <c r="B395" s="27">
        <v>4</v>
      </c>
      <c r="C395" s="27">
        <v>13</v>
      </c>
      <c r="D395" s="27">
        <v>2011</v>
      </c>
      <c r="E395" s="27">
        <v>2011</v>
      </c>
      <c r="F395" s="27">
        <v>6</v>
      </c>
      <c r="G395" s="27">
        <v>13</v>
      </c>
      <c r="H395" s="27">
        <v>0</v>
      </c>
      <c r="I395" s="27">
        <v>0</v>
      </c>
      <c r="J395" s="27">
        <v>0</v>
      </c>
      <c r="K395" s="27">
        <v>0.98</v>
      </c>
      <c r="L395" s="27">
        <v>4000</v>
      </c>
      <c r="M395" s="27">
        <v>3600</v>
      </c>
      <c r="N395" s="27">
        <v>150</v>
      </c>
      <c r="O395" s="27">
        <v>90</v>
      </c>
      <c r="P395" s="27" t="s">
        <v>13</v>
      </c>
      <c r="Q395" s="27">
        <v>1993</v>
      </c>
      <c r="R395" s="27">
        <v>1</v>
      </c>
      <c r="S395" s="27">
        <v>0</v>
      </c>
      <c r="T395" s="27">
        <v>-1.8E-3</v>
      </c>
      <c r="U395" s="27">
        <v>-1.2E-2</v>
      </c>
      <c r="V395" s="27">
        <v>0</v>
      </c>
      <c r="W395" s="27">
        <v>0</v>
      </c>
      <c r="X395" s="27" t="s">
        <v>859</v>
      </c>
    </row>
    <row r="396" spans="1:24">
      <c r="A396" s="27">
        <v>1</v>
      </c>
      <c r="B396" s="27">
        <v>4</v>
      </c>
      <c r="C396" s="27">
        <v>13</v>
      </c>
      <c r="D396" s="27">
        <v>2011</v>
      </c>
      <c r="E396" s="27">
        <v>2011</v>
      </c>
      <c r="F396" s="27">
        <v>7</v>
      </c>
      <c r="G396" s="27">
        <v>13</v>
      </c>
      <c r="H396" s="27">
        <v>0</v>
      </c>
      <c r="I396" s="27">
        <v>0</v>
      </c>
      <c r="J396" s="27">
        <v>0</v>
      </c>
      <c r="K396" s="27">
        <v>0.98</v>
      </c>
      <c r="L396" s="27">
        <v>4000</v>
      </c>
      <c r="M396" s="27">
        <v>3600</v>
      </c>
      <c r="N396" s="27">
        <v>150</v>
      </c>
      <c r="O396" s="27">
        <v>90</v>
      </c>
      <c r="P396" s="27" t="s">
        <v>13</v>
      </c>
      <c r="Q396" s="27">
        <v>1993</v>
      </c>
      <c r="R396" s="27">
        <v>1</v>
      </c>
      <c r="S396" s="27">
        <v>0</v>
      </c>
      <c r="T396" s="27">
        <v>-1.8E-3</v>
      </c>
      <c r="U396" s="27">
        <v>-1.2E-2</v>
      </c>
      <c r="V396" s="27">
        <v>0</v>
      </c>
      <c r="W396" s="27">
        <v>0</v>
      </c>
      <c r="X396" s="27" t="s">
        <v>859</v>
      </c>
    </row>
    <row r="397" spans="1:24">
      <c r="A397" s="27">
        <v>1</v>
      </c>
      <c r="B397" s="27">
        <v>4</v>
      </c>
      <c r="C397" s="27">
        <v>13</v>
      </c>
      <c r="D397" s="27">
        <v>2011</v>
      </c>
      <c r="E397" s="27">
        <v>2011</v>
      </c>
      <c r="F397" s="27">
        <v>8</v>
      </c>
      <c r="G397" s="27">
        <v>13</v>
      </c>
      <c r="H397" s="27">
        <v>0</v>
      </c>
      <c r="I397" s="27">
        <v>0</v>
      </c>
      <c r="J397" s="27">
        <v>0</v>
      </c>
      <c r="K397" s="27">
        <v>0.98</v>
      </c>
      <c r="L397" s="27">
        <v>4000</v>
      </c>
      <c r="M397" s="27">
        <v>3600</v>
      </c>
      <c r="N397" s="27">
        <v>150</v>
      </c>
      <c r="O397" s="27">
        <v>90</v>
      </c>
      <c r="P397" s="27" t="s">
        <v>13</v>
      </c>
      <c r="Q397" s="27">
        <v>1993</v>
      </c>
      <c r="R397" s="27">
        <v>1</v>
      </c>
      <c r="S397" s="27">
        <v>0</v>
      </c>
      <c r="T397" s="27">
        <v>-1.8E-3</v>
      </c>
      <c r="U397" s="27">
        <v>-1.2E-2</v>
      </c>
      <c r="V397" s="27">
        <v>0</v>
      </c>
      <c r="W397" s="27">
        <v>0</v>
      </c>
      <c r="X397" s="27" t="s">
        <v>859</v>
      </c>
    </row>
    <row r="398" spans="1:24">
      <c r="A398" s="27">
        <v>1</v>
      </c>
      <c r="B398" s="27">
        <v>4</v>
      </c>
      <c r="C398" s="27">
        <v>13</v>
      </c>
      <c r="D398" s="27">
        <v>2011</v>
      </c>
      <c r="E398" s="27">
        <v>2011</v>
      </c>
      <c r="F398" s="27">
        <v>9</v>
      </c>
      <c r="G398" s="27">
        <v>13</v>
      </c>
      <c r="H398" s="27">
        <v>0</v>
      </c>
      <c r="I398" s="27">
        <v>0</v>
      </c>
      <c r="J398" s="27">
        <v>0</v>
      </c>
      <c r="K398" s="27">
        <v>0.98</v>
      </c>
      <c r="L398" s="27">
        <v>4000</v>
      </c>
      <c r="M398" s="27">
        <v>3600</v>
      </c>
      <c r="N398" s="27">
        <v>150</v>
      </c>
      <c r="O398" s="27">
        <v>90</v>
      </c>
      <c r="P398" s="27" t="s">
        <v>13</v>
      </c>
      <c r="Q398" s="27">
        <v>1993</v>
      </c>
      <c r="R398" s="27">
        <v>1</v>
      </c>
      <c r="S398" s="27">
        <v>0</v>
      </c>
      <c r="T398" s="27">
        <v>-1.8E-3</v>
      </c>
      <c r="U398" s="27">
        <v>-1.2E-2</v>
      </c>
      <c r="V398" s="27">
        <v>0</v>
      </c>
      <c r="W398" s="27">
        <v>0</v>
      </c>
      <c r="X398" s="27" t="s">
        <v>859</v>
      </c>
    </row>
    <row r="399" spans="1:24">
      <c r="A399" s="27">
        <v>1</v>
      </c>
      <c r="B399" s="27">
        <v>4</v>
      </c>
      <c r="C399" s="27">
        <v>13</v>
      </c>
      <c r="D399" s="27">
        <v>2012</v>
      </c>
      <c r="E399" s="27">
        <v>2012</v>
      </c>
      <c r="F399" s="27">
        <v>1</v>
      </c>
      <c r="G399" s="27">
        <v>13</v>
      </c>
      <c r="H399" s="27">
        <v>0</v>
      </c>
      <c r="I399" s="27">
        <v>0</v>
      </c>
      <c r="J399" s="27">
        <v>0</v>
      </c>
      <c r="K399" s="27">
        <v>0.98</v>
      </c>
      <c r="L399" s="27">
        <v>4000</v>
      </c>
      <c r="M399" s="27">
        <v>3600</v>
      </c>
      <c r="N399" s="27">
        <v>0</v>
      </c>
      <c r="O399" s="27">
        <v>0</v>
      </c>
      <c r="P399" s="27" t="s">
        <v>13</v>
      </c>
      <c r="Q399" s="27">
        <v>1993</v>
      </c>
      <c r="R399" s="27">
        <v>1</v>
      </c>
      <c r="S399" s="27">
        <v>0</v>
      </c>
      <c r="T399" s="27">
        <v>-1.8E-3</v>
      </c>
      <c r="U399" s="27">
        <v>-1.2E-2</v>
      </c>
      <c r="V399" s="27">
        <v>0</v>
      </c>
      <c r="W399" s="27">
        <v>0</v>
      </c>
      <c r="X399" s="27" t="s">
        <v>859</v>
      </c>
    </row>
    <row r="400" spans="1:24">
      <c r="A400" s="27">
        <v>1</v>
      </c>
      <c r="B400" s="27">
        <v>4</v>
      </c>
      <c r="C400" s="27">
        <v>13</v>
      </c>
      <c r="D400" s="27">
        <v>2012</v>
      </c>
      <c r="E400" s="27">
        <v>2012</v>
      </c>
      <c r="F400" s="27">
        <v>2</v>
      </c>
      <c r="G400" s="27">
        <v>13</v>
      </c>
      <c r="H400" s="27">
        <v>0</v>
      </c>
      <c r="I400" s="27">
        <v>0</v>
      </c>
      <c r="J400" s="27">
        <v>0</v>
      </c>
      <c r="K400" s="27">
        <v>0.98</v>
      </c>
      <c r="L400" s="27">
        <v>4000</v>
      </c>
      <c r="M400" s="27">
        <v>3600</v>
      </c>
      <c r="N400" s="27">
        <v>0</v>
      </c>
      <c r="O400" s="27">
        <v>0</v>
      </c>
      <c r="P400" s="27" t="s">
        <v>13</v>
      </c>
      <c r="Q400" s="27">
        <v>1993</v>
      </c>
      <c r="R400" s="27">
        <v>1</v>
      </c>
      <c r="S400" s="27">
        <v>0</v>
      </c>
      <c r="T400" s="27">
        <v>-1.8E-3</v>
      </c>
      <c r="U400" s="27">
        <v>-1.2E-2</v>
      </c>
      <c r="V400" s="27">
        <v>0</v>
      </c>
      <c r="W400" s="27">
        <v>0</v>
      </c>
      <c r="X400" s="27" t="s">
        <v>859</v>
      </c>
    </row>
    <row r="401" spans="1:24">
      <c r="A401" s="27">
        <v>1</v>
      </c>
      <c r="B401" s="27">
        <v>4</v>
      </c>
      <c r="C401" s="27">
        <v>13</v>
      </c>
      <c r="D401" s="27">
        <v>2012</v>
      </c>
      <c r="E401" s="27">
        <v>2012</v>
      </c>
      <c r="F401" s="27">
        <v>3</v>
      </c>
      <c r="G401" s="27">
        <v>13</v>
      </c>
      <c r="H401" s="27">
        <v>0</v>
      </c>
      <c r="I401" s="27">
        <v>0</v>
      </c>
      <c r="J401" s="27">
        <v>0</v>
      </c>
      <c r="K401" s="27">
        <v>0.98</v>
      </c>
      <c r="L401" s="27">
        <v>4000</v>
      </c>
      <c r="M401" s="27">
        <v>3600</v>
      </c>
      <c r="N401" s="27">
        <v>0</v>
      </c>
      <c r="O401" s="27">
        <v>0</v>
      </c>
      <c r="P401" s="27" t="s">
        <v>13</v>
      </c>
      <c r="Q401" s="27">
        <v>1993</v>
      </c>
      <c r="R401" s="27">
        <v>1</v>
      </c>
      <c r="S401" s="27">
        <v>0</v>
      </c>
      <c r="T401" s="27">
        <v>-1.8E-3</v>
      </c>
      <c r="U401" s="27">
        <v>-1.2E-2</v>
      </c>
      <c r="V401" s="27">
        <v>0</v>
      </c>
      <c r="W401" s="27">
        <v>0</v>
      </c>
      <c r="X401" s="27" t="s">
        <v>859</v>
      </c>
    </row>
    <row r="402" spans="1:24">
      <c r="A402" s="27">
        <v>1</v>
      </c>
      <c r="B402" s="27">
        <v>4</v>
      </c>
      <c r="C402" s="27">
        <v>13</v>
      </c>
      <c r="D402" s="27">
        <v>2012</v>
      </c>
      <c r="E402" s="27">
        <v>2012</v>
      </c>
      <c r="F402" s="27">
        <v>4</v>
      </c>
      <c r="G402" s="27">
        <v>13</v>
      </c>
      <c r="H402" s="27">
        <v>0</v>
      </c>
      <c r="I402" s="27">
        <v>0</v>
      </c>
      <c r="J402" s="27">
        <v>0</v>
      </c>
      <c r="K402" s="27">
        <v>0.98</v>
      </c>
      <c r="L402" s="27">
        <v>4000</v>
      </c>
      <c r="M402" s="27">
        <v>3600</v>
      </c>
      <c r="N402" s="27">
        <v>0</v>
      </c>
      <c r="O402" s="27">
        <v>0</v>
      </c>
      <c r="P402" s="27" t="s">
        <v>13</v>
      </c>
      <c r="Q402" s="27">
        <v>1993</v>
      </c>
      <c r="R402" s="27">
        <v>1</v>
      </c>
      <c r="S402" s="27">
        <v>0</v>
      </c>
      <c r="T402" s="27">
        <v>-1.8E-3</v>
      </c>
      <c r="U402" s="27">
        <v>-1.2E-2</v>
      </c>
      <c r="V402" s="27">
        <v>0</v>
      </c>
      <c r="W402" s="27">
        <v>0</v>
      </c>
      <c r="X402" s="27" t="s">
        <v>859</v>
      </c>
    </row>
    <row r="403" spans="1:24">
      <c r="A403" s="27">
        <v>1</v>
      </c>
      <c r="B403" s="27">
        <v>4</v>
      </c>
      <c r="C403" s="27">
        <v>13</v>
      </c>
      <c r="D403" s="27">
        <v>2012</v>
      </c>
      <c r="E403" s="27">
        <v>2012</v>
      </c>
      <c r="F403" s="27">
        <v>5</v>
      </c>
      <c r="G403" s="27">
        <v>13</v>
      </c>
      <c r="H403" s="27">
        <v>0</v>
      </c>
      <c r="I403" s="27">
        <v>0</v>
      </c>
      <c r="J403" s="27">
        <v>0</v>
      </c>
      <c r="K403" s="27">
        <v>0.98</v>
      </c>
      <c r="L403" s="27">
        <v>4000</v>
      </c>
      <c r="M403" s="27">
        <v>3600</v>
      </c>
      <c r="N403" s="27">
        <v>0</v>
      </c>
      <c r="O403" s="27">
        <v>0</v>
      </c>
      <c r="P403" s="27" t="s">
        <v>13</v>
      </c>
      <c r="Q403" s="27">
        <v>1993</v>
      </c>
      <c r="R403" s="27">
        <v>1</v>
      </c>
      <c r="S403" s="27">
        <v>0</v>
      </c>
      <c r="T403" s="27">
        <v>-1.8E-3</v>
      </c>
      <c r="U403" s="27">
        <v>-1.2E-2</v>
      </c>
      <c r="V403" s="27">
        <v>0</v>
      </c>
      <c r="W403" s="27">
        <v>0</v>
      </c>
      <c r="X403" s="27" t="s">
        <v>859</v>
      </c>
    </row>
    <row r="404" spans="1:24">
      <c r="A404" s="27">
        <v>1</v>
      </c>
      <c r="B404" s="27">
        <v>4</v>
      </c>
      <c r="C404" s="27">
        <v>13</v>
      </c>
      <c r="D404" s="27">
        <v>2012</v>
      </c>
      <c r="E404" s="27">
        <v>2012</v>
      </c>
      <c r="F404" s="27">
        <v>6</v>
      </c>
      <c r="G404" s="27">
        <v>13</v>
      </c>
      <c r="H404" s="27">
        <v>0</v>
      </c>
      <c r="I404" s="27">
        <v>0</v>
      </c>
      <c r="J404" s="27">
        <v>0</v>
      </c>
      <c r="K404" s="27">
        <v>0.98</v>
      </c>
      <c r="L404" s="27">
        <v>4000</v>
      </c>
      <c r="M404" s="27">
        <v>3600</v>
      </c>
      <c r="N404" s="27">
        <v>0</v>
      </c>
      <c r="O404" s="27">
        <v>0</v>
      </c>
      <c r="P404" s="27" t="s">
        <v>13</v>
      </c>
      <c r="Q404" s="27">
        <v>1993</v>
      </c>
      <c r="R404" s="27">
        <v>1</v>
      </c>
      <c r="S404" s="27">
        <v>0</v>
      </c>
      <c r="T404" s="27">
        <v>-1.8E-3</v>
      </c>
      <c r="U404" s="27">
        <v>-1.2E-2</v>
      </c>
      <c r="V404" s="27">
        <v>0</v>
      </c>
      <c r="W404" s="27">
        <v>0</v>
      </c>
      <c r="X404" s="27" t="s">
        <v>859</v>
      </c>
    </row>
    <row r="405" spans="1:24">
      <c r="A405" s="27">
        <v>1</v>
      </c>
      <c r="B405" s="27">
        <v>4</v>
      </c>
      <c r="C405" s="27">
        <v>13</v>
      </c>
      <c r="D405" s="27">
        <v>2012</v>
      </c>
      <c r="E405" s="27">
        <v>2012</v>
      </c>
      <c r="F405" s="27">
        <v>7</v>
      </c>
      <c r="G405" s="27">
        <v>13</v>
      </c>
      <c r="H405" s="27">
        <v>0</v>
      </c>
      <c r="I405" s="27">
        <v>0</v>
      </c>
      <c r="J405" s="27">
        <v>0</v>
      </c>
      <c r="K405" s="27">
        <v>0.98</v>
      </c>
      <c r="L405" s="27">
        <v>4000</v>
      </c>
      <c r="M405" s="27">
        <v>3600</v>
      </c>
      <c r="N405" s="27">
        <v>0</v>
      </c>
      <c r="O405" s="27">
        <v>0</v>
      </c>
      <c r="P405" s="27" t="s">
        <v>13</v>
      </c>
      <c r="Q405" s="27">
        <v>1993</v>
      </c>
      <c r="R405" s="27">
        <v>1</v>
      </c>
      <c r="S405" s="27">
        <v>0</v>
      </c>
      <c r="T405" s="27">
        <v>-1.8E-3</v>
      </c>
      <c r="U405" s="27">
        <v>-1.2E-2</v>
      </c>
      <c r="V405" s="27">
        <v>0</v>
      </c>
      <c r="W405" s="27">
        <v>0</v>
      </c>
      <c r="X405" s="27" t="s">
        <v>859</v>
      </c>
    </row>
    <row r="406" spans="1:24">
      <c r="A406" s="27">
        <v>1</v>
      </c>
      <c r="B406" s="27">
        <v>4</v>
      </c>
      <c r="C406" s="27">
        <v>13</v>
      </c>
      <c r="D406" s="27">
        <v>2012</v>
      </c>
      <c r="E406" s="27">
        <v>2012</v>
      </c>
      <c r="F406" s="27">
        <v>8</v>
      </c>
      <c r="G406" s="27">
        <v>13</v>
      </c>
      <c r="H406" s="27">
        <v>0</v>
      </c>
      <c r="I406" s="27">
        <v>0</v>
      </c>
      <c r="J406" s="27">
        <v>0</v>
      </c>
      <c r="K406" s="27">
        <v>0.98</v>
      </c>
      <c r="L406" s="27">
        <v>4000</v>
      </c>
      <c r="M406" s="27">
        <v>3600</v>
      </c>
      <c r="N406" s="27">
        <v>0</v>
      </c>
      <c r="O406" s="27">
        <v>0</v>
      </c>
      <c r="P406" s="27" t="s">
        <v>13</v>
      </c>
      <c r="Q406" s="27">
        <v>1993</v>
      </c>
      <c r="R406" s="27">
        <v>1</v>
      </c>
      <c r="S406" s="27">
        <v>0</v>
      </c>
      <c r="T406" s="27">
        <v>-1.8E-3</v>
      </c>
      <c r="U406" s="27">
        <v>-1.2E-2</v>
      </c>
      <c r="V406" s="27">
        <v>0</v>
      </c>
      <c r="W406" s="27">
        <v>0</v>
      </c>
      <c r="X406" s="27" t="s">
        <v>859</v>
      </c>
    </row>
    <row r="407" spans="1:24">
      <c r="A407" s="27">
        <v>1</v>
      </c>
      <c r="B407" s="27">
        <v>4</v>
      </c>
      <c r="C407" s="27">
        <v>13</v>
      </c>
      <c r="D407" s="27">
        <v>2012</v>
      </c>
      <c r="E407" s="27">
        <v>2012</v>
      </c>
      <c r="F407" s="27">
        <v>9</v>
      </c>
      <c r="G407" s="27">
        <v>13</v>
      </c>
      <c r="H407" s="27">
        <v>0</v>
      </c>
      <c r="I407" s="27">
        <v>0</v>
      </c>
      <c r="J407" s="27">
        <v>0</v>
      </c>
      <c r="K407" s="27">
        <v>0.98</v>
      </c>
      <c r="L407" s="27">
        <v>4000</v>
      </c>
      <c r="M407" s="27">
        <v>3600</v>
      </c>
      <c r="N407" s="27">
        <v>0</v>
      </c>
      <c r="O407" s="27">
        <v>0</v>
      </c>
      <c r="P407" s="27" t="s">
        <v>13</v>
      </c>
      <c r="Q407" s="27">
        <v>1993</v>
      </c>
      <c r="R407" s="27">
        <v>1</v>
      </c>
      <c r="S407" s="27">
        <v>0</v>
      </c>
      <c r="T407" s="27">
        <v>-1.8E-3</v>
      </c>
      <c r="U407" s="27">
        <v>-1.2E-2</v>
      </c>
      <c r="V407" s="27">
        <v>0</v>
      </c>
      <c r="W407" s="27">
        <v>0</v>
      </c>
      <c r="X407" s="27" t="s">
        <v>859</v>
      </c>
    </row>
    <row r="408" spans="1:24">
      <c r="A408" s="27">
        <v>1</v>
      </c>
      <c r="B408" s="27">
        <v>4</v>
      </c>
      <c r="C408" s="27">
        <v>13</v>
      </c>
      <c r="D408" s="27">
        <v>2013</v>
      </c>
      <c r="E408" s="27">
        <v>2013</v>
      </c>
      <c r="F408" s="27">
        <v>1</v>
      </c>
      <c r="G408" s="27">
        <v>13</v>
      </c>
      <c r="H408" s="27">
        <v>0</v>
      </c>
      <c r="I408" s="27">
        <v>0</v>
      </c>
      <c r="J408" s="27">
        <v>0</v>
      </c>
      <c r="K408" s="27">
        <v>0.98</v>
      </c>
      <c r="L408" s="27">
        <v>4000</v>
      </c>
      <c r="M408" s="27">
        <v>3600</v>
      </c>
      <c r="N408" s="27">
        <v>150</v>
      </c>
      <c r="O408" s="27">
        <v>90</v>
      </c>
      <c r="P408" s="27" t="s">
        <v>13</v>
      </c>
      <c r="Q408" s="27">
        <v>1993</v>
      </c>
      <c r="R408" s="27">
        <v>1</v>
      </c>
      <c r="S408" s="27">
        <v>0</v>
      </c>
      <c r="T408" s="27">
        <v>-1.8E-3</v>
      </c>
      <c r="U408" s="27">
        <v>-1.2E-2</v>
      </c>
      <c r="V408" s="27">
        <v>0</v>
      </c>
      <c r="W408" s="27">
        <v>0</v>
      </c>
      <c r="X408" s="27" t="s">
        <v>859</v>
      </c>
    </row>
    <row r="409" spans="1:24">
      <c r="A409" s="27">
        <v>1</v>
      </c>
      <c r="B409" s="27">
        <v>4</v>
      </c>
      <c r="C409" s="27">
        <v>13</v>
      </c>
      <c r="D409" s="27">
        <v>2013</v>
      </c>
      <c r="E409" s="27">
        <v>2013</v>
      </c>
      <c r="F409" s="27">
        <v>2</v>
      </c>
      <c r="G409" s="27">
        <v>13</v>
      </c>
      <c r="H409" s="27">
        <v>0</v>
      </c>
      <c r="I409" s="27">
        <v>0</v>
      </c>
      <c r="J409" s="27">
        <v>0</v>
      </c>
      <c r="K409" s="27">
        <v>0.98</v>
      </c>
      <c r="L409" s="27">
        <v>4000</v>
      </c>
      <c r="M409" s="27">
        <v>3600</v>
      </c>
      <c r="N409" s="27">
        <v>150</v>
      </c>
      <c r="O409" s="27">
        <v>90</v>
      </c>
      <c r="P409" s="27" t="s">
        <v>13</v>
      </c>
      <c r="Q409" s="27">
        <v>1993</v>
      </c>
      <c r="R409" s="27">
        <v>1</v>
      </c>
      <c r="S409" s="27">
        <v>0</v>
      </c>
      <c r="T409" s="27">
        <v>-1.8E-3</v>
      </c>
      <c r="U409" s="27">
        <v>-1.2E-2</v>
      </c>
      <c r="V409" s="27">
        <v>0</v>
      </c>
      <c r="W409" s="27">
        <v>0</v>
      </c>
      <c r="X409" s="27" t="s">
        <v>859</v>
      </c>
    </row>
    <row r="410" spans="1:24">
      <c r="A410" s="27">
        <v>1</v>
      </c>
      <c r="B410" s="27">
        <v>4</v>
      </c>
      <c r="C410" s="27">
        <v>13</v>
      </c>
      <c r="D410" s="27">
        <v>2013</v>
      </c>
      <c r="E410" s="27">
        <v>2013</v>
      </c>
      <c r="F410" s="27">
        <v>3</v>
      </c>
      <c r="G410" s="27">
        <v>13</v>
      </c>
      <c r="H410" s="27">
        <v>0</v>
      </c>
      <c r="I410" s="27">
        <v>0</v>
      </c>
      <c r="J410" s="27">
        <v>0</v>
      </c>
      <c r="K410" s="27">
        <v>0.98</v>
      </c>
      <c r="L410" s="27">
        <v>4000</v>
      </c>
      <c r="M410" s="27">
        <v>3600</v>
      </c>
      <c r="N410" s="27">
        <v>150</v>
      </c>
      <c r="O410" s="27">
        <v>90</v>
      </c>
      <c r="P410" s="27" t="s">
        <v>13</v>
      </c>
      <c r="Q410" s="27">
        <v>1993</v>
      </c>
      <c r="R410" s="27">
        <v>1</v>
      </c>
      <c r="S410" s="27">
        <v>0</v>
      </c>
      <c r="T410" s="27">
        <v>-1.8E-3</v>
      </c>
      <c r="U410" s="27">
        <v>-1.2E-2</v>
      </c>
      <c r="V410" s="27">
        <v>0</v>
      </c>
      <c r="W410" s="27">
        <v>0</v>
      </c>
      <c r="X410" s="27" t="s">
        <v>859</v>
      </c>
    </row>
    <row r="411" spans="1:24">
      <c r="A411" s="27">
        <v>1</v>
      </c>
      <c r="B411" s="27">
        <v>4</v>
      </c>
      <c r="C411" s="27">
        <v>13</v>
      </c>
      <c r="D411" s="27">
        <v>2013</v>
      </c>
      <c r="E411" s="27">
        <v>2013</v>
      </c>
      <c r="F411" s="27">
        <v>4</v>
      </c>
      <c r="G411" s="27">
        <v>13</v>
      </c>
      <c r="H411" s="27">
        <v>0</v>
      </c>
      <c r="I411" s="27">
        <v>0</v>
      </c>
      <c r="J411" s="27">
        <v>0</v>
      </c>
      <c r="K411" s="27">
        <v>0.98</v>
      </c>
      <c r="L411" s="27">
        <v>4000</v>
      </c>
      <c r="M411" s="27">
        <v>3600</v>
      </c>
      <c r="N411" s="27">
        <v>150</v>
      </c>
      <c r="O411" s="27">
        <v>90</v>
      </c>
      <c r="P411" s="27" t="s">
        <v>13</v>
      </c>
      <c r="Q411" s="27">
        <v>1993</v>
      </c>
      <c r="R411" s="27">
        <v>1</v>
      </c>
      <c r="S411" s="27">
        <v>0</v>
      </c>
      <c r="T411" s="27">
        <v>-1.8E-3</v>
      </c>
      <c r="U411" s="27">
        <v>-1.2E-2</v>
      </c>
      <c r="V411" s="27">
        <v>0</v>
      </c>
      <c r="W411" s="27">
        <v>0</v>
      </c>
      <c r="X411" s="27" t="s">
        <v>859</v>
      </c>
    </row>
    <row r="412" spans="1:24">
      <c r="A412" s="27">
        <v>1</v>
      </c>
      <c r="B412" s="27">
        <v>4</v>
      </c>
      <c r="C412" s="27">
        <v>13</v>
      </c>
      <c r="D412" s="27">
        <v>2013</v>
      </c>
      <c r="E412" s="27">
        <v>2013</v>
      </c>
      <c r="F412" s="27">
        <v>5</v>
      </c>
      <c r="G412" s="27">
        <v>13</v>
      </c>
      <c r="H412" s="27">
        <v>0</v>
      </c>
      <c r="I412" s="27">
        <v>0</v>
      </c>
      <c r="J412" s="27">
        <v>0</v>
      </c>
      <c r="K412" s="27">
        <v>0.98</v>
      </c>
      <c r="L412" s="27">
        <v>4000</v>
      </c>
      <c r="M412" s="27">
        <v>3600</v>
      </c>
      <c r="N412" s="27">
        <v>150</v>
      </c>
      <c r="O412" s="27">
        <v>90</v>
      </c>
      <c r="P412" s="27" t="s">
        <v>13</v>
      </c>
      <c r="Q412" s="27">
        <v>1993</v>
      </c>
      <c r="R412" s="27">
        <v>1</v>
      </c>
      <c r="S412" s="27">
        <v>0</v>
      </c>
      <c r="T412" s="27">
        <v>-1.8E-3</v>
      </c>
      <c r="U412" s="27">
        <v>-1.2E-2</v>
      </c>
      <c r="V412" s="27">
        <v>0</v>
      </c>
      <c r="W412" s="27">
        <v>0</v>
      </c>
      <c r="X412" s="27" t="s">
        <v>859</v>
      </c>
    </row>
    <row r="413" spans="1:24">
      <c r="A413" s="27">
        <v>1</v>
      </c>
      <c r="B413" s="27">
        <v>4</v>
      </c>
      <c r="C413" s="27">
        <v>13</v>
      </c>
      <c r="D413" s="27">
        <v>2013</v>
      </c>
      <c r="E413" s="27">
        <v>2013</v>
      </c>
      <c r="F413" s="27">
        <v>6</v>
      </c>
      <c r="G413" s="27">
        <v>13</v>
      </c>
      <c r="H413" s="27">
        <v>0</v>
      </c>
      <c r="I413" s="27">
        <v>0</v>
      </c>
      <c r="J413" s="27">
        <v>0</v>
      </c>
      <c r="K413" s="27">
        <v>0.98</v>
      </c>
      <c r="L413" s="27">
        <v>4000</v>
      </c>
      <c r="M413" s="27">
        <v>3600</v>
      </c>
      <c r="N413" s="27">
        <v>150</v>
      </c>
      <c r="O413" s="27">
        <v>90</v>
      </c>
      <c r="P413" s="27" t="s">
        <v>13</v>
      </c>
      <c r="Q413" s="27">
        <v>1993</v>
      </c>
      <c r="R413" s="27">
        <v>1</v>
      </c>
      <c r="S413" s="27">
        <v>0</v>
      </c>
      <c r="T413" s="27">
        <v>-1.8E-3</v>
      </c>
      <c r="U413" s="27">
        <v>-1.2E-2</v>
      </c>
      <c r="V413" s="27">
        <v>0</v>
      </c>
      <c r="W413" s="27">
        <v>0</v>
      </c>
      <c r="X413" s="27" t="s">
        <v>859</v>
      </c>
    </row>
    <row r="414" spans="1:24">
      <c r="A414" s="27">
        <v>1</v>
      </c>
      <c r="B414" s="27">
        <v>4</v>
      </c>
      <c r="C414" s="27">
        <v>13</v>
      </c>
      <c r="D414" s="27">
        <v>2013</v>
      </c>
      <c r="E414" s="27">
        <v>2013</v>
      </c>
      <c r="F414" s="27">
        <v>7</v>
      </c>
      <c r="G414" s="27">
        <v>13</v>
      </c>
      <c r="H414" s="27">
        <v>0</v>
      </c>
      <c r="I414" s="27">
        <v>0</v>
      </c>
      <c r="J414" s="27">
        <v>0</v>
      </c>
      <c r="K414" s="27">
        <v>0.98</v>
      </c>
      <c r="L414" s="27">
        <v>4000</v>
      </c>
      <c r="M414" s="27">
        <v>3600</v>
      </c>
      <c r="N414" s="27">
        <v>150</v>
      </c>
      <c r="O414" s="27">
        <v>90</v>
      </c>
      <c r="P414" s="27" t="s">
        <v>13</v>
      </c>
      <c r="Q414" s="27">
        <v>1993</v>
      </c>
      <c r="R414" s="27">
        <v>1</v>
      </c>
      <c r="S414" s="27">
        <v>0</v>
      </c>
      <c r="T414" s="27">
        <v>-1.8E-3</v>
      </c>
      <c r="U414" s="27">
        <v>-1.2E-2</v>
      </c>
      <c r="V414" s="27">
        <v>0</v>
      </c>
      <c r="W414" s="27">
        <v>0</v>
      </c>
      <c r="X414" s="27" t="s">
        <v>859</v>
      </c>
    </row>
    <row r="415" spans="1:24">
      <c r="A415" s="27">
        <v>1</v>
      </c>
      <c r="B415" s="27">
        <v>4</v>
      </c>
      <c r="C415" s="27">
        <v>13</v>
      </c>
      <c r="D415" s="27">
        <v>2013</v>
      </c>
      <c r="E415" s="27">
        <v>2013</v>
      </c>
      <c r="F415" s="27">
        <v>8</v>
      </c>
      <c r="G415" s="27">
        <v>13</v>
      </c>
      <c r="H415" s="27">
        <v>0</v>
      </c>
      <c r="I415" s="27">
        <v>0</v>
      </c>
      <c r="J415" s="27">
        <v>0</v>
      </c>
      <c r="K415" s="27">
        <v>0.98</v>
      </c>
      <c r="L415" s="27">
        <v>4000</v>
      </c>
      <c r="M415" s="27">
        <v>3600</v>
      </c>
      <c r="N415" s="27">
        <v>150</v>
      </c>
      <c r="O415" s="27">
        <v>90</v>
      </c>
      <c r="P415" s="27" t="s">
        <v>13</v>
      </c>
      <c r="Q415" s="27">
        <v>1993</v>
      </c>
      <c r="R415" s="27">
        <v>1</v>
      </c>
      <c r="S415" s="27">
        <v>0</v>
      </c>
      <c r="T415" s="27">
        <v>-1.8E-3</v>
      </c>
      <c r="U415" s="27">
        <v>-1.2E-2</v>
      </c>
      <c r="V415" s="27">
        <v>0</v>
      </c>
      <c r="W415" s="27">
        <v>0</v>
      </c>
      <c r="X415" s="27" t="s">
        <v>859</v>
      </c>
    </row>
    <row r="416" spans="1:24">
      <c r="A416" s="27">
        <v>1</v>
      </c>
      <c r="B416" s="27">
        <v>4</v>
      </c>
      <c r="C416" s="27">
        <v>13</v>
      </c>
      <c r="D416" s="27">
        <v>2013</v>
      </c>
      <c r="E416" s="27">
        <v>2013</v>
      </c>
      <c r="F416" s="27">
        <v>9</v>
      </c>
      <c r="G416" s="27">
        <v>13</v>
      </c>
      <c r="H416" s="27">
        <v>0</v>
      </c>
      <c r="I416" s="27">
        <v>0</v>
      </c>
      <c r="J416" s="27">
        <v>0</v>
      </c>
      <c r="K416" s="27">
        <v>0.98</v>
      </c>
      <c r="L416" s="27">
        <v>4000</v>
      </c>
      <c r="M416" s="27">
        <v>3600</v>
      </c>
      <c r="N416" s="27">
        <v>150</v>
      </c>
      <c r="O416" s="27">
        <v>90</v>
      </c>
      <c r="P416" s="27" t="s">
        <v>13</v>
      </c>
      <c r="Q416" s="27">
        <v>1993</v>
      </c>
      <c r="R416" s="27">
        <v>1</v>
      </c>
      <c r="S416" s="27">
        <v>0</v>
      </c>
      <c r="T416" s="27">
        <v>-1.8E-3</v>
      </c>
      <c r="U416" s="27">
        <v>-1.2E-2</v>
      </c>
      <c r="V416" s="27">
        <v>0</v>
      </c>
      <c r="W416" s="27">
        <v>0</v>
      </c>
      <c r="X416" s="27" t="s">
        <v>859</v>
      </c>
    </row>
    <row r="417" spans="1:24">
      <c r="A417" s="27">
        <v>1</v>
      </c>
      <c r="B417" s="27">
        <v>4</v>
      </c>
      <c r="C417" s="27">
        <v>13</v>
      </c>
      <c r="D417" s="27">
        <v>2014</v>
      </c>
      <c r="E417" s="27">
        <v>2050</v>
      </c>
      <c r="F417" s="27">
        <v>1</v>
      </c>
      <c r="G417" s="27">
        <v>13</v>
      </c>
      <c r="H417" s="27">
        <v>0</v>
      </c>
      <c r="I417" s="27">
        <v>0</v>
      </c>
      <c r="J417" s="27">
        <v>0</v>
      </c>
      <c r="K417" s="27">
        <v>0.98</v>
      </c>
      <c r="L417" s="27">
        <v>4000</v>
      </c>
      <c r="M417" s="27">
        <v>3600</v>
      </c>
      <c r="N417" s="27">
        <v>0</v>
      </c>
      <c r="O417" s="27">
        <v>0</v>
      </c>
      <c r="P417" s="27" t="s">
        <v>13</v>
      </c>
      <c r="Q417" s="27">
        <v>1993</v>
      </c>
      <c r="R417" s="27">
        <v>1</v>
      </c>
      <c r="S417" s="27">
        <v>0</v>
      </c>
      <c r="T417" s="27">
        <v>-1.8E-3</v>
      </c>
      <c r="U417" s="27">
        <v>-1.2E-2</v>
      </c>
      <c r="V417" s="27">
        <v>0</v>
      </c>
      <c r="W417" s="27">
        <v>0</v>
      </c>
      <c r="X417" s="27" t="s">
        <v>859</v>
      </c>
    </row>
    <row r="418" spans="1:24">
      <c r="A418" s="27">
        <v>1</v>
      </c>
      <c r="B418" s="27">
        <v>4</v>
      </c>
      <c r="C418" s="27">
        <v>13</v>
      </c>
      <c r="D418" s="27">
        <v>2014</v>
      </c>
      <c r="E418" s="27">
        <v>2050</v>
      </c>
      <c r="F418" s="27">
        <v>2</v>
      </c>
      <c r="G418" s="27">
        <v>13</v>
      </c>
      <c r="H418" s="27">
        <v>0</v>
      </c>
      <c r="I418" s="27">
        <v>0</v>
      </c>
      <c r="J418" s="27">
        <v>0</v>
      </c>
      <c r="K418" s="27">
        <v>0.98</v>
      </c>
      <c r="L418" s="27">
        <v>4000</v>
      </c>
      <c r="M418" s="27">
        <v>3600</v>
      </c>
      <c r="N418" s="27">
        <v>0</v>
      </c>
      <c r="O418" s="27">
        <v>0</v>
      </c>
      <c r="P418" s="27" t="s">
        <v>13</v>
      </c>
      <c r="Q418" s="27">
        <v>1993</v>
      </c>
      <c r="R418" s="27">
        <v>1</v>
      </c>
      <c r="S418" s="27">
        <v>0</v>
      </c>
      <c r="T418" s="27">
        <v>-1.8E-3</v>
      </c>
      <c r="U418" s="27">
        <v>-1.2E-2</v>
      </c>
      <c r="V418" s="27">
        <v>0</v>
      </c>
      <c r="W418" s="27">
        <v>0</v>
      </c>
      <c r="X418" s="27" t="s">
        <v>859</v>
      </c>
    </row>
    <row r="419" spans="1:24">
      <c r="A419" s="27">
        <v>1</v>
      </c>
      <c r="B419" s="27">
        <v>4</v>
      </c>
      <c r="C419" s="27">
        <v>13</v>
      </c>
      <c r="D419" s="27">
        <v>2014</v>
      </c>
      <c r="E419" s="27">
        <v>2050</v>
      </c>
      <c r="F419" s="27">
        <v>3</v>
      </c>
      <c r="G419" s="27">
        <v>13</v>
      </c>
      <c r="H419" s="27">
        <v>0</v>
      </c>
      <c r="I419" s="27">
        <v>0</v>
      </c>
      <c r="J419" s="27">
        <v>0</v>
      </c>
      <c r="K419" s="27">
        <v>0.98</v>
      </c>
      <c r="L419" s="27">
        <v>4000</v>
      </c>
      <c r="M419" s="27">
        <v>3600</v>
      </c>
      <c r="N419" s="27">
        <v>0</v>
      </c>
      <c r="O419" s="27">
        <v>0</v>
      </c>
      <c r="P419" s="27" t="s">
        <v>13</v>
      </c>
      <c r="Q419" s="27">
        <v>1993</v>
      </c>
      <c r="R419" s="27">
        <v>1</v>
      </c>
      <c r="S419" s="27">
        <v>0</v>
      </c>
      <c r="T419" s="27">
        <v>-1.8E-3</v>
      </c>
      <c r="U419" s="27">
        <v>-1.2E-2</v>
      </c>
      <c r="V419" s="27">
        <v>0</v>
      </c>
      <c r="W419" s="27">
        <v>0</v>
      </c>
      <c r="X419" s="27" t="s">
        <v>859</v>
      </c>
    </row>
    <row r="420" spans="1:24">
      <c r="A420" s="27">
        <v>1</v>
      </c>
      <c r="B420" s="27">
        <v>4</v>
      </c>
      <c r="C420" s="27">
        <v>13</v>
      </c>
      <c r="D420" s="27">
        <v>2014</v>
      </c>
      <c r="E420" s="27">
        <v>2050</v>
      </c>
      <c r="F420" s="27">
        <v>4</v>
      </c>
      <c r="G420" s="27">
        <v>13</v>
      </c>
      <c r="H420" s="27">
        <v>0</v>
      </c>
      <c r="I420" s="27">
        <v>0</v>
      </c>
      <c r="J420" s="27">
        <v>0</v>
      </c>
      <c r="K420" s="27">
        <v>0.98</v>
      </c>
      <c r="L420" s="27">
        <v>4000</v>
      </c>
      <c r="M420" s="27">
        <v>3600</v>
      </c>
      <c r="N420" s="27">
        <v>0</v>
      </c>
      <c r="O420" s="27">
        <v>0</v>
      </c>
      <c r="P420" s="27" t="s">
        <v>13</v>
      </c>
      <c r="Q420" s="27">
        <v>1993</v>
      </c>
      <c r="R420" s="27">
        <v>1</v>
      </c>
      <c r="S420" s="27">
        <v>0</v>
      </c>
      <c r="T420" s="27">
        <v>-1.8E-3</v>
      </c>
      <c r="U420" s="27">
        <v>-1.2E-2</v>
      </c>
      <c r="V420" s="27">
        <v>0</v>
      </c>
      <c r="W420" s="27">
        <v>0</v>
      </c>
      <c r="X420" s="27" t="s">
        <v>859</v>
      </c>
    </row>
    <row r="421" spans="1:24">
      <c r="A421" s="27">
        <v>1</v>
      </c>
      <c r="B421" s="27">
        <v>4</v>
      </c>
      <c r="C421" s="27">
        <v>13</v>
      </c>
      <c r="D421" s="27">
        <v>2014</v>
      </c>
      <c r="E421" s="27">
        <v>2050</v>
      </c>
      <c r="F421" s="27">
        <v>5</v>
      </c>
      <c r="G421" s="27">
        <v>13</v>
      </c>
      <c r="H421" s="27">
        <v>0</v>
      </c>
      <c r="I421" s="27">
        <v>0</v>
      </c>
      <c r="J421" s="27">
        <v>0</v>
      </c>
      <c r="K421" s="27">
        <v>0.98</v>
      </c>
      <c r="L421" s="27">
        <v>4000</v>
      </c>
      <c r="M421" s="27">
        <v>3600</v>
      </c>
      <c r="N421" s="27">
        <v>0</v>
      </c>
      <c r="O421" s="27">
        <v>0</v>
      </c>
      <c r="P421" s="27" t="s">
        <v>13</v>
      </c>
      <c r="Q421" s="27">
        <v>1993</v>
      </c>
      <c r="R421" s="27">
        <v>1</v>
      </c>
      <c r="S421" s="27">
        <v>0</v>
      </c>
      <c r="T421" s="27">
        <v>-1.8E-3</v>
      </c>
      <c r="U421" s="27">
        <v>-1.2E-2</v>
      </c>
      <c r="V421" s="27">
        <v>0</v>
      </c>
      <c r="W421" s="27">
        <v>0</v>
      </c>
      <c r="X421" s="27" t="s">
        <v>859</v>
      </c>
    </row>
    <row r="422" spans="1:24">
      <c r="A422" s="27">
        <v>1</v>
      </c>
      <c r="B422" s="27">
        <v>4</v>
      </c>
      <c r="C422" s="27">
        <v>13</v>
      </c>
      <c r="D422" s="27">
        <v>2014</v>
      </c>
      <c r="E422" s="27">
        <v>2050</v>
      </c>
      <c r="F422" s="27">
        <v>6</v>
      </c>
      <c r="G422" s="27">
        <v>13</v>
      </c>
      <c r="H422" s="27">
        <v>0</v>
      </c>
      <c r="I422" s="27">
        <v>0</v>
      </c>
      <c r="J422" s="27">
        <v>0</v>
      </c>
      <c r="K422" s="27">
        <v>0.98</v>
      </c>
      <c r="L422" s="27">
        <v>4000</v>
      </c>
      <c r="M422" s="27">
        <v>3600</v>
      </c>
      <c r="N422" s="27">
        <v>0</v>
      </c>
      <c r="O422" s="27">
        <v>0</v>
      </c>
      <c r="P422" s="27" t="s">
        <v>13</v>
      </c>
      <c r="Q422" s="27">
        <v>1993</v>
      </c>
      <c r="R422" s="27">
        <v>1</v>
      </c>
      <c r="S422" s="27">
        <v>0</v>
      </c>
      <c r="T422" s="27">
        <v>-1.8E-3</v>
      </c>
      <c r="U422" s="27">
        <v>-1.2E-2</v>
      </c>
      <c r="V422" s="27">
        <v>0</v>
      </c>
      <c r="W422" s="27">
        <v>0</v>
      </c>
      <c r="X422" s="27" t="s">
        <v>859</v>
      </c>
    </row>
    <row r="423" spans="1:24">
      <c r="A423" s="27">
        <v>1</v>
      </c>
      <c r="B423" s="27">
        <v>4</v>
      </c>
      <c r="C423" s="27">
        <v>13</v>
      </c>
      <c r="D423" s="27">
        <v>2014</v>
      </c>
      <c r="E423" s="27">
        <v>2050</v>
      </c>
      <c r="F423" s="27">
        <v>7</v>
      </c>
      <c r="G423" s="27">
        <v>13</v>
      </c>
      <c r="H423" s="27">
        <v>0</v>
      </c>
      <c r="I423" s="27">
        <v>0</v>
      </c>
      <c r="J423" s="27">
        <v>0</v>
      </c>
      <c r="K423" s="27">
        <v>0.98</v>
      </c>
      <c r="L423" s="27">
        <v>4000</v>
      </c>
      <c r="M423" s="27">
        <v>3600</v>
      </c>
      <c r="N423" s="27">
        <v>0</v>
      </c>
      <c r="O423" s="27">
        <v>0</v>
      </c>
      <c r="P423" s="27" t="s">
        <v>13</v>
      </c>
      <c r="Q423" s="27">
        <v>1993</v>
      </c>
      <c r="R423" s="27">
        <v>1</v>
      </c>
      <c r="S423" s="27">
        <v>0</v>
      </c>
      <c r="T423" s="27">
        <v>-1.8E-3</v>
      </c>
      <c r="U423" s="27">
        <v>-1.2E-2</v>
      </c>
      <c r="V423" s="27">
        <v>0</v>
      </c>
      <c r="W423" s="27">
        <v>0</v>
      </c>
      <c r="X423" s="27" t="s">
        <v>859</v>
      </c>
    </row>
    <row r="424" spans="1:24">
      <c r="A424" s="27">
        <v>1</v>
      </c>
      <c r="B424" s="27">
        <v>4</v>
      </c>
      <c r="C424" s="27">
        <v>13</v>
      </c>
      <c r="D424" s="27">
        <v>2014</v>
      </c>
      <c r="E424" s="27">
        <v>2050</v>
      </c>
      <c r="F424" s="27">
        <v>8</v>
      </c>
      <c r="G424" s="27">
        <v>13</v>
      </c>
      <c r="H424" s="27">
        <v>0</v>
      </c>
      <c r="I424" s="27">
        <v>0</v>
      </c>
      <c r="J424" s="27">
        <v>0</v>
      </c>
      <c r="K424" s="27">
        <v>0.98</v>
      </c>
      <c r="L424" s="27">
        <v>4000</v>
      </c>
      <c r="M424" s="27">
        <v>3600</v>
      </c>
      <c r="N424" s="27">
        <v>0</v>
      </c>
      <c r="O424" s="27">
        <v>0</v>
      </c>
      <c r="P424" s="27" t="s">
        <v>13</v>
      </c>
      <c r="Q424" s="27">
        <v>1993</v>
      </c>
      <c r="R424" s="27">
        <v>1</v>
      </c>
      <c r="S424" s="27">
        <v>0</v>
      </c>
      <c r="T424" s="27">
        <v>-1.8E-3</v>
      </c>
      <c r="U424" s="27">
        <v>-1.2E-2</v>
      </c>
      <c r="V424" s="27">
        <v>0</v>
      </c>
      <c r="W424" s="27">
        <v>0</v>
      </c>
      <c r="X424" s="27" t="s">
        <v>859</v>
      </c>
    </row>
    <row r="425" spans="1:24">
      <c r="A425" s="27">
        <v>1</v>
      </c>
      <c r="B425" s="27">
        <v>4</v>
      </c>
      <c r="C425" s="27">
        <v>13</v>
      </c>
      <c r="D425" s="27">
        <v>2014</v>
      </c>
      <c r="E425" s="27">
        <v>2050</v>
      </c>
      <c r="F425" s="27">
        <v>9</v>
      </c>
      <c r="G425" s="27">
        <v>13</v>
      </c>
      <c r="H425" s="27">
        <v>0</v>
      </c>
      <c r="I425" s="27">
        <v>0</v>
      </c>
      <c r="J425" s="27">
        <v>0</v>
      </c>
      <c r="K425" s="27">
        <v>0.98</v>
      </c>
      <c r="L425" s="27">
        <v>4000</v>
      </c>
      <c r="M425" s="27">
        <v>3600</v>
      </c>
      <c r="N425" s="27">
        <v>0</v>
      </c>
      <c r="O425" s="27">
        <v>0</v>
      </c>
      <c r="P425" s="27" t="s">
        <v>13</v>
      </c>
      <c r="Q425" s="27">
        <v>1993</v>
      </c>
      <c r="R425" s="27">
        <v>1</v>
      </c>
      <c r="S425" s="27">
        <v>0</v>
      </c>
      <c r="T425" s="27">
        <v>-1.8E-3</v>
      </c>
      <c r="U425" s="27">
        <v>-1.2E-2</v>
      </c>
      <c r="V425" s="27">
        <v>0</v>
      </c>
      <c r="W425" s="27">
        <v>0</v>
      </c>
      <c r="X425" s="27" t="s">
        <v>859</v>
      </c>
    </row>
    <row r="426" spans="1:24">
      <c r="A426" s="27">
        <v>1</v>
      </c>
      <c r="B426" s="27">
        <v>5</v>
      </c>
      <c r="C426" s="27">
        <v>14</v>
      </c>
      <c r="D426" s="27">
        <v>2010</v>
      </c>
      <c r="E426" s="27">
        <v>2012</v>
      </c>
      <c r="F426" s="27">
        <v>1</v>
      </c>
      <c r="G426" s="27">
        <v>14</v>
      </c>
      <c r="H426" s="27">
        <v>0</v>
      </c>
      <c r="I426" s="27">
        <v>0</v>
      </c>
      <c r="J426" s="27">
        <v>0</v>
      </c>
      <c r="K426" s="27">
        <v>0.8</v>
      </c>
      <c r="L426" s="27">
        <v>3250</v>
      </c>
      <c r="M426" s="27">
        <v>2790</v>
      </c>
      <c r="N426" s="27">
        <v>0</v>
      </c>
      <c r="O426" s="27">
        <v>0</v>
      </c>
      <c r="P426" s="27" t="s">
        <v>13</v>
      </c>
      <c r="Q426" s="27">
        <v>1993</v>
      </c>
      <c r="R426" s="27">
        <v>1</v>
      </c>
      <c r="S426" s="27">
        <v>0</v>
      </c>
      <c r="T426" s="27">
        <v>-1.8E-3</v>
      </c>
      <c r="U426" s="27">
        <v>-1.2E-2</v>
      </c>
      <c r="V426" s="27">
        <v>0</v>
      </c>
      <c r="W426" s="27">
        <v>0</v>
      </c>
      <c r="X426" s="27" t="s">
        <v>24</v>
      </c>
    </row>
    <row r="427" spans="1:24">
      <c r="A427" s="27">
        <v>1</v>
      </c>
      <c r="B427" s="27">
        <v>5</v>
      </c>
      <c r="C427" s="27">
        <v>14</v>
      </c>
      <c r="D427" s="27">
        <v>2010</v>
      </c>
      <c r="E427" s="27">
        <v>2012</v>
      </c>
      <c r="F427" s="27">
        <v>2</v>
      </c>
      <c r="G427" s="27">
        <v>14</v>
      </c>
      <c r="H427" s="27">
        <v>0</v>
      </c>
      <c r="I427" s="27">
        <v>0</v>
      </c>
      <c r="J427" s="27">
        <v>0</v>
      </c>
      <c r="K427" s="27">
        <v>0.8</v>
      </c>
      <c r="L427" s="27">
        <v>3250</v>
      </c>
      <c r="M427" s="27">
        <v>2790</v>
      </c>
      <c r="N427" s="27">
        <v>0</v>
      </c>
      <c r="O427" s="27">
        <v>0</v>
      </c>
      <c r="P427" s="27" t="s">
        <v>13</v>
      </c>
      <c r="Q427" s="27">
        <v>1993</v>
      </c>
      <c r="R427" s="27">
        <v>1</v>
      </c>
      <c r="S427" s="27">
        <v>0</v>
      </c>
      <c r="T427" s="27">
        <v>-1.8E-3</v>
      </c>
      <c r="U427" s="27">
        <v>-1.2E-2</v>
      </c>
      <c r="V427" s="27">
        <v>0</v>
      </c>
      <c r="W427" s="27">
        <v>0</v>
      </c>
      <c r="X427" s="27" t="s">
        <v>24</v>
      </c>
    </row>
    <row r="428" spans="1:24">
      <c r="A428" s="27">
        <v>1</v>
      </c>
      <c r="B428" s="27">
        <v>5</v>
      </c>
      <c r="C428" s="27">
        <v>14</v>
      </c>
      <c r="D428" s="27">
        <v>2010</v>
      </c>
      <c r="E428" s="27">
        <v>2012</v>
      </c>
      <c r="F428" s="27">
        <v>3</v>
      </c>
      <c r="G428" s="27">
        <v>14</v>
      </c>
      <c r="H428" s="27">
        <v>0</v>
      </c>
      <c r="I428" s="27">
        <v>0</v>
      </c>
      <c r="J428" s="27">
        <v>0</v>
      </c>
      <c r="K428" s="27">
        <v>0.8</v>
      </c>
      <c r="L428" s="27">
        <v>3250</v>
      </c>
      <c r="M428" s="27">
        <v>2790</v>
      </c>
      <c r="N428" s="27">
        <v>0</v>
      </c>
      <c r="O428" s="27">
        <v>0</v>
      </c>
      <c r="P428" s="27" t="s">
        <v>13</v>
      </c>
      <c r="Q428" s="27">
        <v>1993</v>
      </c>
      <c r="R428" s="27">
        <v>1</v>
      </c>
      <c r="S428" s="27">
        <v>0</v>
      </c>
      <c r="T428" s="27">
        <v>-1.8E-3</v>
      </c>
      <c r="U428" s="27">
        <v>-1.2E-2</v>
      </c>
      <c r="V428" s="27">
        <v>0</v>
      </c>
      <c r="W428" s="27">
        <v>0</v>
      </c>
      <c r="X428" s="27" t="s">
        <v>24</v>
      </c>
    </row>
    <row r="429" spans="1:24">
      <c r="A429" s="27">
        <v>1</v>
      </c>
      <c r="B429" s="27">
        <v>5</v>
      </c>
      <c r="C429" s="27">
        <v>14</v>
      </c>
      <c r="D429" s="27">
        <v>2010</v>
      </c>
      <c r="E429" s="27">
        <v>2012</v>
      </c>
      <c r="F429" s="27">
        <v>4</v>
      </c>
      <c r="G429" s="27">
        <v>14</v>
      </c>
      <c r="H429" s="27">
        <v>0</v>
      </c>
      <c r="I429" s="27">
        <v>0</v>
      </c>
      <c r="J429" s="27">
        <v>0</v>
      </c>
      <c r="K429" s="27">
        <v>0.8</v>
      </c>
      <c r="L429" s="27">
        <v>3250</v>
      </c>
      <c r="M429" s="27">
        <v>2790</v>
      </c>
      <c r="N429" s="27">
        <v>0</v>
      </c>
      <c r="O429" s="27">
        <v>0</v>
      </c>
      <c r="P429" s="27" t="s">
        <v>13</v>
      </c>
      <c r="Q429" s="27">
        <v>1993</v>
      </c>
      <c r="R429" s="27">
        <v>1</v>
      </c>
      <c r="S429" s="27">
        <v>0</v>
      </c>
      <c r="T429" s="27">
        <v>-1.8E-3</v>
      </c>
      <c r="U429" s="27">
        <v>-1.2E-2</v>
      </c>
      <c r="V429" s="27">
        <v>0</v>
      </c>
      <c r="W429" s="27">
        <v>0</v>
      </c>
      <c r="X429" s="27" t="s">
        <v>24</v>
      </c>
    </row>
    <row r="430" spans="1:24">
      <c r="A430" s="27">
        <v>1</v>
      </c>
      <c r="B430" s="27">
        <v>5</v>
      </c>
      <c r="C430" s="27">
        <v>14</v>
      </c>
      <c r="D430" s="27">
        <v>2010</v>
      </c>
      <c r="E430" s="27">
        <v>2012</v>
      </c>
      <c r="F430" s="27">
        <v>5</v>
      </c>
      <c r="G430" s="27">
        <v>14</v>
      </c>
      <c r="H430" s="27">
        <v>0</v>
      </c>
      <c r="I430" s="27">
        <v>0</v>
      </c>
      <c r="J430" s="27">
        <v>0</v>
      </c>
      <c r="K430" s="27">
        <v>0.8</v>
      </c>
      <c r="L430" s="27">
        <v>3250</v>
      </c>
      <c r="M430" s="27">
        <v>2790</v>
      </c>
      <c r="N430" s="27">
        <v>0</v>
      </c>
      <c r="O430" s="27">
        <v>0</v>
      </c>
      <c r="P430" s="27" t="s">
        <v>13</v>
      </c>
      <c r="Q430" s="27">
        <v>1993</v>
      </c>
      <c r="R430" s="27">
        <v>1</v>
      </c>
      <c r="S430" s="27">
        <v>0</v>
      </c>
      <c r="T430" s="27">
        <v>-1.8E-3</v>
      </c>
      <c r="U430" s="27">
        <v>-1.2E-2</v>
      </c>
      <c r="V430" s="27">
        <v>0</v>
      </c>
      <c r="W430" s="27">
        <v>0</v>
      </c>
      <c r="X430" s="27" t="s">
        <v>24</v>
      </c>
    </row>
    <row r="431" spans="1:24">
      <c r="A431" s="27">
        <v>1</v>
      </c>
      <c r="B431" s="27">
        <v>5</v>
      </c>
      <c r="C431" s="27">
        <v>14</v>
      </c>
      <c r="D431" s="27">
        <v>2010</v>
      </c>
      <c r="E431" s="27">
        <v>2012</v>
      </c>
      <c r="F431" s="27">
        <v>6</v>
      </c>
      <c r="G431" s="27">
        <v>14</v>
      </c>
      <c r="H431" s="27">
        <v>0</v>
      </c>
      <c r="I431" s="27">
        <v>0</v>
      </c>
      <c r="J431" s="27">
        <v>0</v>
      </c>
      <c r="K431" s="27">
        <v>0.8</v>
      </c>
      <c r="L431" s="27">
        <v>3250</v>
      </c>
      <c r="M431" s="27">
        <v>2790</v>
      </c>
      <c r="N431" s="27">
        <v>0</v>
      </c>
      <c r="O431" s="27">
        <v>0</v>
      </c>
      <c r="P431" s="27" t="s">
        <v>13</v>
      </c>
      <c r="Q431" s="27">
        <v>1993</v>
      </c>
      <c r="R431" s="27">
        <v>1</v>
      </c>
      <c r="S431" s="27">
        <v>0</v>
      </c>
      <c r="T431" s="27">
        <v>-1.8E-3</v>
      </c>
      <c r="U431" s="27">
        <v>-1.2E-2</v>
      </c>
      <c r="V431" s="27">
        <v>0</v>
      </c>
      <c r="W431" s="27">
        <v>0</v>
      </c>
      <c r="X431" s="27" t="s">
        <v>24</v>
      </c>
    </row>
    <row r="432" spans="1:24">
      <c r="A432" s="27">
        <v>1</v>
      </c>
      <c r="B432" s="27">
        <v>5</v>
      </c>
      <c r="C432" s="27">
        <v>14</v>
      </c>
      <c r="D432" s="27">
        <v>2010</v>
      </c>
      <c r="E432" s="27">
        <v>2012</v>
      </c>
      <c r="F432" s="27">
        <v>7</v>
      </c>
      <c r="G432" s="27">
        <v>14</v>
      </c>
      <c r="H432" s="27">
        <v>0</v>
      </c>
      <c r="I432" s="27">
        <v>0</v>
      </c>
      <c r="J432" s="27">
        <v>0</v>
      </c>
      <c r="K432" s="27">
        <v>0.8</v>
      </c>
      <c r="L432" s="27">
        <v>3250</v>
      </c>
      <c r="M432" s="27">
        <v>2790</v>
      </c>
      <c r="N432" s="27">
        <v>0</v>
      </c>
      <c r="O432" s="27">
        <v>0</v>
      </c>
      <c r="P432" s="27" t="s">
        <v>13</v>
      </c>
      <c r="Q432" s="27">
        <v>1993</v>
      </c>
      <c r="R432" s="27">
        <v>1</v>
      </c>
      <c r="S432" s="27">
        <v>0</v>
      </c>
      <c r="T432" s="27">
        <v>-1.8E-3</v>
      </c>
      <c r="U432" s="27">
        <v>-1.2E-2</v>
      </c>
      <c r="V432" s="27">
        <v>0</v>
      </c>
      <c r="W432" s="27">
        <v>0</v>
      </c>
      <c r="X432" s="27" t="s">
        <v>24</v>
      </c>
    </row>
    <row r="433" spans="1:24">
      <c r="A433" s="27">
        <v>1</v>
      </c>
      <c r="B433" s="27">
        <v>5</v>
      </c>
      <c r="C433" s="27">
        <v>14</v>
      </c>
      <c r="D433" s="27">
        <v>2010</v>
      </c>
      <c r="E433" s="27">
        <v>2012</v>
      </c>
      <c r="F433" s="27">
        <v>8</v>
      </c>
      <c r="G433" s="27">
        <v>14</v>
      </c>
      <c r="H433" s="27">
        <v>0</v>
      </c>
      <c r="I433" s="27">
        <v>0</v>
      </c>
      <c r="J433" s="27">
        <v>0</v>
      </c>
      <c r="K433" s="27">
        <v>0.8</v>
      </c>
      <c r="L433" s="27">
        <v>3250</v>
      </c>
      <c r="M433" s="27">
        <v>2790</v>
      </c>
      <c r="N433" s="27">
        <v>0</v>
      </c>
      <c r="O433" s="27">
        <v>0</v>
      </c>
      <c r="P433" s="27" t="s">
        <v>13</v>
      </c>
      <c r="Q433" s="27">
        <v>1993</v>
      </c>
      <c r="R433" s="27">
        <v>1</v>
      </c>
      <c r="S433" s="27">
        <v>0</v>
      </c>
      <c r="T433" s="27">
        <v>-1.8E-3</v>
      </c>
      <c r="U433" s="27">
        <v>-1.2E-2</v>
      </c>
      <c r="V433" s="27">
        <v>0</v>
      </c>
      <c r="W433" s="27">
        <v>0</v>
      </c>
      <c r="X433" s="27" t="s">
        <v>24</v>
      </c>
    </row>
    <row r="434" spans="1:24">
      <c r="A434" s="27">
        <v>1</v>
      </c>
      <c r="B434" s="27">
        <v>5</v>
      </c>
      <c r="C434" s="27">
        <v>14</v>
      </c>
      <c r="D434" s="27">
        <v>2010</v>
      </c>
      <c r="E434" s="27">
        <v>2012</v>
      </c>
      <c r="F434" s="27">
        <v>9</v>
      </c>
      <c r="G434" s="27">
        <v>14</v>
      </c>
      <c r="H434" s="27">
        <v>0</v>
      </c>
      <c r="I434" s="27">
        <v>0</v>
      </c>
      <c r="J434" s="27">
        <v>0</v>
      </c>
      <c r="K434" s="27">
        <v>0.8</v>
      </c>
      <c r="L434" s="27">
        <v>3250</v>
      </c>
      <c r="M434" s="27">
        <v>2790</v>
      </c>
      <c r="N434" s="27">
        <v>0</v>
      </c>
      <c r="O434" s="27">
        <v>0</v>
      </c>
      <c r="P434" s="27" t="s">
        <v>13</v>
      </c>
      <c r="Q434" s="27">
        <v>1993</v>
      </c>
      <c r="R434" s="27">
        <v>1</v>
      </c>
      <c r="S434" s="27">
        <v>0</v>
      </c>
      <c r="T434" s="27">
        <v>-1.8E-3</v>
      </c>
      <c r="U434" s="27">
        <v>-1.2E-2</v>
      </c>
      <c r="V434" s="27">
        <v>0</v>
      </c>
      <c r="W434" s="27">
        <v>0</v>
      </c>
      <c r="X434" s="27" t="s">
        <v>24</v>
      </c>
    </row>
    <row r="435" spans="1:24">
      <c r="A435" s="27">
        <v>1</v>
      </c>
      <c r="B435" s="27">
        <v>5</v>
      </c>
      <c r="C435" s="27">
        <v>14</v>
      </c>
      <c r="D435" s="27">
        <v>2013</v>
      </c>
      <c r="E435" s="27">
        <v>2050</v>
      </c>
      <c r="F435" s="27">
        <v>1</v>
      </c>
      <c r="G435" s="27">
        <v>14</v>
      </c>
      <c r="H435" s="27">
        <v>0</v>
      </c>
      <c r="I435" s="27">
        <v>0</v>
      </c>
      <c r="J435" s="27">
        <v>0</v>
      </c>
      <c r="K435" s="27">
        <v>0.83</v>
      </c>
      <c r="L435" s="27">
        <v>3500</v>
      </c>
      <c r="M435" s="27">
        <v>3020</v>
      </c>
      <c r="N435" s="27">
        <v>0</v>
      </c>
      <c r="O435" s="27">
        <v>0</v>
      </c>
      <c r="P435" s="27" t="s">
        <v>13</v>
      </c>
      <c r="Q435" s="27">
        <v>1993</v>
      </c>
      <c r="R435" s="27">
        <v>1</v>
      </c>
      <c r="S435" s="27">
        <v>0</v>
      </c>
      <c r="T435" s="27">
        <v>-1.8E-3</v>
      </c>
      <c r="U435" s="27">
        <v>-1.2E-2</v>
      </c>
      <c r="V435" s="27">
        <v>0</v>
      </c>
      <c r="W435" s="27">
        <v>0</v>
      </c>
      <c r="X435" s="27" t="s">
        <v>24</v>
      </c>
    </row>
    <row r="436" spans="1:24">
      <c r="A436" s="27">
        <v>1</v>
      </c>
      <c r="B436" s="27">
        <v>5</v>
      </c>
      <c r="C436" s="27">
        <v>14</v>
      </c>
      <c r="D436" s="27">
        <v>2013</v>
      </c>
      <c r="E436" s="27">
        <v>2050</v>
      </c>
      <c r="F436" s="27">
        <v>2</v>
      </c>
      <c r="G436" s="27">
        <v>14</v>
      </c>
      <c r="H436" s="27">
        <v>0</v>
      </c>
      <c r="I436" s="27">
        <v>0</v>
      </c>
      <c r="J436" s="27">
        <v>0</v>
      </c>
      <c r="K436" s="27">
        <v>0.83</v>
      </c>
      <c r="L436" s="27">
        <v>3500</v>
      </c>
      <c r="M436" s="27">
        <v>3020</v>
      </c>
      <c r="N436" s="27">
        <v>0</v>
      </c>
      <c r="O436" s="27">
        <v>0</v>
      </c>
      <c r="P436" s="27" t="s">
        <v>13</v>
      </c>
      <c r="Q436" s="27">
        <v>1993</v>
      </c>
      <c r="R436" s="27">
        <v>1</v>
      </c>
      <c r="S436" s="27">
        <v>0</v>
      </c>
      <c r="T436" s="27">
        <v>-1.8E-3</v>
      </c>
      <c r="U436" s="27">
        <v>-1.2E-2</v>
      </c>
      <c r="V436" s="27">
        <v>0</v>
      </c>
      <c r="W436" s="27">
        <v>0</v>
      </c>
      <c r="X436" s="27" t="s">
        <v>24</v>
      </c>
    </row>
    <row r="437" spans="1:24">
      <c r="A437" s="27">
        <v>1</v>
      </c>
      <c r="B437" s="27">
        <v>5</v>
      </c>
      <c r="C437" s="27">
        <v>14</v>
      </c>
      <c r="D437" s="27">
        <v>2013</v>
      </c>
      <c r="E437" s="27">
        <v>2050</v>
      </c>
      <c r="F437" s="27">
        <v>3</v>
      </c>
      <c r="G437" s="27">
        <v>14</v>
      </c>
      <c r="H437" s="27">
        <v>0</v>
      </c>
      <c r="I437" s="27">
        <v>0</v>
      </c>
      <c r="J437" s="27">
        <v>0</v>
      </c>
      <c r="K437" s="27">
        <v>0.83</v>
      </c>
      <c r="L437" s="27">
        <v>3500</v>
      </c>
      <c r="M437" s="27">
        <v>3020</v>
      </c>
      <c r="N437" s="27">
        <v>0</v>
      </c>
      <c r="O437" s="27">
        <v>0</v>
      </c>
      <c r="P437" s="27" t="s">
        <v>13</v>
      </c>
      <c r="Q437" s="27">
        <v>1993</v>
      </c>
      <c r="R437" s="27">
        <v>1</v>
      </c>
      <c r="S437" s="27">
        <v>0</v>
      </c>
      <c r="T437" s="27">
        <v>-1.8E-3</v>
      </c>
      <c r="U437" s="27">
        <v>-1.2E-2</v>
      </c>
      <c r="V437" s="27">
        <v>0</v>
      </c>
      <c r="W437" s="27">
        <v>0</v>
      </c>
      <c r="X437" s="27" t="s">
        <v>24</v>
      </c>
    </row>
    <row r="438" spans="1:24">
      <c r="A438" s="27">
        <v>1</v>
      </c>
      <c r="B438" s="27">
        <v>5</v>
      </c>
      <c r="C438" s="27">
        <v>14</v>
      </c>
      <c r="D438" s="27">
        <v>2013</v>
      </c>
      <c r="E438" s="27">
        <v>2050</v>
      </c>
      <c r="F438" s="27">
        <v>4</v>
      </c>
      <c r="G438" s="27">
        <v>14</v>
      </c>
      <c r="H438" s="27">
        <v>0</v>
      </c>
      <c r="I438" s="27">
        <v>0</v>
      </c>
      <c r="J438" s="27">
        <v>0</v>
      </c>
      <c r="K438" s="27">
        <v>0.83</v>
      </c>
      <c r="L438" s="27">
        <v>3500</v>
      </c>
      <c r="M438" s="27">
        <v>3020</v>
      </c>
      <c r="N438" s="27">
        <v>0</v>
      </c>
      <c r="O438" s="27">
        <v>0</v>
      </c>
      <c r="P438" s="27" t="s">
        <v>13</v>
      </c>
      <c r="Q438" s="27">
        <v>1993</v>
      </c>
      <c r="R438" s="27">
        <v>1</v>
      </c>
      <c r="S438" s="27">
        <v>0</v>
      </c>
      <c r="T438" s="27">
        <v>-1.8E-3</v>
      </c>
      <c r="U438" s="27">
        <v>-1.2E-2</v>
      </c>
      <c r="V438" s="27">
        <v>0</v>
      </c>
      <c r="W438" s="27">
        <v>0</v>
      </c>
      <c r="X438" s="27" t="s">
        <v>24</v>
      </c>
    </row>
    <row r="439" spans="1:24">
      <c r="A439" s="27">
        <v>1</v>
      </c>
      <c r="B439" s="27">
        <v>5</v>
      </c>
      <c r="C439" s="27">
        <v>14</v>
      </c>
      <c r="D439" s="27">
        <v>2013</v>
      </c>
      <c r="E439" s="27">
        <v>2050</v>
      </c>
      <c r="F439" s="27">
        <v>5</v>
      </c>
      <c r="G439" s="27">
        <v>14</v>
      </c>
      <c r="H439" s="27">
        <v>0</v>
      </c>
      <c r="I439" s="27">
        <v>0</v>
      </c>
      <c r="J439" s="27">
        <v>0</v>
      </c>
      <c r="K439" s="27">
        <v>0.83</v>
      </c>
      <c r="L439" s="27">
        <v>3500</v>
      </c>
      <c r="M439" s="27">
        <v>3020</v>
      </c>
      <c r="N439" s="27">
        <v>0</v>
      </c>
      <c r="O439" s="27">
        <v>0</v>
      </c>
      <c r="P439" s="27" t="s">
        <v>13</v>
      </c>
      <c r="Q439" s="27">
        <v>1993</v>
      </c>
      <c r="R439" s="27">
        <v>1</v>
      </c>
      <c r="S439" s="27">
        <v>0</v>
      </c>
      <c r="T439" s="27">
        <v>-1.8E-3</v>
      </c>
      <c r="U439" s="27">
        <v>-1.2E-2</v>
      </c>
      <c r="V439" s="27">
        <v>0</v>
      </c>
      <c r="W439" s="27">
        <v>0</v>
      </c>
      <c r="X439" s="27" t="s">
        <v>24</v>
      </c>
    </row>
    <row r="440" spans="1:24">
      <c r="A440" s="27">
        <v>1</v>
      </c>
      <c r="B440" s="27">
        <v>5</v>
      </c>
      <c r="C440" s="27">
        <v>14</v>
      </c>
      <c r="D440" s="27">
        <v>2013</v>
      </c>
      <c r="E440" s="27">
        <v>2050</v>
      </c>
      <c r="F440" s="27">
        <v>6</v>
      </c>
      <c r="G440" s="27">
        <v>14</v>
      </c>
      <c r="H440" s="27">
        <v>0</v>
      </c>
      <c r="I440" s="27">
        <v>0</v>
      </c>
      <c r="J440" s="27">
        <v>0</v>
      </c>
      <c r="K440" s="27">
        <v>0.83</v>
      </c>
      <c r="L440" s="27">
        <v>3500</v>
      </c>
      <c r="M440" s="27">
        <v>3020</v>
      </c>
      <c r="N440" s="27">
        <v>0</v>
      </c>
      <c r="O440" s="27">
        <v>0</v>
      </c>
      <c r="P440" s="27" t="s">
        <v>13</v>
      </c>
      <c r="Q440" s="27">
        <v>1993</v>
      </c>
      <c r="R440" s="27">
        <v>1</v>
      </c>
      <c r="S440" s="27">
        <v>0</v>
      </c>
      <c r="T440" s="27">
        <v>-1.8E-3</v>
      </c>
      <c r="U440" s="27">
        <v>-1.2E-2</v>
      </c>
      <c r="V440" s="27">
        <v>0</v>
      </c>
      <c r="W440" s="27">
        <v>0</v>
      </c>
      <c r="X440" s="27" t="s">
        <v>24</v>
      </c>
    </row>
    <row r="441" spans="1:24">
      <c r="A441" s="27">
        <v>1</v>
      </c>
      <c r="B441" s="27">
        <v>5</v>
      </c>
      <c r="C441" s="27">
        <v>14</v>
      </c>
      <c r="D441" s="27">
        <v>2013</v>
      </c>
      <c r="E441" s="27">
        <v>2050</v>
      </c>
      <c r="F441" s="27">
        <v>7</v>
      </c>
      <c r="G441" s="27">
        <v>14</v>
      </c>
      <c r="H441" s="27">
        <v>0</v>
      </c>
      <c r="I441" s="27">
        <v>0</v>
      </c>
      <c r="J441" s="27">
        <v>0</v>
      </c>
      <c r="K441" s="27">
        <v>0.83</v>
      </c>
      <c r="L441" s="27">
        <v>3500</v>
      </c>
      <c r="M441" s="27">
        <v>3020</v>
      </c>
      <c r="N441" s="27">
        <v>0</v>
      </c>
      <c r="O441" s="27">
        <v>0</v>
      </c>
      <c r="P441" s="27" t="s">
        <v>13</v>
      </c>
      <c r="Q441" s="27">
        <v>1993</v>
      </c>
      <c r="R441" s="27">
        <v>1</v>
      </c>
      <c r="S441" s="27">
        <v>0</v>
      </c>
      <c r="T441" s="27">
        <v>-1.8E-3</v>
      </c>
      <c r="U441" s="27">
        <v>-1.2E-2</v>
      </c>
      <c r="V441" s="27">
        <v>0</v>
      </c>
      <c r="W441" s="27">
        <v>0</v>
      </c>
      <c r="X441" s="27" t="s">
        <v>24</v>
      </c>
    </row>
    <row r="442" spans="1:24">
      <c r="A442" s="27">
        <v>1</v>
      </c>
      <c r="B442" s="27">
        <v>5</v>
      </c>
      <c r="C442" s="27">
        <v>14</v>
      </c>
      <c r="D442" s="27">
        <v>2013</v>
      </c>
      <c r="E442" s="27">
        <v>2050</v>
      </c>
      <c r="F442" s="27">
        <v>8</v>
      </c>
      <c r="G442" s="27">
        <v>14</v>
      </c>
      <c r="H442" s="27">
        <v>0</v>
      </c>
      <c r="I442" s="27">
        <v>0</v>
      </c>
      <c r="J442" s="27">
        <v>0</v>
      </c>
      <c r="K442" s="27">
        <v>0.83</v>
      </c>
      <c r="L442" s="27">
        <v>3500</v>
      </c>
      <c r="M442" s="27">
        <v>3020</v>
      </c>
      <c r="N442" s="27">
        <v>0</v>
      </c>
      <c r="O442" s="27">
        <v>0</v>
      </c>
      <c r="P442" s="27" t="s">
        <v>13</v>
      </c>
      <c r="Q442" s="27">
        <v>1993</v>
      </c>
      <c r="R442" s="27">
        <v>1</v>
      </c>
      <c r="S442" s="27">
        <v>0</v>
      </c>
      <c r="T442" s="27">
        <v>-1.8E-3</v>
      </c>
      <c r="U442" s="27">
        <v>-1.2E-2</v>
      </c>
      <c r="V442" s="27">
        <v>0</v>
      </c>
      <c r="W442" s="27">
        <v>0</v>
      </c>
      <c r="X442" s="27" t="s">
        <v>24</v>
      </c>
    </row>
    <row r="443" spans="1:24">
      <c r="A443" s="27">
        <v>1</v>
      </c>
      <c r="B443" s="27">
        <v>5</v>
      </c>
      <c r="C443" s="27">
        <v>14</v>
      </c>
      <c r="D443" s="27">
        <v>2013</v>
      </c>
      <c r="E443" s="27">
        <v>2050</v>
      </c>
      <c r="F443" s="27">
        <v>9</v>
      </c>
      <c r="G443" s="27">
        <v>14</v>
      </c>
      <c r="H443" s="27">
        <v>0</v>
      </c>
      <c r="I443" s="27">
        <v>0</v>
      </c>
      <c r="J443" s="27">
        <v>0</v>
      </c>
      <c r="K443" s="27">
        <v>0.83</v>
      </c>
      <c r="L443" s="27">
        <v>3500</v>
      </c>
      <c r="M443" s="27">
        <v>3020</v>
      </c>
      <c r="N443" s="27">
        <v>0</v>
      </c>
      <c r="O443" s="27">
        <v>0</v>
      </c>
      <c r="P443" s="27" t="s">
        <v>13</v>
      </c>
      <c r="Q443" s="27">
        <v>1993</v>
      </c>
      <c r="R443" s="27">
        <v>1</v>
      </c>
      <c r="S443" s="27">
        <v>0</v>
      </c>
      <c r="T443" s="27">
        <v>-1.8E-3</v>
      </c>
      <c r="U443" s="27">
        <v>-1.2E-2</v>
      </c>
      <c r="V443" s="27">
        <v>0</v>
      </c>
      <c r="W443" s="27">
        <v>0</v>
      </c>
      <c r="X443" s="27" t="s">
        <v>24</v>
      </c>
    </row>
    <row r="444" spans="1:24">
      <c r="A444" s="27">
        <v>1</v>
      </c>
      <c r="B444" s="27">
        <v>5</v>
      </c>
      <c r="C444" s="27">
        <v>15</v>
      </c>
      <c r="D444" s="27">
        <v>2010</v>
      </c>
      <c r="E444" s="27">
        <v>2050</v>
      </c>
      <c r="F444" s="27">
        <v>1</v>
      </c>
      <c r="G444" s="27">
        <v>15</v>
      </c>
      <c r="H444" s="27">
        <v>0</v>
      </c>
      <c r="I444" s="27">
        <v>0</v>
      </c>
      <c r="J444" s="27">
        <v>0</v>
      </c>
      <c r="K444" s="27">
        <v>0.85</v>
      </c>
      <c r="L444" s="27">
        <v>3750</v>
      </c>
      <c r="M444" s="27">
        <v>3250</v>
      </c>
      <c r="N444" s="27">
        <v>0</v>
      </c>
      <c r="O444" s="27">
        <v>0</v>
      </c>
      <c r="P444" s="27" t="s">
        <v>13</v>
      </c>
      <c r="Q444" s="27">
        <v>1993</v>
      </c>
      <c r="R444" s="27">
        <v>1</v>
      </c>
      <c r="S444" s="27">
        <v>0</v>
      </c>
      <c r="T444" s="27">
        <v>-1.8E-3</v>
      </c>
      <c r="U444" s="27">
        <v>-1.2E-2</v>
      </c>
      <c r="V444" s="27">
        <v>0</v>
      </c>
      <c r="W444" s="27">
        <v>0</v>
      </c>
      <c r="X444" s="27" t="s">
        <v>25</v>
      </c>
    </row>
    <row r="445" spans="1:24">
      <c r="A445" s="27">
        <v>1</v>
      </c>
      <c r="B445" s="27">
        <v>5</v>
      </c>
      <c r="C445" s="27">
        <v>15</v>
      </c>
      <c r="D445" s="27">
        <v>2010</v>
      </c>
      <c r="E445" s="27">
        <v>2050</v>
      </c>
      <c r="F445" s="27">
        <v>2</v>
      </c>
      <c r="G445" s="27">
        <v>15</v>
      </c>
      <c r="H445" s="27">
        <v>0</v>
      </c>
      <c r="I445" s="27">
        <v>0</v>
      </c>
      <c r="J445" s="27">
        <v>0</v>
      </c>
      <c r="K445" s="27">
        <v>0.85</v>
      </c>
      <c r="L445" s="27">
        <v>3750</v>
      </c>
      <c r="M445" s="27">
        <v>3250</v>
      </c>
      <c r="N445" s="27">
        <v>0</v>
      </c>
      <c r="O445" s="27">
        <v>0</v>
      </c>
      <c r="P445" s="27" t="s">
        <v>13</v>
      </c>
      <c r="Q445" s="27">
        <v>1993</v>
      </c>
      <c r="R445" s="27">
        <v>1</v>
      </c>
      <c r="S445" s="27">
        <v>0</v>
      </c>
      <c r="T445" s="27">
        <v>-1.8E-3</v>
      </c>
      <c r="U445" s="27">
        <v>-1.2E-2</v>
      </c>
      <c r="V445" s="27">
        <v>0</v>
      </c>
      <c r="W445" s="27">
        <v>0</v>
      </c>
      <c r="X445" s="27" t="s">
        <v>25</v>
      </c>
    </row>
    <row r="446" spans="1:24">
      <c r="A446" s="27">
        <v>1</v>
      </c>
      <c r="B446" s="27">
        <v>5</v>
      </c>
      <c r="C446" s="27">
        <v>15</v>
      </c>
      <c r="D446" s="27">
        <v>2010</v>
      </c>
      <c r="E446" s="27">
        <v>2050</v>
      </c>
      <c r="F446" s="27">
        <v>3</v>
      </c>
      <c r="G446" s="27">
        <v>15</v>
      </c>
      <c r="H446" s="27">
        <v>0</v>
      </c>
      <c r="I446" s="27">
        <v>0</v>
      </c>
      <c r="J446" s="27">
        <v>0</v>
      </c>
      <c r="K446" s="27">
        <v>0.85</v>
      </c>
      <c r="L446" s="27">
        <v>3750</v>
      </c>
      <c r="M446" s="27">
        <v>3250</v>
      </c>
      <c r="N446" s="27">
        <v>0</v>
      </c>
      <c r="O446" s="27">
        <v>0</v>
      </c>
      <c r="P446" s="27" t="s">
        <v>13</v>
      </c>
      <c r="Q446" s="27">
        <v>1993</v>
      </c>
      <c r="R446" s="27">
        <v>1</v>
      </c>
      <c r="S446" s="27">
        <v>0</v>
      </c>
      <c r="T446" s="27">
        <v>-1.8E-3</v>
      </c>
      <c r="U446" s="27">
        <v>-1.2E-2</v>
      </c>
      <c r="V446" s="27">
        <v>0</v>
      </c>
      <c r="W446" s="27">
        <v>0</v>
      </c>
      <c r="X446" s="27" t="s">
        <v>25</v>
      </c>
    </row>
    <row r="447" spans="1:24">
      <c r="A447" s="27">
        <v>1</v>
      </c>
      <c r="B447" s="27">
        <v>5</v>
      </c>
      <c r="C447" s="27">
        <v>15</v>
      </c>
      <c r="D447" s="27">
        <v>2010</v>
      </c>
      <c r="E447" s="27">
        <v>2050</v>
      </c>
      <c r="F447" s="27">
        <v>4</v>
      </c>
      <c r="G447" s="27">
        <v>15</v>
      </c>
      <c r="H447" s="27">
        <v>0</v>
      </c>
      <c r="I447" s="27">
        <v>0</v>
      </c>
      <c r="J447" s="27">
        <v>0</v>
      </c>
      <c r="K447" s="27">
        <v>0.85</v>
      </c>
      <c r="L447" s="27">
        <v>3750</v>
      </c>
      <c r="M447" s="27">
        <v>3250</v>
      </c>
      <c r="N447" s="27">
        <v>0</v>
      </c>
      <c r="O447" s="27">
        <v>0</v>
      </c>
      <c r="P447" s="27" t="s">
        <v>13</v>
      </c>
      <c r="Q447" s="27">
        <v>1993</v>
      </c>
      <c r="R447" s="27">
        <v>1</v>
      </c>
      <c r="S447" s="27">
        <v>0</v>
      </c>
      <c r="T447" s="27">
        <v>-1.8E-3</v>
      </c>
      <c r="U447" s="27">
        <v>-1.2E-2</v>
      </c>
      <c r="V447" s="27">
        <v>0</v>
      </c>
      <c r="W447" s="27">
        <v>0</v>
      </c>
      <c r="X447" s="27" t="s">
        <v>25</v>
      </c>
    </row>
    <row r="448" spans="1:24">
      <c r="A448" s="27">
        <v>1</v>
      </c>
      <c r="B448" s="27">
        <v>5</v>
      </c>
      <c r="C448" s="27">
        <v>15</v>
      </c>
      <c r="D448" s="27">
        <v>2010</v>
      </c>
      <c r="E448" s="27">
        <v>2050</v>
      </c>
      <c r="F448" s="27">
        <v>5</v>
      </c>
      <c r="G448" s="27">
        <v>15</v>
      </c>
      <c r="H448" s="27">
        <v>0</v>
      </c>
      <c r="I448" s="27">
        <v>0</v>
      </c>
      <c r="J448" s="27">
        <v>0</v>
      </c>
      <c r="K448" s="27">
        <v>0.85</v>
      </c>
      <c r="L448" s="27">
        <v>3750</v>
      </c>
      <c r="M448" s="27">
        <v>3250</v>
      </c>
      <c r="N448" s="27">
        <v>0</v>
      </c>
      <c r="O448" s="27">
        <v>0</v>
      </c>
      <c r="P448" s="27" t="s">
        <v>13</v>
      </c>
      <c r="Q448" s="27">
        <v>1993</v>
      </c>
      <c r="R448" s="27">
        <v>1</v>
      </c>
      <c r="S448" s="27">
        <v>0</v>
      </c>
      <c r="T448" s="27">
        <v>-1.8E-3</v>
      </c>
      <c r="U448" s="27">
        <v>-1.2E-2</v>
      </c>
      <c r="V448" s="27">
        <v>0</v>
      </c>
      <c r="W448" s="27">
        <v>0</v>
      </c>
      <c r="X448" s="27" t="s">
        <v>25</v>
      </c>
    </row>
    <row r="449" spans="1:24">
      <c r="A449" s="27">
        <v>1</v>
      </c>
      <c r="B449" s="27">
        <v>5</v>
      </c>
      <c r="C449" s="27">
        <v>15</v>
      </c>
      <c r="D449" s="27">
        <v>2010</v>
      </c>
      <c r="E449" s="27">
        <v>2050</v>
      </c>
      <c r="F449" s="27">
        <v>6</v>
      </c>
      <c r="G449" s="27">
        <v>15</v>
      </c>
      <c r="H449" s="27">
        <v>0</v>
      </c>
      <c r="I449" s="27">
        <v>0</v>
      </c>
      <c r="J449" s="27">
        <v>0</v>
      </c>
      <c r="K449" s="27">
        <v>0.85</v>
      </c>
      <c r="L449" s="27">
        <v>3750</v>
      </c>
      <c r="M449" s="27">
        <v>3250</v>
      </c>
      <c r="N449" s="27">
        <v>0</v>
      </c>
      <c r="O449" s="27">
        <v>0</v>
      </c>
      <c r="P449" s="27" t="s">
        <v>13</v>
      </c>
      <c r="Q449" s="27">
        <v>1993</v>
      </c>
      <c r="R449" s="27">
        <v>1</v>
      </c>
      <c r="S449" s="27">
        <v>0</v>
      </c>
      <c r="T449" s="27">
        <v>-1.8E-3</v>
      </c>
      <c r="U449" s="27">
        <v>-1.2E-2</v>
      </c>
      <c r="V449" s="27">
        <v>0</v>
      </c>
      <c r="W449" s="27">
        <v>0</v>
      </c>
      <c r="X449" s="27" t="s">
        <v>25</v>
      </c>
    </row>
    <row r="450" spans="1:24">
      <c r="A450" s="27">
        <v>1</v>
      </c>
      <c r="B450" s="27">
        <v>5</v>
      </c>
      <c r="C450" s="27">
        <v>15</v>
      </c>
      <c r="D450" s="27">
        <v>2010</v>
      </c>
      <c r="E450" s="27">
        <v>2050</v>
      </c>
      <c r="F450" s="27">
        <v>7</v>
      </c>
      <c r="G450" s="27">
        <v>15</v>
      </c>
      <c r="H450" s="27">
        <v>0</v>
      </c>
      <c r="I450" s="27">
        <v>0</v>
      </c>
      <c r="J450" s="27">
        <v>0</v>
      </c>
      <c r="K450" s="27">
        <v>0.85</v>
      </c>
      <c r="L450" s="27">
        <v>3750</v>
      </c>
      <c r="M450" s="27">
        <v>3250</v>
      </c>
      <c r="N450" s="27">
        <v>0</v>
      </c>
      <c r="O450" s="27">
        <v>0</v>
      </c>
      <c r="P450" s="27" t="s">
        <v>13</v>
      </c>
      <c r="Q450" s="27">
        <v>1993</v>
      </c>
      <c r="R450" s="27">
        <v>1</v>
      </c>
      <c r="S450" s="27">
        <v>0</v>
      </c>
      <c r="T450" s="27">
        <v>-1.8E-3</v>
      </c>
      <c r="U450" s="27">
        <v>-1.2E-2</v>
      </c>
      <c r="V450" s="27">
        <v>0</v>
      </c>
      <c r="W450" s="27">
        <v>0</v>
      </c>
      <c r="X450" s="27" t="s">
        <v>25</v>
      </c>
    </row>
    <row r="451" spans="1:24">
      <c r="A451" s="27">
        <v>1</v>
      </c>
      <c r="B451" s="27">
        <v>5</v>
      </c>
      <c r="C451" s="27">
        <v>15</v>
      </c>
      <c r="D451" s="27">
        <v>2010</v>
      </c>
      <c r="E451" s="27">
        <v>2050</v>
      </c>
      <c r="F451" s="27">
        <v>8</v>
      </c>
      <c r="G451" s="27">
        <v>15</v>
      </c>
      <c r="H451" s="27">
        <v>0</v>
      </c>
      <c r="I451" s="27">
        <v>0</v>
      </c>
      <c r="J451" s="27">
        <v>0</v>
      </c>
      <c r="K451" s="27">
        <v>0.85</v>
      </c>
      <c r="L451" s="27">
        <v>3750</v>
      </c>
      <c r="M451" s="27">
        <v>3250</v>
      </c>
      <c r="N451" s="27">
        <v>0</v>
      </c>
      <c r="O451" s="27">
        <v>0</v>
      </c>
      <c r="P451" s="27" t="s">
        <v>13</v>
      </c>
      <c r="Q451" s="27">
        <v>1993</v>
      </c>
      <c r="R451" s="27">
        <v>1</v>
      </c>
      <c r="S451" s="27">
        <v>0</v>
      </c>
      <c r="T451" s="27">
        <v>-1.8E-3</v>
      </c>
      <c r="U451" s="27">
        <v>-1.2E-2</v>
      </c>
      <c r="V451" s="27">
        <v>0</v>
      </c>
      <c r="W451" s="27">
        <v>0</v>
      </c>
      <c r="X451" s="27" t="s">
        <v>25</v>
      </c>
    </row>
    <row r="452" spans="1:24">
      <c r="A452" s="27">
        <v>1</v>
      </c>
      <c r="B452" s="27">
        <v>5</v>
      </c>
      <c r="C452" s="27">
        <v>15</v>
      </c>
      <c r="D452" s="27">
        <v>2010</v>
      </c>
      <c r="E452" s="27">
        <v>2050</v>
      </c>
      <c r="F452" s="27">
        <v>9</v>
      </c>
      <c r="G452" s="27">
        <v>15</v>
      </c>
      <c r="H452" s="27">
        <v>0</v>
      </c>
      <c r="I452" s="27">
        <v>0</v>
      </c>
      <c r="J452" s="27">
        <v>0</v>
      </c>
      <c r="K452" s="27">
        <v>0.85</v>
      </c>
      <c r="L452" s="27">
        <v>3750</v>
      </c>
      <c r="M452" s="27">
        <v>3250</v>
      </c>
      <c r="N452" s="27">
        <v>0</v>
      </c>
      <c r="O452" s="27">
        <v>0</v>
      </c>
      <c r="P452" s="27" t="s">
        <v>13</v>
      </c>
      <c r="Q452" s="27">
        <v>1993</v>
      </c>
      <c r="R452" s="27">
        <v>1</v>
      </c>
      <c r="S452" s="27">
        <v>0</v>
      </c>
      <c r="T452" s="27">
        <v>-1.8E-3</v>
      </c>
      <c r="U452" s="27">
        <v>-1.2E-2</v>
      </c>
      <c r="V452" s="27">
        <v>0</v>
      </c>
      <c r="W452" s="27">
        <v>0</v>
      </c>
      <c r="X452" s="27" t="s">
        <v>25</v>
      </c>
    </row>
    <row r="453" spans="1:24">
      <c r="A453" s="27">
        <v>1</v>
      </c>
      <c r="B453" s="27">
        <v>5</v>
      </c>
      <c r="C453" s="27">
        <v>16</v>
      </c>
      <c r="D453" s="27">
        <v>2010</v>
      </c>
      <c r="E453" s="27">
        <v>2010</v>
      </c>
      <c r="F453" s="27">
        <v>1</v>
      </c>
      <c r="G453" s="27">
        <v>16</v>
      </c>
      <c r="H453" s="27">
        <v>0</v>
      </c>
      <c r="I453" s="27">
        <v>0</v>
      </c>
      <c r="J453" s="27">
        <v>0</v>
      </c>
      <c r="K453" s="27">
        <v>0.98</v>
      </c>
      <c r="L453" s="27">
        <v>4750</v>
      </c>
      <c r="M453" s="27">
        <v>4250</v>
      </c>
      <c r="N453" s="27">
        <v>1425</v>
      </c>
      <c r="O453" s="27">
        <v>855</v>
      </c>
      <c r="P453" s="27" t="s">
        <v>13</v>
      </c>
      <c r="Q453" s="27">
        <v>1993</v>
      </c>
      <c r="R453" s="27">
        <v>1</v>
      </c>
      <c r="S453" s="27">
        <v>0</v>
      </c>
      <c r="T453" s="27">
        <v>-1.8E-3</v>
      </c>
      <c r="U453" s="27">
        <v>-1.2E-2</v>
      </c>
      <c r="V453" s="27">
        <v>0</v>
      </c>
      <c r="W453" s="27">
        <v>0</v>
      </c>
      <c r="X453" s="27" t="s">
        <v>26</v>
      </c>
    </row>
    <row r="454" spans="1:24">
      <c r="A454" s="27">
        <v>1</v>
      </c>
      <c r="B454" s="27">
        <v>5</v>
      </c>
      <c r="C454" s="27">
        <v>16</v>
      </c>
      <c r="D454" s="27">
        <v>2010</v>
      </c>
      <c r="E454" s="27">
        <v>2010</v>
      </c>
      <c r="F454" s="27">
        <v>2</v>
      </c>
      <c r="G454" s="27">
        <v>16</v>
      </c>
      <c r="H454" s="27">
        <v>0</v>
      </c>
      <c r="I454" s="27">
        <v>0</v>
      </c>
      <c r="J454" s="27">
        <v>0</v>
      </c>
      <c r="K454" s="27">
        <v>0.98</v>
      </c>
      <c r="L454" s="27">
        <v>4750</v>
      </c>
      <c r="M454" s="27">
        <v>4250</v>
      </c>
      <c r="N454" s="27">
        <v>1425</v>
      </c>
      <c r="O454" s="27">
        <v>855</v>
      </c>
      <c r="P454" s="27" t="s">
        <v>13</v>
      </c>
      <c r="Q454" s="27">
        <v>1993</v>
      </c>
      <c r="R454" s="27">
        <v>1</v>
      </c>
      <c r="S454" s="27">
        <v>0</v>
      </c>
      <c r="T454" s="27">
        <v>-1.8E-3</v>
      </c>
      <c r="U454" s="27">
        <v>-1.2E-2</v>
      </c>
      <c r="V454" s="27">
        <v>0</v>
      </c>
      <c r="W454" s="27">
        <v>0</v>
      </c>
      <c r="X454" s="27" t="s">
        <v>26</v>
      </c>
    </row>
    <row r="455" spans="1:24">
      <c r="A455" s="27">
        <v>1</v>
      </c>
      <c r="B455" s="27">
        <v>5</v>
      </c>
      <c r="C455" s="27">
        <v>16</v>
      </c>
      <c r="D455" s="27">
        <v>2010</v>
      </c>
      <c r="E455" s="27">
        <v>2010</v>
      </c>
      <c r="F455" s="27">
        <v>3</v>
      </c>
      <c r="G455" s="27">
        <v>16</v>
      </c>
      <c r="H455" s="27">
        <v>0</v>
      </c>
      <c r="I455" s="27">
        <v>0</v>
      </c>
      <c r="J455" s="27">
        <v>0</v>
      </c>
      <c r="K455" s="27">
        <v>0.98</v>
      </c>
      <c r="L455" s="27">
        <v>4750</v>
      </c>
      <c r="M455" s="27">
        <v>4250</v>
      </c>
      <c r="N455" s="27">
        <v>1425</v>
      </c>
      <c r="O455" s="27">
        <v>855</v>
      </c>
      <c r="P455" s="27" t="s">
        <v>13</v>
      </c>
      <c r="Q455" s="27">
        <v>1993</v>
      </c>
      <c r="R455" s="27">
        <v>1</v>
      </c>
      <c r="S455" s="27">
        <v>0</v>
      </c>
      <c r="T455" s="27">
        <v>-1.8E-3</v>
      </c>
      <c r="U455" s="27">
        <v>-1.2E-2</v>
      </c>
      <c r="V455" s="27">
        <v>0</v>
      </c>
      <c r="W455" s="27">
        <v>0</v>
      </c>
      <c r="X455" s="27" t="s">
        <v>26</v>
      </c>
    </row>
    <row r="456" spans="1:24">
      <c r="A456" s="27">
        <v>1</v>
      </c>
      <c r="B456" s="27">
        <v>5</v>
      </c>
      <c r="C456" s="27">
        <v>16</v>
      </c>
      <c r="D456" s="27">
        <v>2010</v>
      </c>
      <c r="E456" s="27">
        <v>2010</v>
      </c>
      <c r="F456" s="27">
        <v>4</v>
      </c>
      <c r="G456" s="27">
        <v>16</v>
      </c>
      <c r="H456" s="27">
        <v>0</v>
      </c>
      <c r="I456" s="27">
        <v>0</v>
      </c>
      <c r="J456" s="27">
        <v>0</v>
      </c>
      <c r="K456" s="27">
        <v>0.98</v>
      </c>
      <c r="L456" s="27">
        <v>4750</v>
      </c>
      <c r="M456" s="27">
        <v>4250</v>
      </c>
      <c r="N456" s="27">
        <v>1425</v>
      </c>
      <c r="O456" s="27">
        <v>855</v>
      </c>
      <c r="P456" s="27" t="s">
        <v>13</v>
      </c>
      <c r="Q456" s="27">
        <v>1993</v>
      </c>
      <c r="R456" s="27">
        <v>1</v>
      </c>
      <c r="S456" s="27">
        <v>0</v>
      </c>
      <c r="T456" s="27">
        <v>-1.8E-3</v>
      </c>
      <c r="U456" s="27">
        <v>-1.2E-2</v>
      </c>
      <c r="V456" s="27">
        <v>0</v>
      </c>
      <c r="W456" s="27">
        <v>0</v>
      </c>
      <c r="X456" s="27" t="s">
        <v>26</v>
      </c>
    </row>
    <row r="457" spans="1:24">
      <c r="A457" s="27">
        <v>1</v>
      </c>
      <c r="B457" s="27">
        <v>5</v>
      </c>
      <c r="C457" s="27">
        <v>16</v>
      </c>
      <c r="D457" s="27">
        <v>2010</v>
      </c>
      <c r="E457" s="27">
        <v>2010</v>
      </c>
      <c r="F457" s="27">
        <v>5</v>
      </c>
      <c r="G457" s="27">
        <v>16</v>
      </c>
      <c r="H457" s="27">
        <v>0</v>
      </c>
      <c r="I457" s="27">
        <v>0</v>
      </c>
      <c r="J457" s="27">
        <v>0</v>
      </c>
      <c r="K457" s="27">
        <v>0.98</v>
      </c>
      <c r="L457" s="27">
        <v>4750</v>
      </c>
      <c r="M457" s="27">
        <v>4250</v>
      </c>
      <c r="N457" s="27">
        <v>1425</v>
      </c>
      <c r="O457" s="27">
        <v>855</v>
      </c>
      <c r="P457" s="27" t="s">
        <v>13</v>
      </c>
      <c r="Q457" s="27">
        <v>1993</v>
      </c>
      <c r="R457" s="27">
        <v>1</v>
      </c>
      <c r="S457" s="27">
        <v>0</v>
      </c>
      <c r="T457" s="27">
        <v>-1.8E-3</v>
      </c>
      <c r="U457" s="27">
        <v>-1.2E-2</v>
      </c>
      <c r="V457" s="27">
        <v>0</v>
      </c>
      <c r="W457" s="27">
        <v>0</v>
      </c>
      <c r="X457" s="27" t="s">
        <v>26</v>
      </c>
    </row>
    <row r="458" spans="1:24">
      <c r="A458" s="27">
        <v>1</v>
      </c>
      <c r="B458" s="27">
        <v>5</v>
      </c>
      <c r="C458" s="27">
        <v>16</v>
      </c>
      <c r="D458" s="27">
        <v>2010</v>
      </c>
      <c r="E458" s="27">
        <v>2010</v>
      </c>
      <c r="F458" s="27">
        <v>6</v>
      </c>
      <c r="G458" s="27">
        <v>16</v>
      </c>
      <c r="H458" s="27">
        <v>0</v>
      </c>
      <c r="I458" s="27">
        <v>0</v>
      </c>
      <c r="J458" s="27">
        <v>0</v>
      </c>
      <c r="K458" s="27">
        <v>0.98</v>
      </c>
      <c r="L458" s="27">
        <v>4750</v>
      </c>
      <c r="M458" s="27">
        <v>4250</v>
      </c>
      <c r="N458" s="27">
        <v>1425</v>
      </c>
      <c r="O458" s="27">
        <v>855</v>
      </c>
      <c r="P458" s="27" t="s">
        <v>13</v>
      </c>
      <c r="Q458" s="27">
        <v>1993</v>
      </c>
      <c r="R458" s="27">
        <v>1</v>
      </c>
      <c r="S458" s="27">
        <v>0</v>
      </c>
      <c r="T458" s="27">
        <v>-1.8E-3</v>
      </c>
      <c r="U458" s="27">
        <v>-1.2E-2</v>
      </c>
      <c r="V458" s="27">
        <v>0</v>
      </c>
      <c r="W458" s="27">
        <v>0</v>
      </c>
      <c r="X458" s="27" t="s">
        <v>26</v>
      </c>
    </row>
    <row r="459" spans="1:24">
      <c r="A459" s="27">
        <v>1</v>
      </c>
      <c r="B459" s="27">
        <v>5</v>
      </c>
      <c r="C459" s="27">
        <v>16</v>
      </c>
      <c r="D459" s="27">
        <v>2010</v>
      </c>
      <c r="E459" s="27">
        <v>2010</v>
      </c>
      <c r="F459" s="27">
        <v>7</v>
      </c>
      <c r="G459" s="27">
        <v>16</v>
      </c>
      <c r="H459" s="27">
        <v>0</v>
      </c>
      <c r="I459" s="27">
        <v>0</v>
      </c>
      <c r="J459" s="27">
        <v>0</v>
      </c>
      <c r="K459" s="27">
        <v>0.98</v>
      </c>
      <c r="L459" s="27">
        <v>4750</v>
      </c>
      <c r="M459" s="27">
        <v>4250</v>
      </c>
      <c r="N459" s="27">
        <v>1425</v>
      </c>
      <c r="O459" s="27">
        <v>855</v>
      </c>
      <c r="P459" s="27" t="s">
        <v>13</v>
      </c>
      <c r="Q459" s="27">
        <v>1993</v>
      </c>
      <c r="R459" s="27">
        <v>1</v>
      </c>
      <c r="S459" s="27">
        <v>0</v>
      </c>
      <c r="T459" s="27">
        <v>-1.8E-3</v>
      </c>
      <c r="U459" s="27">
        <v>-1.2E-2</v>
      </c>
      <c r="V459" s="27">
        <v>0</v>
      </c>
      <c r="W459" s="27">
        <v>0</v>
      </c>
      <c r="X459" s="27" t="s">
        <v>26</v>
      </c>
    </row>
    <row r="460" spans="1:24">
      <c r="A460" s="27">
        <v>1</v>
      </c>
      <c r="B460" s="27">
        <v>5</v>
      </c>
      <c r="C460" s="27">
        <v>16</v>
      </c>
      <c r="D460" s="27">
        <v>2010</v>
      </c>
      <c r="E460" s="27">
        <v>2010</v>
      </c>
      <c r="F460" s="27">
        <v>8</v>
      </c>
      <c r="G460" s="27">
        <v>16</v>
      </c>
      <c r="H460" s="27">
        <v>0</v>
      </c>
      <c r="I460" s="27">
        <v>0</v>
      </c>
      <c r="J460" s="27">
        <v>0</v>
      </c>
      <c r="K460" s="27">
        <v>0.98</v>
      </c>
      <c r="L460" s="27">
        <v>4750</v>
      </c>
      <c r="M460" s="27">
        <v>4250</v>
      </c>
      <c r="N460" s="27">
        <v>1425</v>
      </c>
      <c r="O460" s="27">
        <v>855</v>
      </c>
      <c r="P460" s="27" t="s">
        <v>13</v>
      </c>
      <c r="Q460" s="27">
        <v>1993</v>
      </c>
      <c r="R460" s="27">
        <v>1</v>
      </c>
      <c r="S460" s="27">
        <v>0</v>
      </c>
      <c r="T460" s="27">
        <v>-1.8E-3</v>
      </c>
      <c r="U460" s="27">
        <v>-1.2E-2</v>
      </c>
      <c r="V460" s="27">
        <v>0</v>
      </c>
      <c r="W460" s="27">
        <v>0</v>
      </c>
      <c r="X460" s="27" t="s">
        <v>26</v>
      </c>
    </row>
    <row r="461" spans="1:24">
      <c r="A461" s="27">
        <v>1</v>
      </c>
      <c r="B461" s="27">
        <v>5</v>
      </c>
      <c r="C461" s="27">
        <v>16</v>
      </c>
      <c r="D461" s="27">
        <v>2010</v>
      </c>
      <c r="E461" s="27">
        <v>2010</v>
      </c>
      <c r="F461" s="27">
        <v>9</v>
      </c>
      <c r="G461" s="27">
        <v>16</v>
      </c>
      <c r="H461" s="27">
        <v>0</v>
      </c>
      <c r="I461" s="27">
        <v>0</v>
      </c>
      <c r="J461" s="27">
        <v>0</v>
      </c>
      <c r="K461" s="27">
        <v>0.98</v>
      </c>
      <c r="L461" s="27">
        <v>4750</v>
      </c>
      <c r="M461" s="27">
        <v>4250</v>
      </c>
      <c r="N461" s="27">
        <v>1425</v>
      </c>
      <c r="O461" s="27">
        <v>855</v>
      </c>
      <c r="P461" s="27" t="s">
        <v>13</v>
      </c>
      <c r="Q461" s="27">
        <v>1993</v>
      </c>
      <c r="R461" s="27">
        <v>1</v>
      </c>
      <c r="S461" s="27">
        <v>0</v>
      </c>
      <c r="T461" s="27">
        <v>-1.8E-3</v>
      </c>
      <c r="U461" s="27">
        <v>-1.2E-2</v>
      </c>
      <c r="V461" s="27">
        <v>0</v>
      </c>
      <c r="W461" s="27">
        <v>0</v>
      </c>
      <c r="X461" s="27" t="s">
        <v>26</v>
      </c>
    </row>
    <row r="462" spans="1:24">
      <c r="A462" s="27">
        <v>1</v>
      </c>
      <c r="B462" s="27">
        <v>5</v>
      </c>
      <c r="C462" s="27">
        <v>16</v>
      </c>
      <c r="D462" s="27">
        <v>2011</v>
      </c>
      <c r="E462" s="27">
        <v>2011</v>
      </c>
      <c r="F462" s="27">
        <v>1</v>
      </c>
      <c r="G462" s="27">
        <v>16</v>
      </c>
      <c r="H462" s="27">
        <v>0</v>
      </c>
      <c r="I462" s="27">
        <v>0</v>
      </c>
      <c r="J462" s="27">
        <v>0</v>
      </c>
      <c r="K462" s="27">
        <v>0.98</v>
      </c>
      <c r="L462" s="27">
        <v>4750</v>
      </c>
      <c r="M462" s="27">
        <v>4250</v>
      </c>
      <c r="N462" s="27">
        <v>150</v>
      </c>
      <c r="O462" s="27">
        <v>90</v>
      </c>
      <c r="P462" s="27" t="s">
        <v>13</v>
      </c>
      <c r="Q462" s="27">
        <v>1993</v>
      </c>
      <c r="R462" s="27">
        <v>1</v>
      </c>
      <c r="S462" s="27">
        <v>0</v>
      </c>
      <c r="T462" s="27">
        <v>-1.8E-3</v>
      </c>
      <c r="U462" s="27">
        <v>-1.2E-2</v>
      </c>
      <c r="V462" s="27">
        <v>0</v>
      </c>
      <c r="W462" s="27">
        <v>0</v>
      </c>
      <c r="X462" s="27" t="s">
        <v>26</v>
      </c>
    </row>
    <row r="463" spans="1:24">
      <c r="A463" s="27">
        <v>1</v>
      </c>
      <c r="B463" s="27">
        <v>5</v>
      </c>
      <c r="C463" s="27">
        <v>16</v>
      </c>
      <c r="D463" s="27">
        <v>2011</v>
      </c>
      <c r="E463" s="27">
        <v>2011</v>
      </c>
      <c r="F463" s="27">
        <v>2</v>
      </c>
      <c r="G463" s="27">
        <v>16</v>
      </c>
      <c r="H463" s="27">
        <v>0</v>
      </c>
      <c r="I463" s="27">
        <v>0</v>
      </c>
      <c r="J463" s="27">
        <v>0</v>
      </c>
      <c r="K463" s="27">
        <v>0.98</v>
      </c>
      <c r="L463" s="27">
        <v>4750</v>
      </c>
      <c r="M463" s="27">
        <v>4250</v>
      </c>
      <c r="N463" s="27">
        <v>150</v>
      </c>
      <c r="O463" s="27">
        <v>90</v>
      </c>
      <c r="P463" s="27" t="s">
        <v>13</v>
      </c>
      <c r="Q463" s="27">
        <v>1993</v>
      </c>
      <c r="R463" s="27">
        <v>1</v>
      </c>
      <c r="S463" s="27">
        <v>0</v>
      </c>
      <c r="T463" s="27">
        <v>-1.8E-3</v>
      </c>
      <c r="U463" s="27">
        <v>-1.2E-2</v>
      </c>
      <c r="V463" s="27">
        <v>0</v>
      </c>
      <c r="W463" s="27">
        <v>0</v>
      </c>
      <c r="X463" s="27" t="s">
        <v>26</v>
      </c>
    </row>
    <row r="464" spans="1:24">
      <c r="A464" s="27">
        <v>1</v>
      </c>
      <c r="B464" s="27">
        <v>5</v>
      </c>
      <c r="C464" s="27">
        <v>16</v>
      </c>
      <c r="D464" s="27">
        <v>2011</v>
      </c>
      <c r="E464" s="27">
        <v>2011</v>
      </c>
      <c r="F464" s="27">
        <v>3</v>
      </c>
      <c r="G464" s="27">
        <v>16</v>
      </c>
      <c r="H464" s="27">
        <v>0</v>
      </c>
      <c r="I464" s="27">
        <v>0</v>
      </c>
      <c r="J464" s="27">
        <v>0</v>
      </c>
      <c r="K464" s="27">
        <v>0.98</v>
      </c>
      <c r="L464" s="27">
        <v>4750</v>
      </c>
      <c r="M464" s="27">
        <v>4250</v>
      </c>
      <c r="N464" s="27">
        <v>150</v>
      </c>
      <c r="O464" s="27">
        <v>90</v>
      </c>
      <c r="P464" s="27" t="s">
        <v>13</v>
      </c>
      <c r="Q464" s="27">
        <v>1993</v>
      </c>
      <c r="R464" s="27">
        <v>1</v>
      </c>
      <c r="S464" s="27">
        <v>0</v>
      </c>
      <c r="T464" s="27">
        <v>-1.8E-3</v>
      </c>
      <c r="U464" s="27">
        <v>-1.2E-2</v>
      </c>
      <c r="V464" s="27">
        <v>0</v>
      </c>
      <c r="W464" s="27">
        <v>0</v>
      </c>
      <c r="X464" s="27" t="s">
        <v>26</v>
      </c>
    </row>
    <row r="465" spans="1:24">
      <c r="A465" s="27">
        <v>1</v>
      </c>
      <c r="B465" s="27">
        <v>5</v>
      </c>
      <c r="C465" s="27">
        <v>16</v>
      </c>
      <c r="D465" s="27">
        <v>2011</v>
      </c>
      <c r="E465" s="27">
        <v>2011</v>
      </c>
      <c r="F465" s="27">
        <v>4</v>
      </c>
      <c r="G465" s="27">
        <v>16</v>
      </c>
      <c r="H465" s="27">
        <v>0</v>
      </c>
      <c r="I465" s="27">
        <v>0</v>
      </c>
      <c r="J465" s="27">
        <v>0</v>
      </c>
      <c r="K465" s="27">
        <v>0.98</v>
      </c>
      <c r="L465" s="27">
        <v>4750</v>
      </c>
      <c r="M465" s="27">
        <v>4250</v>
      </c>
      <c r="N465" s="27">
        <v>150</v>
      </c>
      <c r="O465" s="27">
        <v>90</v>
      </c>
      <c r="P465" s="27" t="s">
        <v>13</v>
      </c>
      <c r="Q465" s="27">
        <v>1993</v>
      </c>
      <c r="R465" s="27">
        <v>1</v>
      </c>
      <c r="S465" s="27">
        <v>0</v>
      </c>
      <c r="T465" s="27">
        <v>-1.8E-3</v>
      </c>
      <c r="U465" s="27">
        <v>-1.2E-2</v>
      </c>
      <c r="V465" s="27">
        <v>0</v>
      </c>
      <c r="W465" s="27">
        <v>0</v>
      </c>
      <c r="X465" s="27" t="s">
        <v>26</v>
      </c>
    </row>
    <row r="466" spans="1:24">
      <c r="A466" s="27">
        <v>1</v>
      </c>
      <c r="B466" s="27">
        <v>5</v>
      </c>
      <c r="C466" s="27">
        <v>16</v>
      </c>
      <c r="D466" s="27">
        <v>2011</v>
      </c>
      <c r="E466" s="27">
        <v>2011</v>
      </c>
      <c r="F466" s="27">
        <v>5</v>
      </c>
      <c r="G466" s="27">
        <v>16</v>
      </c>
      <c r="H466" s="27">
        <v>0</v>
      </c>
      <c r="I466" s="27">
        <v>0</v>
      </c>
      <c r="J466" s="27">
        <v>0</v>
      </c>
      <c r="K466" s="27">
        <v>0.98</v>
      </c>
      <c r="L466" s="27">
        <v>4750</v>
      </c>
      <c r="M466" s="27">
        <v>4250</v>
      </c>
      <c r="N466" s="27">
        <v>150</v>
      </c>
      <c r="O466" s="27">
        <v>90</v>
      </c>
      <c r="P466" s="27" t="s">
        <v>13</v>
      </c>
      <c r="Q466" s="27">
        <v>1993</v>
      </c>
      <c r="R466" s="27">
        <v>1</v>
      </c>
      <c r="S466" s="27">
        <v>0</v>
      </c>
      <c r="T466" s="27">
        <v>-1.8E-3</v>
      </c>
      <c r="U466" s="27">
        <v>-1.2E-2</v>
      </c>
      <c r="V466" s="27">
        <v>0</v>
      </c>
      <c r="W466" s="27">
        <v>0</v>
      </c>
      <c r="X466" s="27" t="s">
        <v>26</v>
      </c>
    </row>
    <row r="467" spans="1:24">
      <c r="A467" s="27">
        <v>1</v>
      </c>
      <c r="B467" s="27">
        <v>5</v>
      </c>
      <c r="C467" s="27">
        <v>16</v>
      </c>
      <c r="D467" s="27">
        <v>2011</v>
      </c>
      <c r="E467" s="27">
        <v>2011</v>
      </c>
      <c r="F467" s="27">
        <v>6</v>
      </c>
      <c r="G467" s="27">
        <v>16</v>
      </c>
      <c r="H467" s="27">
        <v>0</v>
      </c>
      <c r="I467" s="27">
        <v>0</v>
      </c>
      <c r="J467" s="27">
        <v>0</v>
      </c>
      <c r="K467" s="27">
        <v>0.98</v>
      </c>
      <c r="L467" s="27">
        <v>4750</v>
      </c>
      <c r="M467" s="27">
        <v>4250</v>
      </c>
      <c r="N467" s="27">
        <v>150</v>
      </c>
      <c r="O467" s="27">
        <v>90</v>
      </c>
      <c r="P467" s="27" t="s">
        <v>13</v>
      </c>
      <c r="Q467" s="27">
        <v>1993</v>
      </c>
      <c r="R467" s="27">
        <v>1</v>
      </c>
      <c r="S467" s="27">
        <v>0</v>
      </c>
      <c r="T467" s="27">
        <v>-1.8E-3</v>
      </c>
      <c r="U467" s="27">
        <v>-1.2E-2</v>
      </c>
      <c r="V467" s="27">
        <v>0</v>
      </c>
      <c r="W467" s="27">
        <v>0</v>
      </c>
      <c r="X467" s="27" t="s">
        <v>26</v>
      </c>
    </row>
    <row r="468" spans="1:24">
      <c r="A468" s="27">
        <v>1</v>
      </c>
      <c r="B468" s="27">
        <v>5</v>
      </c>
      <c r="C468" s="27">
        <v>16</v>
      </c>
      <c r="D468" s="27">
        <v>2011</v>
      </c>
      <c r="E468" s="27">
        <v>2011</v>
      </c>
      <c r="F468" s="27">
        <v>7</v>
      </c>
      <c r="G468" s="27">
        <v>16</v>
      </c>
      <c r="H468" s="27">
        <v>0</v>
      </c>
      <c r="I468" s="27">
        <v>0</v>
      </c>
      <c r="J468" s="27">
        <v>0</v>
      </c>
      <c r="K468" s="27">
        <v>0.98</v>
      </c>
      <c r="L468" s="27">
        <v>4750</v>
      </c>
      <c r="M468" s="27">
        <v>4250</v>
      </c>
      <c r="N468" s="27">
        <v>150</v>
      </c>
      <c r="O468" s="27">
        <v>90</v>
      </c>
      <c r="P468" s="27" t="s">
        <v>13</v>
      </c>
      <c r="Q468" s="27">
        <v>1993</v>
      </c>
      <c r="R468" s="27">
        <v>1</v>
      </c>
      <c r="S468" s="27">
        <v>0</v>
      </c>
      <c r="T468" s="27">
        <v>-1.8E-3</v>
      </c>
      <c r="U468" s="27">
        <v>-1.2E-2</v>
      </c>
      <c r="V468" s="27">
        <v>0</v>
      </c>
      <c r="W468" s="27">
        <v>0</v>
      </c>
      <c r="X468" s="27" t="s">
        <v>26</v>
      </c>
    </row>
    <row r="469" spans="1:24">
      <c r="A469" s="27">
        <v>1</v>
      </c>
      <c r="B469" s="27">
        <v>5</v>
      </c>
      <c r="C469" s="27">
        <v>16</v>
      </c>
      <c r="D469" s="27">
        <v>2011</v>
      </c>
      <c r="E469" s="27">
        <v>2011</v>
      </c>
      <c r="F469" s="27">
        <v>8</v>
      </c>
      <c r="G469" s="27">
        <v>16</v>
      </c>
      <c r="H469" s="27">
        <v>0</v>
      </c>
      <c r="I469" s="27">
        <v>0</v>
      </c>
      <c r="J469" s="27">
        <v>0</v>
      </c>
      <c r="K469" s="27">
        <v>0.98</v>
      </c>
      <c r="L469" s="27">
        <v>4750</v>
      </c>
      <c r="M469" s="27">
        <v>4250</v>
      </c>
      <c r="N469" s="27">
        <v>150</v>
      </c>
      <c r="O469" s="27">
        <v>90</v>
      </c>
      <c r="P469" s="27" t="s">
        <v>13</v>
      </c>
      <c r="Q469" s="27">
        <v>1993</v>
      </c>
      <c r="R469" s="27">
        <v>1</v>
      </c>
      <c r="S469" s="27">
        <v>0</v>
      </c>
      <c r="T469" s="27">
        <v>-1.8E-3</v>
      </c>
      <c r="U469" s="27">
        <v>-1.2E-2</v>
      </c>
      <c r="V469" s="27">
        <v>0</v>
      </c>
      <c r="W469" s="27">
        <v>0</v>
      </c>
      <c r="X469" s="27" t="s">
        <v>26</v>
      </c>
    </row>
    <row r="470" spans="1:24">
      <c r="A470" s="27">
        <v>1</v>
      </c>
      <c r="B470" s="27">
        <v>5</v>
      </c>
      <c r="C470" s="27">
        <v>16</v>
      </c>
      <c r="D470" s="27">
        <v>2011</v>
      </c>
      <c r="E470" s="27">
        <v>2011</v>
      </c>
      <c r="F470" s="27">
        <v>9</v>
      </c>
      <c r="G470" s="27">
        <v>16</v>
      </c>
      <c r="H470" s="27">
        <v>0</v>
      </c>
      <c r="I470" s="27">
        <v>0</v>
      </c>
      <c r="J470" s="27">
        <v>0</v>
      </c>
      <c r="K470" s="27">
        <v>0.98</v>
      </c>
      <c r="L470" s="27">
        <v>4750</v>
      </c>
      <c r="M470" s="27">
        <v>4250</v>
      </c>
      <c r="N470" s="27">
        <v>150</v>
      </c>
      <c r="O470" s="27">
        <v>90</v>
      </c>
      <c r="P470" s="27" t="s">
        <v>13</v>
      </c>
      <c r="Q470" s="27">
        <v>1993</v>
      </c>
      <c r="R470" s="27">
        <v>1</v>
      </c>
      <c r="S470" s="27">
        <v>0</v>
      </c>
      <c r="T470" s="27">
        <v>-1.8E-3</v>
      </c>
      <c r="U470" s="27">
        <v>-1.2E-2</v>
      </c>
      <c r="V470" s="27">
        <v>0</v>
      </c>
      <c r="W470" s="27">
        <v>0</v>
      </c>
      <c r="X470" s="27" t="s">
        <v>26</v>
      </c>
    </row>
    <row r="471" spans="1:24">
      <c r="A471" s="27">
        <v>1</v>
      </c>
      <c r="B471" s="27">
        <v>5</v>
      </c>
      <c r="C471" s="27">
        <v>16</v>
      </c>
      <c r="D471" s="27">
        <v>2012</v>
      </c>
      <c r="E471" s="27">
        <v>2050</v>
      </c>
      <c r="F471" s="27">
        <v>1</v>
      </c>
      <c r="G471" s="27">
        <v>16</v>
      </c>
      <c r="H471" s="27">
        <v>0</v>
      </c>
      <c r="I471" s="27">
        <v>0</v>
      </c>
      <c r="J471" s="27">
        <v>0</v>
      </c>
      <c r="K471" s="27">
        <v>0.98</v>
      </c>
      <c r="L471" s="27">
        <v>4750</v>
      </c>
      <c r="M471" s="27">
        <v>4250</v>
      </c>
      <c r="N471" s="27">
        <v>0</v>
      </c>
      <c r="O471" s="27">
        <v>0</v>
      </c>
      <c r="P471" s="27" t="s">
        <v>13</v>
      </c>
      <c r="Q471" s="27">
        <v>1993</v>
      </c>
      <c r="R471" s="27">
        <v>1</v>
      </c>
      <c r="S471" s="27">
        <v>0</v>
      </c>
      <c r="T471" s="27">
        <v>-1.8E-3</v>
      </c>
      <c r="U471" s="27">
        <v>-1.2E-2</v>
      </c>
      <c r="V471" s="27">
        <v>0</v>
      </c>
      <c r="W471" s="27">
        <v>0</v>
      </c>
      <c r="X471" s="27" t="s">
        <v>26</v>
      </c>
    </row>
    <row r="472" spans="1:24">
      <c r="A472" s="27">
        <v>1</v>
      </c>
      <c r="B472" s="27">
        <v>5</v>
      </c>
      <c r="C472" s="27">
        <v>16</v>
      </c>
      <c r="D472" s="27">
        <v>2012</v>
      </c>
      <c r="E472" s="27">
        <v>2050</v>
      </c>
      <c r="F472" s="27">
        <v>2</v>
      </c>
      <c r="G472" s="27">
        <v>16</v>
      </c>
      <c r="H472" s="27">
        <v>0</v>
      </c>
      <c r="I472" s="27">
        <v>0</v>
      </c>
      <c r="J472" s="27">
        <v>0</v>
      </c>
      <c r="K472" s="27">
        <v>0.98</v>
      </c>
      <c r="L472" s="27">
        <v>4750</v>
      </c>
      <c r="M472" s="27">
        <v>4250</v>
      </c>
      <c r="N472" s="27">
        <v>0</v>
      </c>
      <c r="O472" s="27">
        <v>0</v>
      </c>
      <c r="P472" s="27" t="s">
        <v>13</v>
      </c>
      <c r="Q472" s="27">
        <v>1993</v>
      </c>
      <c r="R472" s="27">
        <v>1</v>
      </c>
      <c r="S472" s="27">
        <v>0</v>
      </c>
      <c r="T472" s="27">
        <v>-1.8E-3</v>
      </c>
      <c r="U472" s="27">
        <v>-1.2E-2</v>
      </c>
      <c r="V472" s="27">
        <v>0</v>
      </c>
      <c r="W472" s="27">
        <v>0</v>
      </c>
      <c r="X472" s="27" t="s">
        <v>26</v>
      </c>
    </row>
    <row r="473" spans="1:24">
      <c r="A473" s="27">
        <v>1</v>
      </c>
      <c r="B473" s="27">
        <v>5</v>
      </c>
      <c r="C473" s="27">
        <v>16</v>
      </c>
      <c r="D473" s="27">
        <v>2012</v>
      </c>
      <c r="E473" s="27">
        <v>2050</v>
      </c>
      <c r="F473" s="27">
        <v>3</v>
      </c>
      <c r="G473" s="27">
        <v>16</v>
      </c>
      <c r="H473" s="27">
        <v>0</v>
      </c>
      <c r="I473" s="27">
        <v>0</v>
      </c>
      <c r="J473" s="27">
        <v>0</v>
      </c>
      <c r="K473" s="27">
        <v>0.98</v>
      </c>
      <c r="L473" s="27">
        <v>4750</v>
      </c>
      <c r="M473" s="27">
        <v>4250</v>
      </c>
      <c r="N473" s="27">
        <v>0</v>
      </c>
      <c r="O473" s="27">
        <v>0</v>
      </c>
      <c r="P473" s="27" t="s">
        <v>13</v>
      </c>
      <c r="Q473" s="27">
        <v>1993</v>
      </c>
      <c r="R473" s="27">
        <v>1</v>
      </c>
      <c r="S473" s="27">
        <v>0</v>
      </c>
      <c r="T473" s="27">
        <v>-1.8E-3</v>
      </c>
      <c r="U473" s="27">
        <v>-1.2E-2</v>
      </c>
      <c r="V473" s="27">
        <v>0</v>
      </c>
      <c r="W473" s="27">
        <v>0</v>
      </c>
      <c r="X473" s="27" t="s">
        <v>26</v>
      </c>
    </row>
    <row r="474" spans="1:24">
      <c r="A474" s="27">
        <v>1</v>
      </c>
      <c r="B474" s="27">
        <v>5</v>
      </c>
      <c r="C474" s="27">
        <v>16</v>
      </c>
      <c r="D474" s="27">
        <v>2012</v>
      </c>
      <c r="E474" s="27">
        <v>2050</v>
      </c>
      <c r="F474" s="27">
        <v>4</v>
      </c>
      <c r="G474" s="27">
        <v>16</v>
      </c>
      <c r="H474" s="27">
        <v>0</v>
      </c>
      <c r="I474" s="27">
        <v>0</v>
      </c>
      <c r="J474" s="27">
        <v>0</v>
      </c>
      <c r="K474" s="27">
        <v>0.98</v>
      </c>
      <c r="L474" s="27">
        <v>4750</v>
      </c>
      <c r="M474" s="27">
        <v>4250</v>
      </c>
      <c r="N474" s="27">
        <v>0</v>
      </c>
      <c r="O474" s="27">
        <v>0</v>
      </c>
      <c r="P474" s="27" t="s">
        <v>13</v>
      </c>
      <c r="Q474" s="27">
        <v>1993</v>
      </c>
      <c r="R474" s="27">
        <v>1</v>
      </c>
      <c r="S474" s="27">
        <v>0</v>
      </c>
      <c r="T474" s="27">
        <v>-1.8E-3</v>
      </c>
      <c r="U474" s="27">
        <v>-1.2E-2</v>
      </c>
      <c r="V474" s="27">
        <v>0</v>
      </c>
      <c r="W474" s="27">
        <v>0</v>
      </c>
      <c r="X474" s="27" t="s">
        <v>26</v>
      </c>
    </row>
    <row r="475" spans="1:24">
      <c r="A475" s="27">
        <v>1</v>
      </c>
      <c r="B475" s="27">
        <v>5</v>
      </c>
      <c r="C475" s="27">
        <v>16</v>
      </c>
      <c r="D475" s="27">
        <v>2012</v>
      </c>
      <c r="E475" s="27">
        <v>2050</v>
      </c>
      <c r="F475" s="27">
        <v>5</v>
      </c>
      <c r="G475" s="27">
        <v>16</v>
      </c>
      <c r="H475" s="27">
        <v>0</v>
      </c>
      <c r="I475" s="27">
        <v>0</v>
      </c>
      <c r="J475" s="27">
        <v>0</v>
      </c>
      <c r="K475" s="27">
        <v>0.98</v>
      </c>
      <c r="L475" s="27">
        <v>4750</v>
      </c>
      <c r="M475" s="27">
        <v>4250</v>
      </c>
      <c r="N475" s="27">
        <v>0</v>
      </c>
      <c r="O475" s="27">
        <v>0</v>
      </c>
      <c r="P475" s="27" t="s">
        <v>13</v>
      </c>
      <c r="Q475" s="27">
        <v>1993</v>
      </c>
      <c r="R475" s="27">
        <v>1</v>
      </c>
      <c r="S475" s="27">
        <v>0</v>
      </c>
      <c r="T475" s="27">
        <v>-1.8E-3</v>
      </c>
      <c r="U475" s="27">
        <v>-1.2E-2</v>
      </c>
      <c r="V475" s="27">
        <v>0</v>
      </c>
      <c r="W475" s="27">
        <v>0</v>
      </c>
      <c r="X475" s="27" t="s">
        <v>26</v>
      </c>
    </row>
    <row r="476" spans="1:24">
      <c r="A476" s="27">
        <v>1</v>
      </c>
      <c r="B476" s="27">
        <v>5</v>
      </c>
      <c r="C476" s="27">
        <v>16</v>
      </c>
      <c r="D476" s="27">
        <v>2012</v>
      </c>
      <c r="E476" s="27">
        <v>2050</v>
      </c>
      <c r="F476" s="27">
        <v>6</v>
      </c>
      <c r="G476" s="27">
        <v>16</v>
      </c>
      <c r="H476" s="27">
        <v>0</v>
      </c>
      <c r="I476" s="27">
        <v>0</v>
      </c>
      <c r="J476" s="27">
        <v>0</v>
      </c>
      <c r="K476" s="27">
        <v>0.98</v>
      </c>
      <c r="L476" s="27">
        <v>4750</v>
      </c>
      <c r="M476" s="27">
        <v>4250</v>
      </c>
      <c r="N476" s="27">
        <v>0</v>
      </c>
      <c r="O476" s="27">
        <v>0</v>
      </c>
      <c r="P476" s="27" t="s">
        <v>13</v>
      </c>
      <c r="Q476" s="27">
        <v>1993</v>
      </c>
      <c r="R476" s="27">
        <v>1</v>
      </c>
      <c r="S476" s="27">
        <v>0</v>
      </c>
      <c r="T476" s="27">
        <v>-1.8E-3</v>
      </c>
      <c r="U476" s="27">
        <v>-1.2E-2</v>
      </c>
      <c r="V476" s="27">
        <v>0</v>
      </c>
      <c r="W476" s="27">
        <v>0</v>
      </c>
      <c r="X476" s="27" t="s">
        <v>26</v>
      </c>
    </row>
    <row r="477" spans="1:24">
      <c r="A477" s="27">
        <v>1</v>
      </c>
      <c r="B477" s="27">
        <v>5</v>
      </c>
      <c r="C477" s="27">
        <v>16</v>
      </c>
      <c r="D477" s="27">
        <v>2012</v>
      </c>
      <c r="E477" s="27">
        <v>2050</v>
      </c>
      <c r="F477" s="27">
        <v>7</v>
      </c>
      <c r="G477" s="27">
        <v>16</v>
      </c>
      <c r="H477" s="27">
        <v>0</v>
      </c>
      <c r="I477" s="27">
        <v>0</v>
      </c>
      <c r="J477" s="27">
        <v>0</v>
      </c>
      <c r="K477" s="27">
        <v>0.98</v>
      </c>
      <c r="L477" s="27">
        <v>4750</v>
      </c>
      <c r="M477" s="27">
        <v>4250</v>
      </c>
      <c r="N477" s="27">
        <v>0</v>
      </c>
      <c r="O477" s="27">
        <v>0</v>
      </c>
      <c r="P477" s="27" t="s">
        <v>13</v>
      </c>
      <c r="Q477" s="27">
        <v>1993</v>
      </c>
      <c r="R477" s="27">
        <v>1</v>
      </c>
      <c r="S477" s="27">
        <v>0</v>
      </c>
      <c r="T477" s="27">
        <v>-1.8E-3</v>
      </c>
      <c r="U477" s="27">
        <v>-1.2E-2</v>
      </c>
      <c r="V477" s="27">
        <v>0</v>
      </c>
      <c r="W477" s="27">
        <v>0</v>
      </c>
      <c r="X477" s="27" t="s">
        <v>26</v>
      </c>
    </row>
    <row r="478" spans="1:24">
      <c r="A478" s="27">
        <v>1</v>
      </c>
      <c r="B478" s="27">
        <v>5</v>
      </c>
      <c r="C478" s="27">
        <v>16</v>
      </c>
      <c r="D478" s="27">
        <v>2012</v>
      </c>
      <c r="E478" s="27">
        <v>2050</v>
      </c>
      <c r="F478" s="27">
        <v>8</v>
      </c>
      <c r="G478" s="27">
        <v>16</v>
      </c>
      <c r="H478" s="27">
        <v>0</v>
      </c>
      <c r="I478" s="27">
        <v>0</v>
      </c>
      <c r="J478" s="27">
        <v>0</v>
      </c>
      <c r="K478" s="27">
        <v>0.98</v>
      </c>
      <c r="L478" s="27">
        <v>4750</v>
      </c>
      <c r="M478" s="27">
        <v>4250</v>
      </c>
      <c r="N478" s="27">
        <v>0</v>
      </c>
      <c r="O478" s="27">
        <v>0</v>
      </c>
      <c r="P478" s="27" t="s">
        <v>13</v>
      </c>
      <c r="Q478" s="27">
        <v>1993</v>
      </c>
      <c r="R478" s="27">
        <v>1</v>
      </c>
      <c r="S478" s="27">
        <v>0</v>
      </c>
      <c r="T478" s="27">
        <v>-1.8E-3</v>
      </c>
      <c r="U478" s="27">
        <v>-1.2E-2</v>
      </c>
      <c r="V478" s="27">
        <v>0</v>
      </c>
      <c r="W478" s="27">
        <v>0</v>
      </c>
      <c r="X478" s="27" t="s">
        <v>26</v>
      </c>
    </row>
    <row r="479" spans="1:24">
      <c r="A479" s="27">
        <v>1</v>
      </c>
      <c r="B479" s="27">
        <v>5</v>
      </c>
      <c r="C479" s="27">
        <v>16</v>
      </c>
      <c r="D479" s="27">
        <v>2012</v>
      </c>
      <c r="E479" s="27">
        <v>2050</v>
      </c>
      <c r="F479" s="27">
        <v>9</v>
      </c>
      <c r="G479" s="27">
        <v>16</v>
      </c>
      <c r="H479" s="27">
        <v>0</v>
      </c>
      <c r="I479" s="27">
        <v>0</v>
      </c>
      <c r="J479" s="27">
        <v>0</v>
      </c>
      <c r="K479" s="27">
        <v>0.98</v>
      </c>
      <c r="L479" s="27">
        <v>4750</v>
      </c>
      <c r="M479" s="27">
        <v>4250</v>
      </c>
      <c r="N479" s="27">
        <v>0</v>
      </c>
      <c r="O479" s="27">
        <v>0</v>
      </c>
      <c r="P479" s="27" t="s">
        <v>13</v>
      </c>
      <c r="Q479" s="27">
        <v>1993</v>
      </c>
      <c r="R479" s="27">
        <v>1</v>
      </c>
      <c r="S479" s="27">
        <v>0</v>
      </c>
      <c r="T479" s="27">
        <v>-1.8E-3</v>
      </c>
      <c r="U479" s="27">
        <v>-1.2E-2</v>
      </c>
      <c r="V479" s="27">
        <v>0</v>
      </c>
      <c r="W479" s="27">
        <v>0</v>
      </c>
      <c r="X479" s="27" t="s">
        <v>26</v>
      </c>
    </row>
    <row r="480" spans="1:24">
      <c r="A480" s="27">
        <v>1</v>
      </c>
      <c r="B480" s="27">
        <v>6</v>
      </c>
      <c r="C480" s="27">
        <v>17</v>
      </c>
      <c r="D480" s="27">
        <v>2010</v>
      </c>
      <c r="E480" s="27">
        <v>2012</v>
      </c>
      <c r="F480" s="27">
        <v>1</v>
      </c>
      <c r="G480" s="27">
        <v>17</v>
      </c>
      <c r="H480" s="27">
        <v>0</v>
      </c>
      <c r="I480" s="27">
        <v>0</v>
      </c>
      <c r="J480" s="27">
        <v>0</v>
      </c>
      <c r="K480" s="27">
        <v>0.78</v>
      </c>
      <c r="L480" s="27">
        <v>2500</v>
      </c>
      <c r="M480" s="27">
        <v>1800</v>
      </c>
      <c r="N480" s="27">
        <v>0</v>
      </c>
      <c r="O480" s="27">
        <v>0</v>
      </c>
      <c r="P480" s="27" t="s">
        <v>13</v>
      </c>
      <c r="Q480" s="27">
        <v>1993</v>
      </c>
      <c r="R480" s="27">
        <v>1</v>
      </c>
      <c r="S480" s="27">
        <v>0</v>
      </c>
      <c r="T480" s="27">
        <v>-1.8E-3</v>
      </c>
      <c r="U480" s="27">
        <v>-1.2E-2</v>
      </c>
      <c r="V480" s="27">
        <v>0</v>
      </c>
      <c r="W480" s="27">
        <v>0</v>
      </c>
      <c r="X480" s="27" t="s">
        <v>27</v>
      </c>
    </row>
    <row r="481" spans="1:24">
      <c r="A481" s="27">
        <v>1</v>
      </c>
      <c r="B481" s="27">
        <v>6</v>
      </c>
      <c r="C481" s="27">
        <v>17</v>
      </c>
      <c r="D481" s="27">
        <v>2010</v>
      </c>
      <c r="E481" s="27">
        <v>2012</v>
      </c>
      <c r="F481" s="27">
        <v>2</v>
      </c>
      <c r="G481" s="27">
        <v>17</v>
      </c>
      <c r="H481" s="27">
        <v>0</v>
      </c>
      <c r="I481" s="27">
        <v>0</v>
      </c>
      <c r="J481" s="27">
        <v>0</v>
      </c>
      <c r="K481" s="27">
        <v>0.78</v>
      </c>
      <c r="L481" s="27">
        <v>2500</v>
      </c>
      <c r="M481" s="27">
        <v>1800</v>
      </c>
      <c r="N481" s="27">
        <v>0</v>
      </c>
      <c r="O481" s="27">
        <v>0</v>
      </c>
      <c r="P481" s="27" t="s">
        <v>13</v>
      </c>
      <c r="Q481" s="27">
        <v>1993</v>
      </c>
      <c r="R481" s="27">
        <v>1</v>
      </c>
      <c r="S481" s="27">
        <v>0</v>
      </c>
      <c r="T481" s="27">
        <v>-1.8E-3</v>
      </c>
      <c r="U481" s="27">
        <v>-1.2E-2</v>
      </c>
      <c r="V481" s="27">
        <v>0</v>
      </c>
      <c r="W481" s="27">
        <v>0</v>
      </c>
      <c r="X481" s="27" t="s">
        <v>27</v>
      </c>
    </row>
    <row r="482" spans="1:24">
      <c r="A482" s="27">
        <v>1</v>
      </c>
      <c r="B482" s="27">
        <v>6</v>
      </c>
      <c r="C482" s="27">
        <v>17</v>
      </c>
      <c r="D482" s="27">
        <v>2010</v>
      </c>
      <c r="E482" s="27">
        <v>2012</v>
      </c>
      <c r="F482" s="27">
        <v>3</v>
      </c>
      <c r="G482" s="27">
        <v>17</v>
      </c>
      <c r="H482" s="27">
        <v>0</v>
      </c>
      <c r="I482" s="27">
        <v>0</v>
      </c>
      <c r="J482" s="27">
        <v>0</v>
      </c>
      <c r="K482" s="27">
        <v>0.78</v>
      </c>
      <c r="L482" s="27">
        <v>2500</v>
      </c>
      <c r="M482" s="27">
        <v>1800</v>
      </c>
      <c r="N482" s="27">
        <v>0</v>
      </c>
      <c r="O482" s="27">
        <v>0</v>
      </c>
      <c r="P482" s="27" t="s">
        <v>13</v>
      </c>
      <c r="Q482" s="27">
        <v>1993</v>
      </c>
      <c r="R482" s="27">
        <v>1</v>
      </c>
      <c r="S482" s="27">
        <v>0</v>
      </c>
      <c r="T482" s="27">
        <v>-1.8E-3</v>
      </c>
      <c r="U482" s="27">
        <v>-1.2E-2</v>
      </c>
      <c r="V482" s="27">
        <v>0</v>
      </c>
      <c r="W482" s="27">
        <v>0</v>
      </c>
      <c r="X482" s="27" t="s">
        <v>27</v>
      </c>
    </row>
    <row r="483" spans="1:24">
      <c r="A483" s="27">
        <v>1</v>
      </c>
      <c r="B483" s="27">
        <v>6</v>
      </c>
      <c r="C483" s="27">
        <v>17</v>
      </c>
      <c r="D483" s="27">
        <v>2010</v>
      </c>
      <c r="E483" s="27">
        <v>2012</v>
      </c>
      <c r="F483" s="27">
        <v>4</v>
      </c>
      <c r="G483" s="27">
        <v>17</v>
      </c>
      <c r="H483" s="27">
        <v>0</v>
      </c>
      <c r="I483" s="27">
        <v>0</v>
      </c>
      <c r="J483" s="27">
        <v>0</v>
      </c>
      <c r="K483" s="27">
        <v>0.78</v>
      </c>
      <c r="L483" s="27">
        <v>2500</v>
      </c>
      <c r="M483" s="27">
        <v>1800</v>
      </c>
      <c r="N483" s="27">
        <v>0</v>
      </c>
      <c r="O483" s="27">
        <v>0</v>
      </c>
      <c r="P483" s="27" t="s">
        <v>13</v>
      </c>
      <c r="Q483" s="27">
        <v>1993</v>
      </c>
      <c r="R483" s="27">
        <v>1</v>
      </c>
      <c r="S483" s="27">
        <v>0</v>
      </c>
      <c r="T483" s="27">
        <v>-1.8E-3</v>
      </c>
      <c r="U483" s="27">
        <v>-1.2E-2</v>
      </c>
      <c r="V483" s="27">
        <v>0</v>
      </c>
      <c r="W483" s="27">
        <v>0</v>
      </c>
      <c r="X483" s="27" t="s">
        <v>27</v>
      </c>
    </row>
    <row r="484" spans="1:24">
      <c r="A484" s="27">
        <v>1</v>
      </c>
      <c r="B484" s="27">
        <v>6</v>
      </c>
      <c r="C484" s="27">
        <v>17</v>
      </c>
      <c r="D484" s="27">
        <v>2010</v>
      </c>
      <c r="E484" s="27">
        <v>2012</v>
      </c>
      <c r="F484" s="27">
        <v>5</v>
      </c>
      <c r="G484" s="27">
        <v>17</v>
      </c>
      <c r="H484" s="27">
        <v>0</v>
      </c>
      <c r="I484" s="27">
        <v>0</v>
      </c>
      <c r="J484" s="27">
        <v>0</v>
      </c>
      <c r="K484" s="27">
        <v>0.78</v>
      </c>
      <c r="L484" s="27">
        <v>2500</v>
      </c>
      <c r="M484" s="27">
        <v>1800</v>
      </c>
      <c r="N484" s="27">
        <v>0</v>
      </c>
      <c r="O484" s="27">
        <v>0</v>
      </c>
      <c r="P484" s="27" t="s">
        <v>13</v>
      </c>
      <c r="Q484" s="27">
        <v>1993</v>
      </c>
      <c r="R484" s="27">
        <v>1</v>
      </c>
      <c r="S484" s="27">
        <v>0</v>
      </c>
      <c r="T484" s="27">
        <v>-1.8E-3</v>
      </c>
      <c r="U484" s="27">
        <v>-1.2E-2</v>
      </c>
      <c r="V484" s="27">
        <v>0</v>
      </c>
      <c r="W484" s="27">
        <v>0</v>
      </c>
      <c r="X484" s="27" t="s">
        <v>27</v>
      </c>
    </row>
    <row r="485" spans="1:24">
      <c r="A485" s="27">
        <v>1</v>
      </c>
      <c r="B485" s="27">
        <v>6</v>
      </c>
      <c r="C485" s="27">
        <v>17</v>
      </c>
      <c r="D485" s="27">
        <v>2010</v>
      </c>
      <c r="E485" s="27">
        <v>2012</v>
      </c>
      <c r="F485" s="27">
        <v>6</v>
      </c>
      <c r="G485" s="27">
        <v>17</v>
      </c>
      <c r="H485" s="27">
        <v>0</v>
      </c>
      <c r="I485" s="27">
        <v>0</v>
      </c>
      <c r="J485" s="27">
        <v>0</v>
      </c>
      <c r="K485" s="27">
        <v>0.78</v>
      </c>
      <c r="L485" s="27">
        <v>2500</v>
      </c>
      <c r="M485" s="27">
        <v>1800</v>
      </c>
      <c r="N485" s="27">
        <v>0</v>
      </c>
      <c r="O485" s="27">
        <v>0</v>
      </c>
      <c r="P485" s="27" t="s">
        <v>13</v>
      </c>
      <c r="Q485" s="27">
        <v>1993</v>
      </c>
      <c r="R485" s="27">
        <v>1</v>
      </c>
      <c r="S485" s="27">
        <v>0</v>
      </c>
      <c r="T485" s="27">
        <v>-1.8E-3</v>
      </c>
      <c r="U485" s="27">
        <v>-1.2E-2</v>
      </c>
      <c r="V485" s="27">
        <v>0</v>
      </c>
      <c r="W485" s="27">
        <v>0</v>
      </c>
      <c r="X485" s="27" t="s">
        <v>27</v>
      </c>
    </row>
    <row r="486" spans="1:24">
      <c r="A486" s="27">
        <v>1</v>
      </c>
      <c r="B486" s="27">
        <v>6</v>
      </c>
      <c r="C486" s="27">
        <v>17</v>
      </c>
      <c r="D486" s="27">
        <v>2010</v>
      </c>
      <c r="E486" s="27">
        <v>2012</v>
      </c>
      <c r="F486" s="27">
        <v>7</v>
      </c>
      <c r="G486" s="27">
        <v>17</v>
      </c>
      <c r="H486" s="27">
        <v>0</v>
      </c>
      <c r="I486" s="27">
        <v>0</v>
      </c>
      <c r="J486" s="27">
        <v>0</v>
      </c>
      <c r="K486" s="27">
        <v>0.78</v>
      </c>
      <c r="L486" s="27">
        <v>2500</v>
      </c>
      <c r="M486" s="27">
        <v>1800</v>
      </c>
      <c r="N486" s="27">
        <v>0</v>
      </c>
      <c r="O486" s="27">
        <v>0</v>
      </c>
      <c r="P486" s="27" t="s">
        <v>13</v>
      </c>
      <c r="Q486" s="27">
        <v>1993</v>
      </c>
      <c r="R486" s="27">
        <v>1</v>
      </c>
      <c r="S486" s="27">
        <v>0</v>
      </c>
      <c r="T486" s="27">
        <v>-1.8E-3</v>
      </c>
      <c r="U486" s="27">
        <v>-1.2E-2</v>
      </c>
      <c r="V486" s="27">
        <v>0</v>
      </c>
      <c r="W486" s="27">
        <v>0</v>
      </c>
      <c r="X486" s="27" t="s">
        <v>27</v>
      </c>
    </row>
    <row r="487" spans="1:24">
      <c r="A487" s="27">
        <v>1</v>
      </c>
      <c r="B487" s="27">
        <v>6</v>
      </c>
      <c r="C487" s="27">
        <v>17</v>
      </c>
      <c r="D487" s="27">
        <v>2010</v>
      </c>
      <c r="E487" s="27">
        <v>2012</v>
      </c>
      <c r="F487" s="27">
        <v>8</v>
      </c>
      <c r="G487" s="27">
        <v>17</v>
      </c>
      <c r="H487" s="27">
        <v>0</v>
      </c>
      <c r="I487" s="27">
        <v>0</v>
      </c>
      <c r="J487" s="27">
        <v>0</v>
      </c>
      <c r="K487" s="27">
        <v>0.78</v>
      </c>
      <c r="L487" s="27">
        <v>2500</v>
      </c>
      <c r="M487" s="27">
        <v>1800</v>
      </c>
      <c r="N487" s="27">
        <v>0</v>
      </c>
      <c r="O487" s="27">
        <v>0</v>
      </c>
      <c r="P487" s="27" t="s">
        <v>13</v>
      </c>
      <c r="Q487" s="27">
        <v>1993</v>
      </c>
      <c r="R487" s="27">
        <v>1</v>
      </c>
      <c r="S487" s="27">
        <v>0</v>
      </c>
      <c r="T487" s="27">
        <v>-1.8E-3</v>
      </c>
      <c r="U487" s="27">
        <v>-1.2E-2</v>
      </c>
      <c r="V487" s="27">
        <v>0</v>
      </c>
      <c r="W487" s="27">
        <v>0</v>
      </c>
      <c r="X487" s="27" t="s">
        <v>27</v>
      </c>
    </row>
    <row r="488" spans="1:24">
      <c r="A488" s="27">
        <v>1</v>
      </c>
      <c r="B488" s="27">
        <v>6</v>
      </c>
      <c r="C488" s="27">
        <v>17</v>
      </c>
      <c r="D488" s="27">
        <v>2010</v>
      </c>
      <c r="E488" s="27">
        <v>2012</v>
      </c>
      <c r="F488" s="27">
        <v>9</v>
      </c>
      <c r="G488" s="27">
        <v>17</v>
      </c>
      <c r="H488" s="27">
        <v>0</v>
      </c>
      <c r="I488" s="27">
        <v>0</v>
      </c>
      <c r="J488" s="27">
        <v>0</v>
      </c>
      <c r="K488" s="27">
        <v>0.78</v>
      </c>
      <c r="L488" s="27">
        <v>2500</v>
      </c>
      <c r="M488" s="27">
        <v>1800</v>
      </c>
      <c r="N488" s="27">
        <v>0</v>
      </c>
      <c r="O488" s="27">
        <v>0</v>
      </c>
      <c r="P488" s="27" t="s">
        <v>13</v>
      </c>
      <c r="Q488" s="27">
        <v>1993</v>
      </c>
      <c r="R488" s="27">
        <v>1</v>
      </c>
      <c r="S488" s="27">
        <v>0</v>
      </c>
      <c r="T488" s="27">
        <v>-1.8E-3</v>
      </c>
      <c r="U488" s="27">
        <v>-1.2E-2</v>
      </c>
      <c r="V488" s="27">
        <v>0</v>
      </c>
      <c r="W488" s="27">
        <v>0</v>
      </c>
      <c r="X488" s="27" t="s">
        <v>27</v>
      </c>
    </row>
    <row r="489" spans="1:24">
      <c r="A489" s="27">
        <v>1</v>
      </c>
      <c r="B489" s="27">
        <v>6</v>
      </c>
      <c r="C489" s="27">
        <v>17</v>
      </c>
      <c r="D489" s="27">
        <v>2013</v>
      </c>
      <c r="E489" s="27">
        <v>2050</v>
      </c>
      <c r="F489" s="27">
        <v>1</v>
      </c>
      <c r="G489" s="27">
        <v>17</v>
      </c>
      <c r="H489" s="27">
        <v>0</v>
      </c>
      <c r="I489" s="27">
        <v>0</v>
      </c>
      <c r="J489" s="27">
        <v>0</v>
      </c>
      <c r="K489" s="27">
        <v>0.8</v>
      </c>
      <c r="L489" s="27">
        <v>2500</v>
      </c>
      <c r="M489" s="27">
        <v>1800</v>
      </c>
      <c r="N489" s="27">
        <v>0</v>
      </c>
      <c r="O489" s="27">
        <v>0</v>
      </c>
      <c r="P489" s="27" t="s">
        <v>13</v>
      </c>
      <c r="Q489" s="27">
        <v>1993</v>
      </c>
      <c r="R489" s="27">
        <v>1</v>
      </c>
      <c r="S489" s="27">
        <v>0</v>
      </c>
      <c r="T489" s="27">
        <v>-1</v>
      </c>
      <c r="U489" s="27">
        <v>-1</v>
      </c>
      <c r="V489" s="27">
        <v>0</v>
      </c>
      <c r="W489" s="27">
        <v>0</v>
      </c>
      <c r="X489" s="27" t="s">
        <v>27</v>
      </c>
    </row>
    <row r="490" spans="1:24">
      <c r="A490" s="27">
        <v>1</v>
      </c>
      <c r="B490" s="27">
        <v>6</v>
      </c>
      <c r="C490" s="27">
        <v>17</v>
      </c>
      <c r="D490" s="27">
        <v>2013</v>
      </c>
      <c r="E490" s="27">
        <v>2050</v>
      </c>
      <c r="F490" s="27">
        <v>2</v>
      </c>
      <c r="G490" s="27">
        <v>17</v>
      </c>
      <c r="H490" s="27">
        <v>0</v>
      </c>
      <c r="I490" s="27">
        <v>0</v>
      </c>
      <c r="J490" s="27">
        <v>0</v>
      </c>
      <c r="K490" s="27">
        <v>0.8</v>
      </c>
      <c r="L490" s="27">
        <v>2500</v>
      </c>
      <c r="M490" s="27">
        <v>1800</v>
      </c>
      <c r="N490" s="27">
        <v>0</v>
      </c>
      <c r="O490" s="27">
        <v>0</v>
      </c>
      <c r="P490" s="27" t="s">
        <v>13</v>
      </c>
      <c r="Q490" s="27">
        <v>1993</v>
      </c>
      <c r="R490" s="27">
        <v>1</v>
      </c>
      <c r="S490" s="27">
        <v>0</v>
      </c>
      <c r="T490" s="27">
        <v>-1</v>
      </c>
      <c r="U490" s="27">
        <v>-1</v>
      </c>
      <c r="V490" s="27">
        <v>0</v>
      </c>
      <c r="W490" s="27">
        <v>0</v>
      </c>
      <c r="X490" s="27" t="s">
        <v>27</v>
      </c>
    </row>
    <row r="491" spans="1:24">
      <c r="A491" s="27">
        <v>1</v>
      </c>
      <c r="B491" s="27">
        <v>6</v>
      </c>
      <c r="C491" s="27">
        <v>17</v>
      </c>
      <c r="D491" s="27">
        <v>2013</v>
      </c>
      <c r="E491" s="27">
        <v>2050</v>
      </c>
      <c r="F491" s="27">
        <v>3</v>
      </c>
      <c r="G491" s="27">
        <v>17</v>
      </c>
      <c r="H491" s="27">
        <v>0</v>
      </c>
      <c r="I491" s="27">
        <v>0</v>
      </c>
      <c r="J491" s="27">
        <v>0</v>
      </c>
      <c r="K491" s="27">
        <v>0.8</v>
      </c>
      <c r="L491" s="27">
        <v>2500</v>
      </c>
      <c r="M491" s="27">
        <v>1800</v>
      </c>
      <c r="N491" s="27">
        <v>0</v>
      </c>
      <c r="O491" s="27">
        <v>0</v>
      </c>
      <c r="P491" s="27" t="s">
        <v>13</v>
      </c>
      <c r="Q491" s="27">
        <v>1993</v>
      </c>
      <c r="R491" s="27">
        <v>1</v>
      </c>
      <c r="S491" s="27">
        <v>0</v>
      </c>
      <c r="T491" s="27">
        <v>-1</v>
      </c>
      <c r="U491" s="27">
        <v>-1</v>
      </c>
      <c r="V491" s="27">
        <v>0</v>
      </c>
      <c r="W491" s="27">
        <v>0</v>
      </c>
      <c r="X491" s="27" t="s">
        <v>27</v>
      </c>
    </row>
    <row r="492" spans="1:24">
      <c r="A492" s="27">
        <v>1</v>
      </c>
      <c r="B492" s="27">
        <v>6</v>
      </c>
      <c r="C492" s="27">
        <v>17</v>
      </c>
      <c r="D492" s="27">
        <v>2013</v>
      </c>
      <c r="E492" s="27">
        <v>2050</v>
      </c>
      <c r="F492" s="27">
        <v>4</v>
      </c>
      <c r="G492" s="27">
        <v>17</v>
      </c>
      <c r="H492" s="27">
        <v>0</v>
      </c>
      <c r="I492" s="27">
        <v>0</v>
      </c>
      <c r="J492" s="27">
        <v>0</v>
      </c>
      <c r="K492" s="27">
        <v>0.8</v>
      </c>
      <c r="L492" s="27">
        <v>2500</v>
      </c>
      <c r="M492" s="27">
        <v>1800</v>
      </c>
      <c r="N492" s="27">
        <v>0</v>
      </c>
      <c r="O492" s="27">
        <v>0</v>
      </c>
      <c r="P492" s="27" t="s">
        <v>13</v>
      </c>
      <c r="Q492" s="27">
        <v>1993</v>
      </c>
      <c r="R492" s="27">
        <v>1</v>
      </c>
      <c r="S492" s="27">
        <v>0</v>
      </c>
      <c r="T492" s="27">
        <v>-1</v>
      </c>
      <c r="U492" s="27">
        <v>-1</v>
      </c>
      <c r="V492" s="27">
        <v>0</v>
      </c>
      <c r="W492" s="27">
        <v>0</v>
      </c>
      <c r="X492" s="27" t="s">
        <v>27</v>
      </c>
    </row>
    <row r="493" spans="1:24">
      <c r="A493" s="27">
        <v>1</v>
      </c>
      <c r="B493" s="27">
        <v>6</v>
      </c>
      <c r="C493" s="27">
        <v>17</v>
      </c>
      <c r="D493" s="27">
        <v>2013</v>
      </c>
      <c r="E493" s="27">
        <v>2050</v>
      </c>
      <c r="F493" s="27">
        <v>5</v>
      </c>
      <c r="G493" s="27">
        <v>17</v>
      </c>
      <c r="H493" s="27">
        <v>0</v>
      </c>
      <c r="I493" s="27">
        <v>0</v>
      </c>
      <c r="J493" s="27">
        <v>0</v>
      </c>
      <c r="K493" s="27">
        <v>0.8</v>
      </c>
      <c r="L493" s="27">
        <v>2500</v>
      </c>
      <c r="M493" s="27">
        <v>1800</v>
      </c>
      <c r="N493" s="27">
        <v>0</v>
      </c>
      <c r="O493" s="27">
        <v>0</v>
      </c>
      <c r="P493" s="27" t="s">
        <v>13</v>
      </c>
      <c r="Q493" s="27">
        <v>1993</v>
      </c>
      <c r="R493" s="27">
        <v>1</v>
      </c>
      <c r="S493" s="27">
        <v>0</v>
      </c>
      <c r="T493" s="27">
        <v>-1</v>
      </c>
      <c r="U493" s="27">
        <v>-1</v>
      </c>
      <c r="V493" s="27">
        <v>0</v>
      </c>
      <c r="W493" s="27">
        <v>0</v>
      </c>
      <c r="X493" s="27" t="s">
        <v>27</v>
      </c>
    </row>
    <row r="494" spans="1:24">
      <c r="A494" s="27">
        <v>1</v>
      </c>
      <c r="B494" s="27">
        <v>6</v>
      </c>
      <c r="C494" s="27">
        <v>17</v>
      </c>
      <c r="D494" s="27">
        <v>2013</v>
      </c>
      <c r="E494" s="27">
        <v>2050</v>
      </c>
      <c r="F494" s="27">
        <v>6</v>
      </c>
      <c r="G494" s="27">
        <v>17</v>
      </c>
      <c r="H494" s="27">
        <v>0</v>
      </c>
      <c r="I494" s="27">
        <v>0</v>
      </c>
      <c r="J494" s="27">
        <v>0</v>
      </c>
      <c r="K494" s="27">
        <v>0.8</v>
      </c>
      <c r="L494" s="27">
        <v>2500</v>
      </c>
      <c r="M494" s="27">
        <v>1800</v>
      </c>
      <c r="N494" s="27">
        <v>0</v>
      </c>
      <c r="O494" s="27">
        <v>0</v>
      </c>
      <c r="P494" s="27" t="s">
        <v>13</v>
      </c>
      <c r="Q494" s="27">
        <v>1993</v>
      </c>
      <c r="R494" s="27">
        <v>1</v>
      </c>
      <c r="S494" s="27">
        <v>0</v>
      </c>
      <c r="T494" s="27">
        <v>-1</v>
      </c>
      <c r="U494" s="27">
        <v>-1</v>
      </c>
      <c r="V494" s="27">
        <v>0</v>
      </c>
      <c r="W494" s="27">
        <v>0</v>
      </c>
      <c r="X494" s="27" t="s">
        <v>27</v>
      </c>
    </row>
    <row r="495" spans="1:24">
      <c r="A495" s="27">
        <v>1</v>
      </c>
      <c r="B495" s="27">
        <v>6</v>
      </c>
      <c r="C495" s="27">
        <v>17</v>
      </c>
      <c r="D495" s="27">
        <v>2013</v>
      </c>
      <c r="E495" s="27">
        <v>2050</v>
      </c>
      <c r="F495" s="27">
        <v>7</v>
      </c>
      <c r="G495" s="27">
        <v>17</v>
      </c>
      <c r="H495" s="27">
        <v>0</v>
      </c>
      <c r="I495" s="27">
        <v>0</v>
      </c>
      <c r="J495" s="27">
        <v>0</v>
      </c>
      <c r="K495" s="27">
        <v>0.8</v>
      </c>
      <c r="L495" s="27">
        <v>2500</v>
      </c>
      <c r="M495" s="27">
        <v>1800</v>
      </c>
      <c r="N495" s="27">
        <v>0</v>
      </c>
      <c r="O495" s="27">
        <v>0</v>
      </c>
      <c r="P495" s="27" t="s">
        <v>13</v>
      </c>
      <c r="Q495" s="27">
        <v>1993</v>
      </c>
      <c r="R495" s="27">
        <v>1</v>
      </c>
      <c r="S495" s="27">
        <v>0</v>
      </c>
      <c r="T495" s="27">
        <v>-1</v>
      </c>
      <c r="U495" s="27">
        <v>-1</v>
      </c>
      <c r="V495" s="27">
        <v>0</v>
      </c>
      <c r="W495" s="27">
        <v>0</v>
      </c>
      <c r="X495" s="27" t="s">
        <v>27</v>
      </c>
    </row>
    <row r="496" spans="1:24">
      <c r="A496" s="27">
        <v>1</v>
      </c>
      <c r="B496" s="27">
        <v>6</v>
      </c>
      <c r="C496" s="27">
        <v>17</v>
      </c>
      <c r="D496" s="27">
        <v>2013</v>
      </c>
      <c r="E496" s="27">
        <v>2050</v>
      </c>
      <c r="F496" s="27">
        <v>8</v>
      </c>
      <c r="G496" s="27">
        <v>17</v>
      </c>
      <c r="H496" s="27">
        <v>0</v>
      </c>
      <c r="I496" s="27">
        <v>0</v>
      </c>
      <c r="J496" s="27">
        <v>0</v>
      </c>
      <c r="K496" s="27">
        <v>0.8</v>
      </c>
      <c r="L496" s="27">
        <v>2500</v>
      </c>
      <c r="M496" s="27">
        <v>1800</v>
      </c>
      <c r="N496" s="27">
        <v>0</v>
      </c>
      <c r="O496" s="27">
        <v>0</v>
      </c>
      <c r="P496" s="27" t="s">
        <v>13</v>
      </c>
      <c r="Q496" s="27">
        <v>1993</v>
      </c>
      <c r="R496" s="27">
        <v>1</v>
      </c>
      <c r="S496" s="27">
        <v>0</v>
      </c>
      <c r="T496" s="27">
        <v>-1</v>
      </c>
      <c r="U496" s="27">
        <v>-1</v>
      </c>
      <c r="V496" s="27">
        <v>0</v>
      </c>
      <c r="W496" s="27">
        <v>0</v>
      </c>
      <c r="X496" s="27" t="s">
        <v>27</v>
      </c>
    </row>
    <row r="497" spans="1:24">
      <c r="A497" s="27">
        <v>1</v>
      </c>
      <c r="B497" s="27">
        <v>6</v>
      </c>
      <c r="C497" s="27">
        <v>17</v>
      </c>
      <c r="D497" s="27">
        <v>2013</v>
      </c>
      <c r="E497" s="27">
        <v>2050</v>
      </c>
      <c r="F497" s="27">
        <v>9</v>
      </c>
      <c r="G497" s="27">
        <v>17</v>
      </c>
      <c r="H497" s="27">
        <v>0</v>
      </c>
      <c r="I497" s="27">
        <v>0</v>
      </c>
      <c r="J497" s="27">
        <v>0</v>
      </c>
      <c r="K497" s="27">
        <v>0.8</v>
      </c>
      <c r="L497" s="27">
        <v>2500</v>
      </c>
      <c r="M497" s="27">
        <v>1800</v>
      </c>
      <c r="N497" s="27">
        <v>0</v>
      </c>
      <c r="O497" s="27">
        <v>0</v>
      </c>
      <c r="P497" s="27" t="s">
        <v>13</v>
      </c>
      <c r="Q497" s="27">
        <v>1993</v>
      </c>
      <c r="R497" s="27">
        <v>1</v>
      </c>
      <c r="S497" s="27">
        <v>0</v>
      </c>
      <c r="T497" s="27">
        <v>-1</v>
      </c>
      <c r="U497" s="27">
        <v>-1</v>
      </c>
      <c r="V497" s="27">
        <v>0</v>
      </c>
      <c r="W497" s="27">
        <v>0</v>
      </c>
      <c r="X497" s="27" t="s">
        <v>27</v>
      </c>
    </row>
    <row r="498" spans="1:24">
      <c r="A498" s="27">
        <v>1</v>
      </c>
      <c r="B498" s="27">
        <v>6</v>
      </c>
      <c r="C498" s="27">
        <v>18</v>
      </c>
      <c r="D498" s="27">
        <v>2010</v>
      </c>
      <c r="E498" s="27">
        <v>2012</v>
      </c>
      <c r="F498" s="27">
        <v>1</v>
      </c>
      <c r="G498" s="27">
        <v>18</v>
      </c>
      <c r="H498" s="27">
        <v>0</v>
      </c>
      <c r="I498" s="27">
        <v>0</v>
      </c>
      <c r="J498" s="27">
        <v>0</v>
      </c>
      <c r="K498" s="27">
        <v>0.8</v>
      </c>
      <c r="L498" s="27">
        <v>2500</v>
      </c>
      <c r="M498" s="27">
        <v>1800</v>
      </c>
      <c r="N498" s="27">
        <v>0</v>
      </c>
      <c r="O498" s="27">
        <v>0</v>
      </c>
      <c r="P498" s="27" t="s">
        <v>13</v>
      </c>
      <c r="Q498" s="27">
        <v>1993</v>
      </c>
      <c r="R498" s="27">
        <v>1</v>
      </c>
      <c r="S498" s="27">
        <v>0</v>
      </c>
      <c r="T498" s="27">
        <v>-1.8E-3</v>
      </c>
      <c r="U498" s="27">
        <v>-1.2E-2</v>
      </c>
      <c r="V498" s="27">
        <v>0</v>
      </c>
      <c r="W498" s="27">
        <v>0</v>
      </c>
      <c r="X498" s="27" t="s">
        <v>28</v>
      </c>
    </row>
    <row r="499" spans="1:24">
      <c r="A499" s="27">
        <v>1</v>
      </c>
      <c r="B499" s="27">
        <v>6</v>
      </c>
      <c r="C499" s="27">
        <v>18</v>
      </c>
      <c r="D499" s="27">
        <v>2010</v>
      </c>
      <c r="E499" s="27">
        <v>2012</v>
      </c>
      <c r="F499" s="27">
        <v>2</v>
      </c>
      <c r="G499" s="27">
        <v>18</v>
      </c>
      <c r="H499" s="27">
        <v>0</v>
      </c>
      <c r="I499" s="27">
        <v>0</v>
      </c>
      <c r="J499" s="27">
        <v>0</v>
      </c>
      <c r="K499" s="27">
        <v>0.8</v>
      </c>
      <c r="L499" s="27">
        <v>2500</v>
      </c>
      <c r="M499" s="27">
        <v>1800</v>
      </c>
      <c r="N499" s="27">
        <v>0</v>
      </c>
      <c r="O499" s="27">
        <v>0</v>
      </c>
      <c r="P499" s="27" t="s">
        <v>13</v>
      </c>
      <c r="Q499" s="27">
        <v>1993</v>
      </c>
      <c r="R499" s="27">
        <v>1</v>
      </c>
      <c r="S499" s="27">
        <v>0</v>
      </c>
      <c r="T499" s="27">
        <v>-1.8E-3</v>
      </c>
      <c r="U499" s="27">
        <v>-1.2E-2</v>
      </c>
      <c r="V499" s="27">
        <v>0</v>
      </c>
      <c r="W499" s="27">
        <v>0</v>
      </c>
      <c r="X499" s="27" t="s">
        <v>28</v>
      </c>
    </row>
    <row r="500" spans="1:24">
      <c r="A500" s="27">
        <v>1</v>
      </c>
      <c r="B500" s="27">
        <v>6</v>
      </c>
      <c r="C500" s="27">
        <v>18</v>
      </c>
      <c r="D500" s="27">
        <v>2010</v>
      </c>
      <c r="E500" s="27">
        <v>2012</v>
      </c>
      <c r="F500" s="27">
        <v>3</v>
      </c>
      <c r="G500" s="27">
        <v>18</v>
      </c>
      <c r="H500" s="27">
        <v>0</v>
      </c>
      <c r="I500" s="27">
        <v>0</v>
      </c>
      <c r="J500" s="27">
        <v>0</v>
      </c>
      <c r="K500" s="27">
        <v>0.8</v>
      </c>
      <c r="L500" s="27">
        <v>2500</v>
      </c>
      <c r="M500" s="27">
        <v>1800</v>
      </c>
      <c r="N500" s="27">
        <v>0</v>
      </c>
      <c r="O500" s="27">
        <v>0</v>
      </c>
      <c r="P500" s="27" t="s">
        <v>13</v>
      </c>
      <c r="Q500" s="27">
        <v>1993</v>
      </c>
      <c r="R500" s="27">
        <v>1</v>
      </c>
      <c r="S500" s="27">
        <v>0</v>
      </c>
      <c r="T500" s="27">
        <v>-1.8E-3</v>
      </c>
      <c r="U500" s="27">
        <v>-1.2E-2</v>
      </c>
      <c r="V500" s="27">
        <v>0</v>
      </c>
      <c r="W500" s="27">
        <v>0</v>
      </c>
      <c r="X500" s="27" t="s">
        <v>28</v>
      </c>
    </row>
    <row r="501" spans="1:24">
      <c r="A501" s="27">
        <v>1</v>
      </c>
      <c r="B501" s="27">
        <v>6</v>
      </c>
      <c r="C501" s="27">
        <v>18</v>
      </c>
      <c r="D501" s="27">
        <v>2010</v>
      </c>
      <c r="E501" s="27">
        <v>2012</v>
      </c>
      <c r="F501" s="27">
        <v>4</v>
      </c>
      <c r="G501" s="27">
        <v>18</v>
      </c>
      <c r="H501" s="27">
        <v>0</v>
      </c>
      <c r="I501" s="27">
        <v>0</v>
      </c>
      <c r="J501" s="27">
        <v>0</v>
      </c>
      <c r="K501" s="27">
        <v>0.8</v>
      </c>
      <c r="L501" s="27">
        <v>2500</v>
      </c>
      <c r="M501" s="27">
        <v>1800</v>
      </c>
      <c r="N501" s="27">
        <v>0</v>
      </c>
      <c r="O501" s="27">
        <v>0</v>
      </c>
      <c r="P501" s="27" t="s">
        <v>13</v>
      </c>
      <c r="Q501" s="27">
        <v>1993</v>
      </c>
      <c r="R501" s="27">
        <v>1</v>
      </c>
      <c r="S501" s="27">
        <v>0</v>
      </c>
      <c r="T501" s="27">
        <v>-1.8E-3</v>
      </c>
      <c r="U501" s="27">
        <v>-1.2E-2</v>
      </c>
      <c r="V501" s="27">
        <v>0</v>
      </c>
      <c r="W501" s="27">
        <v>0</v>
      </c>
      <c r="X501" s="27" t="s">
        <v>28</v>
      </c>
    </row>
    <row r="502" spans="1:24">
      <c r="A502" s="27">
        <v>1</v>
      </c>
      <c r="B502" s="27">
        <v>6</v>
      </c>
      <c r="C502" s="27">
        <v>18</v>
      </c>
      <c r="D502" s="27">
        <v>2010</v>
      </c>
      <c r="E502" s="27">
        <v>2012</v>
      </c>
      <c r="F502" s="27">
        <v>5</v>
      </c>
      <c r="G502" s="27">
        <v>18</v>
      </c>
      <c r="H502" s="27">
        <v>0</v>
      </c>
      <c r="I502" s="27">
        <v>0</v>
      </c>
      <c r="J502" s="27">
        <v>0</v>
      </c>
      <c r="K502" s="27">
        <v>0.8</v>
      </c>
      <c r="L502" s="27">
        <v>2500</v>
      </c>
      <c r="M502" s="27">
        <v>1800</v>
      </c>
      <c r="N502" s="27">
        <v>0</v>
      </c>
      <c r="O502" s="27">
        <v>0</v>
      </c>
      <c r="P502" s="27" t="s">
        <v>13</v>
      </c>
      <c r="Q502" s="27">
        <v>1993</v>
      </c>
      <c r="R502" s="27">
        <v>1</v>
      </c>
      <c r="S502" s="27">
        <v>0</v>
      </c>
      <c r="T502" s="27">
        <v>-1.8E-3</v>
      </c>
      <c r="U502" s="27">
        <v>-1.2E-2</v>
      </c>
      <c r="V502" s="27">
        <v>0</v>
      </c>
      <c r="W502" s="27">
        <v>0</v>
      </c>
      <c r="X502" s="27" t="s">
        <v>28</v>
      </c>
    </row>
    <row r="503" spans="1:24">
      <c r="A503" s="27">
        <v>1</v>
      </c>
      <c r="B503" s="27">
        <v>6</v>
      </c>
      <c r="C503" s="27">
        <v>18</v>
      </c>
      <c r="D503" s="27">
        <v>2010</v>
      </c>
      <c r="E503" s="27">
        <v>2012</v>
      </c>
      <c r="F503" s="27">
        <v>6</v>
      </c>
      <c r="G503" s="27">
        <v>18</v>
      </c>
      <c r="H503" s="27">
        <v>0</v>
      </c>
      <c r="I503" s="27">
        <v>0</v>
      </c>
      <c r="J503" s="27">
        <v>0</v>
      </c>
      <c r="K503" s="27">
        <v>0.8</v>
      </c>
      <c r="L503" s="27">
        <v>2500</v>
      </c>
      <c r="M503" s="27">
        <v>1800</v>
      </c>
      <c r="N503" s="27">
        <v>0</v>
      </c>
      <c r="O503" s="27">
        <v>0</v>
      </c>
      <c r="P503" s="27" t="s">
        <v>13</v>
      </c>
      <c r="Q503" s="27">
        <v>1993</v>
      </c>
      <c r="R503" s="27">
        <v>1</v>
      </c>
      <c r="S503" s="27">
        <v>0</v>
      </c>
      <c r="T503" s="27">
        <v>-1.8E-3</v>
      </c>
      <c r="U503" s="27">
        <v>-1.2E-2</v>
      </c>
      <c r="V503" s="27">
        <v>0</v>
      </c>
      <c r="W503" s="27">
        <v>0</v>
      </c>
      <c r="X503" s="27" t="s">
        <v>28</v>
      </c>
    </row>
    <row r="504" spans="1:24">
      <c r="A504" s="27">
        <v>1</v>
      </c>
      <c r="B504" s="27">
        <v>6</v>
      </c>
      <c r="C504" s="27">
        <v>18</v>
      </c>
      <c r="D504" s="27">
        <v>2010</v>
      </c>
      <c r="E504" s="27">
        <v>2012</v>
      </c>
      <c r="F504" s="27">
        <v>7</v>
      </c>
      <c r="G504" s="27">
        <v>18</v>
      </c>
      <c r="H504" s="27">
        <v>0</v>
      </c>
      <c r="I504" s="27">
        <v>0</v>
      </c>
      <c r="J504" s="27">
        <v>0</v>
      </c>
      <c r="K504" s="27">
        <v>0.8</v>
      </c>
      <c r="L504" s="27">
        <v>2500</v>
      </c>
      <c r="M504" s="27">
        <v>1800</v>
      </c>
      <c r="N504" s="27">
        <v>0</v>
      </c>
      <c r="O504" s="27">
        <v>0</v>
      </c>
      <c r="P504" s="27" t="s">
        <v>13</v>
      </c>
      <c r="Q504" s="27">
        <v>1993</v>
      </c>
      <c r="R504" s="27">
        <v>1</v>
      </c>
      <c r="S504" s="27">
        <v>0</v>
      </c>
      <c r="T504" s="27">
        <v>-1.8E-3</v>
      </c>
      <c r="U504" s="27">
        <v>-1.2E-2</v>
      </c>
      <c r="V504" s="27">
        <v>0</v>
      </c>
      <c r="W504" s="27">
        <v>0</v>
      </c>
      <c r="X504" s="27" t="s">
        <v>28</v>
      </c>
    </row>
    <row r="505" spans="1:24">
      <c r="A505" s="27">
        <v>1</v>
      </c>
      <c r="B505" s="27">
        <v>6</v>
      </c>
      <c r="C505" s="27">
        <v>18</v>
      </c>
      <c r="D505" s="27">
        <v>2010</v>
      </c>
      <c r="E505" s="27">
        <v>2012</v>
      </c>
      <c r="F505" s="27">
        <v>8</v>
      </c>
      <c r="G505" s="27">
        <v>18</v>
      </c>
      <c r="H505" s="27">
        <v>0</v>
      </c>
      <c r="I505" s="27">
        <v>0</v>
      </c>
      <c r="J505" s="27">
        <v>0</v>
      </c>
      <c r="K505" s="27">
        <v>0.8</v>
      </c>
      <c r="L505" s="27">
        <v>2500</v>
      </c>
      <c r="M505" s="27">
        <v>1800</v>
      </c>
      <c r="N505" s="27">
        <v>0</v>
      </c>
      <c r="O505" s="27">
        <v>0</v>
      </c>
      <c r="P505" s="27" t="s">
        <v>13</v>
      </c>
      <c r="Q505" s="27">
        <v>1993</v>
      </c>
      <c r="R505" s="27">
        <v>1</v>
      </c>
      <c r="S505" s="27">
        <v>0</v>
      </c>
      <c r="T505" s="27">
        <v>-1.8E-3</v>
      </c>
      <c r="U505" s="27">
        <v>-1.2E-2</v>
      </c>
      <c r="V505" s="27">
        <v>0</v>
      </c>
      <c r="W505" s="27">
        <v>0</v>
      </c>
      <c r="X505" s="27" t="s">
        <v>28</v>
      </c>
    </row>
    <row r="506" spans="1:24">
      <c r="A506" s="27">
        <v>1</v>
      </c>
      <c r="B506" s="27">
        <v>6</v>
      </c>
      <c r="C506" s="27">
        <v>18</v>
      </c>
      <c r="D506" s="27">
        <v>2010</v>
      </c>
      <c r="E506" s="27">
        <v>2012</v>
      </c>
      <c r="F506" s="27">
        <v>9</v>
      </c>
      <c r="G506" s="27">
        <v>18</v>
      </c>
      <c r="H506" s="27">
        <v>0</v>
      </c>
      <c r="I506" s="27">
        <v>0</v>
      </c>
      <c r="J506" s="27">
        <v>0</v>
      </c>
      <c r="K506" s="27">
        <v>0.8</v>
      </c>
      <c r="L506" s="27">
        <v>2500</v>
      </c>
      <c r="M506" s="27">
        <v>1800</v>
      </c>
      <c r="N506" s="27">
        <v>0</v>
      </c>
      <c r="O506" s="27">
        <v>0</v>
      </c>
      <c r="P506" s="27" t="s">
        <v>13</v>
      </c>
      <c r="Q506" s="27">
        <v>1993</v>
      </c>
      <c r="R506" s="27">
        <v>1</v>
      </c>
      <c r="S506" s="27">
        <v>0</v>
      </c>
      <c r="T506" s="27">
        <v>-1.8E-3</v>
      </c>
      <c r="U506" s="27">
        <v>-1.2E-2</v>
      </c>
      <c r="V506" s="27">
        <v>0</v>
      </c>
      <c r="W506" s="27">
        <v>0</v>
      </c>
      <c r="X506" s="27" t="s">
        <v>28</v>
      </c>
    </row>
    <row r="507" spans="1:24">
      <c r="A507" s="27">
        <v>1</v>
      </c>
      <c r="B507" s="27">
        <v>6</v>
      </c>
      <c r="C507" s="27">
        <v>18</v>
      </c>
      <c r="D507" s="27">
        <v>2013</v>
      </c>
      <c r="E507" s="27">
        <v>2050</v>
      </c>
      <c r="F507" s="27">
        <v>1</v>
      </c>
      <c r="G507" s="27">
        <v>18</v>
      </c>
      <c r="H507" s="27">
        <v>0</v>
      </c>
      <c r="I507" s="27">
        <v>0</v>
      </c>
      <c r="J507" s="27">
        <v>0</v>
      </c>
      <c r="K507" s="27">
        <v>0.8</v>
      </c>
      <c r="L507" s="27">
        <v>2500</v>
      </c>
      <c r="M507" s="27">
        <v>1800</v>
      </c>
      <c r="N507" s="27">
        <v>0</v>
      </c>
      <c r="O507" s="27">
        <v>0</v>
      </c>
      <c r="P507" s="27" t="s">
        <v>13</v>
      </c>
      <c r="Q507" s="27">
        <v>1993</v>
      </c>
      <c r="R507" s="27">
        <v>1</v>
      </c>
      <c r="S507" s="27">
        <v>0</v>
      </c>
      <c r="T507" s="27">
        <v>-1.8E-3</v>
      </c>
      <c r="U507" s="27">
        <v>-1.2E-2</v>
      </c>
      <c r="V507" s="27">
        <v>0</v>
      </c>
      <c r="W507" s="27">
        <v>0</v>
      </c>
      <c r="X507" s="27" t="s">
        <v>28</v>
      </c>
    </row>
    <row r="508" spans="1:24">
      <c r="A508" s="27">
        <v>1</v>
      </c>
      <c r="B508" s="27">
        <v>6</v>
      </c>
      <c r="C508" s="27">
        <v>18</v>
      </c>
      <c r="D508" s="27">
        <v>2013</v>
      </c>
      <c r="E508" s="27">
        <v>2050</v>
      </c>
      <c r="F508" s="27">
        <v>2</v>
      </c>
      <c r="G508" s="27">
        <v>18</v>
      </c>
      <c r="H508" s="27">
        <v>0</v>
      </c>
      <c r="I508" s="27">
        <v>0</v>
      </c>
      <c r="J508" s="27">
        <v>0</v>
      </c>
      <c r="K508" s="27">
        <v>0.8</v>
      </c>
      <c r="L508" s="27">
        <v>2500</v>
      </c>
      <c r="M508" s="27">
        <v>1800</v>
      </c>
      <c r="N508" s="27">
        <v>0</v>
      </c>
      <c r="O508" s="27">
        <v>0</v>
      </c>
      <c r="P508" s="27" t="s">
        <v>13</v>
      </c>
      <c r="Q508" s="27">
        <v>1993</v>
      </c>
      <c r="R508" s="27">
        <v>1</v>
      </c>
      <c r="S508" s="27">
        <v>0</v>
      </c>
      <c r="T508" s="27">
        <v>-1.8E-3</v>
      </c>
      <c r="U508" s="27">
        <v>-1.2E-2</v>
      </c>
      <c r="V508" s="27">
        <v>0</v>
      </c>
      <c r="W508" s="27">
        <v>0</v>
      </c>
      <c r="X508" s="27" t="s">
        <v>28</v>
      </c>
    </row>
    <row r="509" spans="1:24">
      <c r="A509" s="27">
        <v>1</v>
      </c>
      <c r="B509" s="27">
        <v>6</v>
      </c>
      <c r="C509" s="27">
        <v>18</v>
      </c>
      <c r="D509" s="27">
        <v>2013</v>
      </c>
      <c r="E509" s="27">
        <v>2050</v>
      </c>
      <c r="F509" s="27">
        <v>3</v>
      </c>
      <c r="G509" s="27">
        <v>18</v>
      </c>
      <c r="H509" s="27">
        <v>0</v>
      </c>
      <c r="I509" s="27">
        <v>0</v>
      </c>
      <c r="J509" s="27">
        <v>0</v>
      </c>
      <c r="K509" s="27">
        <v>0.8</v>
      </c>
      <c r="L509" s="27">
        <v>2500</v>
      </c>
      <c r="M509" s="27">
        <v>1800</v>
      </c>
      <c r="N509" s="27">
        <v>0</v>
      </c>
      <c r="O509" s="27">
        <v>0</v>
      </c>
      <c r="P509" s="27" t="s">
        <v>13</v>
      </c>
      <c r="Q509" s="27">
        <v>1993</v>
      </c>
      <c r="R509" s="27">
        <v>1</v>
      </c>
      <c r="S509" s="27">
        <v>0</v>
      </c>
      <c r="T509" s="27">
        <v>-1.8E-3</v>
      </c>
      <c r="U509" s="27">
        <v>-1.2E-2</v>
      </c>
      <c r="V509" s="27">
        <v>0</v>
      </c>
      <c r="W509" s="27">
        <v>0</v>
      </c>
      <c r="X509" s="27" t="s">
        <v>28</v>
      </c>
    </row>
    <row r="510" spans="1:24">
      <c r="A510" s="27">
        <v>1</v>
      </c>
      <c r="B510" s="27">
        <v>6</v>
      </c>
      <c r="C510" s="27">
        <v>18</v>
      </c>
      <c r="D510" s="27">
        <v>2013</v>
      </c>
      <c r="E510" s="27">
        <v>2050</v>
      </c>
      <c r="F510" s="27">
        <v>4</v>
      </c>
      <c r="G510" s="27">
        <v>18</v>
      </c>
      <c r="H510" s="27">
        <v>0</v>
      </c>
      <c r="I510" s="27">
        <v>0</v>
      </c>
      <c r="J510" s="27">
        <v>0</v>
      </c>
      <c r="K510" s="27">
        <v>0.8</v>
      </c>
      <c r="L510" s="27">
        <v>2500</v>
      </c>
      <c r="M510" s="27">
        <v>1800</v>
      </c>
      <c r="N510" s="27">
        <v>0</v>
      </c>
      <c r="O510" s="27">
        <v>0</v>
      </c>
      <c r="P510" s="27" t="s">
        <v>13</v>
      </c>
      <c r="Q510" s="27">
        <v>1993</v>
      </c>
      <c r="R510" s="27">
        <v>1</v>
      </c>
      <c r="S510" s="27">
        <v>0</v>
      </c>
      <c r="T510" s="27">
        <v>-1.8E-3</v>
      </c>
      <c r="U510" s="27">
        <v>-1.2E-2</v>
      </c>
      <c r="V510" s="27">
        <v>0</v>
      </c>
      <c r="W510" s="27">
        <v>0</v>
      </c>
      <c r="X510" s="27" t="s">
        <v>28</v>
      </c>
    </row>
    <row r="511" spans="1:24">
      <c r="A511" s="27">
        <v>1</v>
      </c>
      <c r="B511" s="27">
        <v>6</v>
      </c>
      <c r="C511" s="27">
        <v>18</v>
      </c>
      <c r="D511" s="27">
        <v>2013</v>
      </c>
      <c r="E511" s="27">
        <v>2050</v>
      </c>
      <c r="F511" s="27">
        <v>5</v>
      </c>
      <c r="G511" s="27">
        <v>18</v>
      </c>
      <c r="H511" s="27">
        <v>0</v>
      </c>
      <c r="I511" s="27">
        <v>0</v>
      </c>
      <c r="J511" s="27">
        <v>0</v>
      </c>
      <c r="K511" s="27">
        <v>0.8</v>
      </c>
      <c r="L511" s="27">
        <v>2500</v>
      </c>
      <c r="M511" s="27">
        <v>1800</v>
      </c>
      <c r="N511" s="27">
        <v>0</v>
      </c>
      <c r="O511" s="27">
        <v>0</v>
      </c>
      <c r="P511" s="27" t="s">
        <v>13</v>
      </c>
      <c r="Q511" s="27">
        <v>1993</v>
      </c>
      <c r="R511" s="27">
        <v>1</v>
      </c>
      <c r="S511" s="27">
        <v>0</v>
      </c>
      <c r="T511" s="27">
        <v>-1.8E-3</v>
      </c>
      <c r="U511" s="27">
        <v>-1.2E-2</v>
      </c>
      <c r="V511" s="27">
        <v>0</v>
      </c>
      <c r="W511" s="27">
        <v>0</v>
      </c>
      <c r="X511" s="27" t="s">
        <v>28</v>
      </c>
    </row>
    <row r="512" spans="1:24">
      <c r="A512" s="27">
        <v>1</v>
      </c>
      <c r="B512" s="27">
        <v>6</v>
      </c>
      <c r="C512" s="27">
        <v>18</v>
      </c>
      <c r="D512" s="27">
        <v>2013</v>
      </c>
      <c r="E512" s="27">
        <v>2050</v>
      </c>
      <c r="F512" s="27">
        <v>6</v>
      </c>
      <c r="G512" s="27">
        <v>18</v>
      </c>
      <c r="H512" s="27">
        <v>0</v>
      </c>
      <c r="I512" s="27">
        <v>0</v>
      </c>
      <c r="J512" s="27">
        <v>0</v>
      </c>
      <c r="K512" s="27">
        <v>0.8</v>
      </c>
      <c r="L512" s="27">
        <v>2500</v>
      </c>
      <c r="M512" s="27">
        <v>1800</v>
      </c>
      <c r="N512" s="27">
        <v>0</v>
      </c>
      <c r="O512" s="27">
        <v>0</v>
      </c>
      <c r="P512" s="27" t="s">
        <v>13</v>
      </c>
      <c r="Q512" s="27">
        <v>1993</v>
      </c>
      <c r="R512" s="27">
        <v>1</v>
      </c>
      <c r="S512" s="27">
        <v>0</v>
      </c>
      <c r="T512" s="27">
        <v>-1.8E-3</v>
      </c>
      <c r="U512" s="27">
        <v>-1.2E-2</v>
      </c>
      <c r="V512" s="27">
        <v>0</v>
      </c>
      <c r="W512" s="27">
        <v>0</v>
      </c>
      <c r="X512" s="27" t="s">
        <v>28</v>
      </c>
    </row>
    <row r="513" spans="1:24">
      <c r="A513" s="27">
        <v>1</v>
      </c>
      <c r="B513" s="27">
        <v>6</v>
      </c>
      <c r="C513" s="27">
        <v>18</v>
      </c>
      <c r="D513" s="27">
        <v>2013</v>
      </c>
      <c r="E513" s="27">
        <v>2050</v>
      </c>
      <c r="F513" s="27">
        <v>7</v>
      </c>
      <c r="G513" s="27">
        <v>18</v>
      </c>
      <c r="H513" s="27">
        <v>0</v>
      </c>
      <c r="I513" s="27">
        <v>0</v>
      </c>
      <c r="J513" s="27">
        <v>0</v>
      </c>
      <c r="K513" s="27">
        <v>0.8</v>
      </c>
      <c r="L513" s="27">
        <v>2500</v>
      </c>
      <c r="M513" s="27">
        <v>1800</v>
      </c>
      <c r="N513" s="27">
        <v>0</v>
      </c>
      <c r="O513" s="27">
        <v>0</v>
      </c>
      <c r="P513" s="27" t="s">
        <v>13</v>
      </c>
      <c r="Q513" s="27">
        <v>1993</v>
      </c>
      <c r="R513" s="27">
        <v>1</v>
      </c>
      <c r="S513" s="27">
        <v>0</v>
      </c>
      <c r="T513" s="27">
        <v>-1.8E-3</v>
      </c>
      <c r="U513" s="27">
        <v>-1.2E-2</v>
      </c>
      <c r="V513" s="27">
        <v>0</v>
      </c>
      <c r="W513" s="27">
        <v>0</v>
      </c>
      <c r="X513" s="27" t="s">
        <v>28</v>
      </c>
    </row>
    <row r="514" spans="1:24">
      <c r="A514" s="27">
        <v>1</v>
      </c>
      <c r="B514" s="27">
        <v>6</v>
      </c>
      <c r="C514" s="27">
        <v>18</v>
      </c>
      <c r="D514" s="27">
        <v>2013</v>
      </c>
      <c r="E514" s="27">
        <v>2050</v>
      </c>
      <c r="F514" s="27">
        <v>8</v>
      </c>
      <c r="G514" s="27">
        <v>18</v>
      </c>
      <c r="H514" s="27">
        <v>0</v>
      </c>
      <c r="I514" s="27">
        <v>0</v>
      </c>
      <c r="J514" s="27">
        <v>0</v>
      </c>
      <c r="K514" s="27">
        <v>0.8</v>
      </c>
      <c r="L514" s="27">
        <v>2500</v>
      </c>
      <c r="M514" s="27">
        <v>1800</v>
      </c>
      <c r="N514" s="27">
        <v>0</v>
      </c>
      <c r="O514" s="27">
        <v>0</v>
      </c>
      <c r="P514" s="27" t="s">
        <v>13</v>
      </c>
      <c r="Q514" s="27">
        <v>1993</v>
      </c>
      <c r="R514" s="27">
        <v>1</v>
      </c>
      <c r="S514" s="27">
        <v>0</v>
      </c>
      <c r="T514" s="27">
        <v>-1.8E-3</v>
      </c>
      <c r="U514" s="27">
        <v>-1.2E-2</v>
      </c>
      <c r="V514" s="27">
        <v>0</v>
      </c>
      <c r="W514" s="27">
        <v>0</v>
      </c>
      <c r="X514" s="27" t="s">
        <v>28</v>
      </c>
    </row>
    <row r="515" spans="1:24">
      <c r="A515" s="27">
        <v>1</v>
      </c>
      <c r="B515" s="27">
        <v>6</v>
      </c>
      <c r="C515" s="27">
        <v>18</v>
      </c>
      <c r="D515" s="27">
        <v>2013</v>
      </c>
      <c r="E515" s="27">
        <v>2050</v>
      </c>
      <c r="F515" s="27">
        <v>9</v>
      </c>
      <c r="G515" s="27">
        <v>18</v>
      </c>
      <c r="H515" s="27">
        <v>0</v>
      </c>
      <c r="I515" s="27">
        <v>0</v>
      </c>
      <c r="J515" s="27">
        <v>0</v>
      </c>
      <c r="K515" s="27">
        <v>0.8</v>
      </c>
      <c r="L515" s="27">
        <v>2500</v>
      </c>
      <c r="M515" s="27">
        <v>1800</v>
      </c>
      <c r="N515" s="27">
        <v>0</v>
      </c>
      <c r="O515" s="27">
        <v>0</v>
      </c>
      <c r="P515" s="27" t="s">
        <v>13</v>
      </c>
      <c r="Q515" s="27">
        <v>1993</v>
      </c>
      <c r="R515" s="27">
        <v>1</v>
      </c>
      <c r="S515" s="27">
        <v>0</v>
      </c>
      <c r="T515" s="27">
        <v>-1.8E-3</v>
      </c>
      <c r="U515" s="27">
        <v>-1.2E-2</v>
      </c>
      <c r="V515" s="27">
        <v>0</v>
      </c>
      <c r="W515" s="27">
        <v>0</v>
      </c>
      <c r="X515" s="27" t="s">
        <v>28</v>
      </c>
    </row>
    <row r="516" spans="1:24">
      <c r="A516" s="27">
        <v>1</v>
      </c>
      <c r="B516" s="27">
        <v>6</v>
      </c>
      <c r="C516" s="27">
        <v>19</v>
      </c>
      <c r="D516" s="27">
        <v>2010</v>
      </c>
      <c r="E516" s="27">
        <v>2010</v>
      </c>
      <c r="F516" s="27">
        <v>1</v>
      </c>
      <c r="G516" s="27">
        <v>19</v>
      </c>
      <c r="H516" s="27">
        <v>0</v>
      </c>
      <c r="I516" s="27">
        <v>0</v>
      </c>
      <c r="J516" s="27">
        <v>0</v>
      </c>
      <c r="K516" s="27">
        <v>0.9</v>
      </c>
      <c r="L516" s="27">
        <v>2750</v>
      </c>
      <c r="M516" s="27">
        <v>2330</v>
      </c>
      <c r="N516" s="27">
        <v>825</v>
      </c>
      <c r="O516" s="27">
        <v>495</v>
      </c>
      <c r="P516" s="27" t="s">
        <v>13</v>
      </c>
      <c r="Q516" s="27">
        <v>1993</v>
      </c>
      <c r="R516" s="27">
        <v>1</v>
      </c>
      <c r="S516" s="27">
        <v>0</v>
      </c>
      <c r="T516" s="27">
        <v>-1.8E-3</v>
      </c>
      <c r="U516" s="27">
        <v>-1.2E-2</v>
      </c>
      <c r="V516" s="27">
        <v>0</v>
      </c>
      <c r="W516" s="27">
        <v>0</v>
      </c>
      <c r="X516" s="27" t="s">
        <v>29</v>
      </c>
    </row>
    <row r="517" spans="1:24">
      <c r="A517" s="27">
        <v>1</v>
      </c>
      <c r="B517" s="27">
        <v>6</v>
      </c>
      <c r="C517" s="27">
        <v>19</v>
      </c>
      <c r="D517" s="27">
        <v>2010</v>
      </c>
      <c r="E517" s="27">
        <v>2010</v>
      </c>
      <c r="F517" s="27">
        <v>2</v>
      </c>
      <c r="G517" s="27">
        <v>19</v>
      </c>
      <c r="H517" s="27">
        <v>0</v>
      </c>
      <c r="I517" s="27">
        <v>0</v>
      </c>
      <c r="J517" s="27">
        <v>0</v>
      </c>
      <c r="K517" s="27">
        <v>0.9</v>
      </c>
      <c r="L517" s="27">
        <v>2750</v>
      </c>
      <c r="M517" s="27">
        <v>2330</v>
      </c>
      <c r="N517" s="27">
        <v>825</v>
      </c>
      <c r="O517" s="27">
        <v>495</v>
      </c>
      <c r="P517" s="27" t="s">
        <v>13</v>
      </c>
      <c r="Q517" s="27">
        <v>1993</v>
      </c>
      <c r="R517" s="27">
        <v>1</v>
      </c>
      <c r="S517" s="27">
        <v>0</v>
      </c>
      <c r="T517" s="27">
        <v>-1.8E-3</v>
      </c>
      <c r="U517" s="27">
        <v>-1.2E-2</v>
      </c>
      <c r="V517" s="27">
        <v>0</v>
      </c>
      <c r="W517" s="27">
        <v>0</v>
      </c>
      <c r="X517" s="27" t="s">
        <v>29</v>
      </c>
    </row>
    <row r="518" spans="1:24">
      <c r="A518" s="27">
        <v>1</v>
      </c>
      <c r="B518" s="27">
        <v>6</v>
      </c>
      <c r="C518" s="27">
        <v>19</v>
      </c>
      <c r="D518" s="27">
        <v>2010</v>
      </c>
      <c r="E518" s="27">
        <v>2010</v>
      </c>
      <c r="F518" s="27">
        <v>3</v>
      </c>
      <c r="G518" s="27">
        <v>19</v>
      </c>
      <c r="H518" s="27">
        <v>0</v>
      </c>
      <c r="I518" s="27">
        <v>0</v>
      </c>
      <c r="J518" s="27">
        <v>0</v>
      </c>
      <c r="K518" s="27">
        <v>0.9</v>
      </c>
      <c r="L518" s="27">
        <v>2750</v>
      </c>
      <c r="M518" s="27">
        <v>2330</v>
      </c>
      <c r="N518" s="27">
        <v>825</v>
      </c>
      <c r="O518" s="27">
        <v>495</v>
      </c>
      <c r="P518" s="27" t="s">
        <v>13</v>
      </c>
      <c r="Q518" s="27">
        <v>1993</v>
      </c>
      <c r="R518" s="27">
        <v>1</v>
      </c>
      <c r="S518" s="27">
        <v>0</v>
      </c>
      <c r="T518" s="27">
        <v>-1.8E-3</v>
      </c>
      <c r="U518" s="27">
        <v>-1.2E-2</v>
      </c>
      <c r="V518" s="27">
        <v>0</v>
      </c>
      <c r="W518" s="27">
        <v>0</v>
      </c>
      <c r="X518" s="27" t="s">
        <v>29</v>
      </c>
    </row>
    <row r="519" spans="1:24">
      <c r="A519" s="27">
        <v>1</v>
      </c>
      <c r="B519" s="27">
        <v>6</v>
      </c>
      <c r="C519" s="27">
        <v>19</v>
      </c>
      <c r="D519" s="27">
        <v>2010</v>
      </c>
      <c r="E519" s="27">
        <v>2010</v>
      </c>
      <c r="F519" s="27">
        <v>4</v>
      </c>
      <c r="G519" s="27">
        <v>19</v>
      </c>
      <c r="H519" s="27">
        <v>0</v>
      </c>
      <c r="I519" s="27">
        <v>0</v>
      </c>
      <c r="J519" s="27">
        <v>0</v>
      </c>
      <c r="K519" s="27">
        <v>0.9</v>
      </c>
      <c r="L519" s="27">
        <v>2750</v>
      </c>
      <c r="M519" s="27">
        <v>2330</v>
      </c>
      <c r="N519" s="27">
        <v>825</v>
      </c>
      <c r="O519" s="27">
        <v>495</v>
      </c>
      <c r="P519" s="27" t="s">
        <v>13</v>
      </c>
      <c r="Q519" s="27">
        <v>1993</v>
      </c>
      <c r="R519" s="27">
        <v>1</v>
      </c>
      <c r="S519" s="27">
        <v>0</v>
      </c>
      <c r="T519" s="27">
        <v>-1.8E-3</v>
      </c>
      <c r="U519" s="27">
        <v>-1.2E-2</v>
      </c>
      <c r="V519" s="27">
        <v>0</v>
      </c>
      <c r="W519" s="27">
        <v>0</v>
      </c>
      <c r="X519" s="27" t="s">
        <v>29</v>
      </c>
    </row>
    <row r="520" spans="1:24">
      <c r="A520" s="27">
        <v>1</v>
      </c>
      <c r="B520" s="27">
        <v>6</v>
      </c>
      <c r="C520" s="27">
        <v>19</v>
      </c>
      <c r="D520" s="27">
        <v>2010</v>
      </c>
      <c r="E520" s="27">
        <v>2010</v>
      </c>
      <c r="F520" s="27">
        <v>5</v>
      </c>
      <c r="G520" s="27">
        <v>19</v>
      </c>
      <c r="H520" s="27">
        <v>0</v>
      </c>
      <c r="I520" s="27">
        <v>0</v>
      </c>
      <c r="J520" s="27">
        <v>0</v>
      </c>
      <c r="K520" s="27">
        <v>0.9</v>
      </c>
      <c r="L520" s="27">
        <v>2750</v>
      </c>
      <c r="M520" s="27">
        <v>2330</v>
      </c>
      <c r="N520" s="27">
        <v>825</v>
      </c>
      <c r="O520" s="27">
        <v>495</v>
      </c>
      <c r="P520" s="27" t="s">
        <v>13</v>
      </c>
      <c r="Q520" s="27">
        <v>1993</v>
      </c>
      <c r="R520" s="27">
        <v>1</v>
      </c>
      <c r="S520" s="27">
        <v>0</v>
      </c>
      <c r="T520" s="27">
        <v>-1.8E-3</v>
      </c>
      <c r="U520" s="27">
        <v>-1.2E-2</v>
      </c>
      <c r="V520" s="27">
        <v>0</v>
      </c>
      <c r="W520" s="27">
        <v>0</v>
      </c>
      <c r="X520" s="27" t="s">
        <v>29</v>
      </c>
    </row>
    <row r="521" spans="1:24">
      <c r="A521" s="27">
        <v>1</v>
      </c>
      <c r="B521" s="27">
        <v>6</v>
      </c>
      <c r="C521" s="27">
        <v>19</v>
      </c>
      <c r="D521" s="27">
        <v>2010</v>
      </c>
      <c r="E521" s="27">
        <v>2010</v>
      </c>
      <c r="F521" s="27">
        <v>6</v>
      </c>
      <c r="G521" s="27">
        <v>19</v>
      </c>
      <c r="H521" s="27">
        <v>0</v>
      </c>
      <c r="I521" s="27">
        <v>0</v>
      </c>
      <c r="J521" s="27">
        <v>0</v>
      </c>
      <c r="K521" s="27">
        <v>0.9</v>
      </c>
      <c r="L521" s="27">
        <v>2750</v>
      </c>
      <c r="M521" s="27">
        <v>2330</v>
      </c>
      <c r="N521" s="27">
        <v>825</v>
      </c>
      <c r="O521" s="27">
        <v>495</v>
      </c>
      <c r="P521" s="27" t="s">
        <v>13</v>
      </c>
      <c r="Q521" s="27">
        <v>1993</v>
      </c>
      <c r="R521" s="27">
        <v>1</v>
      </c>
      <c r="S521" s="27">
        <v>0</v>
      </c>
      <c r="T521" s="27">
        <v>-1.8E-3</v>
      </c>
      <c r="U521" s="27">
        <v>-1.2E-2</v>
      </c>
      <c r="V521" s="27">
        <v>0</v>
      </c>
      <c r="W521" s="27">
        <v>0</v>
      </c>
      <c r="X521" s="27" t="s">
        <v>29</v>
      </c>
    </row>
    <row r="522" spans="1:24">
      <c r="A522" s="27">
        <v>1</v>
      </c>
      <c r="B522" s="27">
        <v>6</v>
      </c>
      <c r="C522" s="27">
        <v>19</v>
      </c>
      <c r="D522" s="27">
        <v>2010</v>
      </c>
      <c r="E522" s="27">
        <v>2010</v>
      </c>
      <c r="F522" s="27">
        <v>7</v>
      </c>
      <c r="G522" s="27">
        <v>19</v>
      </c>
      <c r="H522" s="27">
        <v>0</v>
      </c>
      <c r="I522" s="27">
        <v>0</v>
      </c>
      <c r="J522" s="27">
        <v>0</v>
      </c>
      <c r="K522" s="27">
        <v>0.9</v>
      </c>
      <c r="L522" s="27">
        <v>2750</v>
      </c>
      <c r="M522" s="27">
        <v>2330</v>
      </c>
      <c r="N522" s="27">
        <v>825</v>
      </c>
      <c r="O522" s="27">
        <v>495</v>
      </c>
      <c r="P522" s="27" t="s">
        <v>13</v>
      </c>
      <c r="Q522" s="27">
        <v>1993</v>
      </c>
      <c r="R522" s="27">
        <v>1</v>
      </c>
      <c r="S522" s="27">
        <v>0</v>
      </c>
      <c r="T522" s="27">
        <v>-1.8E-3</v>
      </c>
      <c r="U522" s="27">
        <v>-1.2E-2</v>
      </c>
      <c r="V522" s="27">
        <v>0</v>
      </c>
      <c r="W522" s="27">
        <v>0</v>
      </c>
      <c r="X522" s="27" t="s">
        <v>29</v>
      </c>
    </row>
    <row r="523" spans="1:24">
      <c r="A523" s="27">
        <v>1</v>
      </c>
      <c r="B523" s="27">
        <v>6</v>
      </c>
      <c r="C523" s="27">
        <v>19</v>
      </c>
      <c r="D523" s="27">
        <v>2010</v>
      </c>
      <c r="E523" s="27">
        <v>2010</v>
      </c>
      <c r="F523" s="27">
        <v>8</v>
      </c>
      <c r="G523" s="27">
        <v>19</v>
      </c>
      <c r="H523" s="27">
        <v>0</v>
      </c>
      <c r="I523" s="27">
        <v>0</v>
      </c>
      <c r="J523" s="27">
        <v>0</v>
      </c>
      <c r="K523" s="27">
        <v>0.9</v>
      </c>
      <c r="L523" s="27">
        <v>2750</v>
      </c>
      <c r="M523" s="27">
        <v>2330</v>
      </c>
      <c r="N523" s="27">
        <v>825</v>
      </c>
      <c r="O523" s="27">
        <v>495</v>
      </c>
      <c r="P523" s="27" t="s">
        <v>13</v>
      </c>
      <c r="Q523" s="27">
        <v>1993</v>
      </c>
      <c r="R523" s="27">
        <v>1</v>
      </c>
      <c r="S523" s="27">
        <v>0</v>
      </c>
      <c r="T523" s="27">
        <v>-1.8E-3</v>
      </c>
      <c r="U523" s="27">
        <v>-1.2E-2</v>
      </c>
      <c r="V523" s="27">
        <v>0</v>
      </c>
      <c r="W523" s="27">
        <v>0</v>
      </c>
      <c r="X523" s="27" t="s">
        <v>29</v>
      </c>
    </row>
    <row r="524" spans="1:24">
      <c r="A524" s="27">
        <v>1</v>
      </c>
      <c r="B524" s="27">
        <v>6</v>
      </c>
      <c r="C524" s="27">
        <v>19</v>
      </c>
      <c r="D524" s="27">
        <v>2010</v>
      </c>
      <c r="E524" s="27">
        <v>2010</v>
      </c>
      <c r="F524" s="27">
        <v>9</v>
      </c>
      <c r="G524" s="27">
        <v>19</v>
      </c>
      <c r="H524" s="27">
        <v>0</v>
      </c>
      <c r="I524" s="27">
        <v>0</v>
      </c>
      <c r="J524" s="27">
        <v>0</v>
      </c>
      <c r="K524" s="27">
        <v>0.9</v>
      </c>
      <c r="L524" s="27">
        <v>2750</v>
      </c>
      <c r="M524" s="27">
        <v>2330</v>
      </c>
      <c r="N524" s="27">
        <v>825</v>
      </c>
      <c r="O524" s="27">
        <v>495</v>
      </c>
      <c r="P524" s="27" t="s">
        <v>13</v>
      </c>
      <c r="Q524" s="27">
        <v>1993</v>
      </c>
      <c r="R524" s="27">
        <v>1</v>
      </c>
      <c r="S524" s="27">
        <v>0</v>
      </c>
      <c r="T524" s="27">
        <v>-1.8E-3</v>
      </c>
      <c r="U524" s="27">
        <v>-1.2E-2</v>
      </c>
      <c r="V524" s="27">
        <v>0</v>
      </c>
      <c r="W524" s="27">
        <v>0</v>
      </c>
      <c r="X524" s="27" t="s">
        <v>29</v>
      </c>
    </row>
    <row r="525" spans="1:24">
      <c r="A525" s="27">
        <v>1</v>
      </c>
      <c r="B525" s="27">
        <v>6</v>
      </c>
      <c r="C525" s="27">
        <v>19</v>
      </c>
      <c r="D525" s="27">
        <v>2011</v>
      </c>
      <c r="E525" s="27">
        <v>2050</v>
      </c>
      <c r="F525" s="27">
        <v>1</v>
      </c>
      <c r="G525" s="27">
        <v>19</v>
      </c>
      <c r="H525" s="27">
        <v>0</v>
      </c>
      <c r="I525" s="27">
        <v>0</v>
      </c>
      <c r="J525" s="27">
        <v>0</v>
      </c>
      <c r="K525" s="27">
        <v>0.9</v>
      </c>
      <c r="L525" s="27">
        <v>2750</v>
      </c>
      <c r="M525" s="27">
        <v>2330</v>
      </c>
      <c r="N525" s="27">
        <v>0</v>
      </c>
      <c r="O525" s="27">
        <v>0</v>
      </c>
      <c r="P525" s="27" t="s">
        <v>13</v>
      </c>
      <c r="Q525" s="27">
        <v>1993</v>
      </c>
      <c r="R525" s="27">
        <v>1</v>
      </c>
      <c r="S525" s="27">
        <v>0</v>
      </c>
      <c r="T525" s="27">
        <v>-1.8E-3</v>
      </c>
      <c r="U525" s="27">
        <v>-1.2E-2</v>
      </c>
      <c r="V525" s="27">
        <v>0</v>
      </c>
      <c r="W525" s="27">
        <v>0</v>
      </c>
      <c r="X525" s="27" t="s">
        <v>29</v>
      </c>
    </row>
    <row r="526" spans="1:24">
      <c r="A526" s="27">
        <v>1</v>
      </c>
      <c r="B526" s="27">
        <v>6</v>
      </c>
      <c r="C526" s="27">
        <v>19</v>
      </c>
      <c r="D526" s="27">
        <v>2011</v>
      </c>
      <c r="E526" s="27">
        <v>2050</v>
      </c>
      <c r="F526" s="27">
        <v>2</v>
      </c>
      <c r="G526" s="27">
        <v>19</v>
      </c>
      <c r="H526" s="27">
        <v>0</v>
      </c>
      <c r="I526" s="27">
        <v>0</v>
      </c>
      <c r="J526" s="27">
        <v>0</v>
      </c>
      <c r="K526" s="27">
        <v>0.9</v>
      </c>
      <c r="L526" s="27">
        <v>2750</v>
      </c>
      <c r="M526" s="27">
        <v>2330</v>
      </c>
      <c r="N526" s="27">
        <v>0</v>
      </c>
      <c r="O526" s="27">
        <v>0</v>
      </c>
      <c r="P526" s="27" t="s">
        <v>13</v>
      </c>
      <c r="Q526" s="27">
        <v>1993</v>
      </c>
      <c r="R526" s="27">
        <v>1</v>
      </c>
      <c r="S526" s="27">
        <v>0</v>
      </c>
      <c r="T526" s="27">
        <v>-1.8E-3</v>
      </c>
      <c r="U526" s="27">
        <v>-1.2E-2</v>
      </c>
      <c r="V526" s="27">
        <v>0</v>
      </c>
      <c r="W526" s="27">
        <v>0</v>
      </c>
      <c r="X526" s="27" t="s">
        <v>29</v>
      </c>
    </row>
    <row r="527" spans="1:24">
      <c r="A527" s="27">
        <v>1</v>
      </c>
      <c r="B527" s="27">
        <v>6</v>
      </c>
      <c r="C527" s="27">
        <v>19</v>
      </c>
      <c r="D527" s="27">
        <v>2011</v>
      </c>
      <c r="E527" s="27">
        <v>2050</v>
      </c>
      <c r="F527" s="27">
        <v>3</v>
      </c>
      <c r="G527" s="27">
        <v>19</v>
      </c>
      <c r="H527" s="27">
        <v>0</v>
      </c>
      <c r="I527" s="27">
        <v>0</v>
      </c>
      <c r="J527" s="27">
        <v>0</v>
      </c>
      <c r="K527" s="27">
        <v>0.9</v>
      </c>
      <c r="L527" s="27">
        <v>2750</v>
      </c>
      <c r="M527" s="27">
        <v>2330</v>
      </c>
      <c r="N527" s="27">
        <v>0</v>
      </c>
      <c r="O527" s="27">
        <v>0</v>
      </c>
      <c r="P527" s="27" t="s">
        <v>13</v>
      </c>
      <c r="Q527" s="27">
        <v>1993</v>
      </c>
      <c r="R527" s="27">
        <v>1</v>
      </c>
      <c r="S527" s="27">
        <v>0</v>
      </c>
      <c r="T527" s="27">
        <v>-1.8E-3</v>
      </c>
      <c r="U527" s="27">
        <v>-1.2E-2</v>
      </c>
      <c r="V527" s="27">
        <v>0</v>
      </c>
      <c r="W527" s="27">
        <v>0</v>
      </c>
      <c r="X527" s="27" t="s">
        <v>29</v>
      </c>
    </row>
    <row r="528" spans="1:24">
      <c r="A528" s="27">
        <v>1</v>
      </c>
      <c r="B528" s="27">
        <v>6</v>
      </c>
      <c r="C528" s="27">
        <v>19</v>
      </c>
      <c r="D528" s="27">
        <v>2011</v>
      </c>
      <c r="E528" s="27">
        <v>2050</v>
      </c>
      <c r="F528" s="27">
        <v>4</v>
      </c>
      <c r="G528" s="27">
        <v>19</v>
      </c>
      <c r="H528" s="27">
        <v>0</v>
      </c>
      <c r="I528" s="27">
        <v>0</v>
      </c>
      <c r="J528" s="27">
        <v>0</v>
      </c>
      <c r="K528" s="27">
        <v>0.9</v>
      </c>
      <c r="L528" s="27">
        <v>2750</v>
      </c>
      <c r="M528" s="27">
        <v>2330</v>
      </c>
      <c r="N528" s="27">
        <v>0</v>
      </c>
      <c r="O528" s="27">
        <v>0</v>
      </c>
      <c r="P528" s="27" t="s">
        <v>13</v>
      </c>
      <c r="Q528" s="27">
        <v>1993</v>
      </c>
      <c r="R528" s="27">
        <v>1</v>
      </c>
      <c r="S528" s="27">
        <v>0</v>
      </c>
      <c r="T528" s="27">
        <v>-1.8E-3</v>
      </c>
      <c r="U528" s="27">
        <v>-1.2E-2</v>
      </c>
      <c r="V528" s="27">
        <v>0</v>
      </c>
      <c r="W528" s="27">
        <v>0</v>
      </c>
      <c r="X528" s="27" t="s">
        <v>29</v>
      </c>
    </row>
    <row r="529" spans="1:24">
      <c r="A529" s="27">
        <v>1</v>
      </c>
      <c r="B529" s="27">
        <v>6</v>
      </c>
      <c r="C529" s="27">
        <v>19</v>
      </c>
      <c r="D529" s="27">
        <v>2011</v>
      </c>
      <c r="E529" s="27">
        <v>2050</v>
      </c>
      <c r="F529" s="27">
        <v>5</v>
      </c>
      <c r="G529" s="27">
        <v>19</v>
      </c>
      <c r="H529" s="27">
        <v>0</v>
      </c>
      <c r="I529" s="27">
        <v>0</v>
      </c>
      <c r="J529" s="27">
        <v>0</v>
      </c>
      <c r="K529" s="27">
        <v>0.9</v>
      </c>
      <c r="L529" s="27">
        <v>2750</v>
      </c>
      <c r="M529" s="27">
        <v>2330</v>
      </c>
      <c r="N529" s="27">
        <v>0</v>
      </c>
      <c r="O529" s="27">
        <v>0</v>
      </c>
      <c r="P529" s="27" t="s">
        <v>13</v>
      </c>
      <c r="Q529" s="27">
        <v>1993</v>
      </c>
      <c r="R529" s="27">
        <v>1</v>
      </c>
      <c r="S529" s="27">
        <v>0</v>
      </c>
      <c r="T529" s="27">
        <v>-1.8E-3</v>
      </c>
      <c r="U529" s="27">
        <v>-1.2E-2</v>
      </c>
      <c r="V529" s="27">
        <v>0</v>
      </c>
      <c r="W529" s="27">
        <v>0</v>
      </c>
      <c r="X529" s="27" t="s">
        <v>29</v>
      </c>
    </row>
    <row r="530" spans="1:24">
      <c r="A530" s="27">
        <v>1</v>
      </c>
      <c r="B530" s="27">
        <v>6</v>
      </c>
      <c r="C530" s="27">
        <v>19</v>
      </c>
      <c r="D530" s="27">
        <v>2011</v>
      </c>
      <c r="E530" s="27">
        <v>2050</v>
      </c>
      <c r="F530" s="27">
        <v>6</v>
      </c>
      <c r="G530" s="27">
        <v>19</v>
      </c>
      <c r="H530" s="27">
        <v>0</v>
      </c>
      <c r="I530" s="27">
        <v>0</v>
      </c>
      <c r="J530" s="27">
        <v>0</v>
      </c>
      <c r="K530" s="27">
        <v>0.9</v>
      </c>
      <c r="L530" s="27">
        <v>2750</v>
      </c>
      <c r="M530" s="27">
        <v>2330</v>
      </c>
      <c r="N530" s="27">
        <v>0</v>
      </c>
      <c r="O530" s="27">
        <v>0</v>
      </c>
      <c r="P530" s="27" t="s">
        <v>13</v>
      </c>
      <c r="Q530" s="27">
        <v>1993</v>
      </c>
      <c r="R530" s="27">
        <v>1</v>
      </c>
      <c r="S530" s="27">
        <v>0</v>
      </c>
      <c r="T530" s="27">
        <v>-1.8E-3</v>
      </c>
      <c r="U530" s="27">
        <v>-1.2E-2</v>
      </c>
      <c r="V530" s="27">
        <v>0</v>
      </c>
      <c r="W530" s="27">
        <v>0</v>
      </c>
      <c r="X530" s="27" t="s">
        <v>29</v>
      </c>
    </row>
    <row r="531" spans="1:24">
      <c r="A531" s="27">
        <v>1</v>
      </c>
      <c r="B531" s="27">
        <v>6</v>
      </c>
      <c r="C531" s="27">
        <v>19</v>
      </c>
      <c r="D531" s="27">
        <v>2011</v>
      </c>
      <c r="E531" s="27">
        <v>2050</v>
      </c>
      <c r="F531" s="27">
        <v>7</v>
      </c>
      <c r="G531" s="27">
        <v>19</v>
      </c>
      <c r="H531" s="27">
        <v>0</v>
      </c>
      <c r="I531" s="27">
        <v>0</v>
      </c>
      <c r="J531" s="27">
        <v>0</v>
      </c>
      <c r="K531" s="27">
        <v>0.9</v>
      </c>
      <c r="L531" s="27">
        <v>2750</v>
      </c>
      <c r="M531" s="27">
        <v>2330</v>
      </c>
      <c r="N531" s="27">
        <v>0</v>
      </c>
      <c r="O531" s="27">
        <v>0</v>
      </c>
      <c r="P531" s="27" t="s">
        <v>13</v>
      </c>
      <c r="Q531" s="27">
        <v>1993</v>
      </c>
      <c r="R531" s="27">
        <v>1</v>
      </c>
      <c r="S531" s="27">
        <v>0</v>
      </c>
      <c r="T531" s="27">
        <v>-1.8E-3</v>
      </c>
      <c r="U531" s="27">
        <v>-1.2E-2</v>
      </c>
      <c r="V531" s="27">
        <v>0</v>
      </c>
      <c r="W531" s="27">
        <v>0</v>
      </c>
      <c r="X531" s="27" t="s">
        <v>29</v>
      </c>
    </row>
    <row r="532" spans="1:24">
      <c r="A532" s="27">
        <v>1</v>
      </c>
      <c r="B532" s="27">
        <v>6</v>
      </c>
      <c r="C532" s="27">
        <v>19</v>
      </c>
      <c r="D532" s="27">
        <v>2011</v>
      </c>
      <c r="E532" s="27">
        <v>2050</v>
      </c>
      <c r="F532" s="27">
        <v>8</v>
      </c>
      <c r="G532" s="27">
        <v>19</v>
      </c>
      <c r="H532" s="27">
        <v>0</v>
      </c>
      <c r="I532" s="27">
        <v>0</v>
      </c>
      <c r="J532" s="27">
        <v>0</v>
      </c>
      <c r="K532" s="27">
        <v>0.9</v>
      </c>
      <c r="L532" s="27">
        <v>2750</v>
      </c>
      <c r="M532" s="27">
        <v>2330</v>
      </c>
      <c r="N532" s="27">
        <v>0</v>
      </c>
      <c r="O532" s="27">
        <v>0</v>
      </c>
      <c r="P532" s="27" t="s">
        <v>13</v>
      </c>
      <c r="Q532" s="27">
        <v>1993</v>
      </c>
      <c r="R532" s="27">
        <v>1</v>
      </c>
      <c r="S532" s="27">
        <v>0</v>
      </c>
      <c r="T532" s="27">
        <v>-1.8E-3</v>
      </c>
      <c r="U532" s="27">
        <v>-1.2E-2</v>
      </c>
      <c r="V532" s="27">
        <v>0</v>
      </c>
      <c r="W532" s="27">
        <v>0</v>
      </c>
      <c r="X532" s="27" t="s">
        <v>29</v>
      </c>
    </row>
    <row r="533" spans="1:24">
      <c r="A533" s="27">
        <v>1</v>
      </c>
      <c r="B533" s="27">
        <v>6</v>
      </c>
      <c r="C533" s="27">
        <v>19</v>
      </c>
      <c r="D533" s="27">
        <v>2011</v>
      </c>
      <c r="E533" s="27">
        <v>2050</v>
      </c>
      <c r="F533" s="27">
        <v>9</v>
      </c>
      <c r="G533" s="27">
        <v>19</v>
      </c>
      <c r="H533" s="27">
        <v>0</v>
      </c>
      <c r="I533" s="27">
        <v>0</v>
      </c>
      <c r="J533" s="27">
        <v>0</v>
      </c>
      <c r="K533" s="27">
        <v>0.9</v>
      </c>
      <c r="L533" s="27">
        <v>2750</v>
      </c>
      <c r="M533" s="27">
        <v>2330</v>
      </c>
      <c r="N533" s="27">
        <v>0</v>
      </c>
      <c r="O533" s="27">
        <v>0</v>
      </c>
      <c r="P533" s="27" t="s">
        <v>13</v>
      </c>
      <c r="Q533" s="27">
        <v>1993</v>
      </c>
      <c r="R533" s="27">
        <v>1</v>
      </c>
      <c r="S533" s="27">
        <v>0</v>
      </c>
      <c r="T533" s="27">
        <v>-1.8E-3</v>
      </c>
      <c r="U533" s="27">
        <v>-1.2E-2</v>
      </c>
      <c r="V533" s="27">
        <v>0</v>
      </c>
      <c r="W533" s="27">
        <v>0</v>
      </c>
      <c r="X533" s="27" t="s">
        <v>29</v>
      </c>
    </row>
    <row r="534" spans="1:24">
      <c r="A534" s="27">
        <v>1</v>
      </c>
      <c r="B534" s="27">
        <v>6</v>
      </c>
      <c r="C534" s="27">
        <v>20</v>
      </c>
      <c r="D534" s="27">
        <v>2010</v>
      </c>
      <c r="E534" s="27">
        <v>2010</v>
      </c>
      <c r="F534" s="27">
        <v>1</v>
      </c>
      <c r="G534" s="27">
        <v>20</v>
      </c>
      <c r="H534" s="27">
        <v>0</v>
      </c>
      <c r="I534" s="27">
        <v>0</v>
      </c>
      <c r="J534" s="27">
        <v>0</v>
      </c>
      <c r="K534" s="27">
        <v>0.95</v>
      </c>
      <c r="L534" s="27">
        <v>3200</v>
      </c>
      <c r="M534" s="27">
        <v>2800</v>
      </c>
      <c r="N534" s="27">
        <v>960</v>
      </c>
      <c r="O534" s="27">
        <v>576</v>
      </c>
      <c r="P534" s="27" t="s">
        <v>13</v>
      </c>
      <c r="Q534" s="27">
        <v>1993</v>
      </c>
      <c r="R534" s="27">
        <v>1</v>
      </c>
      <c r="S534" s="27">
        <v>0</v>
      </c>
      <c r="T534" s="27">
        <v>-1.8E-3</v>
      </c>
      <c r="U534" s="27">
        <v>-1.2E-2</v>
      </c>
      <c r="V534" s="27">
        <v>0</v>
      </c>
      <c r="W534" s="27">
        <v>0</v>
      </c>
      <c r="X534" s="27" t="s">
        <v>30</v>
      </c>
    </row>
    <row r="535" spans="1:24">
      <c r="A535" s="27">
        <v>1</v>
      </c>
      <c r="B535" s="27">
        <v>6</v>
      </c>
      <c r="C535" s="27">
        <v>20</v>
      </c>
      <c r="D535" s="27">
        <v>2010</v>
      </c>
      <c r="E535" s="27">
        <v>2010</v>
      </c>
      <c r="F535" s="27">
        <v>2</v>
      </c>
      <c r="G535" s="27">
        <v>20</v>
      </c>
      <c r="H535" s="27">
        <v>0</v>
      </c>
      <c r="I535" s="27">
        <v>0</v>
      </c>
      <c r="J535" s="27">
        <v>0</v>
      </c>
      <c r="K535" s="27">
        <v>0.95</v>
      </c>
      <c r="L535" s="27">
        <v>3200</v>
      </c>
      <c r="M535" s="27">
        <v>2800</v>
      </c>
      <c r="N535" s="27">
        <v>960</v>
      </c>
      <c r="O535" s="27">
        <v>576</v>
      </c>
      <c r="P535" s="27" t="s">
        <v>13</v>
      </c>
      <c r="Q535" s="27">
        <v>1993</v>
      </c>
      <c r="R535" s="27">
        <v>1</v>
      </c>
      <c r="S535" s="27">
        <v>0</v>
      </c>
      <c r="T535" s="27">
        <v>-1.8E-3</v>
      </c>
      <c r="U535" s="27">
        <v>-1.2E-2</v>
      </c>
      <c r="V535" s="27">
        <v>0</v>
      </c>
      <c r="W535" s="27">
        <v>0</v>
      </c>
      <c r="X535" s="27" t="s">
        <v>30</v>
      </c>
    </row>
    <row r="536" spans="1:24">
      <c r="A536" s="27">
        <v>1</v>
      </c>
      <c r="B536" s="27">
        <v>6</v>
      </c>
      <c r="C536" s="27">
        <v>20</v>
      </c>
      <c r="D536" s="27">
        <v>2010</v>
      </c>
      <c r="E536" s="27">
        <v>2010</v>
      </c>
      <c r="F536" s="27">
        <v>3</v>
      </c>
      <c r="G536" s="27">
        <v>20</v>
      </c>
      <c r="H536" s="27">
        <v>0</v>
      </c>
      <c r="I536" s="27">
        <v>0</v>
      </c>
      <c r="J536" s="27">
        <v>0</v>
      </c>
      <c r="K536" s="27">
        <v>0.95</v>
      </c>
      <c r="L536" s="27">
        <v>3200</v>
      </c>
      <c r="M536" s="27">
        <v>2800</v>
      </c>
      <c r="N536" s="27">
        <v>960</v>
      </c>
      <c r="O536" s="27">
        <v>576</v>
      </c>
      <c r="P536" s="27" t="s">
        <v>13</v>
      </c>
      <c r="Q536" s="27">
        <v>1993</v>
      </c>
      <c r="R536" s="27">
        <v>1</v>
      </c>
      <c r="S536" s="27">
        <v>0</v>
      </c>
      <c r="T536" s="27">
        <v>-1.8E-3</v>
      </c>
      <c r="U536" s="27">
        <v>-1.2E-2</v>
      </c>
      <c r="V536" s="27">
        <v>0</v>
      </c>
      <c r="W536" s="27">
        <v>0</v>
      </c>
      <c r="X536" s="27" t="s">
        <v>30</v>
      </c>
    </row>
    <row r="537" spans="1:24">
      <c r="A537" s="27">
        <v>1</v>
      </c>
      <c r="B537" s="27">
        <v>6</v>
      </c>
      <c r="C537" s="27">
        <v>20</v>
      </c>
      <c r="D537" s="27">
        <v>2010</v>
      </c>
      <c r="E537" s="27">
        <v>2010</v>
      </c>
      <c r="F537" s="27">
        <v>4</v>
      </c>
      <c r="G537" s="27">
        <v>20</v>
      </c>
      <c r="H537" s="27">
        <v>0</v>
      </c>
      <c r="I537" s="27">
        <v>0</v>
      </c>
      <c r="J537" s="27">
        <v>0</v>
      </c>
      <c r="K537" s="27">
        <v>0.95</v>
      </c>
      <c r="L537" s="27">
        <v>3200</v>
      </c>
      <c r="M537" s="27">
        <v>2800</v>
      </c>
      <c r="N537" s="27">
        <v>960</v>
      </c>
      <c r="O537" s="27">
        <v>576</v>
      </c>
      <c r="P537" s="27" t="s">
        <v>13</v>
      </c>
      <c r="Q537" s="27">
        <v>1993</v>
      </c>
      <c r="R537" s="27">
        <v>1</v>
      </c>
      <c r="S537" s="27">
        <v>0</v>
      </c>
      <c r="T537" s="27">
        <v>-1.8E-3</v>
      </c>
      <c r="U537" s="27">
        <v>-1.2E-2</v>
      </c>
      <c r="V537" s="27">
        <v>0</v>
      </c>
      <c r="W537" s="27">
        <v>0</v>
      </c>
      <c r="X537" s="27" t="s">
        <v>30</v>
      </c>
    </row>
    <row r="538" spans="1:24">
      <c r="A538" s="27">
        <v>1</v>
      </c>
      <c r="B538" s="27">
        <v>6</v>
      </c>
      <c r="C538" s="27">
        <v>20</v>
      </c>
      <c r="D538" s="27">
        <v>2010</v>
      </c>
      <c r="E538" s="27">
        <v>2010</v>
      </c>
      <c r="F538" s="27">
        <v>5</v>
      </c>
      <c r="G538" s="27">
        <v>20</v>
      </c>
      <c r="H538" s="27">
        <v>0</v>
      </c>
      <c r="I538" s="27">
        <v>0</v>
      </c>
      <c r="J538" s="27">
        <v>0</v>
      </c>
      <c r="K538" s="27">
        <v>0.95</v>
      </c>
      <c r="L538" s="27">
        <v>3200</v>
      </c>
      <c r="M538" s="27">
        <v>2800</v>
      </c>
      <c r="N538" s="27">
        <v>960</v>
      </c>
      <c r="O538" s="27">
        <v>576</v>
      </c>
      <c r="P538" s="27" t="s">
        <v>13</v>
      </c>
      <c r="Q538" s="27">
        <v>1993</v>
      </c>
      <c r="R538" s="27">
        <v>1</v>
      </c>
      <c r="S538" s="27">
        <v>0</v>
      </c>
      <c r="T538" s="27">
        <v>-1.8E-3</v>
      </c>
      <c r="U538" s="27">
        <v>-1.2E-2</v>
      </c>
      <c r="V538" s="27">
        <v>0</v>
      </c>
      <c r="W538" s="27">
        <v>0</v>
      </c>
      <c r="X538" s="27" t="s">
        <v>30</v>
      </c>
    </row>
    <row r="539" spans="1:24">
      <c r="A539" s="27">
        <v>1</v>
      </c>
      <c r="B539" s="27">
        <v>6</v>
      </c>
      <c r="C539" s="27">
        <v>20</v>
      </c>
      <c r="D539" s="27">
        <v>2010</v>
      </c>
      <c r="E539" s="27">
        <v>2010</v>
      </c>
      <c r="F539" s="27">
        <v>6</v>
      </c>
      <c r="G539" s="27">
        <v>20</v>
      </c>
      <c r="H539" s="27">
        <v>0</v>
      </c>
      <c r="I539" s="27">
        <v>0</v>
      </c>
      <c r="J539" s="27">
        <v>0</v>
      </c>
      <c r="K539" s="27">
        <v>0.95</v>
      </c>
      <c r="L539" s="27">
        <v>3200</v>
      </c>
      <c r="M539" s="27">
        <v>2800</v>
      </c>
      <c r="N539" s="27">
        <v>960</v>
      </c>
      <c r="O539" s="27">
        <v>576</v>
      </c>
      <c r="P539" s="27" t="s">
        <v>13</v>
      </c>
      <c r="Q539" s="27">
        <v>1993</v>
      </c>
      <c r="R539" s="27">
        <v>1</v>
      </c>
      <c r="S539" s="27">
        <v>0</v>
      </c>
      <c r="T539" s="27">
        <v>-1.8E-3</v>
      </c>
      <c r="U539" s="27">
        <v>-1.2E-2</v>
      </c>
      <c r="V539" s="27">
        <v>0</v>
      </c>
      <c r="W539" s="27">
        <v>0</v>
      </c>
      <c r="X539" s="27" t="s">
        <v>30</v>
      </c>
    </row>
    <row r="540" spans="1:24">
      <c r="A540" s="27">
        <v>1</v>
      </c>
      <c r="B540" s="27">
        <v>6</v>
      </c>
      <c r="C540" s="27">
        <v>20</v>
      </c>
      <c r="D540" s="27">
        <v>2010</v>
      </c>
      <c r="E540" s="27">
        <v>2010</v>
      </c>
      <c r="F540" s="27">
        <v>7</v>
      </c>
      <c r="G540" s="27">
        <v>20</v>
      </c>
      <c r="H540" s="27">
        <v>0</v>
      </c>
      <c r="I540" s="27">
        <v>0</v>
      </c>
      <c r="J540" s="27">
        <v>0</v>
      </c>
      <c r="K540" s="27">
        <v>0.95</v>
      </c>
      <c r="L540" s="27">
        <v>3200</v>
      </c>
      <c r="M540" s="27">
        <v>2800</v>
      </c>
      <c r="N540" s="27">
        <v>960</v>
      </c>
      <c r="O540" s="27">
        <v>576</v>
      </c>
      <c r="P540" s="27" t="s">
        <v>13</v>
      </c>
      <c r="Q540" s="27">
        <v>1993</v>
      </c>
      <c r="R540" s="27">
        <v>1</v>
      </c>
      <c r="S540" s="27">
        <v>0</v>
      </c>
      <c r="T540" s="27">
        <v>-1.8E-3</v>
      </c>
      <c r="U540" s="27">
        <v>-1.2E-2</v>
      </c>
      <c r="V540" s="27">
        <v>0</v>
      </c>
      <c r="W540" s="27">
        <v>0</v>
      </c>
      <c r="X540" s="27" t="s">
        <v>30</v>
      </c>
    </row>
    <row r="541" spans="1:24">
      <c r="A541" s="27">
        <v>1</v>
      </c>
      <c r="B541" s="27">
        <v>6</v>
      </c>
      <c r="C541" s="27">
        <v>20</v>
      </c>
      <c r="D541" s="27">
        <v>2010</v>
      </c>
      <c r="E541" s="27">
        <v>2010</v>
      </c>
      <c r="F541" s="27">
        <v>8</v>
      </c>
      <c r="G541" s="27">
        <v>20</v>
      </c>
      <c r="H541" s="27">
        <v>0</v>
      </c>
      <c r="I541" s="27">
        <v>0</v>
      </c>
      <c r="J541" s="27">
        <v>0</v>
      </c>
      <c r="K541" s="27">
        <v>0.95</v>
      </c>
      <c r="L541" s="27">
        <v>3200</v>
      </c>
      <c r="M541" s="27">
        <v>2800</v>
      </c>
      <c r="N541" s="27">
        <v>960</v>
      </c>
      <c r="O541" s="27">
        <v>576</v>
      </c>
      <c r="P541" s="27" t="s">
        <v>13</v>
      </c>
      <c r="Q541" s="27">
        <v>1993</v>
      </c>
      <c r="R541" s="27">
        <v>1</v>
      </c>
      <c r="S541" s="27">
        <v>0</v>
      </c>
      <c r="T541" s="27">
        <v>-1.8E-3</v>
      </c>
      <c r="U541" s="27">
        <v>-1.2E-2</v>
      </c>
      <c r="V541" s="27">
        <v>0</v>
      </c>
      <c r="W541" s="27">
        <v>0</v>
      </c>
      <c r="X541" s="27" t="s">
        <v>30</v>
      </c>
    </row>
    <row r="542" spans="1:24">
      <c r="A542" s="27">
        <v>1</v>
      </c>
      <c r="B542" s="27">
        <v>6</v>
      </c>
      <c r="C542" s="27">
        <v>20</v>
      </c>
      <c r="D542" s="27">
        <v>2010</v>
      </c>
      <c r="E542" s="27">
        <v>2010</v>
      </c>
      <c r="F542" s="27">
        <v>9</v>
      </c>
      <c r="G542" s="27">
        <v>20</v>
      </c>
      <c r="H542" s="27">
        <v>0</v>
      </c>
      <c r="I542" s="27">
        <v>0</v>
      </c>
      <c r="J542" s="27">
        <v>0</v>
      </c>
      <c r="K542" s="27">
        <v>0.95</v>
      </c>
      <c r="L542" s="27">
        <v>3200</v>
      </c>
      <c r="M542" s="27">
        <v>2800</v>
      </c>
      <c r="N542" s="27">
        <v>960</v>
      </c>
      <c r="O542" s="27">
        <v>576</v>
      </c>
      <c r="P542" s="27" t="s">
        <v>13</v>
      </c>
      <c r="Q542" s="27">
        <v>1993</v>
      </c>
      <c r="R542" s="27">
        <v>1</v>
      </c>
      <c r="S542" s="27">
        <v>0</v>
      </c>
      <c r="T542" s="27">
        <v>-1.8E-3</v>
      </c>
      <c r="U542" s="27">
        <v>-1.2E-2</v>
      </c>
      <c r="V542" s="27">
        <v>0</v>
      </c>
      <c r="W542" s="27">
        <v>0</v>
      </c>
      <c r="X542" s="27" t="s">
        <v>30</v>
      </c>
    </row>
    <row r="543" spans="1:24">
      <c r="A543" s="27">
        <v>1</v>
      </c>
      <c r="B543" s="27">
        <v>6</v>
      </c>
      <c r="C543" s="27">
        <v>20</v>
      </c>
      <c r="D543" s="27">
        <v>2011</v>
      </c>
      <c r="E543" s="27">
        <v>2011</v>
      </c>
      <c r="F543" s="27">
        <v>1</v>
      </c>
      <c r="G543" s="27">
        <v>20</v>
      </c>
      <c r="H543" s="27">
        <v>0</v>
      </c>
      <c r="I543" s="27">
        <v>0</v>
      </c>
      <c r="J543" s="27">
        <v>0</v>
      </c>
      <c r="K543" s="27">
        <v>0.95</v>
      </c>
      <c r="L543" s="27">
        <v>3200</v>
      </c>
      <c r="M543" s="27">
        <v>2800</v>
      </c>
      <c r="N543" s="27">
        <v>150</v>
      </c>
      <c r="O543" s="27">
        <v>90</v>
      </c>
      <c r="P543" s="27" t="s">
        <v>13</v>
      </c>
      <c r="Q543" s="27">
        <v>1993</v>
      </c>
      <c r="R543" s="27">
        <v>1</v>
      </c>
      <c r="S543" s="27">
        <v>0</v>
      </c>
      <c r="T543" s="27">
        <v>-1.8E-3</v>
      </c>
      <c r="U543" s="27">
        <v>-1.2E-2</v>
      </c>
      <c r="V543" s="27">
        <v>0</v>
      </c>
      <c r="W543" s="27">
        <v>0</v>
      </c>
      <c r="X543" s="27" t="s">
        <v>30</v>
      </c>
    </row>
    <row r="544" spans="1:24">
      <c r="A544" s="27">
        <v>1</v>
      </c>
      <c r="B544" s="27">
        <v>6</v>
      </c>
      <c r="C544" s="27">
        <v>20</v>
      </c>
      <c r="D544" s="27">
        <v>2011</v>
      </c>
      <c r="E544" s="27">
        <v>2011</v>
      </c>
      <c r="F544" s="27">
        <v>2</v>
      </c>
      <c r="G544" s="27">
        <v>20</v>
      </c>
      <c r="H544" s="27">
        <v>0</v>
      </c>
      <c r="I544" s="27">
        <v>0</v>
      </c>
      <c r="J544" s="27">
        <v>0</v>
      </c>
      <c r="K544" s="27">
        <v>0.95</v>
      </c>
      <c r="L544" s="27">
        <v>3200</v>
      </c>
      <c r="M544" s="27">
        <v>2800</v>
      </c>
      <c r="N544" s="27">
        <v>150</v>
      </c>
      <c r="O544" s="27">
        <v>90</v>
      </c>
      <c r="P544" s="27" t="s">
        <v>13</v>
      </c>
      <c r="Q544" s="27">
        <v>1993</v>
      </c>
      <c r="R544" s="27">
        <v>1</v>
      </c>
      <c r="S544" s="27">
        <v>0</v>
      </c>
      <c r="T544" s="27">
        <v>-1.8E-3</v>
      </c>
      <c r="U544" s="27">
        <v>-1.2E-2</v>
      </c>
      <c r="V544" s="27">
        <v>0</v>
      </c>
      <c r="W544" s="27">
        <v>0</v>
      </c>
      <c r="X544" s="27" t="s">
        <v>30</v>
      </c>
    </row>
    <row r="545" spans="1:24">
      <c r="A545" s="27">
        <v>1</v>
      </c>
      <c r="B545" s="27">
        <v>6</v>
      </c>
      <c r="C545" s="27">
        <v>20</v>
      </c>
      <c r="D545" s="27">
        <v>2011</v>
      </c>
      <c r="E545" s="27">
        <v>2011</v>
      </c>
      <c r="F545" s="27">
        <v>3</v>
      </c>
      <c r="G545" s="27">
        <v>20</v>
      </c>
      <c r="H545" s="27">
        <v>0</v>
      </c>
      <c r="I545" s="27">
        <v>0</v>
      </c>
      <c r="J545" s="27">
        <v>0</v>
      </c>
      <c r="K545" s="27">
        <v>0.95</v>
      </c>
      <c r="L545" s="27">
        <v>3200</v>
      </c>
      <c r="M545" s="27">
        <v>2800</v>
      </c>
      <c r="N545" s="27">
        <v>150</v>
      </c>
      <c r="O545" s="27">
        <v>90</v>
      </c>
      <c r="P545" s="27" t="s">
        <v>13</v>
      </c>
      <c r="Q545" s="27">
        <v>1993</v>
      </c>
      <c r="R545" s="27">
        <v>1</v>
      </c>
      <c r="S545" s="27">
        <v>0</v>
      </c>
      <c r="T545" s="27">
        <v>-1.8E-3</v>
      </c>
      <c r="U545" s="27">
        <v>-1.2E-2</v>
      </c>
      <c r="V545" s="27">
        <v>0</v>
      </c>
      <c r="W545" s="27">
        <v>0</v>
      </c>
      <c r="X545" s="27" t="s">
        <v>30</v>
      </c>
    </row>
    <row r="546" spans="1:24">
      <c r="A546" s="27">
        <v>1</v>
      </c>
      <c r="B546" s="27">
        <v>6</v>
      </c>
      <c r="C546" s="27">
        <v>20</v>
      </c>
      <c r="D546" s="27">
        <v>2011</v>
      </c>
      <c r="E546" s="27">
        <v>2011</v>
      </c>
      <c r="F546" s="27">
        <v>4</v>
      </c>
      <c r="G546" s="27">
        <v>20</v>
      </c>
      <c r="H546" s="27">
        <v>0</v>
      </c>
      <c r="I546" s="27">
        <v>0</v>
      </c>
      <c r="J546" s="27">
        <v>0</v>
      </c>
      <c r="K546" s="27">
        <v>0.95</v>
      </c>
      <c r="L546" s="27">
        <v>3200</v>
      </c>
      <c r="M546" s="27">
        <v>2800</v>
      </c>
      <c r="N546" s="27">
        <v>150</v>
      </c>
      <c r="O546" s="27">
        <v>90</v>
      </c>
      <c r="P546" s="27" t="s">
        <v>13</v>
      </c>
      <c r="Q546" s="27">
        <v>1993</v>
      </c>
      <c r="R546" s="27">
        <v>1</v>
      </c>
      <c r="S546" s="27">
        <v>0</v>
      </c>
      <c r="T546" s="27">
        <v>-1.8E-3</v>
      </c>
      <c r="U546" s="27">
        <v>-1.2E-2</v>
      </c>
      <c r="V546" s="27">
        <v>0</v>
      </c>
      <c r="W546" s="27">
        <v>0</v>
      </c>
      <c r="X546" s="27" t="s">
        <v>30</v>
      </c>
    </row>
    <row r="547" spans="1:24">
      <c r="A547" s="27">
        <v>1</v>
      </c>
      <c r="B547" s="27">
        <v>6</v>
      </c>
      <c r="C547" s="27">
        <v>20</v>
      </c>
      <c r="D547" s="27">
        <v>2011</v>
      </c>
      <c r="E547" s="27">
        <v>2011</v>
      </c>
      <c r="F547" s="27">
        <v>5</v>
      </c>
      <c r="G547" s="27">
        <v>20</v>
      </c>
      <c r="H547" s="27">
        <v>0</v>
      </c>
      <c r="I547" s="27">
        <v>0</v>
      </c>
      <c r="J547" s="27">
        <v>0</v>
      </c>
      <c r="K547" s="27">
        <v>0.95</v>
      </c>
      <c r="L547" s="27">
        <v>3200</v>
      </c>
      <c r="M547" s="27">
        <v>2800</v>
      </c>
      <c r="N547" s="27">
        <v>150</v>
      </c>
      <c r="O547" s="27">
        <v>90</v>
      </c>
      <c r="P547" s="27" t="s">
        <v>13</v>
      </c>
      <c r="Q547" s="27">
        <v>1993</v>
      </c>
      <c r="R547" s="27">
        <v>1</v>
      </c>
      <c r="S547" s="27">
        <v>0</v>
      </c>
      <c r="T547" s="27">
        <v>-1.8E-3</v>
      </c>
      <c r="U547" s="27">
        <v>-1.2E-2</v>
      </c>
      <c r="V547" s="27">
        <v>0</v>
      </c>
      <c r="W547" s="27">
        <v>0</v>
      </c>
      <c r="X547" s="27" t="s">
        <v>30</v>
      </c>
    </row>
    <row r="548" spans="1:24">
      <c r="A548" s="27">
        <v>1</v>
      </c>
      <c r="B548" s="27">
        <v>6</v>
      </c>
      <c r="C548" s="27">
        <v>20</v>
      </c>
      <c r="D548" s="27">
        <v>2011</v>
      </c>
      <c r="E548" s="27">
        <v>2011</v>
      </c>
      <c r="F548" s="27">
        <v>6</v>
      </c>
      <c r="G548" s="27">
        <v>20</v>
      </c>
      <c r="H548" s="27">
        <v>0</v>
      </c>
      <c r="I548" s="27">
        <v>0</v>
      </c>
      <c r="J548" s="27">
        <v>0</v>
      </c>
      <c r="K548" s="27">
        <v>0.95</v>
      </c>
      <c r="L548" s="27">
        <v>3200</v>
      </c>
      <c r="M548" s="27">
        <v>2800</v>
      </c>
      <c r="N548" s="27">
        <v>150</v>
      </c>
      <c r="O548" s="27">
        <v>90</v>
      </c>
      <c r="P548" s="27" t="s">
        <v>13</v>
      </c>
      <c r="Q548" s="27">
        <v>1993</v>
      </c>
      <c r="R548" s="27">
        <v>1</v>
      </c>
      <c r="S548" s="27">
        <v>0</v>
      </c>
      <c r="T548" s="27">
        <v>-1.8E-3</v>
      </c>
      <c r="U548" s="27">
        <v>-1.2E-2</v>
      </c>
      <c r="V548" s="27">
        <v>0</v>
      </c>
      <c r="W548" s="27">
        <v>0</v>
      </c>
      <c r="X548" s="27" t="s">
        <v>30</v>
      </c>
    </row>
    <row r="549" spans="1:24">
      <c r="A549" s="27">
        <v>1</v>
      </c>
      <c r="B549" s="27">
        <v>6</v>
      </c>
      <c r="C549" s="27">
        <v>20</v>
      </c>
      <c r="D549" s="27">
        <v>2011</v>
      </c>
      <c r="E549" s="27">
        <v>2011</v>
      </c>
      <c r="F549" s="27">
        <v>7</v>
      </c>
      <c r="G549" s="27">
        <v>20</v>
      </c>
      <c r="H549" s="27">
        <v>0</v>
      </c>
      <c r="I549" s="27">
        <v>0</v>
      </c>
      <c r="J549" s="27">
        <v>0</v>
      </c>
      <c r="K549" s="27">
        <v>0.95</v>
      </c>
      <c r="L549" s="27">
        <v>3200</v>
      </c>
      <c r="M549" s="27">
        <v>2800</v>
      </c>
      <c r="N549" s="27">
        <v>150</v>
      </c>
      <c r="O549" s="27">
        <v>90</v>
      </c>
      <c r="P549" s="27" t="s">
        <v>13</v>
      </c>
      <c r="Q549" s="27">
        <v>1993</v>
      </c>
      <c r="R549" s="27">
        <v>1</v>
      </c>
      <c r="S549" s="27">
        <v>0</v>
      </c>
      <c r="T549" s="27">
        <v>-1.8E-3</v>
      </c>
      <c r="U549" s="27">
        <v>-1.2E-2</v>
      </c>
      <c r="V549" s="27">
        <v>0</v>
      </c>
      <c r="W549" s="27">
        <v>0</v>
      </c>
      <c r="X549" s="27" t="s">
        <v>30</v>
      </c>
    </row>
    <row r="550" spans="1:24">
      <c r="A550" s="27">
        <v>1</v>
      </c>
      <c r="B550" s="27">
        <v>6</v>
      </c>
      <c r="C550" s="27">
        <v>20</v>
      </c>
      <c r="D550" s="27">
        <v>2011</v>
      </c>
      <c r="E550" s="27">
        <v>2011</v>
      </c>
      <c r="F550" s="27">
        <v>8</v>
      </c>
      <c r="G550" s="27">
        <v>20</v>
      </c>
      <c r="H550" s="27">
        <v>0</v>
      </c>
      <c r="I550" s="27">
        <v>0</v>
      </c>
      <c r="J550" s="27">
        <v>0</v>
      </c>
      <c r="K550" s="27">
        <v>0.95</v>
      </c>
      <c r="L550" s="27">
        <v>3200</v>
      </c>
      <c r="M550" s="27">
        <v>2800</v>
      </c>
      <c r="N550" s="27">
        <v>150</v>
      </c>
      <c r="O550" s="27">
        <v>90</v>
      </c>
      <c r="P550" s="27" t="s">
        <v>13</v>
      </c>
      <c r="Q550" s="27">
        <v>1993</v>
      </c>
      <c r="R550" s="27">
        <v>1</v>
      </c>
      <c r="S550" s="27">
        <v>0</v>
      </c>
      <c r="T550" s="27">
        <v>-1.8E-3</v>
      </c>
      <c r="U550" s="27">
        <v>-1.2E-2</v>
      </c>
      <c r="V550" s="27">
        <v>0</v>
      </c>
      <c r="W550" s="27">
        <v>0</v>
      </c>
      <c r="X550" s="27" t="s">
        <v>30</v>
      </c>
    </row>
    <row r="551" spans="1:24">
      <c r="A551" s="27">
        <v>1</v>
      </c>
      <c r="B551" s="27">
        <v>6</v>
      </c>
      <c r="C551" s="27">
        <v>20</v>
      </c>
      <c r="D551" s="27">
        <v>2011</v>
      </c>
      <c r="E551" s="27">
        <v>2011</v>
      </c>
      <c r="F551" s="27">
        <v>9</v>
      </c>
      <c r="G551" s="27">
        <v>20</v>
      </c>
      <c r="H551" s="27">
        <v>0</v>
      </c>
      <c r="I551" s="27">
        <v>0</v>
      </c>
      <c r="J551" s="27">
        <v>0</v>
      </c>
      <c r="K551" s="27">
        <v>0.95</v>
      </c>
      <c r="L551" s="27">
        <v>3200</v>
      </c>
      <c r="M551" s="27">
        <v>2800</v>
      </c>
      <c r="N551" s="27">
        <v>150</v>
      </c>
      <c r="O551" s="27">
        <v>90</v>
      </c>
      <c r="P551" s="27" t="s">
        <v>13</v>
      </c>
      <c r="Q551" s="27">
        <v>1993</v>
      </c>
      <c r="R551" s="27">
        <v>1</v>
      </c>
      <c r="S551" s="27">
        <v>0</v>
      </c>
      <c r="T551" s="27">
        <v>-1.8E-3</v>
      </c>
      <c r="U551" s="27">
        <v>-1.2E-2</v>
      </c>
      <c r="V551" s="27">
        <v>0</v>
      </c>
      <c r="W551" s="27">
        <v>0</v>
      </c>
      <c r="X551" s="27" t="s">
        <v>30</v>
      </c>
    </row>
    <row r="552" spans="1:24">
      <c r="A552" s="27">
        <v>1</v>
      </c>
      <c r="B552" s="27">
        <v>6</v>
      </c>
      <c r="C552" s="27">
        <v>20</v>
      </c>
      <c r="D552" s="27">
        <v>2012</v>
      </c>
      <c r="E552" s="27">
        <v>2012</v>
      </c>
      <c r="F552" s="27">
        <v>1</v>
      </c>
      <c r="G552" s="27">
        <v>20</v>
      </c>
      <c r="H552" s="27">
        <v>0</v>
      </c>
      <c r="I552" s="27">
        <v>0</v>
      </c>
      <c r="J552" s="27">
        <v>0</v>
      </c>
      <c r="K552" s="27">
        <v>0.95</v>
      </c>
      <c r="L552" s="27">
        <v>3200</v>
      </c>
      <c r="M552" s="27">
        <v>2800</v>
      </c>
      <c r="N552" s="27">
        <v>0</v>
      </c>
      <c r="O552" s="27">
        <v>0</v>
      </c>
      <c r="P552" s="27" t="s">
        <v>13</v>
      </c>
      <c r="Q552" s="27">
        <v>1993</v>
      </c>
      <c r="R552" s="27">
        <v>1</v>
      </c>
      <c r="S552" s="27">
        <v>0</v>
      </c>
      <c r="T552" s="27">
        <v>-1.8E-3</v>
      </c>
      <c r="U552" s="27">
        <v>-1.2E-2</v>
      </c>
      <c r="V552" s="27">
        <v>0</v>
      </c>
      <c r="W552" s="27">
        <v>0</v>
      </c>
      <c r="X552" s="27" t="s">
        <v>30</v>
      </c>
    </row>
    <row r="553" spans="1:24">
      <c r="A553" s="27">
        <v>1</v>
      </c>
      <c r="B553" s="27">
        <v>6</v>
      </c>
      <c r="C553" s="27">
        <v>20</v>
      </c>
      <c r="D553" s="27">
        <v>2012</v>
      </c>
      <c r="E553" s="27">
        <v>2012</v>
      </c>
      <c r="F553" s="27">
        <v>2</v>
      </c>
      <c r="G553" s="27">
        <v>20</v>
      </c>
      <c r="H553" s="27">
        <v>0</v>
      </c>
      <c r="I553" s="27">
        <v>0</v>
      </c>
      <c r="J553" s="27">
        <v>0</v>
      </c>
      <c r="K553" s="27">
        <v>0.95</v>
      </c>
      <c r="L553" s="27">
        <v>3200</v>
      </c>
      <c r="M553" s="27">
        <v>2800</v>
      </c>
      <c r="N553" s="27">
        <v>0</v>
      </c>
      <c r="O553" s="27">
        <v>0</v>
      </c>
      <c r="P553" s="27" t="s">
        <v>13</v>
      </c>
      <c r="Q553" s="27">
        <v>1993</v>
      </c>
      <c r="R553" s="27">
        <v>1</v>
      </c>
      <c r="S553" s="27">
        <v>0</v>
      </c>
      <c r="T553" s="27">
        <v>-1.8E-3</v>
      </c>
      <c r="U553" s="27">
        <v>-1.2E-2</v>
      </c>
      <c r="V553" s="27">
        <v>0</v>
      </c>
      <c r="W553" s="27">
        <v>0</v>
      </c>
      <c r="X553" s="27" t="s">
        <v>30</v>
      </c>
    </row>
    <row r="554" spans="1:24">
      <c r="A554" s="27">
        <v>1</v>
      </c>
      <c r="B554" s="27">
        <v>6</v>
      </c>
      <c r="C554" s="27">
        <v>20</v>
      </c>
      <c r="D554" s="27">
        <v>2012</v>
      </c>
      <c r="E554" s="27">
        <v>2012</v>
      </c>
      <c r="F554" s="27">
        <v>3</v>
      </c>
      <c r="G554" s="27">
        <v>20</v>
      </c>
      <c r="H554" s="27">
        <v>0</v>
      </c>
      <c r="I554" s="27">
        <v>0</v>
      </c>
      <c r="J554" s="27">
        <v>0</v>
      </c>
      <c r="K554" s="27">
        <v>0.95</v>
      </c>
      <c r="L554" s="27">
        <v>3200</v>
      </c>
      <c r="M554" s="27">
        <v>2800</v>
      </c>
      <c r="N554" s="27">
        <v>0</v>
      </c>
      <c r="O554" s="27">
        <v>0</v>
      </c>
      <c r="P554" s="27" t="s">
        <v>13</v>
      </c>
      <c r="Q554" s="27">
        <v>1993</v>
      </c>
      <c r="R554" s="27">
        <v>1</v>
      </c>
      <c r="S554" s="27">
        <v>0</v>
      </c>
      <c r="T554" s="27">
        <v>-1.8E-3</v>
      </c>
      <c r="U554" s="27">
        <v>-1.2E-2</v>
      </c>
      <c r="V554" s="27">
        <v>0</v>
      </c>
      <c r="W554" s="27">
        <v>0</v>
      </c>
      <c r="X554" s="27" t="s">
        <v>30</v>
      </c>
    </row>
    <row r="555" spans="1:24">
      <c r="A555" s="27">
        <v>1</v>
      </c>
      <c r="B555" s="27">
        <v>6</v>
      </c>
      <c r="C555" s="27">
        <v>20</v>
      </c>
      <c r="D555" s="27">
        <v>2012</v>
      </c>
      <c r="E555" s="27">
        <v>2012</v>
      </c>
      <c r="F555" s="27">
        <v>4</v>
      </c>
      <c r="G555" s="27">
        <v>20</v>
      </c>
      <c r="H555" s="27">
        <v>0</v>
      </c>
      <c r="I555" s="27">
        <v>0</v>
      </c>
      <c r="J555" s="27">
        <v>0</v>
      </c>
      <c r="K555" s="27">
        <v>0.95</v>
      </c>
      <c r="L555" s="27">
        <v>3200</v>
      </c>
      <c r="M555" s="27">
        <v>2800</v>
      </c>
      <c r="N555" s="27">
        <v>0</v>
      </c>
      <c r="O555" s="27">
        <v>0</v>
      </c>
      <c r="P555" s="27" t="s">
        <v>13</v>
      </c>
      <c r="Q555" s="27">
        <v>1993</v>
      </c>
      <c r="R555" s="27">
        <v>1</v>
      </c>
      <c r="S555" s="27">
        <v>0</v>
      </c>
      <c r="T555" s="27">
        <v>-1.8E-3</v>
      </c>
      <c r="U555" s="27">
        <v>-1.2E-2</v>
      </c>
      <c r="V555" s="27">
        <v>0</v>
      </c>
      <c r="W555" s="27">
        <v>0</v>
      </c>
      <c r="X555" s="27" t="s">
        <v>30</v>
      </c>
    </row>
    <row r="556" spans="1:24">
      <c r="A556" s="27">
        <v>1</v>
      </c>
      <c r="B556" s="27">
        <v>6</v>
      </c>
      <c r="C556" s="27">
        <v>20</v>
      </c>
      <c r="D556" s="27">
        <v>2012</v>
      </c>
      <c r="E556" s="27">
        <v>2012</v>
      </c>
      <c r="F556" s="27">
        <v>5</v>
      </c>
      <c r="G556" s="27">
        <v>20</v>
      </c>
      <c r="H556" s="27">
        <v>0</v>
      </c>
      <c r="I556" s="27">
        <v>0</v>
      </c>
      <c r="J556" s="27">
        <v>0</v>
      </c>
      <c r="K556" s="27">
        <v>0.95</v>
      </c>
      <c r="L556" s="27">
        <v>3200</v>
      </c>
      <c r="M556" s="27">
        <v>2800</v>
      </c>
      <c r="N556" s="27">
        <v>0</v>
      </c>
      <c r="O556" s="27">
        <v>0</v>
      </c>
      <c r="P556" s="27" t="s">
        <v>13</v>
      </c>
      <c r="Q556" s="27">
        <v>1993</v>
      </c>
      <c r="R556" s="27">
        <v>1</v>
      </c>
      <c r="S556" s="27">
        <v>0</v>
      </c>
      <c r="T556" s="27">
        <v>-1.8E-3</v>
      </c>
      <c r="U556" s="27">
        <v>-1.2E-2</v>
      </c>
      <c r="V556" s="27">
        <v>0</v>
      </c>
      <c r="W556" s="27">
        <v>0</v>
      </c>
      <c r="X556" s="27" t="s">
        <v>30</v>
      </c>
    </row>
    <row r="557" spans="1:24">
      <c r="A557" s="27">
        <v>1</v>
      </c>
      <c r="B557" s="27">
        <v>6</v>
      </c>
      <c r="C557" s="27">
        <v>20</v>
      </c>
      <c r="D557" s="27">
        <v>2012</v>
      </c>
      <c r="E557" s="27">
        <v>2012</v>
      </c>
      <c r="F557" s="27">
        <v>6</v>
      </c>
      <c r="G557" s="27">
        <v>20</v>
      </c>
      <c r="H557" s="27">
        <v>0</v>
      </c>
      <c r="I557" s="27">
        <v>0</v>
      </c>
      <c r="J557" s="27">
        <v>0</v>
      </c>
      <c r="K557" s="27">
        <v>0.95</v>
      </c>
      <c r="L557" s="27">
        <v>3200</v>
      </c>
      <c r="M557" s="27">
        <v>2800</v>
      </c>
      <c r="N557" s="27">
        <v>0</v>
      </c>
      <c r="O557" s="27">
        <v>0</v>
      </c>
      <c r="P557" s="27" t="s">
        <v>13</v>
      </c>
      <c r="Q557" s="27">
        <v>1993</v>
      </c>
      <c r="R557" s="27">
        <v>1</v>
      </c>
      <c r="S557" s="27">
        <v>0</v>
      </c>
      <c r="T557" s="27">
        <v>-1.8E-3</v>
      </c>
      <c r="U557" s="27">
        <v>-1.2E-2</v>
      </c>
      <c r="V557" s="27">
        <v>0</v>
      </c>
      <c r="W557" s="27">
        <v>0</v>
      </c>
      <c r="X557" s="27" t="s">
        <v>30</v>
      </c>
    </row>
    <row r="558" spans="1:24">
      <c r="A558" s="27">
        <v>1</v>
      </c>
      <c r="B558" s="27">
        <v>6</v>
      </c>
      <c r="C558" s="27">
        <v>20</v>
      </c>
      <c r="D558" s="27">
        <v>2012</v>
      </c>
      <c r="E558" s="27">
        <v>2012</v>
      </c>
      <c r="F558" s="27">
        <v>7</v>
      </c>
      <c r="G558" s="27">
        <v>20</v>
      </c>
      <c r="H558" s="27">
        <v>0</v>
      </c>
      <c r="I558" s="27">
        <v>0</v>
      </c>
      <c r="J558" s="27">
        <v>0</v>
      </c>
      <c r="K558" s="27">
        <v>0.95</v>
      </c>
      <c r="L558" s="27">
        <v>3200</v>
      </c>
      <c r="M558" s="27">
        <v>2800</v>
      </c>
      <c r="N558" s="27">
        <v>0</v>
      </c>
      <c r="O558" s="27">
        <v>0</v>
      </c>
      <c r="P558" s="27" t="s">
        <v>13</v>
      </c>
      <c r="Q558" s="27">
        <v>1993</v>
      </c>
      <c r="R558" s="27">
        <v>1</v>
      </c>
      <c r="S558" s="27">
        <v>0</v>
      </c>
      <c r="T558" s="27">
        <v>-1.8E-3</v>
      </c>
      <c r="U558" s="27">
        <v>-1.2E-2</v>
      </c>
      <c r="V558" s="27">
        <v>0</v>
      </c>
      <c r="W558" s="27">
        <v>0</v>
      </c>
      <c r="X558" s="27" t="s">
        <v>30</v>
      </c>
    </row>
    <row r="559" spans="1:24">
      <c r="A559" s="27">
        <v>1</v>
      </c>
      <c r="B559" s="27">
        <v>6</v>
      </c>
      <c r="C559" s="27">
        <v>20</v>
      </c>
      <c r="D559" s="27">
        <v>2012</v>
      </c>
      <c r="E559" s="27">
        <v>2012</v>
      </c>
      <c r="F559" s="27">
        <v>8</v>
      </c>
      <c r="G559" s="27">
        <v>20</v>
      </c>
      <c r="H559" s="27">
        <v>0</v>
      </c>
      <c r="I559" s="27">
        <v>0</v>
      </c>
      <c r="J559" s="27">
        <v>0</v>
      </c>
      <c r="K559" s="27">
        <v>0.95</v>
      </c>
      <c r="L559" s="27">
        <v>3200</v>
      </c>
      <c r="M559" s="27">
        <v>2800</v>
      </c>
      <c r="N559" s="27">
        <v>0</v>
      </c>
      <c r="O559" s="27">
        <v>0</v>
      </c>
      <c r="P559" s="27" t="s">
        <v>13</v>
      </c>
      <c r="Q559" s="27">
        <v>1993</v>
      </c>
      <c r="R559" s="27">
        <v>1</v>
      </c>
      <c r="S559" s="27">
        <v>0</v>
      </c>
      <c r="T559" s="27">
        <v>-1.8E-3</v>
      </c>
      <c r="U559" s="27">
        <v>-1.2E-2</v>
      </c>
      <c r="V559" s="27">
        <v>0</v>
      </c>
      <c r="W559" s="27">
        <v>0</v>
      </c>
      <c r="X559" s="27" t="s">
        <v>30</v>
      </c>
    </row>
    <row r="560" spans="1:24">
      <c r="A560" s="27">
        <v>1</v>
      </c>
      <c r="B560" s="27">
        <v>6</v>
      </c>
      <c r="C560" s="27">
        <v>20</v>
      </c>
      <c r="D560" s="27">
        <v>2012</v>
      </c>
      <c r="E560" s="27">
        <v>2012</v>
      </c>
      <c r="F560" s="27">
        <v>9</v>
      </c>
      <c r="G560" s="27">
        <v>20</v>
      </c>
      <c r="H560" s="27">
        <v>0</v>
      </c>
      <c r="I560" s="27">
        <v>0</v>
      </c>
      <c r="J560" s="27">
        <v>0</v>
      </c>
      <c r="K560" s="27">
        <v>0.95</v>
      </c>
      <c r="L560" s="27">
        <v>3200</v>
      </c>
      <c r="M560" s="27">
        <v>2800</v>
      </c>
      <c r="N560" s="27">
        <v>0</v>
      </c>
      <c r="O560" s="27">
        <v>0</v>
      </c>
      <c r="P560" s="27" t="s">
        <v>13</v>
      </c>
      <c r="Q560" s="27">
        <v>1993</v>
      </c>
      <c r="R560" s="27">
        <v>1</v>
      </c>
      <c r="S560" s="27">
        <v>0</v>
      </c>
      <c r="T560" s="27">
        <v>-1.8E-3</v>
      </c>
      <c r="U560" s="27">
        <v>-1.2E-2</v>
      </c>
      <c r="V560" s="27">
        <v>0</v>
      </c>
      <c r="W560" s="27">
        <v>0</v>
      </c>
      <c r="X560" s="27" t="s">
        <v>30</v>
      </c>
    </row>
    <row r="561" spans="1:24">
      <c r="A561" s="27">
        <v>1</v>
      </c>
      <c r="B561" s="27">
        <v>6</v>
      </c>
      <c r="C561" s="27">
        <v>20</v>
      </c>
      <c r="D561" s="27">
        <v>2013</v>
      </c>
      <c r="E561" s="27">
        <v>2013</v>
      </c>
      <c r="F561" s="27">
        <v>1</v>
      </c>
      <c r="G561" s="27">
        <v>20</v>
      </c>
      <c r="H561" s="27">
        <v>0</v>
      </c>
      <c r="I561" s="27">
        <v>0</v>
      </c>
      <c r="J561" s="27">
        <v>0</v>
      </c>
      <c r="K561" s="27">
        <v>0.95</v>
      </c>
      <c r="L561" s="27">
        <v>3200</v>
      </c>
      <c r="M561" s="27">
        <v>2800</v>
      </c>
      <c r="N561" s="27">
        <v>150</v>
      </c>
      <c r="O561" s="27">
        <v>90</v>
      </c>
      <c r="P561" s="27" t="s">
        <v>13</v>
      </c>
      <c r="Q561" s="27">
        <v>1993</v>
      </c>
      <c r="R561" s="27">
        <v>1</v>
      </c>
      <c r="S561" s="27">
        <v>0</v>
      </c>
      <c r="T561" s="27">
        <v>-1.8E-3</v>
      </c>
      <c r="U561" s="27">
        <v>-1.2E-2</v>
      </c>
      <c r="V561" s="27">
        <v>0</v>
      </c>
      <c r="W561" s="27">
        <v>0</v>
      </c>
      <c r="X561" s="27" t="s">
        <v>30</v>
      </c>
    </row>
    <row r="562" spans="1:24">
      <c r="A562" s="27">
        <v>1</v>
      </c>
      <c r="B562" s="27">
        <v>6</v>
      </c>
      <c r="C562" s="27">
        <v>20</v>
      </c>
      <c r="D562" s="27">
        <v>2013</v>
      </c>
      <c r="E562" s="27">
        <v>2013</v>
      </c>
      <c r="F562" s="27">
        <v>2</v>
      </c>
      <c r="G562" s="27">
        <v>20</v>
      </c>
      <c r="H562" s="27">
        <v>0</v>
      </c>
      <c r="I562" s="27">
        <v>0</v>
      </c>
      <c r="J562" s="27">
        <v>0</v>
      </c>
      <c r="K562" s="27">
        <v>0.95</v>
      </c>
      <c r="L562" s="27">
        <v>3200</v>
      </c>
      <c r="M562" s="27">
        <v>2800</v>
      </c>
      <c r="N562" s="27">
        <v>150</v>
      </c>
      <c r="O562" s="27">
        <v>90</v>
      </c>
      <c r="P562" s="27" t="s">
        <v>13</v>
      </c>
      <c r="Q562" s="27">
        <v>1993</v>
      </c>
      <c r="R562" s="27">
        <v>1</v>
      </c>
      <c r="S562" s="27">
        <v>0</v>
      </c>
      <c r="T562" s="27">
        <v>-1.8E-3</v>
      </c>
      <c r="U562" s="27">
        <v>-1.2E-2</v>
      </c>
      <c r="V562" s="27">
        <v>0</v>
      </c>
      <c r="W562" s="27">
        <v>0</v>
      </c>
      <c r="X562" s="27" t="s">
        <v>30</v>
      </c>
    </row>
    <row r="563" spans="1:24">
      <c r="A563" s="27">
        <v>1</v>
      </c>
      <c r="B563" s="27">
        <v>6</v>
      </c>
      <c r="C563" s="27">
        <v>20</v>
      </c>
      <c r="D563" s="27">
        <v>2013</v>
      </c>
      <c r="E563" s="27">
        <v>2013</v>
      </c>
      <c r="F563" s="27">
        <v>3</v>
      </c>
      <c r="G563" s="27">
        <v>20</v>
      </c>
      <c r="H563" s="27">
        <v>0</v>
      </c>
      <c r="I563" s="27">
        <v>0</v>
      </c>
      <c r="J563" s="27">
        <v>0</v>
      </c>
      <c r="K563" s="27">
        <v>0.95</v>
      </c>
      <c r="L563" s="27">
        <v>3200</v>
      </c>
      <c r="M563" s="27">
        <v>2800</v>
      </c>
      <c r="N563" s="27">
        <v>150</v>
      </c>
      <c r="O563" s="27">
        <v>90</v>
      </c>
      <c r="P563" s="27" t="s">
        <v>13</v>
      </c>
      <c r="Q563" s="27">
        <v>1993</v>
      </c>
      <c r="R563" s="27">
        <v>1</v>
      </c>
      <c r="S563" s="27">
        <v>0</v>
      </c>
      <c r="T563" s="27">
        <v>-1.8E-3</v>
      </c>
      <c r="U563" s="27">
        <v>-1.2E-2</v>
      </c>
      <c r="V563" s="27">
        <v>0</v>
      </c>
      <c r="W563" s="27">
        <v>0</v>
      </c>
      <c r="X563" s="27" t="s">
        <v>30</v>
      </c>
    </row>
    <row r="564" spans="1:24">
      <c r="A564" s="27">
        <v>1</v>
      </c>
      <c r="B564" s="27">
        <v>6</v>
      </c>
      <c r="C564" s="27">
        <v>20</v>
      </c>
      <c r="D564" s="27">
        <v>2013</v>
      </c>
      <c r="E564" s="27">
        <v>2013</v>
      </c>
      <c r="F564" s="27">
        <v>4</v>
      </c>
      <c r="G564" s="27">
        <v>20</v>
      </c>
      <c r="H564" s="27">
        <v>0</v>
      </c>
      <c r="I564" s="27">
        <v>0</v>
      </c>
      <c r="J564" s="27">
        <v>0</v>
      </c>
      <c r="K564" s="27">
        <v>0.95</v>
      </c>
      <c r="L564" s="27">
        <v>3200</v>
      </c>
      <c r="M564" s="27">
        <v>2800</v>
      </c>
      <c r="N564" s="27">
        <v>150</v>
      </c>
      <c r="O564" s="27">
        <v>90</v>
      </c>
      <c r="P564" s="27" t="s">
        <v>13</v>
      </c>
      <c r="Q564" s="27">
        <v>1993</v>
      </c>
      <c r="R564" s="27">
        <v>1</v>
      </c>
      <c r="S564" s="27">
        <v>0</v>
      </c>
      <c r="T564" s="27">
        <v>-1.8E-3</v>
      </c>
      <c r="U564" s="27">
        <v>-1.2E-2</v>
      </c>
      <c r="V564" s="27">
        <v>0</v>
      </c>
      <c r="W564" s="27">
        <v>0</v>
      </c>
      <c r="X564" s="27" t="s">
        <v>30</v>
      </c>
    </row>
    <row r="565" spans="1:24">
      <c r="A565" s="27">
        <v>1</v>
      </c>
      <c r="B565" s="27">
        <v>6</v>
      </c>
      <c r="C565" s="27">
        <v>20</v>
      </c>
      <c r="D565" s="27">
        <v>2013</v>
      </c>
      <c r="E565" s="27">
        <v>2013</v>
      </c>
      <c r="F565" s="27">
        <v>5</v>
      </c>
      <c r="G565" s="27">
        <v>20</v>
      </c>
      <c r="H565" s="27">
        <v>0</v>
      </c>
      <c r="I565" s="27">
        <v>0</v>
      </c>
      <c r="J565" s="27">
        <v>0</v>
      </c>
      <c r="K565" s="27">
        <v>0.95</v>
      </c>
      <c r="L565" s="27">
        <v>3200</v>
      </c>
      <c r="M565" s="27">
        <v>2800</v>
      </c>
      <c r="N565" s="27">
        <v>150</v>
      </c>
      <c r="O565" s="27">
        <v>90</v>
      </c>
      <c r="P565" s="27" t="s">
        <v>13</v>
      </c>
      <c r="Q565" s="27">
        <v>1993</v>
      </c>
      <c r="R565" s="27">
        <v>1</v>
      </c>
      <c r="S565" s="27">
        <v>0</v>
      </c>
      <c r="T565" s="27">
        <v>-1.8E-3</v>
      </c>
      <c r="U565" s="27">
        <v>-1.2E-2</v>
      </c>
      <c r="V565" s="27">
        <v>0</v>
      </c>
      <c r="W565" s="27">
        <v>0</v>
      </c>
      <c r="X565" s="27" t="s">
        <v>30</v>
      </c>
    </row>
    <row r="566" spans="1:24">
      <c r="A566" s="27">
        <v>1</v>
      </c>
      <c r="B566" s="27">
        <v>6</v>
      </c>
      <c r="C566" s="27">
        <v>20</v>
      </c>
      <c r="D566" s="27">
        <v>2013</v>
      </c>
      <c r="E566" s="27">
        <v>2013</v>
      </c>
      <c r="F566" s="27">
        <v>6</v>
      </c>
      <c r="G566" s="27">
        <v>20</v>
      </c>
      <c r="H566" s="27">
        <v>0</v>
      </c>
      <c r="I566" s="27">
        <v>0</v>
      </c>
      <c r="J566" s="27">
        <v>0</v>
      </c>
      <c r="K566" s="27">
        <v>0.95</v>
      </c>
      <c r="L566" s="27">
        <v>3200</v>
      </c>
      <c r="M566" s="27">
        <v>2800</v>
      </c>
      <c r="N566" s="27">
        <v>150</v>
      </c>
      <c r="O566" s="27">
        <v>90</v>
      </c>
      <c r="P566" s="27" t="s">
        <v>13</v>
      </c>
      <c r="Q566" s="27">
        <v>1993</v>
      </c>
      <c r="R566" s="27">
        <v>1</v>
      </c>
      <c r="S566" s="27">
        <v>0</v>
      </c>
      <c r="T566" s="27">
        <v>-1.8E-3</v>
      </c>
      <c r="U566" s="27">
        <v>-1.2E-2</v>
      </c>
      <c r="V566" s="27">
        <v>0</v>
      </c>
      <c r="W566" s="27">
        <v>0</v>
      </c>
      <c r="X566" s="27" t="s">
        <v>30</v>
      </c>
    </row>
    <row r="567" spans="1:24">
      <c r="A567" s="27">
        <v>1</v>
      </c>
      <c r="B567" s="27">
        <v>6</v>
      </c>
      <c r="C567" s="27">
        <v>20</v>
      </c>
      <c r="D567" s="27">
        <v>2013</v>
      </c>
      <c r="E567" s="27">
        <v>2013</v>
      </c>
      <c r="F567" s="27">
        <v>7</v>
      </c>
      <c r="G567" s="27">
        <v>20</v>
      </c>
      <c r="H567" s="27">
        <v>0</v>
      </c>
      <c r="I567" s="27">
        <v>0</v>
      </c>
      <c r="J567" s="27">
        <v>0</v>
      </c>
      <c r="K567" s="27">
        <v>0.95</v>
      </c>
      <c r="L567" s="27">
        <v>3200</v>
      </c>
      <c r="M567" s="27">
        <v>2800</v>
      </c>
      <c r="N567" s="27">
        <v>150</v>
      </c>
      <c r="O567" s="27">
        <v>90</v>
      </c>
      <c r="P567" s="27" t="s">
        <v>13</v>
      </c>
      <c r="Q567" s="27">
        <v>1993</v>
      </c>
      <c r="R567" s="27">
        <v>1</v>
      </c>
      <c r="S567" s="27">
        <v>0</v>
      </c>
      <c r="T567" s="27">
        <v>-1.8E-3</v>
      </c>
      <c r="U567" s="27">
        <v>-1.2E-2</v>
      </c>
      <c r="V567" s="27">
        <v>0</v>
      </c>
      <c r="W567" s="27">
        <v>0</v>
      </c>
      <c r="X567" s="27" t="s">
        <v>30</v>
      </c>
    </row>
    <row r="568" spans="1:24">
      <c r="A568" s="27">
        <v>1</v>
      </c>
      <c r="B568" s="27">
        <v>6</v>
      </c>
      <c r="C568" s="27">
        <v>20</v>
      </c>
      <c r="D568" s="27">
        <v>2013</v>
      </c>
      <c r="E568" s="27">
        <v>2013</v>
      </c>
      <c r="F568" s="27">
        <v>8</v>
      </c>
      <c r="G568" s="27">
        <v>20</v>
      </c>
      <c r="H568" s="27">
        <v>0</v>
      </c>
      <c r="I568" s="27">
        <v>0</v>
      </c>
      <c r="J568" s="27">
        <v>0</v>
      </c>
      <c r="K568" s="27">
        <v>0.95</v>
      </c>
      <c r="L568" s="27">
        <v>3200</v>
      </c>
      <c r="M568" s="27">
        <v>2800</v>
      </c>
      <c r="N568" s="27">
        <v>150</v>
      </c>
      <c r="O568" s="27">
        <v>90</v>
      </c>
      <c r="P568" s="27" t="s">
        <v>13</v>
      </c>
      <c r="Q568" s="27">
        <v>1993</v>
      </c>
      <c r="R568" s="27">
        <v>1</v>
      </c>
      <c r="S568" s="27">
        <v>0</v>
      </c>
      <c r="T568" s="27">
        <v>-1.8E-3</v>
      </c>
      <c r="U568" s="27">
        <v>-1.2E-2</v>
      </c>
      <c r="V568" s="27">
        <v>0</v>
      </c>
      <c r="W568" s="27">
        <v>0</v>
      </c>
      <c r="X568" s="27" t="s">
        <v>30</v>
      </c>
    </row>
    <row r="569" spans="1:24">
      <c r="A569" s="27">
        <v>1</v>
      </c>
      <c r="B569" s="27">
        <v>6</v>
      </c>
      <c r="C569" s="27">
        <v>20</v>
      </c>
      <c r="D569" s="27">
        <v>2013</v>
      </c>
      <c r="E569" s="27">
        <v>2013</v>
      </c>
      <c r="F569" s="27">
        <v>9</v>
      </c>
      <c r="G569" s="27">
        <v>20</v>
      </c>
      <c r="H569" s="27">
        <v>0</v>
      </c>
      <c r="I569" s="27">
        <v>0</v>
      </c>
      <c r="J569" s="27">
        <v>0</v>
      </c>
      <c r="K569" s="27">
        <v>0.95</v>
      </c>
      <c r="L569" s="27">
        <v>3200</v>
      </c>
      <c r="M569" s="27">
        <v>2800</v>
      </c>
      <c r="N569" s="27">
        <v>150</v>
      </c>
      <c r="O569" s="27">
        <v>90</v>
      </c>
      <c r="P569" s="27" t="s">
        <v>13</v>
      </c>
      <c r="Q569" s="27">
        <v>1993</v>
      </c>
      <c r="R569" s="27">
        <v>1</v>
      </c>
      <c r="S569" s="27">
        <v>0</v>
      </c>
      <c r="T569" s="27">
        <v>-1.8E-3</v>
      </c>
      <c r="U569" s="27">
        <v>-1.2E-2</v>
      </c>
      <c r="V569" s="27">
        <v>0</v>
      </c>
      <c r="W569" s="27">
        <v>0</v>
      </c>
      <c r="X569" s="27" t="s">
        <v>30</v>
      </c>
    </row>
    <row r="570" spans="1:24">
      <c r="A570" s="27">
        <v>1</v>
      </c>
      <c r="B570" s="27">
        <v>6</v>
      </c>
      <c r="C570" s="27">
        <v>20</v>
      </c>
      <c r="D570" s="27">
        <v>2014</v>
      </c>
      <c r="E570" s="27">
        <v>2050</v>
      </c>
      <c r="F570" s="27">
        <v>1</v>
      </c>
      <c r="G570" s="27">
        <v>20</v>
      </c>
      <c r="H570" s="27">
        <v>0</v>
      </c>
      <c r="I570" s="27">
        <v>0</v>
      </c>
      <c r="J570" s="27">
        <v>0</v>
      </c>
      <c r="K570" s="27">
        <v>0.95</v>
      </c>
      <c r="L570" s="27">
        <v>3200</v>
      </c>
      <c r="M570" s="27">
        <v>2800</v>
      </c>
      <c r="N570" s="27">
        <v>0</v>
      </c>
      <c r="O570" s="27">
        <v>0</v>
      </c>
      <c r="P570" s="27" t="s">
        <v>13</v>
      </c>
      <c r="Q570" s="27">
        <v>1993</v>
      </c>
      <c r="R570" s="27">
        <v>1</v>
      </c>
      <c r="S570" s="27">
        <v>0</v>
      </c>
      <c r="T570" s="27">
        <v>-1.8E-3</v>
      </c>
      <c r="U570" s="27">
        <v>-1.2E-2</v>
      </c>
      <c r="V570" s="27">
        <v>0</v>
      </c>
      <c r="W570" s="27">
        <v>0</v>
      </c>
      <c r="X570" s="27" t="s">
        <v>30</v>
      </c>
    </row>
    <row r="571" spans="1:24">
      <c r="A571" s="27">
        <v>1</v>
      </c>
      <c r="B571" s="27">
        <v>6</v>
      </c>
      <c r="C571" s="27">
        <v>20</v>
      </c>
      <c r="D571" s="27">
        <v>2014</v>
      </c>
      <c r="E571" s="27">
        <v>2050</v>
      </c>
      <c r="F571" s="27">
        <v>2</v>
      </c>
      <c r="G571" s="27">
        <v>20</v>
      </c>
      <c r="H571" s="27">
        <v>0</v>
      </c>
      <c r="I571" s="27">
        <v>0</v>
      </c>
      <c r="J571" s="27">
        <v>0</v>
      </c>
      <c r="K571" s="27">
        <v>0.95</v>
      </c>
      <c r="L571" s="27">
        <v>3200</v>
      </c>
      <c r="M571" s="27">
        <v>2800</v>
      </c>
      <c r="N571" s="27">
        <v>0</v>
      </c>
      <c r="O571" s="27">
        <v>0</v>
      </c>
      <c r="P571" s="27" t="s">
        <v>13</v>
      </c>
      <c r="Q571" s="27">
        <v>1993</v>
      </c>
      <c r="R571" s="27">
        <v>1</v>
      </c>
      <c r="S571" s="27">
        <v>0</v>
      </c>
      <c r="T571" s="27">
        <v>-1.8E-3</v>
      </c>
      <c r="U571" s="27">
        <v>-1.2E-2</v>
      </c>
      <c r="V571" s="27">
        <v>0</v>
      </c>
      <c r="W571" s="27">
        <v>0</v>
      </c>
      <c r="X571" s="27" t="s">
        <v>30</v>
      </c>
    </row>
    <row r="572" spans="1:24">
      <c r="A572" s="27">
        <v>1</v>
      </c>
      <c r="B572" s="27">
        <v>6</v>
      </c>
      <c r="C572" s="27">
        <v>20</v>
      </c>
      <c r="D572" s="27">
        <v>2014</v>
      </c>
      <c r="E572" s="27">
        <v>2050</v>
      </c>
      <c r="F572" s="27">
        <v>3</v>
      </c>
      <c r="G572" s="27">
        <v>20</v>
      </c>
      <c r="H572" s="27">
        <v>0</v>
      </c>
      <c r="I572" s="27">
        <v>0</v>
      </c>
      <c r="J572" s="27">
        <v>0</v>
      </c>
      <c r="K572" s="27">
        <v>0.95</v>
      </c>
      <c r="L572" s="27">
        <v>3200</v>
      </c>
      <c r="M572" s="27">
        <v>2800</v>
      </c>
      <c r="N572" s="27">
        <v>0</v>
      </c>
      <c r="O572" s="27">
        <v>0</v>
      </c>
      <c r="P572" s="27" t="s">
        <v>13</v>
      </c>
      <c r="Q572" s="27">
        <v>1993</v>
      </c>
      <c r="R572" s="27">
        <v>1</v>
      </c>
      <c r="S572" s="27">
        <v>0</v>
      </c>
      <c r="T572" s="27">
        <v>-1.8E-3</v>
      </c>
      <c r="U572" s="27">
        <v>-1.2E-2</v>
      </c>
      <c r="V572" s="27">
        <v>0</v>
      </c>
      <c r="W572" s="27">
        <v>0</v>
      </c>
      <c r="X572" s="27" t="s">
        <v>30</v>
      </c>
    </row>
    <row r="573" spans="1:24">
      <c r="A573" s="27">
        <v>1</v>
      </c>
      <c r="B573" s="27">
        <v>6</v>
      </c>
      <c r="C573" s="27">
        <v>20</v>
      </c>
      <c r="D573" s="27">
        <v>2014</v>
      </c>
      <c r="E573" s="27">
        <v>2050</v>
      </c>
      <c r="F573" s="27">
        <v>4</v>
      </c>
      <c r="G573" s="27">
        <v>20</v>
      </c>
      <c r="H573" s="27">
        <v>0</v>
      </c>
      <c r="I573" s="27">
        <v>0</v>
      </c>
      <c r="J573" s="27">
        <v>0</v>
      </c>
      <c r="K573" s="27">
        <v>0.95</v>
      </c>
      <c r="L573" s="27">
        <v>3200</v>
      </c>
      <c r="M573" s="27">
        <v>2800</v>
      </c>
      <c r="N573" s="27">
        <v>0</v>
      </c>
      <c r="O573" s="27">
        <v>0</v>
      </c>
      <c r="P573" s="27" t="s">
        <v>13</v>
      </c>
      <c r="Q573" s="27">
        <v>1993</v>
      </c>
      <c r="R573" s="27">
        <v>1</v>
      </c>
      <c r="S573" s="27">
        <v>0</v>
      </c>
      <c r="T573" s="27">
        <v>-1.8E-3</v>
      </c>
      <c r="U573" s="27">
        <v>-1.2E-2</v>
      </c>
      <c r="V573" s="27">
        <v>0</v>
      </c>
      <c r="W573" s="27">
        <v>0</v>
      </c>
      <c r="X573" s="27" t="s">
        <v>30</v>
      </c>
    </row>
    <row r="574" spans="1:24">
      <c r="A574" s="27">
        <v>1</v>
      </c>
      <c r="B574" s="27">
        <v>6</v>
      </c>
      <c r="C574" s="27">
        <v>20</v>
      </c>
      <c r="D574" s="27">
        <v>2014</v>
      </c>
      <c r="E574" s="27">
        <v>2050</v>
      </c>
      <c r="F574" s="27">
        <v>5</v>
      </c>
      <c r="G574" s="27">
        <v>20</v>
      </c>
      <c r="H574" s="27">
        <v>0</v>
      </c>
      <c r="I574" s="27">
        <v>0</v>
      </c>
      <c r="J574" s="27">
        <v>0</v>
      </c>
      <c r="K574" s="27">
        <v>0.95</v>
      </c>
      <c r="L574" s="27">
        <v>3200</v>
      </c>
      <c r="M574" s="27">
        <v>2800</v>
      </c>
      <c r="N574" s="27">
        <v>0</v>
      </c>
      <c r="O574" s="27">
        <v>0</v>
      </c>
      <c r="P574" s="27" t="s">
        <v>13</v>
      </c>
      <c r="Q574" s="27">
        <v>1993</v>
      </c>
      <c r="R574" s="27">
        <v>1</v>
      </c>
      <c r="S574" s="27">
        <v>0</v>
      </c>
      <c r="T574" s="27">
        <v>-1.8E-3</v>
      </c>
      <c r="U574" s="27">
        <v>-1.2E-2</v>
      </c>
      <c r="V574" s="27">
        <v>0</v>
      </c>
      <c r="W574" s="27">
        <v>0</v>
      </c>
      <c r="X574" s="27" t="s">
        <v>30</v>
      </c>
    </row>
    <row r="575" spans="1:24">
      <c r="A575" s="27">
        <v>1</v>
      </c>
      <c r="B575" s="27">
        <v>6</v>
      </c>
      <c r="C575" s="27">
        <v>20</v>
      </c>
      <c r="D575" s="27">
        <v>2014</v>
      </c>
      <c r="E575" s="27">
        <v>2050</v>
      </c>
      <c r="F575" s="27">
        <v>6</v>
      </c>
      <c r="G575" s="27">
        <v>20</v>
      </c>
      <c r="H575" s="27">
        <v>0</v>
      </c>
      <c r="I575" s="27">
        <v>0</v>
      </c>
      <c r="J575" s="27">
        <v>0</v>
      </c>
      <c r="K575" s="27">
        <v>0.95</v>
      </c>
      <c r="L575" s="27">
        <v>3200</v>
      </c>
      <c r="M575" s="27">
        <v>2800</v>
      </c>
      <c r="N575" s="27">
        <v>0</v>
      </c>
      <c r="O575" s="27">
        <v>0</v>
      </c>
      <c r="P575" s="27" t="s">
        <v>13</v>
      </c>
      <c r="Q575" s="27">
        <v>1993</v>
      </c>
      <c r="R575" s="27">
        <v>1</v>
      </c>
      <c r="S575" s="27">
        <v>0</v>
      </c>
      <c r="T575" s="27">
        <v>-1.8E-3</v>
      </c>
      <c r="U575" s="27">
        <v>-1.2E-2</v>
      </c>
      <c r="V575" s="27">
        <v>0</v>
      </c>
      <c r="W575" s="27">
        <v>0</v>
      </c>
      <c r="X575" s="27" t="s">
        <v>30</v>
      </c>
    </row>
    <row r="576" spans="1:24">
      <c r="A576" s="27">
        <v>1</v>
      </c>
      <c r="B576" s="27">
        <v>6</v>
      </c>
      <c r="C576" s="27">
        <v>20</v>
      </c>
      <c r="D576" s="27">
        <v>2014</v>
      </c>
      <c r="E576" s="27">
        <v>2050</v>
      </c>
      <c r="F576" s="27">
        <v>7</v>
      </c>
      <c r="G576" s="27">
        <v>20</v>
      </c>
      <c r="H576" s="27">
        <v>0</v>
      </c>
      <c r="I576" s="27">
        <v>0</v>
      </c>
      <c r="J576" s="27">
        <v>0</v>
      </c>
      <c r="K576" s="27">
        <v>0.95</v>
      </c>
      <c r="L576" s="27">
        <v>3200</v>
      </c>
      <c r="M576" s="27">
        <v>2800</v>
      </c>
      <c r="N576" s="27">
        <v>0</v>
      </c>
      <c r="O576" s="27">
        <v>0</v>
      </c>
      <c r="P576" s="27" t="s">
        <v>13</v>
      </c>
      <c r="Q576" s="27">
        <v>1993</v>
      </c>
      <c r="R576" s="27">
        <v>1</v>
      </c>
      <c r="S576" s="27">
        <v>0</v>
      </c>
      <c r="T576" s="27">
        <v>-1.8E-3</v>
      </c>
      <c r="U576" s="27">
        <v>-1.2E-2</v>
      </c>
      <c r="V576" s="27">
        <v>0</v>
      </c>
      <c r="W576" s="27">
        <v>0</v>
      </c>
      <c r="X576" s="27" t="s">
        <v>30</v>
      </c>
    </row>
    <row r="577" spans="1:24">
      <c r="A577" s="27">
        <v>1</v>
      </c>
      <c r="B577" s="27">
        <v>6</v>
      </c>
      <c r="C577" s="27">
        <v>20</v>
      </c>
      <c r="D577" s="27">
        <v>2014</v>
      </c>
      <c r="E577" s="27">
        <v>2050</v>
      </c>
      <c r="F577" s="27">
        <v>8</v>
      </c>
      <c r="G577" s="27">
        <v>20</v>
      </c>
      <c r="H577" s="27">
        <v>0</v>
      </c>
      <c r="I577" s="27">
        <v>0</v>
      </c>
      <c r="J577" s="27">
        <v>0</v>
      </c>
      <c r="K577" s="27">
        <v>0.95</v>
      </c>
      <c r="L577" s="27">
        <v>3200</v>
      </c>
      <c r="M577" s="27">
        <v>2800</v>
      </c>
      <c r="N577" s="27">
        <v>0</v>
      </c>
      <c r="O577" s="27">
        <v>0</v>
      </c>
      <c r="P577" s="27" t="s">
        <v>13</v>
      </c>
      <c r="Q577" s="27">
        <v>1993</v>
      </c>
      <c r="R577" s="27">
        <v>1</v>
      </c>
      <c r="S577" s="27">
        <v>0</v>
      </c>
      <c r="T577" s="27">
        <v>-1.8E-3</v>
      </c>
      <c r="U577" s="27">
        <v>-1.2E-2</v>
      </c>
      <c r="V577" s="27">
        <v>0</v>
      </c>
      <c r="W577" s="27">
        <v>0</v>
      </c>
      <c r="X577" s="27" t="s">
        <v>30</v>
      </c>
    </row>
    <row r="578" spans="1:24">
      <c r="A578" s="27">
        <v>1</v>
      </c>
      <c r="B578" s="27">
        <v>6</v>
      </c>
      <c r="C578" s="27">
        <v>20</v>
      </c>
      <c r="D578" s="27">
        <v>2014</v>
      </c>
      <c r="E578" s="27">
        <v>2050</v>
      </c>
      <c r="F578" s="27">
        <v>9</v>
      </c>
      <c r="G578" s="27">
        <v>20</v>
      </c>
      <c r="H578" s="27">
        <v>0</v>
      </c>
      <c r="I578" s="27">
        <v>0</v>
      </c>
      <c r="J578" s="27">
        <v>0</v>
      </c>
      <c r="K578" s="27">
        <v>0.95</v>
      </c>
      <c r="L578" s="27">
        <v>3200</v>
      </c>
      <c r="M578" s="27">
        <v>2800</v>
      </c>
      <c r="N578" s="27">
        <v>0</v>
      </c>
      <c r="O578" s="27">
        <v>0</v>
      </c>
      <c r="P578" s="27" t="s">
        <v>13</v>
      </c>
      <c r="Q578" s="27">
        <v>1993</v>
      </c>
      <c r="R578" s="27">
        <v>1</v>
      </c>
      <c r="S578" s="27">
        <v>0</v>
      </c>
      <c r="T578" s="27">
        <v>-1.8E-3</v>
      </c>
      <c r="U578" s="27">
        <v>-1.2E-2</v>
      </c>
      <c r="V578" s="27">
        <v>0</v>
      </c>
      <c r="W578" s="27">
        <v>0</v>
      </c>
      <c r="X578" s="27" t="s">
        <v>30</v>
      </c>
    </row>
    <row r="579" spans="1:24">
      <c r="A579" s="27">
        <v>1</v>
      </c>
      <c r="B579" s="27">
        <v>6</v>
      </c>
      <c r="C579" s="27">
        <v>21</v>
      </c>
      <c r="D579" s="27">
        <v>2010</v>
      </c>
      <c r="E579" s="27">
        <v>2010</v>
      </c>
      <c r="F579" s="27">
        <v>1</v>
      </c>
      <c r="G579" s="27">
        <v>21</v>
      </c>
      <c r="H579" s="27">
        <v>0</v>
      </c>
      <c r="I579" s="27">
        <v>0</v>
      </c>
      <c r="J579" s="27">
        <v>0</v>
      </c>
      <c r="K579" s="27">
        <v>0.98</v>
      </c>
      <c r="L579" s="27">
        <v>3750</v>
      </c>
      <c r="M579" s="27">
        <v>3330</v>
      </c>
      <c r="N579" s="27">
        <v>1125</v>
      </c>
      <c r="O579" s="27">
        <v>675</v>
      </c>
      <c r="P579" s="27" t="s">
        <v>13</v>
      </c>
      <c r="Q579" s="27">
        <v>1993</v>
      </c>
      <c r="R579" s="27">
        <v>1</v>
      </c>
      <c r="S579" s="27">
        <v>0</v>
      </c>
      <c r="T579" s="27">
        <v>-1.8E-3</v>
      </c>
      <c r="U579" s="27">
        <v>-1.2E-2</v>
      </c>
      <c r="V579" s="27">
        <v>0</v>
      </c>
      <c r="W579" s="27">
        <v>0</v>
      </c>
      <c r="X579" s="27" t="s">
        <v>31</v>
      </c>
    </row>
    <row r="580" spans="1:24">
      <c r="A580" s="27">
        <v>1</v>
      </c>
      <c r="B580" s="27">
        <v>6</v>
      </c>
      <c r="C580" s="27">
        <v>21</v>
      </c>
      <c r="D580" s="27">
        <v>2010</v>
      </c>
      <c r="E580" s="27">
        <v>2010</v>
      </c>
      <c r="F580" s="27">
        <v>2</v>
      </c>
      <c r="G580" s="27">
        <v>21</v>
      </c>
      <c r="H580" s="27">
        <v>0</v>
      </c>
      <c r="I580" s="27">
        <v>0</v>
      </c>
      <c r="J580" s="27">
        <v>0</v>
      </c>
      <c r="K580" s="27">
        <v>0.98</v>
      </c>
      <c r="L580" s="27">
        <v>3750</v>
      </c>
      <c r="M580" s="27">
        <v>3330</v>
      </c>
      <c r="N580" s="27">
        <v>1125</v>
      </c>
      <c r="O580" s="27">
        <v>675</v>
      </c>
      <c r="P580" s="27" t="s">
        <v>13</v>
      </c>
      <c r="Q580" s="27">
        <v>1993</v>
      </c>
      <c r="R580" s="27">
        <v>1</v>
      </c>
      <c r="S580" s="27">
        <v>0</v>
      </c>
      <c r="T580" s="27">
        <v>-1.8E-3</v>
      </c>
      <c r="U580" s="27">
        <v>-1.2E-2</v>
      </c>
      <c r="V580" s="27">
        <v>0</v>
      </c>
      <c r="W580" s="27">
        <v>0</v>
      </c>
      <c r="X580" s="27" t="s">
        <v>31</v>
      </c>
    </row>
    <row r="581" spans="1:24">
      <c r="A581" s="27">
        <v>1</v>
      </c>
      <c r="B581" s="27">
        <v>6</v>
      </c>
      <c r="C581" s="27">
        <v>21</v>
      </c>
      <c r="D581" s="27">
        <v>2010</v>
      </c>
      <c r="E581" s="27">
        <v>2010</v>
      </c>
      <c r="F581" s="27">
        <v>3</v>
      </c>
      <c r="G581" s="27">
        <v>21</v>
      </c>
      <c r="H581" s="27">
        <v>0</v>
      </c>
      <c r="I581" s="27">
        <v>0</v>
      </c>
      <c r="J581" s="27">
        <v>0</v>
      </c>
      <c r="K581" s="27">
        <v>0.98</v>
      </c>
      <c r="L581" s="27">
        <v>3750</v>
      </c>
      <c r="M581" s="27">
        <v>3330</v>
      </c>
      <c r="N581" s="27">
        <v>1125</v>
      </c>
      <c r="O581" s="27">
        <v>675</v>
      </c>
      <c r="P581" s="27" t="s">
        <v>13</v>
      </c>
      <c r="Q581" s="27">
        <v>1993</v>
      </c>
      <c r="R581" s="27">
        <v>1</v>
      </c>
      <c r="S581" s="27">
        <v>0</v>
      </c>
      <c r="T581" s="27">
        <v>-1.8E-3</v>
      </c>
      <c r="U581" s="27">
        <v>-1.2E-2</v>
      </c>
      <c r="V581" s="27">
        <v>0</v>
      </c>
      <c r="W581" s="27">
        <v>0</v>
      </c>
      <c r="X581" s="27" t="s">
        <v>31</v>
      </c>
    </row>
    <row r="582" spans="1:24">
      <c r="A582" s="27">
        <v>1</v>
      </c>
      <c r="B582" s="27">
        <v>6</v>
      </c>
      <c r="C582" s="27">
        <v>21</v>
      </c>
      <c r="D582" s="27">
        <v>2010</v>
      </c>
      <c r="E582" s="27">
        <v>2010</v>
      </c>
      <c r="F582" s="27">
        <v>4</v>
      </c>
      <c r="G582" s="27">
        <v>21</v>
      </c>
      <c r="H582" s="27">
        <v>0</v>
      </c>
      <c r="I582" s="27">
        <v>0</v>
      </c>
      <c r="J582" s="27">
        <v>0</v>
      </c>
      <c r="K582" s="27">
        <v>0.98</v>
      </c>
      <c r="L582" s="27">
        <v>3750</v>
      </c>
      <c r="M582" s="27">
        <v>3330</v>
      </c>
      <c r="N582" s="27">
        <v>1125</v>
      </c>
      <c r="O582" s="27">
        <v>675</v>
      </c>
      <c r="P582" s="27" t="s">
        <v>13</v>
      </c>
      <c r="Q582" s="27">
        <v>1993</v>
      </c>
      <c r="R582" s="27">
        <v>1</v>
      </c>
      <c r="S582" s="27">
        <v>0</v>
      </c>
      <c r="T582" s="27">
        <v>-1.8E-3</v>
      </c>
      <c r="U582" s="27">
        <v>-1.2E-2</v>
      </c>
      <c r="V582" s="27">
        <v>0</v>
      </c>
      <c r="W582" s="27">
        <v>0</v>
      </c>
      <c r="X582" s="27" t="s">
        <v>31</v>
      </c>
    </row>
    <row r="583" spans="1:24">
      <c r="A583" s="27">
        <v>1</v>
      </c>
      <c r="B583" s="27">
        <v>6</v>
      </c>
      <c r="C583" s="27">
        <v>21</v>
      </c>
      <c r="D583" s="27">
        <v>2010</v>
      </c>
      <c r="E583" s="27">
        <v>2010</v>
      </c>
      <c r="F583" s="27">
        <v>5</v>
      </c>
      <c r="G583" s="27">
        <v>21</v>
      </c>
      <c r="H583" s="27">
        <v>0</v>
      </c>
      <c r="I583" s="27">
        <v>0</v>
      </c>
      <c r="J583" s="27">
        <v>0</v>
      </c>
      <c r="K583" s="27">
        <v>0.98</v>
      </c>
      <c r="L583" s="27">
        <v>3750</v>
      </c>
      <c r="M583" s="27">
        <v>3330</v>
      </c>
      <c r="N583" s="27">
        <v>1125</v>
      </c>
      <c r="O583" s="27">
        <v>675</v>
      </c>
      <c r="P583" s="27" t="s">
        <v>13</v>
      </c>
      <c r="Q583" s="27">
        <v>1993</v>
      </c>
      <c r="R583" s="27">
        <v>1</v>
      </c>
      <c r="S583" s="27">
        <v>0</v>
      </c>
      <c r="T583" s="27">
        <v>-1.8E-3</v>
      </c>
      <c r="U583" s="27">
        <v>-1.2E-2</v>
      </c>
      <c r="V583" s="27">
        <v>0</v>
      </c>
      <c r="W583" s="27">
        <v>0</v>
      </c>
      <c r="X583" s="27" t="s">
        <v>31</v>
      </c>
    </row>
    <row r="584" spans="1:24">
      <c r="A584" s="27">
        <v>1</v>
      </c>
      <c r="B584" s="27">
        <v>6</v>
      </c>
      <c r="C584" s="27">
        <v>21</v>
      </c>
      <c r="D584" s="27">
        <v>2010</v>
      </c>
      <c r="E584" s="27">
        <v>2010</v>
      </c>
      <c r="F584" s="27">
        <v>6</v>
      </c>
      <c r="G584" s="27">
        <v>21</v>
      </c>
      <c r="H584" s="27">
        <v>0</v>
      </c>
      <c r="I584" s="27">
        <v>0</v>
      </c>
      <c r="J584" s="27">
        <v>0</v>
      </c>
      <c r="K584" s="27">
        <v>0.98</v>
      </c>
      <c r="L584" s="27">
        <v>3750</v>
      </c>
      <c r="M584" s="27">
        <v>3330</v>
      </c>
      <c r="N584" s="27">
        <v>1125</v>
      </c>
      <c r="O584" s="27">
        <v>675</v>
      </c>
      <c r="P584" s="27" t="s">
        <v>13</v>
      </c>
      <c r="Q584" s="27">
        <v>1993</v>
      </c>
      <c r="R584" s="27">
        <v>1</v>
      </c>
      <c r="S584" s="27">
        <v>0</v>
      </c>
      <c r="T584" s="27">
        <v>-1.8E-3</v>
      </c>
      <c r="U584" s="27">
        <v>-1.2E-2</v>
      </c>
      <c r="V584" s="27">
        <v>0</v>
      </c>
      <c r="W584" s="27">
        <v>0</v>
      </c>
      <c r="X584" s="27" t="s">
        <v>31</v>
      </c>
    </row>
    <row r="585" spans="1:24">
      <c r="A585" s="27">
        <v>1</v>
      </c>
      <c r="B585" s="27">
        <v>6</v>
      </c>
      <c r="C585" s="27">
        <v>21</v>
      </c>
      <c r="D585" s="27">
        <v>2010</v>
      </c>
      <c r="E585" s="27">
        <v>2010</v>
      </c>
      <c r="F585" s="27">
        <v>7</v>
      </c>
      <c r="G585" s="27">
        <v>21</v>
      </c>
      <c r="H585" s="27">
        <v>0</v>
      </c>
      <c r="I585" s="27">
        <v>0</v>
      </c>
      <c r="J585" s="27">
        <v>0</v>
      </c>
      <c r="K585" s="27">
        <v>0.98</v>
      </c>
      <c r="L585" s="27">
        <v>3750</v>
      </c>
      <c r="M585" s="27">
        <v>3330</v>
      </c>
      <c r="N585" s="27">
        <v>1125</v>
      </c>
      <c r="O585" s="27">
        <v>675</v>
      </c>
      <c r="P585" s="27" t="s">
        <v>13</v>
      </c>
      <c r="Q585" s="27">
        <v>1993</v>
      </c>
      <c r="R585" s="27">
        <v>1</v>
      </c>
      <c r="S585" s="27">
        <v>0</v>
      </c>
      <c r="T585" s="27">
        <v>-1.8E-3</v>
      </c>
      <c r="U585" s="27">
        <v>-1.2E-2</v>
      </c>
      <c r="V585" s="27">
        <v>0</v>
      </c>
      <c r="W585" s="27">
        <v>0</v>
      </c>
      <c r="X585" s="27" t="s">
        <v>31</v>
      </c>
    </row>
    <row r="586" spans="1:24">
      <c r="A586" s="27">
        <v>1</v>
      </c>
      <c r="B586" s="27">
        <v>6</v>
      </c>
      <c r="C586" s="27">
        <v>21</v>
      </c>
      <c r="D586" s="27">
        <v>2010</v>
      </c>
      <c r="E586" s="27">
        <v>2010</v>
      </c>
      <c r="F586" s="27">
        <v>8</v>
      </c>
      <c r="G586" s="27">
        <v>21</v>
      </c>
      <c r="H586" s="27">
        <v>0</v>
      </c>
      <c r="I586" s="27">
        <v>0</v>
      </c>
      <c r="J586" s="27">
        <v>0</v>
      </c>
      <c r="K586" s="27">
        <v>0.98</v>
      </c>
      <c r="L586" s="27">
        <v>3750</v>
      </c>
      <c r="M586" s="27">
        <v>3330</v>
      </c>
      <c r="N586" s="27">
        <v>1125</v>
      </c>
      <c r="O586" s="27">
        <v>675</v>
      </c>
      <c r="P586" s="27" t="s">
        <v>13</v>
      </c>
      <c r="Q586" s="27">
        <v>1993</v>
      </c>
      <c r="R586" s="27">
        <v>1</v>
      </c>
      <c r="S586" s="27">
        <v>0</v>
      </c>
      <c r="T586" s="27">
        <v>-1.8E-3</v>
      </c>
      <c r="U586" s="27">
        <v>-1.2E-2</v>
      </c>
      <c r="V586" s="27">
        <v>0</v>
      </c>
      <c r="W586" s="27">
        <v>0</v>
      </c>
      <c r="X586" s="27" t="s">
        <v>31</v>
      </c>
    </row>
    <row r="587" spans="1:24">
      <c r="A587" s="27">
        <v>1</v>
      </c>
      <c r="B587" s="27">
        <v>6</v>
      </c>
      <c r="C587" s="27">
        <v>21</v>
      </c>
      <c r="D587" s="27">
        <v>2010</v>
      </c>
      <c r="E587" s="27">
        <v>2010</v>
      </c>
      <c r="F587" s="27">
        <v>9</v>
      </c>
      <c r="G587" s="27">
        <v>21</v>
      </c>
      <c r="H587" s="27">
        <v>0</v>
      </c>
      <c r="I587" s="27">
        <v>0</v>
      </c>
      <c r="J587" s="27">
        <v>0</v>
      </c>
      <c r="K587" s="27">
        <v>0.98</v>
      </c>
      <c r="L587" s="27">
        <v>3750</v>
      </c>
      <c r="M587" s="27">
        <v>3330</v>
      </c>
      <c r="N587" s="27">
        <v>1125</v>
      </c>
      <c r="O587" s="27">
        <v>675</v>
      </c>
      <c r="P587" s="27" t="s">
        <v>13</v>
      </c>
      <c r="Q587" s="27">
        <v>1993</v>
      </c>
      <c r="R587" s="27">
        <v>1</v>
      </c>
      <c r="S587" s="27">
        <v>0</v>
      </c>
      <c r="T587" s="27">
        <v>-1.8E-3</v>
      </c>
      <c r="U587" s="27">
        <v>-1.2E-2</v>
      </c>
      <c r="V587" s="27">
        <v>0</v>
      </c>
      <c r="W587" s="27">
        <v>0</v>
      </c>
      <c r="X587" s="27" t="s">
        <v>31</v>
      </c>
    </row>
    <row r="588" spans="1:24">
      <c r="A588" s="27">
        <v>1</v>
      </c>
      <c r="B588" s="27">
        <v>6</v>
      </c>
      <c r="C588" s="27">
        <v>21</v>
      </c>
      <c r="D588" s="27">
        <v>2011</v>
      </c>
      <c r="E588" s="27">
        <v>2011</v>
      </c>
      <c r="F588" s="27">
        <v>1</v>
      </c>
      <c r="G588" s="27">
        <v>21</v>
      </c>
      <c r="H588" s="27">
        <v>0</v>
      </c>
      <c r="I588" s="27">
        <v>0</v>
      </c>
      <c r="J588" s="27">
        <v>0</v>
      </c>
      <c r="K588" s="27">
        <v>0.98</v>
      </c>
      <c r="L588" s="27">
        <v>3750</v>
      </c>
      <c r="M588" s="27">
        <v>3330</v>
      </c>
      <c r="N588" s="27">
        <v>150</v>
      </c>
      <c r="O588" s="27">
        <v>90</v>
      </c>
      <c r="P588" s="27" t="s">
        <v>13</v>
      </c>
      <c r="Q588" s="27">
        <v>1993</v>
      </c>
      <c r="R588" s="27">
        <v>1</v>
      </c>
      <c r="S588" s="27">
        <v>0</v>
      </c>
      <c r="T588" s="27">
        <v>-1.8E-3</v>
      </c>
      <c r="U588" s="27">
        <v>-1.2E-2</v>
      </c>
      <c r="V588" s="27">
        <v>0</v>
      </c>
      <c r="W588" s="27">
        <v>0</v>
      </c>
      <c r="X588" s="27" t="s">
        <v>31</v>
      </c>
    </row>
    <row r="589" spans="1:24">
      <c r="A589" s="27">
        <v>1</v>
      </c>
      <c r="B589" s="27">
        <v>6</v>
      </c>
      <c r="C589" s="27">
        <v>21</v>
      </c>
      <c r="D589" s="27">
        <v>2011</v>
      </c>
      <c r="E589" s="27">
        <v>2011</v>
      </c>
      <c r="F589" s="27">
        <v>2</v>
      </c>
      <c r="G589" s="27">
        <v>21</v>
      </c>
      <c r="H589" s="27">
        <v>0</v>
      </c>
      <c r="I589" s="27">
        <v>0</v>
      </c>
      <c r="J589" s="27">
        <v>0</v>
      </c>
      <c r="K589" s="27">
        <v>0.98</v>
      </c>
      <c r="L589" s="27">
        <v>3750</v>
      </c>
      <c r="M589" s="27">
        <v>3330</v>
      </c>
      <c r="N589" s="27">
        <v>150</v>
      </c>
      <c r="O589" s="27">
        <v>90</v>
      </c>
      <c r="P589" s="27" t="s">
        <v>13</v>
      </c>
      <c r="Q589" s="27">
        <v>1993</v>
      </c>
      <c r="R589" s="27">
        <v>1</v>
      </c>
      <c r="S589" s="27">
        <v>0</v>
      </c>
      <c r="T589" s="27">
        <v>-1.8E-3</v>
      </c>
      <c r="U589" s="27">
        <v>-1.2E-2</v>
      </c>
      <c r="V589" s="27">
        <v>0</v>
      </c>
      <c r="W589" s="27">
        <v>0</v>
      </c>
      <c r="X589" s="27" t="s">
        <v>31</v>
      </c>
    </row>
    <row r="590" spans="1:24">
      <c r="A590" s="27">
        <v>1</v>
      </c>
      <c r="B590" s="27">
        <v>6</v>
      </c>
      <c r="C590" s="27">
        <v>21</v>
      </c>
      <c r="D590" s="27">
        <v>2011</v>
      </c>
      <c r="E590" s="27">
        <v>2011</v>
      </c>
      <c r="F590" s="27">
        <v>3</v>
      </c>
      <c r="G590" s="27">
        <v>21</v>
      </c>
      <c r="H590" s="27">
        <v>0</v>
      </c>
      <c r="I590" s="27">
        <v>0</v>
      </c>
      <c r="J590" s="27">
        <v>0</v>
      </c>
      <c r="K590" s="27">
        <v>0.98</v>
      </c>
      <c r="L590" s="27">
        <v>3750</v>
      </c>
      <c r="M590" s="27">
        <v>3330</v>
      </c>
      <c r="N590" s="27">
        <v>150</v>
      </c>
      <c r="O590" s="27">
        <v>90</v>
      </c>
      <c r="P590" s="27" t="s">
        <v>13</v>
      </c>
      <c r="Q590" s="27">
        <v>1993</v>
      </c>
      <c r="R590" s="27">
        <v>1</v>
      </c>
      <c r="S590" s="27">
        <v>0</v>
      </c>
      <c r="T590" s="27">
        <v>-1.8E-3</v>
      </c>
      <c r="U590" s="27">
        <v>-1.2E-2</v>
      </c>
      <c r="V590" s="27">
        <v>0</v>
      </c>
      <c r="W590" s="27">
        <v>0</v>
      </c>
      <c r="X590" s="27" t="s">
        <v>31</v>
      </c>
    </row>
    <row r="591" spans="1:24">
      <c r="A591" s="27">
        <v>1</v>
      </c>
      <c r="B591" s="27">
        <v>6</v>
      </c>
      <c r="C591" s="27">
        <v>21</v>
      </c>
      <c r="D591" s="27">
        <v>2011</v>
      </c>
      <c r="E591" s="27">
        <v>2011</v>
      </c>
      <c r="F591" s="27">
        <v>4</v>
      </c>
      <c r="G591" s="27">
        <v>21</v>
      </c>
      <c r="H591" s="27">
        <v>0</v>
      </c>
      <c r="I591" s="27">
        <v>0</v>
      </c>
      <c r="J591" s="27">
        <v>0</v>
      </c>
      <c r="K591" s="27">
        <v>0.98</v>
      </c>
      <c r="L591" s="27">
        <v>3750</v>
      </c>
      <c r="M591" s="27">
        <v>3330</v>
      </c>
      <c r="N591" s="27">
        <v>150</v>
      </c>
      <c r="O591" s="27">
        <v>90</v>
      </c>
      <c r="P591" s="27" t="s">
        <v>13</v>
      </c>
      <c r="Q591" s="27">
        <v>1993</v>
      </c>
      <c r="R591" s="27">
        <v>1</v>
      </c>
      <c r="S591" s="27">
        <v>0</v>
      </c>
      <c r="T591" s="27">
        <v>-1.8E-3</v>
      </c>
      <c r="U591" s="27">
        <v>-1.2E-2</v>
      </c>
      <c r="V591" s="27">
        <v>0</v>
      </c>
      <c r="W591" s="27">
        <v>0</v>
      </c>
      <c r="X591" s="27" t="s">
        <v>31</v>
      </c>
    </row>
    <row r="592" spans="1:24">
      <c r="A592" s="27">
        <v>1</v>
      </c>
      <c r="B592" s="27">
        <v>6</v>
      </c>
      <c r="C592" s="27">
        <v>21</v>
      </c>
      <c r="D592" s="27">
        <v>2011</v>
      </c>
      <c r="E592" s="27">
        <v>2011</v>
      </c>
      <c r="F592" s="27">
        <v>5</v>
      </c>
      <c r="G592" s="27">
        <v>21</v>
      </c>
      <c r="H592" s="27">
        <v>0</v>
      </c>
      <c r="I592" s="27">
        <v>0</v>
      </c>
      <c r="J592" s="27">
        <v>0</v>
      </c>
      <c r="K592" s="27">
        <v>0.98</v>
      </c>
      <c r="L592" s="27">
        <v>3750</v>
      </c>
      <c r="M592" s="27">
        <v>3330</v>
      </c>
      <c r="N592" s="27">
        <v>150</v>
      </c>
      <c r="O592" s="27">
        <v>90</v>
      </c>
      <c r="P592" s="27" t="s">
        <v>13</v>
      </c>
      <c r="Q592" s="27">
        <v>1993</v>
      </c>
      <c r="R592" s="27">
        <v>1</v>
      </c>
      <c r="S592" s="27">
        <v>0</v>
      </c>
      <c r="T592" s="27">
        <v>-1.8E-3</v>
      </c>
      <c r="U592" s="27">
        <v>-1.2E-2</v>
      </c>
      <c r="V592" s="27">
        <v>0</v>
      </c>
      <c r="W592" s="27">
        <v>0</v>
      </c>
      <c r="X592" s="27" t="s">
        <v>31</v>
      </c>
    </row>
    <row r="593" spans="1:24">
      <c r="A593" s="27">
        <v>1</v>
      </c>
      <c r="B593" s="27">
        <v>6</v>
      </c>
      <c r="C593" s="27">
        <v>21</v>
      </c>
      <c r="D593" s="27">
        <v>2011</v>
      </c>
      <c r="E593" s="27">
        <v>2011</v>
      </c>
      <c r="F593" s="27">
        <v>6</v>
      </c>
      <c r="G593" s="27">
        <v>21</v>
      </c>
      <c r="H593" s="27">
        <v>0</v>
      </c>
      <c r="I593" s="27">
        <v>0</v>
      </c>
      <c r="J593" s="27">
        <v>0</v>
      </c>
      <c r="K593" s="27">
        <v>0.98</v>
      </c>
      <c r="L593" s="27">
        <v>3750</v>
      </c>
      <c r="M593" s="27">
        <v>3330</v>
      </c>
      <c r="N593" s="27">
        <v>150</v>
      </c>
      <c r="O593" s="27">
        <v>90</v>
      </c>
      <c r="P593" s="27" t="s">
        <v>13</v>
      </c>
      <c r="Q593" s="27">
        <v>1993</v>
      </c>
      <c r="R593" s="27">
        <v>1</v>
      </c>
      <c r="S593" s="27">
        <v>0</v>
      </c>
      <c r="T593" s="27">
        <v>-1.8E-3</v>
      </c>
      <c r="U593" s="27">
        <v>-1.2E-2</v>
      </c>
      <c r="V593" s="27">
        <v>0</v>
      </c>
      <c r="W593" s="27">
        <v>0</v>
      </c>
      <c r="X593" s="27" t="s">
        <v>31</v>
      </c>
    </row>
    <row r="594" spans="1:24">
      <c r="A594" s="27">
        <v>1</v>
      </c>
      <c r="B594" s="27">
        <v>6</v>
      </c>
      <c r="C594" s="27">
        <v>21</v>
      </c>
      <c r="D594" s="27">
        <v>2011</v>
      </c>
      <c r="E594" s="27">
        <v>2011</v>
      </c>
      <c r="F594" s="27">
        <v>7</v>
      </c>
      <c r="G594" s="27">
        <v>21</v>
      </c>
      <c r="H594" s="27">
        <v>0</v>
      </c>
      <c r="I594" s="27">
        <v>0</v>
      </c>
      <c r="J594" s="27">
        <v>0</v>
      </c>
      <c r="K594" s="27">
        <v>0.98</v>
      </c>
      <c r="L594" s="27">
        <v>3750</v>
      </c>
      <c r="M594" s="27">
        <v>3330</v>
      </c>
      <c r="N594" s="27">
        <v>150</v>
      </c>
      <c r="O594" s="27">
        <v>90</v>
      </c>
      <c r="P594" s="27" t="s">
        <v>13</v>
      </c>
      <c r="Q594" s="27">
        <v>1993</v>
      </c>
      <c r="R594" s="27">
        <v>1</v>
      </c>
      <c r="S594" s="27">
        <v>0</v>
      </c>
      <c r="T594" s="27">
        <v>-1.8E-3</v>
      </c>
      <c r="U594" s="27">
        <v>-1.2E-2</v>
      </c>
      <c r="V594" s="27">
        <v>0</v>
      </c>
      <c r="W594" s="27">
        <v>0</v>
      </c>
      <c r="X594" s="27" t="s">
        <v>31</v>
      </c>
    </row>
    <row r="595" spans="1:24">
      <c r="A595" s="27">
        <v>1</v>
      </c>
      <c r="B595" s="27">
        <v>6</v>
      </c>
      <c r="C595" s="27">
        <v>21</v>
      </c>
      <c r="D595" s="27">
        <v>2011</v>
      </c>
      <c r="E595" s="27">
        <v>2011</v>
      </c>
      <c r="F595" s="27">
        <v>8</v>
      </c>
      <c r="G595" s="27">
        <v>21</v>
      </c>
      <c r="H595" s="27">
        <v>0</v>
      </c>
      <c r="I595" s="27">
        <v>0</v>
      </c>
      <c r="J595" s="27">
        <v>0</v>
      </c>
      <c r="K595" s="27">
        <v>0.98</v>
      </c>
      <c r="L595" s="27">
        <v>3750</v>
      </c>
      <c r="M595" s="27">
        <v>3330</v>
      </c>
      <c r="N595" s="27">
        <v>150</v>
      </c>
      <c r="O595" s="27">
        <v>90</v>
      </c>
      <c r="P595" s="27" t="s">
        <v>13</v>
      </c>
      <c r="Q595" s="27">
        <v>1993</v>
      </c>
      <c r="R595" s="27">
        <v>1</v>
      </c>
      <c r="S595" s="27">
        <v>0</v>
      </c>
      <c r="T595" s="27">
        <v>-1.8E-3</v>
      </c>
      <c r="U595" s="27">
        <v>-1.2E-2</v>
      </c>
      <c r="V595" s="27">
        <v>0</v>
      </c>
      <c r="W595" s="27">
        <v>0</v>
      </c>
      <c r="X595" s="27" t="s">
        <v>31</v>
      </c>
    </row>
    <row r="596" spans="1:24">
      <c r="A596" s="27">
        <v>1</v>
      </c>
      <c r="B596" s="27">
        <v>6</v>
      </c>
      <c r="C596" s="27">
        <v>21</v>
      </c>
      <c r="D596" s="27">
        <v>2011</v>
      </c>
      <c r="E596" s="27">
        <v>2011</v>
      </c>
      <c r="F596" s="27">
        <v>9</v>
      </c>
      <c r="G596" s="27">
        <v>21</v>
      </c>
      <c r="H596" s="27">
        <v>0</v>
      </c>
      <c r="I596" s="27">
        <v>0</v>
      </c>
      <c r="J596" s="27">
        <v>0</v>
      </c>
      <c r="K596" s="27">
        <v>0.98</v>
      </c>
      <c r="L596" s="27">
        <v>3750</v>
      </c>
      <c r="M596" s="27">
        <v>3330</v>
      </c>
      <c r="N596" s="27">
        <v>150</v>
      </c>
      <c r="O596" s="27">
        <v>90</v>
      </c>
      <c r="P596" s="27" t="s">
        <v>13</v>
      </c>
      <c r="Q596" s="27">
        <v>1993</v>
      </c>
      <c r="R596" s="27">
        <v>1</v>
      </c>
      <c r="S596" s="27">
        <v>0</v>
      </c>
      <c r="T596" s="27">
        <v>-1.8E-3</v>
      </c>
      <c r="U596" s="27">
        <v>-1.2E-2</v>
      </c>
      <c r="V596" s="27">
        <v>0</v>
      </c>
      <c r="W596" s="27">
        <v>0</v>
      </c>
      <c r="X596" s="27" t="s">
        <v>31</v>
      </c>
    </row>
    <row r="597" spans="1:24">
      <c r="A597" s="27">
        <v>1</v>
      </c>
      <c r="B597" s="27">
        <v>6</v>
      </c>
      <c r="C597" s="27">
        <v>21</v>
      </c>
      <c r="D597" s="27">
        <v>2012</v>
      </c>
      <c r="E597" s="27">
        <v>2012</v>
      </c>
      <c r="F597" s="27">
        <v>1</v>
      </c>
      <c r="G597" s="27">
        <v>21</v>
      </c>
      <c r="H597" s="27">
        <v>0</v>
      </c>
      <c r="I597" s="27">
        <v>0</v>
      </c>
      <c r="J597" s="27">
        <v>0</v>
      </c>
      <c r="K597" s="27">
        <v>0.98</v>
      </c>
      <c r="L597" s="27">
        <v>3750</v>
      </c>
      <c r="M597" s="27">
        <v>3330</v>
      </c>
      <c r="N597" s="27">
        <v>0</v>
      </c>
      <c r="O597" s="27">
        <v>0</v>
      </c>
      <c r="P597" s="27" t="s">
        <v>13</v>
      </c>
      <c r="Q597" s="27">
        <v>1993</v>
      </c>
      <c r="R597" s="27">
        <v>1</v>
      </c>
      <c r="S597" s="27">
        <v>0</v>
      </c>
      <c r="T597" s="27">
        <v>-1.8E-3</v>
      </c>
      <c r="U597" s="27">
        <v>-1.2E-2</v>
      </c>
      <c r="V597" s="27">
        <v>0</v>
      </c>
      <c r="W597" s="27">
        <v>0</v>
      </c>
      <c r="X597" s="27" t="s">
        <v>31</v>
      </c>
    </row>
    <row r="598" spans="1:24">
      <c r="A598" s="27">
        <v>1</v>
      </c>
      <c r="B598" s="27">
        <v>6</v>
      </c>
      <c r="C598" s="27">
        <v>21</v>
      </c>
      <c r="D598" s="27">
        <v>2012</v>
      </c>
      <c r="E598" s="27">
        <v>2012</v>
      </c>
      <c r="F598" s="27">
        <v>2</v>
      </c>
      <c r="G598" s="27">
        <v>21</v>
      </c>
      <c r="H598" s="27">
        <v>0</v>
      </c>
      <c r="I598" s="27">
        <v>0</v>
      </c>
      <c r="J598" s="27">
        <v>0</v>
      </c>
      <c r="K598" s="27">
        <v>0.98</v>
      </c>
      <c r="L598" s="27">
        <v>3750</v>
      </c>
      <c r="M598" s="27">
        <v>3330</v>
      </c>
      <c r="N598" s="27">
        <v>0</v>
      </c>
      <c r="O598" s="27">
        <v>0</v>
      </c>
      <c r="P598" s="27" t="s">
        <v>13</v>
      </c>
      <c r="Q598" s="27">
        <v>1993</v>
      </c>
      <c r="R598" s="27">
        <v>1</v>
      </c>
      <c r="S598" s="27">
        <v>0</v>
      </c>
      <c r="T598" s="27">
        <v>-1.8E-3</v>
      </c>
      <c r="U598" s="27">
        <v>-1.2E-2</v>
      </c>
      <c r="V598" s="27">
        <v>0</v>
      </c>
      <c r="W598" s="27">
        <v>0</v>
      </c>
      <c r="X598" s="27" t="s">
        <v>31</v>
      </c>
    </row>
    <row r="599" spans="1:24">
      <c r="A599" s="27">
        <v>1</v>
      </c>
      <c r="B599" s="27">
        <v>6</v>
      </c>
      <c r="C599" s="27">
        <v>21</v>
      </c>
      <c r="D599" s="27">
        <v>2012</v>
      </c>
      <c r="E599" s="27">
        <v>2012</v>
      </c>
      <c r="F599" s="27">
        <v>3</v>
      </c>
      <c r="G599" s="27">
        <v>21</v>
      </c>
      <c r="H599" s="27">
        <v>0</v>
      </c>
      <c r="I599" s="27">
        <v>0</v>
      </c>
      <c r="J599" s="27">
        <v>0</v>
      </c>
      <c r="K599" s="27">
        <v>0.98</v>
      </c>
      <c r="L599" s="27">
        <v>3750</v>
      </c>
      <c r="M599" s="27">
        <v>3330</v>
      </c>
      <c r="N599" s="27">
        <v>0</v>
      </c>
      <c r="O599" s="27">
        <v>0</v>
      </c>
      <c r="P599" s="27" t="s">
        <v>13</v>
      </c>
      <c r="Q599" s="27">
        <v>1993</v>
      </c>
      <c r="R599" s="27">
        <v>1</v>
      </c>
      <c r="S599" s="27">
        <v>0</v>
      </c>
      <c r="T599" s="27">
        <v>-1.8E-3</v>
      </c>
      <c r="U599" s="27">
        <v>-1.2E-2</v>
      </c>
      <c r="V599" s="27">
        <v>0</v>
      </c>
      <c r="W599" s="27">
        <v>0</v>
      </c>
      <c r="X599" s="27" t="s">
        <v>31</v>
      </c>
    </row>
    <row r="600" spans="1:24">
      <c r="A600" s="27">
        <v>1</v>
      </c>
      <c r="B600" s="27">
        <v>6</v>
      </c>
      <c r="C600" s="27">
        <v>21</v>
      </c>
      <c r="D600" s="27">
        <v>2012</v>
      </c>
      <c r="E600" s="27">
        <v>2012</v>
      </c>
      <c r="F600" s="27">
        <v>4</v>
      </c>
      <c r="G600" s="27">
        <v>21</v>
      </c>
      <c r="H600" s="27">
        <v>0</v>
      </c>
      <c r="I600" s="27">
        <v>0</v>
      </c>
      <c r="J600" s="27">
        <v>0</v>
      </c>
      <c r="K600" s="27">
        <v>0.98</v>
      </c>
      <c r="L600" s="27">
        <v>3750</v>
      </c>
      <c r="M600" s="27">
        <v>3330</v>
      </c>
      <c r="N600" s="27">
        <v>0</v>
      </c>
      <c r="O600" s="27">
        <v>0</v>
      </c>
      <c r="P600" s="27" t="s">
        <v>13</v>
      </c>
      <c r="Q600" s="27">
        <v>1993</v>
      </c>
      <c r="R600" s="27">
        <v>1</v>
      </c>
      <c r="S600" s="27">
        <v>0</v>
      </c>
      <c r="T600" s="27">
        <v>-1.8E-3</v>
      </c>
      <c r="U600" s="27">
        <v>-1.2E-2</v>
      </c>
      <c r="V600" s="27">
        <v>0</v>
      </c>
      <c r="W600" s="27">
        <v>0</v>
      </c>
      <c r="X600" s="27" t="s">
        <v>31</v>
      </c>
    </row>
    <row r="601" spans="1:24">
      <c r="A601" s="27">
        <v>1</v>
      </c>
      <c r="B601" s="27">
        <v>6</v>
      </c>
      <c r="C601" s="27">
        <v>21</v>
      </c>
      <c r="D601" s="27">
        <v>2012</v>
      </c>
      <c r="E601" s="27">
        <v>2012</v>
      </c>
      <c r="F601" s="27">
        <v>5</v>
      </c>
      <c r="G601" s="27">
        <v>21</v>
      </c>
      <c r="H601" s="27">
        <v>0</v>
      </c>
      <c r="I601" s="27">
        <v>0</v>
      </c>
      <c r="J601" s="27">
        <v>0</v>
      </c>
      <c r="K601" s="27">
        <v>0.98</v>
      </c>
      <c r="L601" s="27">
        <v>3750</v>
      </c>
      <c r="M601" s="27">
        <v>3330</v>
      </c>
      <c r="N601" s="27">
        <v>0</v>
      </c>
      <c r="O601" s="27">
        <v>0</v>
      </c>
      <c r="P601" s="27" t="s">
        <v>13</v>
      </c>
      <c r="Q601" s="27">
        <v>1993</v>
      </c>
      <c r="R601" s="27">
        <v>1</v>
      </c>
      <c r="S601" s="27">
        <v>0</v>
      </c>
      <c r="T601" s="27">
        <v>-1.8E-3</v>
      </c>
      <c r="U601" s="27">
        <v>-1.2E-2</v>
      </c>
      <c r="V601" s="27">
        <v>0</v>
      </c>
      <c r="W601" s="27">
        <v>0</v>
      </c>
      <c r="X601" s="27" t="s">
        <v>31</v>
      </c>
    </row>
    <row r="602" spans="1:24">
      <c r="A602" s="27">
        <v>1</v>
      </c>
      <c r="B602" s="27">
        <v>6</v>
      </c>
      <c r="C602" s="27">
        <v>21</v>
      </c>
      <c r="D602" s="27">
        <v>2012</v>
      </c>
      <c r="E602" s="27">
        <v>2012</v>
      </c>
      <c r="F602" s="27">
        <v>6</v>
      </c>
      <c r="G602" s="27">
        <v>21</v>
      </c>
      <c r="H602" s="27">
        <v>0</v>
      </c>
      <c r="I602" s="27">
        <v>0</v>
      </c>
      <c r="J602" s="27">
        <v>0</v>
      </c>
      <c r="K602" s="27">
        <v>0.98</v>
      </c>
      <c r="L602" s="27">
        <v>3750</v>
      </c>
      <c r="M602" s="27">
        <v>3330</v>
      </c>
      <c r="N602" s="27">
        <v>0</v>
      </c>
      <c r="O602" s="27">
        <v>0</v>
      </c>
      <c r="P602" s="27" t="s">
        <v>13</v>
      </c>
      <c r="Q602" s="27">
        <v>1993</v>
      </c>
      <c r="R602" s="27">
        <v>1</v>
      </c>
      <c r="S602" s="27">
        <v>0</v>
      </c>
      <c r="T602" s="27">
        <v>-1.8E-3</v>
      </c>
      <c r="U602" s="27">
        <v>-1.2E-2</v>
      </c>
      <c r="V602" s="27">
        <v>0</v>
      </c>
      <c r="W602" s="27">
        <v>0</v>
      </c>
      <c r="X602" s="27" t="s">
        <v>31</v>
      </c>
    </row>
    <row r="603" spans="1:24">
      <c r="A603" s="27">
        <v>1</v>
      </c>
      <c r="B603" s="27">
        <v>6</v>
      </c>
      <c r="C603" s="27">
        <v>21</v>
      </c>
      <c r="D603" s="27">
        <v>2012</v>
      </c>
      <c r="E603" s="27">
        <v>2012</v>
      </c>
      <c r="F603" s="27">
        <v>7</v>
      </c>
      <c r="G603" s="27">
        <v>21</v>
      </c>
      <c r="H603" s="27">
        <v>0</v>
      </c>
      <c r="I603" s="27">
        <v>0</v>
      </c>
      <c r="J603" s="27">
        <v>0</v>
      </c>
      <c r="K603" s="27">
        <v>0.98</v>
      </c>
      <c r="L603" s="27">
        <v>3750</v>
      </c>
      <c r="M603" s="27">
        <v>3330</v>
      </c>
      <c r="N603" s="27">
        <v>0</v>
      </c>
      <c r="O603" s="27">
        <v>0</v>
      </c>
      <c r="P603" s="27" t="s">
        <v>13</v>
      </c>
      <c r="Q603" s="27">
        <v>1993</v>
      </c>
      <c r="R603" s="27">
        <v>1</v>
      </c>
      <c r="S603" s="27">
        <v>0</v>
      </c>
      <c r="T603" s="27">
        <v>-1.8E-3</v>
      </c>
      <c r="U603" s="27">
        <v>-1.2E-2</v>
      </c>
      <c r="V603" s="27">
        <v>0</v>
      </c>
      <c r="W603" s="27">
        <v>0</v>
      </c>
      <c r="X603" s="27" t="s">
        <v>31</v>
      </c>
    </row>
    <row r="604" spans="1:24">
      <c r="A604" s="27">
        <v>1</v>
      </c>
      <c r="B604" s="27">
        <v>6</v>
      </c>
      <c r="C604" s="27">
        <v>21</v>
      </c>
      <c r="D604" s="27">
        <v>2012</v>
      </c>
      <c r="E604" s="27">
        <v>2012</v>
      </c>
      <c r="F604" s="27">
        <v>8</v>
      </c>
      <c r="G604" s="27">
        <v>21</v>
      </c>
      <c r="H604" s="27">
        <v>0</v>
      </c>
      <c r="I604" s="27">
        <v>0</v>
      </c>
      <c r="J604" s="27">
        <v>0</v>
      </c>
      <c r="K604" s="27">
        <v>0.98</v>
      </c>
      <c r="L604" s="27">
        <v>3750</v>
      </c>
      <c r="M604" s="27">
        <v>3330</v>
      </c>
      <c r="N604" s="27">
        <v>0</v>
      </c>
      <c r="O604" s="27">
        <v>0</v>
      </c>
      <c r="P604" s="27" t="s">
        <v>13</v>
      </c>
      <c r="Q604" s="27">
        <v>1993</v>
      </c>
      <c r="R604" s="27">
        <v>1</v>
      </c>
      <c r="S604" s="27">
        <v>0</v>
      </c>
      <c r="T604" s="27">
        <v>-1.8E-3</v>
      </c>
      <c r="U604" s="27">
        <v>-1.2E-2</v>
      </c>
      <c r="V604" s="27">
        <v>0</v>
      </c>
      <c r="W604" s="27">
        <v>0</v>
      </c>
      <c r="X604" s="27" t="s">
        <v>31</v>
      </c>
    </row>
    <row r="605" spans="1:24">
      <c r="A605" s="27">
        <v>1</v>
      </c>
      <c r="B605" s="27">
        <v>6</v>
      </c>
      <c r="C605" s="27">
        <v>21</v>
      </c>
      <c r="D605" s="27">
        <v>2012</v>
      </c>
      <c r="E605" s="27">
        <v>2012</v>
      </c>
      <c r="F605" s="27">
        <v>9</v>
      </c>
      <c r="G605" s="27">
        <v>21</v>
      </c>
      <c r="H605" s="27">
        <v>0</v>
      </c>
      <c r="I605" s="27">
        <v>0</v>
      </c>
      <c r="J605" s="27">
        <v>0</v>
      </c>
      <c r="K605" s="27">
        <v>0.98</v>
      </c>
      <c r="L605" s="27">
        <v>3750</v>
      </c>
      <c r="M605" s="27">
        <v>3330</v>
      </c>
      <c r="N605" s="27">
        <v>0</v>
      </c>
      <c r="O605" s="27">
        <v>0</v>
      </c>
      <c r="P605" s="27" t="s">
        <v>13</v>
      </c>
      <c r="Q605" s="27">
        <v>1993</v>
      </c>
      <c r="R605" s="27">
        <v>1</v>
      </c>
      <c r="S605" s="27">
        <v>0</v>
      </c>
      <c r="T605" s="27">
        <v>-1.8E-3</v>
      </c>
      <c r="U605" s="27">
        <v>-1.2E-2</v>
      </c>
      <c r="V605" s="27">
        <v>0</v>
      </c>
      <c r="W605" s="27">
        <v>0</v>
      </c>
      <c r="X605" s="27" t="s">
        <v>31</v>
      </c>
    </row>
    <row r="606" spans="1:24">
      <c r="A606" s="27">
        <v>1</v>
      </c>
      <c r="B606" s="27">
        <v>6</v>
      </c>
      <c r="C606" s="27">
        <v>21</v>
      </c>
      <c r="D606" s="27">
        <v>2013</v>
      </c>
      <c r="E606" s="27">
        <v>2013</v>
      </c>
      <c r="F606" s="27">
        <v>1</v>
      </c>
      <c r="G606" s="27">
        <v>21</v>
      </c>
      <c r="H606" s="27">
        <v>0</v>
      </c>
      <c r="I606" s="27">
        <v>0</v>
      </c>
      <c r="J606" s="27">
        <v>0</v>
      </c>
      <c r="K606" s="27">
        <v>0.98</v>
      </c>
      <c r="L606" s="27">
        <v>3750</v>
      </c>
      <c r="M606" s="27">
        <v>3330</v>
      </c>
      <c r="N606" s="27">
        <v>150</v>
      </c>
      <c r="O606" s="27">
        <v>90</v>
      </c>
      <c r="P606" s="27" t="s">
        <v>13</v>
      </c>
      <c r="Q606" s="27">
        <v>1993</v>
      </c>
      <c r="R606" s="27">
        <v>1</v>
      </c>
      <c r="S606" s="27">
        <v>0</v>
      </c>
      <c r="T606" s="27">
        <v>-1.8E-3</v>
      </c>
      <c r="U606" s="27">
        <v>-1.2E-2</v>
      </c>
      <c r="V606" s="27">
        <v>0</v>
      </c>
      <c r="W606" s="27">
        <v>0</v>
      </c>
      <c r="X606" s="27" t="s">
        <v>31</v>
      </c>
    </row>
    <row r="607" spans="1:24">
      <c r="A607" s="27">
        <v>1</v>
      </c>
      <c r="B607" s="27">
        <v>6</v>
      </c>
      <c r="C607" s="27">
        <v>21</v>
      </c>
      <c r="D607" s="27">
        <v>2013</v>
      </c>
      <c r="E607" s="27">
        <v>2013</v>
      </c>
      <c r="F607" s="27">
        <v>2</v>
      </c>
      <c r="G607" s="27">
        <v>21</v>
      </c>
      <c r="H607" s="27">
        <v>0</v>
      </c>
      <c r="I607" s="27">
        <v>0</v>
      </c>
      <c r="J607" s="27">
        <v>0</v>
      </c>
      <c r="K607" s="27">
        <v>0.98</v>
      </c>
      <c r="L607" s="27">
        <v>3750</v>
      </c>
      <c r="M607" s="27">
        <v>3330</v>
      </c>
      <c r="N607" s="27">
        <v>150</v>
      </c>
      <c r="O607" s="27">
        <v>90</v>
      </c>
      <c r="P607" s="27" t="s">
        <v>13</v>
      </c>
      <c r="Q607" s="27">
        <v>1993</v>
      </c>
      <c r="R607" s="27">
        <v>1</v>
      </c>
      <c r="S607" s="27">
        <v>0</v>
      </c>
      <c r="T607" s="27">
        <v>-1.8E-3</v>
      </c>
      <c r="U607" s="27">
        <v>-1.2E-2</v>
      </c>
      <c r="V607" s="27">
        <v>0</v>
      </c>
      <c r="W607" s="27">
        <v>0</v>
      </c>
      <c r="X607" s="27" t="s">
        <v>31</v>
      </c>
    </row>
    <row r="608" spans="1:24">
      <c r="A608" s="27">
        <v>1</v>
      </c>
      <c r="B608" s="27">
        <v>6</v>
      </c>
      <c r="C608" s="27">
        <v>21</v>
      </c>
      <c r="D608" s="27">
        <v>2013</v>
      </c>
      <c r="E608" s="27">
        <v>2013</v>
      </c>
      <c r="F608" s="27">
        <v>3</v>
      </c>
      <c r="G608" s="27">
        <v>21</v>
      </c>
      <c r="H608" s="27">
        <v>0</v>
      </c>
      <c r="I608" s="27">
        <v>0</v>
      </c>
      <c r="J608" s="27">
        <v>0</v>
      </c>
      <c r="K608" s="27">
        <v>0.98</v>
      </c>
      <c r="L608" s="27">
        <v>3750</v>
      </c>
      <c r="M608" s="27">
        <v>3330</v>
      </c>
      <c r="N608" s="27">
        <v>150</v>
      </c>
      <c r="O608" s="27">
        <v>90</v>
      </c>
      <c r="P608" s="27" t="s">
        <v>13</v>
      </c>
      <c r="Q608" s="27">
        <v>1993</v>
      </c>
      <c r="R608" s="27">
        <v>1</v>
      </c>
      <c r="S608" s="27">
        <v>0</v>
      </c>
      <c r="T608" s="27">
        <v>-1.8E-3</v>
      </c>
      <c r="U608" s="27">
        <v>-1.2E-2</v>
      </c>
      <c r="V608" s="27">
        <v>0</v>
      </c>
      <c r="W608" s="27">
        <v>0</v>
      </c>
      <c r="X608" s="27" t="s">
        <v>31</v>
      </c>
    </row>
    <row r="609" spans="1:24">
      <c r="A609" s="27">
        <v>1</v>
      </c>
      <c r="B609" s="27">
        <v>6</v>
      </c>
      <c r="C609" s="27">
        <v>21</v>
      </c>
      <c r="D609" s="27">
        <v>2013</v>
      </c>
      <c r="E609" s="27">
        <v>2013</v>
      </c>
      <c r="F609" s="27">
        <v>4</v>
      </c>
      <c r="G609" s="27">
        <v>21</v>
      </c>
      <c r="H609" s="27">
        <v>0</v>
      </c>
      <c r="I609" s="27">
        <v>0</v>
      </c>
      <c r="J609" s="27">
        <v>0</v>
      </c>
      <c r="K609" s="27">
        <v>0.98</v>
      </c>
      <c r="L609" s="27">
        <v>3750</v>
      </c>
      <c r="M609" s="27">
        <v>3330</v>
      </c>
      <c r="N609" s="27">
        <v>150</v>
      </c>
      <c r="O609" s="27">
        <v>90</v>
      </c>
      <c r="P609" s="27" t="s">
        <v>13</v>
      </c>
      <c r="Q609" s="27">
        <v>1993</v>
      </c>
      <c r="R609" s="27">
        <v>1</v>
      </c>
      <c r="S609" s="27">
        <v>0</v>
      </c>
      <c r="T609" s="27">
        <v>-1.8E-3</v>
      </c>
      <c r="U609" s="27">
        <v>-1.2E-2</v>
      </c>
      <c r="V609" s="27">
        <v>0</v>
      </c>
      <c r="W609" s="27">
        <v>0</v>
      </c>
      <c r="X609" s="27" t="s">
        <v>31</v>
      </c>
    </row>
    <row r="610" spans="1:24">
      <c r="A610" s="27">
        <v>1</v>
      </c>
      <c r="B610" s="27">
        <v>6</v>
      </c>
      <c r="C610" s="27">
        <v>21</v>
      </c>
      <c r="D610" s="27">
        <v>2013</v>
      </c>
      <c r="E610" s="27">
        <v>2013</v>
      </c>
      <c r="F610" s="27">
        <v>5</v>
      </c>
      <c r="G610" s="27">
        <v>21</v>
      </c>
      <c r="H610" s="27">
        <v>0</v>
      </c>
      <c r="I610" s="27">
        <v>0</v>
      </c>
      <c r="J610" s="27">
        <v>0</v>
      </c>
      <c r="K610" s="27">
        <v>0.98</v>
      </c>
      <c r="L610" s="27">
        <v>3750</v>
      </c>
      <c r="M610" s="27">
        <v>3330</v>
      </c>
      <c r="N610" s="27">
        <v>150</v>
      </c>
      <c r="O610" s="27">
        <v>90</v>
      </c>
      <c r="P610" s="27" t="s">
        <v>13</v>
      </c>
      <c r="Q610" s="27">
        <v>1993</v>
      </c>
      <c r="R610" s="27">
        <v>1</v>
      </c>
      <c r="S610" s="27">
        <v>0</v>
      </c>
      <c r="T610" s="27">
        <v>-1.8E-3</v>
      </c>
      <c r="U610" s="27">
        <v>-1.2E-2</v>
      </c>
      <c r="V610" s="27">
        <v>0</v>
      </c>
      <c r="W610" s="27">
        <v>0</v>
      </c>
      <c r="X610" s="27" t="s">
        <v>31</v>
      </c>
    </row>
    <row r="611" spans="1:24">
      <c r="A611" s="27">
        <v>1</v>
      </c>
      <c r="B611" s="27">
        <v>6</v>
      </c>
      <c r="C611" s="27">
        <v>21</v>
      </c>
      <c r="D611" s="27">
        <v>2013</v>
      </c>
      <c r="E611" s="27">
        <v>2013</v>
      </c>
      <c r="F611" s="27">
        <v>6</v>
      </c>
      <c r="G611" s="27">
        <v>21</v>
      </c>
      <c r="H611" s="27">
        <v>0</v>
      </c>
      <c r="I611" s="27">
        <v>0</v>
      </c>
      <c r="J611" s="27">
        <v>0</v>
      </c>
      <c r="K611" s="27">
        <v>0.98</v>
      </c>
      <c r="L611" s="27">
        <v>3750</v>
      </c>
      <c r="M611" s="27">
        <v>3330</v>
      </c>
      <c r="N611" s="27">
        <v>150</v>
      </c>
      <c r="O611" s="27">
        <v>90</v>
      </c>
      <c r="P611" s="27" t="s">
        <v>13</v>
      </c>
      <c r="Q611" s="27">
        <v>1993</v>
      </c>
      <c r="R611" s="27">
        <v>1</v>
      </c>
      <c r="S611" s="27">
        <v>0</v>
      </c>
      <c r="T611" s="27">
        <v>-1.8E-3</v>
      </c>
      <c r="U611" s="27">
        <v>-1.2E-2</v>
      </c>
      <c r="V611" s="27">
        <v>0</v>
      </c>
      <c r="W611" s="27">
        <v>0</v>
      </c>
      <c r="X611" s="27" t="s">
        <v>31</v>
      </c>
    </row>
    <row r="612" spans="1:24">
      <c r="A612" s="27">
        <v>1</v>
      </c>
      <c r="B612" s="27">
        <v>6</v>
      </c>
      <c r="C612" s="27">
        <v>21</v>
      </c>
      <c r="D612" s="27">
        <v>2013</v>
      </c>
      <c r="E612" s="27">
        <v>2013</v>
      </c>
      <c r="F612" s="27">
        <v>7</v>
      </c>
      <c r="G612" s="27">
        <v>21</v>
      </c>
      <c r="H612" s="27">
        <v>0</v>
      </c>
      <c r="I612" s="27">
        <v>0</v>
      </c>
      <c r="J612" s="27">
        <v>0</v>
      </c>
      <c r="K612" s="27">
        <v>0.98</v>
      </c>
      <c r="L612" s="27">
        <v>3750</v>
      </c>
      <c r="M612" s="27">
        <v>3330</v>
      </c>
      <c r="N612" s="27">
        <v>150</v>
      </c>
      <c r="O612" s="27">
        <v>90</v>
      </c>
      <c r="P612" s="27" t="s">
        <v>13</v>
      </c>
      <c r="Q612" s="27">
        <v>1993</v>
      </c>
      <c r="R612" s="27">
        <v>1</v>
      </c>
      <c r="S612" s="27">
        <v>0</v>
      </c>
      <c r="T612" s="27">
        <v>-1.8E-3</v>
      </c>
      <c r="U612" s="27">
        <v>-1.2E-2</v>
      </c>
      <c r="V612" s="27">
        <v>0</v>
      </c>
      <c r="W612" s="27">
        <v>0</v>
      </c>
      <c r="X612" s="27" t="s">
        <v>31</v>
      </c>
    </row>
    <row r="613" spans="1:24">
      <c r="A613" s="27">
        <v>1</v>
      </c>
      <c r="B613" s="27">
        <v>6</v>
      </c>
      <c r="C613" s="27">
        <v>21</v>
      </c>
      <c r="D613" s="27">
        <v>2013</v>
      </c>
      <c r="E613" s="27">
        <v>2013</v>
      </c>
      <c r="F613" s="27">
        <v>8</v>
      </c>
      <c r="G613" s="27">
        <v>21</v>
      </c>
      <c r="H613" s="27">
        <v>0</v>
      </c>
      <c r="I613" s="27">
        <v>0</v>
      </c>
      <c r="J613" s="27">
        <v>0</v>
      </c>
      <c r="K613" s="27">
        <v>0.98</v>
      </c>
      <c r="L613" s="27">
        <v>3750</v>
      </c>
      <c r="M613" s="27">
        <v>3330</v>
      </c>
      <c r="N613" s="27">
        <v>150</v>
      </c>
      <c r="O613" s="27">
        <v>90</v>
      </c>
      <c r="P613" s="27" t="s">
        <v>13</v>
      </c>
      <c r="Q613" s="27">
        <v>1993</v>
      </c>
      <c r="R613" s="27">
        <v>1</v>
      </c>
      <c r="S613" s="27">
        <v>0</v>
      </c>
      <c r="T613" s="27">
        <v>-1.8E-3</v>
      </c>
      <c r="U613" s="27">
        <v>-1.2E-2</v>
      </c>
      <c r="V613" s="27">
        <v>0</v>
      </c>
      <c r="W613" s="27">
        <v>0</v>
      </c>
      <c r="X613" s="27" t="s">
        <v>31</v>
      </c>
    </row>
    <row r="614" spans="1:24">
      <c r="A614" s="27">
        <v>1</v>
      </c>
      <c r="B614" s="27">
        <v>6</v>
      </c>
      <c r="C614" s="27">
        <v>21</v>
      </c>
      <c r="D614" s="27">
        <v>2013</v>
      </c>
      <c r="E614" s="27">
        <v>2013</v>
      </c>
      <c r="F614" s="27">
        <v>9</v>
      </c>
      <c r="G614" s="27">
        <v>21</v>
      </c>
      <c r="H614" s="27">
        <v>0</v>
      </c>
      <c r="I614" s="27">
        <v>0</v>
      </c>
      <c r="J614" s="27">
        <v>0</v>
      </c>
      <c r="K614" s="27">
        <v>0.98</v>
      </c>
      <c r="L614" s="27">
        <v>3750</v>
      </c>
      <c r="M614" s="27">
        <v>3330</v>
      </c>
      <c r="N614" s="27">
        <v>150</v>
      </c>
      <c r="O614" s="27">
        <v>90</v>
      </c>
      <c r="P614" s="27" t="s">
        <v>13</v>
      </c>
      <c r="Q614" s="27">
        <v>1993</v>
      </c>
      <c r="R614" s="27">
        <v>1</v>
      </c>
      <c r="S614" s="27">
        <v>0</v>
      </c>
      <c r="T614" s="27">
        <v>-1.8E-3</v>
      </c>
      <c r="U614" s="27">
        <v>-1.2E-2</v>
      </c>
      <c r="V614" s="27">
        <v>0</v>
      </c>
      <c r="W614" s="27">
        <v>0</v>
      </c>
      <c r="X614" s="27" t="s">
        <v>31</v>
      </c>
    </row>
    <row r="615" spans="1:24">
      <c r="A615" s="27">
        <v>1</v>
      </c>
      <c r="B615" s="27">
        <v>6</v>
      </c>
      <c r="C615" s="27">
        <v>21</v>
      </c>
      <c r="D615" s="27">
        <v>2014</v>
      </c>
      <c r="E615" s="27">
        <v>2019</v>
      </c>
      <c r="F615" s="27">
        <v>1</v>
      </c>
      <c r="G615" s="27">
        <v>21</v>
      </c>
      <c r="H615" s="27">
        <v>0</v>
      </c>
      <c r="I615" s="27">
        <v>0</v>
      </c>
      <c r="J615" s="27">
        <v>0</v>
      </c>
      <c r="K615" s="27">
        <v>0.98</v>
      </c>
      <c r="L615" s="27">
        <v>3750</v>
      </c>
      <c r="M615" s="27">
        <v>3330</v>
      </c>
      <c r="N615" s="27">
        <v>0</v>
      </c>
      <c r="O615" s="27">
        <v>0</v>
      </c>
      <c r="P615" s="27" t="s">
        <v>13</v>
      </c>
      <c r="Q615" s="27">
        <v>1993</v>
      </c>
      <c r="R615" s="27">
        <v>1</v>
      </c>
      <c r="S615" s="27">
        <v>0</v>
      </c>
      <c r="T615" s="27">
        <v>-1.8E-3</v>
      </c>
      <c r="U615" s="27">
        <v>-1.2E-2</v>
      </c>
      <c r="V615" s="27">
        <v>0</v>
      </c>
      <c r="W615" s="27">
        <v>0</v>
      </c>
      <c r="X615" s="27" t="s">
        <v>31</v>
      </c>
    </row>
    <row r="616" spans="1:24">
      <c r="A616" s="27">
        <v>1</v>
      </c>
      <c r="B616" s="27">
        <v>6</v>
      </c>
      <c r="C616" s="27">
        <v>21</v>
      </c>
      <c r="D616" s="27">
        <v>2014</v>
      </c>
      <c r="E616" s="27">
        <v>2019</v>
      </c>
      <c r="F616" s="27">
        <v>2</v>
      </c>
      <c r="G616" s="27">
        <v>21</v>
      </c>
      <c r="H616" s="27">
        <v>0</v>
      </c>
      <c r="I616" s="27">
        <v>0</v>
      </c>
      <c r="J616" s="27">
        <v>0</v>
      </c>
      <c r="K616" s="27">
        <v>0.98</v>
      </c>
      <c r="L616" s="27">
        <v>3750</v>
      </c>
      <c r="M616" s="27">
        <v>3330</v>
      </c>
      <c r="N616" s="27">
        <v>0</v>
      </c>
      <c r="O616" s="27">
        <v>0</v>
      </c>
      <c r="P616" s="27" t="s">
        <v>13</v>
      </c>
      <c r="Q616" s="27">
        <v>1993</v>
      </c>
      <c r="R616" s="27">
        <v>1</v>
      </c>
      <c r="S616" s="27">
        <v>0</v>
      </c>
      <c r="T616" s="27">
        <v>-1.8E-3</v>
      </c>
      <c r="U616" s="27">
        <v>-1.2E-2</v>
      </c>
      <c r="V616" s="27">
        <v>0</v>
      </c>
      <c r="W616" s="27">
        <v>0</v>
      </c>
      <c r="X616" s="27" t="s">
        <v>31</v>
      </c>
    </row>
    <row r="617" spans="1:24">
      <c r="A617" s="27">
        <v>1</v>
      </c>
      <c r="B617" s="27">
        <v>6</v>
      </c>
      <c r="C617" s="27">
        <v>21</v>
      </c>
      <c r="D617" s="27">
        <v>2014</v>
      </c>
      <c r="E617" s="27">
        <v>2019</v>
      </c>
      <c r="F617" s="27">
        <v>3</v>
      </c>
      <c r="G617" s="27">
        <v>21</v>
      </c>
      <c r="H617" s="27">
        <v>0</v>
      </c>
      <c r="I617" s="27">
        <v>0</v>
      </c>
      <c r="J617" s="27">
        <v>0</v>
      </c>
      <c r="K617" s="27">
        <v>0.98</v>
      </c>
      <c r="L617" s="27">
        <v>3750</v>
      </c>
      <c r="M617" s="27">
        <v>3330</v>
      </c>
      <c r="N617" s="27">
        <v>0</v>
      </c>
      <c r="O617" s="27">
        <v>0</v>
      </c>
      <c r="P617" s="27" t="s">
        <v>13</v>
      </c>
      <c r="Q617" s="27">
        <v>1993</v>
      </c>
      <c r="R617" s="27">
        <v>1</v>
      </c>
      <c r="S617" s="27">
        <v>0</v>
      </c>
      <c r="T617" s="27">
        <v>-1.8E-3</v>
      </c>
      <c r="U617" s="27">
        <v>-1.2E-2</v>
      </c>
      <c r="V617" s="27">
        <v>0</v>
      </c>
      <c r="W617" s="27">
        <v>0</v>
      </c>
      <c r="X617" s="27" t="s">
        <v>31</v>
      </c>
    </row>
    <row r="618" spans="1:24">
      <c r="A618" s="27">
        <v>1</v>
      </c>
      <c r="B618" s="27">
        <v>6</v>
      </c>
      <c r="C618" s="27">
        <v>21</v>
      </c>
      <c r="D618" s="27">
        <v>2014</v>
      </c>
      <c r="E618" s="27">
        <v>2019</v>
      </c>
      <c r="F618" s="27">
        <v>4</v>
      </c>
      <c r="G618" s="27">
        <v>21</v>
      </c>
      <c r="H618" s="27">
        <v>0</v>
      </c>
      <c r="I618" s="27">
        <v>0</v>
      </c>
      <c r="J618" s="27">
        <v>0</v>
      </c>
      <c r="K618" s="27">
        <v>0.98</v>
      </c>
      <c r="L618" s="27">
        <v>3750</v>
      </c>
      <c r="M618" s="27">
        <v>3330</v>
      </c>
      <c r="N618" s="27">
        <v>0</v>
      </c>
      <c r="O618" s="27">
        <v>0</v>
      </c>
      <c r="P618" s="27" t="s">
        <v>13</v>
      </c>
      <c r="Q618" s="27">
        <v>1993</v>
      </c>
      <c r="R618" s="27">
        <v>1</v>
      </c>
      <c r="S618" s="27">
        <v>0</v>
      </c>
      <c r="T618" s="27">
        <v>-1.8E-3</v>
      </c>
      <c r="U618" s="27">
        <v>-1.2E-2</v>
      </c>
      <c r="V618" s="27">
        <v>0</v>
      </c>
      <c r="W618" s="27">
        <v>0</v>
      </c>
      <c r="X618" s="27" t="s">
        <v>31</v>
      </c>
    </row>
    <row r="619" spans="1:24">
      <c r="A619" s="27">
        <v>1</v>
      </c>
      <c r="B619" s="27">
        <v>6</v>
      </c>
      <c r="C619" s="27">
        <v>21</v>
      </c>
      <c r="D619" s="27">
        <v>2014</v>
      </c>
      <c r="E619" s="27">
        <v>2019</v>
      </c>
      <c r="F619" s="27">
        <v>5</v>
      </c>
      <c r="G619" s="27">
        <v>21</v>
      </c>
      <c r="H619" s="27">
        <v>0</v>
      </c>
      <c r="I619" s="27">
        <v>0</v>
      </c>
      <c r="J619" s="27">
        <v>0</v>
      </c>
      <c r="K619" s="27">
        <v>0.98</v>
      </c>
      <c r="L619" s="27">
        <v>3750</v>
      </c>
      <c r="M619" s="27">
        <v>3330</v>
      </c>
      <c r="N619" s="27">
        <v>0</v>
      </c>
      <c r="O619" s="27">
        <v>0</v>
      </c>
      <c r="P619" s="27" t="s">
        <v>13</v>
      </c>
      <c r="Q619" s="27">
        <v>1993</v>
      </c>
      <c r="R619" s="27">
        <v>1</v>
      </c>
      <c r="S619" s="27">
        <v>0</v>
      </c>
      <c r="T619" s="27">
        <v>-1.8E-3</v>
      </c>
      <c r="U619" s="27">
        <v>-1.2E-2</v>
      </c>
      <c r="V619" s="27">
        <v>0</v>
      </c>
      <c r="W619" s="27">
        <v>0</v>
      </c>
      <c r="X619" s="27" t="s">
        <v>31</v>
      </c>
    </row>
    <row r="620" spans="1:24">
      <c r="A620" s="27">
        <v>1</v>
      </c>
      <c r="B620" s="27">
        <v>6</v>
      </c>
      <c r="C620" s="27">
        <v>21</v>
      </c>
      <c r="D620" s="27">
        <v>2014</v>
      </c>
      <c r="E620" s="27">
        <v>2019</v>
      </c>
      <c r="F620" s="27">
        <v>6</v>
      </c>
      <c r="G620" s="27">
        <v>21</v>
      </c>
      <c r="H620" s="27">
        <v>0</v>
      </c>
      <c r="I620" s="27">
        <v>0</v>
      </c>
      <c r="J620" s="27">
        <v>0</v>
      </c>
      <c r="K620" s="27">
        <v>0.98</v>
      </c>
      <c r="L620" s="27">
        <v>3750</v>
      </c>
      <c r="M620" s="27">
        <v>3330</v>
      </c>
      <c r="N620" s="27">
        <v>0</v>
      </c>
      <c r="O620" s="27">
        <v>0</v>
      </c>
      <c r="P620" s="27" t="s">
        <v>13</v>
      </c>
      <c r="Q620" s="27">
        <v>1993</v>
      </c>
      <c r="R620" s="27">
        <v>1</v>
      </c>
      <c r="S620" s="27">
        <v>0</v>
      </c>
      <c r="T620" s="27">
        <v>-1.8E-3</v>
      </c>
      <c r="U620" s="27">
        <v>-1.2E-2</v>
      </c>
      <c r="V620" s="27">
        <v>0</v>
      </c>
      <c r="W620" s="27">
        <v>0</v>
      </c>
      <c r="X620" s="27" t="s">
        <v>31</v>
      </c>
    </row>
    <row r="621" spans="1:24">
      <c r="A621" s="27">
        <v>1</v>
      </c>
      <c r="B621" s="27">
        <v>6</v>
      </c>
      <c r="C621" s="27">
        <v>21</v>
      </c>
      <c r="D621" s="27">
        <v>2014</v>
      </c>
      <c r="E621" s="27">
        <v>2019</v>
      </c>
      <c r="F621" s="27">
        <v>7</v>
      </c>
      <c r="G621" s="27">
        <v>21</v>
      </c>
      <c r="H621" s="27">
        <v>0</v>
      </c>
      <c r="I621" s="27">
        <v>0</v>
      </c>
      <c r="J621" s="27">
        <v>0</v>
      </c>
      <c r="K621" s="27">
        <v>0.98</v>
      </c>
      <c r="L621" s="27">
        <v>3750</v>
      </c>
      <c r="M621" s="27">
        <v>3330</v>
      </c>
      <c r="N621" s="27">
        <v>0</v>
      </c>
      <c r="O621" s="27">
        <v>0</v>
      </c>
      <c r="P621" s="27" t="s">
        <v>13</v>
      </c>
      <c r="Q621" s="27">
        <v>1993</v>
      </c>
      <c r="R621" s="27">
        <v>1</v>
      </c>
      <c r="S621" s="27">
        <v>0</v>
      </c>
      <c r="T621" s="27">
        <v>-1.8E-3</v>
      </c>
      <c r="U621" s="27">
        <v>-1.2E-2</v>
      </c>
      <c r="V621" s="27">
        <v>0</v>
      </c>
      <c r="W621" s="27">
        <v>0</v>
      </c>
      <c r="X621" s="27" t="s">
        <v>31</v>
      </c>
    </row>
    <row r="622" spans="1:24">
      <c r="A622" s="27">
        <v>1</v>
      </c>
      <c r="B622" s="27">
        <v>6</v>
      </c>
      <c r="C622" s="27">
        <v>21</v>
      </c>
      <c r="D622" s="27">
        <v>2014</v>
      </c>
      <c r="E622" s="27">
        <v>2019</v>
      </c>
      <c r="F622" s="27">
        <v>8</v>
      </c>
      <c r="G622" s="27">
        <v>21</v>
      </c>
      <c r="H622" s="27">
        <v>0</v>
      </c>
      <c r="I622" s="27">
        <v>0</v>
      </c>
      <c r="J622" s="27">
        <v>0</v>
      </c>
      <c r="K622" s="27">
        <v>0.98</v>
      </c>
      <c r="L622" s="27">
        <v>3750</v>
      </c>
      <c r="M622" s="27">
        <v>3330</v>
      </c>
      <c r="N622" s="27">
        <v>0</v>
      </c>
      <c r="O622" s="27">
        <v>0</v>
      </c>
      <c r="P622" s="27" t="s">
        <v>13</v>
      </c>
      <c r="Q622" s="27">
        <v>1993</v>
      </c>
      <c r="R622" s="27">
        <v>1</v>
      </c>
      <c r="S622" s="27">
        <v>0</v>
      </c>
      <c r="T622" s="27">
        <v>-1.8E-3</v>
      </c>
      <c r="U622" s="27">
        <v>-1.2E-2</v>
      </c>
      <c r="V622" s="27">
        <v>0</v>
      </c>
      <c r="W622" s="27">
        <v>0</v>
      </c>
      <c r="X622" s="27" t="s">
        <v>31</v>
      </c>
    </row>
    <row r="623" spans="1:24">
      <c r="A623" s="27">
        <v>1</v>
      </c>
      <c r="B623" s="27">
        <v>6</v>
      </c>
      <c r="C623" s="27">
        <v>21</v>
      </c>
      <c r="D623" s="27">
        <v>2014</v>
      </c>
      <c r="E623" s="27">
        <v>2019</v>
      </c>
      <c r="F623" s="27">
        <v>9</v>
      </c>
      <c r="G623" s="27">
        <v>21</v>
      </c>
      <c r="H623" s="27">
        <v>0</v>
      </c>
      <c r="I623" s="27">
        <v>0</v>
      </c>
      <c r="J623" s="27">
        <v>0</v>
      </c>
      <c r="K623" s="27">
        <v>0.98</v>
      </c>
      <c r="L623" s="27">
        <v>3750</v>
      </c>
      <c r="M623" s="27">
        <v>3330</v>
      </c>
      <c r="N623" s="27">
        <v>0</v>
      </c>
      <c r="O623" s="27">
        <v>0</v>
      </c>
      <c r="P623" s="27" t="s">
        <v>13</v>
      </c>
      <c r="Q623" s="27">
        <v>1993</v>
      </c>
      <c r="R623" s="27">
        <v>1</v>
      </c>
      <c r="S623" s="27">
        <v>0</v>
      </c>
      <c r="T623" s="27">
        <v>-1.8E-3</v>
      </c>
      <c r="U623" s="27">
        <v>-1.2E-2</v>
      </c>
      <c r="V623" s="27">
        <v>0</v>
      </c>
      <c r="W623" s="27">
        <v>0</v>
      </c>
      <c r="X623" s="27" t="s">
        <v>31</v>
      </c>
    </row>
    <row r="624" spans="1:24">
      <c r="A624" s="27">
        <v>1</v>
      </c>
      <c r="B624" s="27">
        <v>6</v>
      </c>
      <c r="C624" s="27">
        <v>21</v>
      </c>
      <c r="D624" s="27">
        <v>2020</v>
      </c>
      <c r="E624" s="27">
        <v>2029</v>
      </c>
      <c r="F624" s="27">
        <v>1</v>
      </c>
      <c r="G624" s="27">
        <v>21</v>
      </c>
      <c r="H624" s="27">
        <v>0</v>
      </c>
      <c r="I624" s="27">
        <v>0</v>
      </c>
      <c r="J624" s="27">
        <v>0</v>
      </c>
      <c r="K624" s="27">
        <v>0.98</v>
      </c>
      <c r="L624" s="27">
        <v>3750</v>
      </c>
      <c r="M624" s="27">
        <v>3330</v>
      </c>
      <c r="N624" s="27">
        <v>0</v>
      </c>
      <c r="O624" s="27">
        <v>0</v>
      </c>
      <c r="P624" s="27" t="s">
        <v>13</v>
      </c>
      <c r="Q624" s="27">
        <v>1993</v>
      </c>
      <c r="R624" s="27">
        <v>1</v>
      </c>
      <c r="S624" s="27">
        <v>0</v>
      </c>
      <c r="T624" s="27">
        <v>-1.8E-3</v>
      </c>
      <c r="U624" s="27">
        <v>-1.2E-2</v>
      </c>
      <c r="V624" s="27">
        <v>0</v>
      </c>
      <c r="W624" s="27">
        <v>0</v>
      </c>
      <c r="X624" s="27" t="s">
        <v>31</v>
      </c>
    </row>
    <row r="625" spans="1:24">
      <c r="A625" s="27">
        <v>1</v>
      </c>
      <c r="B625" s="27">
        <v>6</v>
      </c>
      <c r="C625" s="27">
        <v>21</v>
      </c>
      <c r="D625" s="27">
        <v>2020</v>
      </c>
      <c r="E625" s="27">
        <v>2029</v>
      </c>
      <c r="F625" s="27">
        <v>2</v>
      </c>
      <c r="G625" s="27">
        <v>21</v>
      </c>
      <c r="H625" s="27">
        <v>0</v>
      </c>
      <c r="I625" s="27">
        <v>0</v>
      </c>
      <c r="J625" s="27">
        <v>0</v>
      </c>
      <c r="K625" s="27">
        <v>0.98</v>
      </c>
      <c r="L625" s="27">
        <v>3750</v>
      </c>
      <c r="M625" s="27">
        <v>3330</v>
      </c>
      <c r="N625" s="27">
        <v>0</v>
      </c>
      <c r="O625" s="27">
        <v>0</v>
      </c>
      <c r="P625" s="27" t="s">
        <v>13</v>
      </c>
      <c r="Q625" s="27">
        <v>1993</v>
      </c>
      <c r="R625" s="27">
        <v>1</v>
      </c>
      <c r="S625" s="27">
        <v>0</v>
      </c>
      <c r="T625" s="27">
        <v>-1.8E-3</v>
      </c>
      <c r="U625" s="27">
        <v>-1.2E-2</v>
      </c>
      <c r="V625" s="27">
        <v>0</v>
      </c>
      <c r="W625" s="27">
        <v>0</v>
      </c>
      <c r="X625" s="27" t="s">
        <v>31</v>
      </c>
    </row>
    <row r="626" spans="1:24">
      <c r="A626" s="27">
        <v>1</v>
      </c>
      <c r="B626" s="27">
        <v>6</v>
      </c>
      <c r="C626" s="27">
        <v>21</v>
      </c>
      <c r="D626" s="27">
        <v>2020</v>
      </c>
      <c r="E626" s="27">
        <v>2029</v>
      </c>
      <c r="F626" s="27">
        <v>3</v>
      </c>
      <c r="G626" s="27">
        <v>21</v>
      </c>
      <c r="H626" s="27">
        <v>0</v>
      </c>
      <c r="I626" s="27">
        <v>0</v>
      </c>
      <c r="J626" s="27">
        <v>0</v>
      </c>
      <c r="K626" s="27">
        <v>0.98</v>
      </c>
      <c r="L626" s="27">
        <v>3750</v>
      </c>
      <c r="M626" s="27">
        <v>3330</v>
      </c>
      <c r="N626" s="27">
        <v>0</v>
      </c>
      <c r="O626" s="27">
        <v>0</v>
      </c>
      <c r="P626" s="27" t="s">
        <v>13</v>
      </c>
      <c r="Q626" s="27">
        <v>1993</v>
      </c>
      <c r="R626" s="27">
        <v>1</v>
      </c>
      <c r="S626" s="27">
        <v>0</v>
      </c>
      <c r="T626" s="27">
        <v>-1.8E-3</v>
      </c>
      <c r="U626" s="27">
        <v>-1.2E-2</v>
      </c>
      <c r="V626" s="27">
        <v>0</v>
      </c>
      <c r="W626" s="27">
        <v>0</v>
      </c>
      <c r="X626" s="27" t="s">
        <v>31</v>
      </c>
    </row>
    <row r="627" spans="1:24">
      <c r="A627" s="27">
        <v>1</v>
      </c>
      <c r="B627" s="27">
        <v>6</v>
      </c>
      <c r="C627" s="27">
        <v>21</v>
      </c>
      <c r="D627" s="27">
        <v>2020</v>
      </c>
      <c r="E627" s="27">
        <v>2029</v>
      </c>
      <c r="F627" s="27">
        <v>4</v>
      </c>
      <c r="G627" s="27">
        <v>21</v>
      </c>
      <c r="H627" s="27">
        <v>0</v>
      </c>
      <c r="I627" s="27">
        <v>0</v>
      </c>
      <c r="J627" s="27">
        <v>0</v>
      </c>
      <c r="K627" s="27">
        <v>0.98</v>
      </c>
      <c r="L627" s="27">
        <v>3750</v>
      </c>
      <c r="M627" s="27">
        <v>3330</v>
      </c>
      <c r="N627" s="27">
        <v>0</v>
      </c>
      <c r="O627" s="27">
        <v>0</v>
      </c>
      <c r="P627" s="27" t="s">
        <v>13</v>
      </c>
      <c r="Q627" s="27">
        <v>1993</v>
      </c>
      <c r="R627" s="27">
        <v>1</v>
      </c>
      <c r="S627" s="27">
        <v>0</v>
      </c>
      <c r="T627" s="27">
        <v>-1.8E-3</v>
      </c>
      <c r="U627" s="27">
        <v>-1.2E-2</v>
      </c>
      <c r="V627" s="27">
        <v>0</v>
      </c>
      <c r="W627" s="27">
        <v>0</v>
      </c>
      <c r="X627" s="27" t="s">
        <v>31</v>
      </c>
    </row>
    <row r="628" spans="1:24">
      <c r="A628" s="27">
        <v>1</v>
      </c>
      <c r="B628" s="27">
        <v>6</v>
      </c>
      <c r="C628" s="27">
        <v>21</v>
      </c>
      <c r="D628" s="27">
        <v>2020</v>
      </c>
      <c r="E628" s="27">
        <v>2029</v>
      </c>
      <c r="F628" s="27">
        <v>5</v>
      </c>
      <c r="G628" s="27">
        <v>21</v>
      </c>
      <c r="H628" s="27">
        <v>0</v>
      </c>
      <c r="I628" s="27">
        <v>0</v>
      </c>
      <c r="J628" s="27">
        <v>0</v>
      </c>
      <c r="K628" s="27">
        <v>0.98</v>
      </c>
      <c r="L628" s="27">
        <v>3750</v>
      </c>
      <c r="M628" s="27">
        <v>3330</v>
      </c>
      <c r="N628" s="27">
        <v>0</v>
      </c>
      <c r="O628" s="27">
        <v>0</v>
      </c>
      <c r="P628" s="27" t="s">
        <v>13</v>
      </c>
      <c r="Q628" s="27">
        <v>1993</v>
      </c>
      <c r="R628" s="27">
        <v>1</v>
      </c>
      <c r="S628" s="27">
        <v>0</v>
      </c>
      <c r="T628" s="27">
        <v>-1.8E-3</v>
      </c>
      <c r="U628" s="27">
        <v>-1.2E-2</v>
      </c>
      <c r="V628" s="27">
        <v>0</v>
      </c>
      <c r="W628" s="27">
        <v>0</v>
      </c>
      <c r="X628" s="27" t="s">
        <v>31</v>
      </c>
    </row>
    <row r="629" spans="1:24">
      <c r="A629" s="27">
        <v>1</v>
      </c>
      <c r="B629" s="27">
        <v>6</v>
      </c>
      <c r="C629" s="27">
        <v>21</v>
      </c>
      <c r="D629" s="27">
        <v>2020</v>
      </c>
      <c r="E629" s="27">
        <v>2029</v>
      </c>
      <c r="F629" s="27">
        <v>6</v>
      </c>
      <c r="G629" s="27">
        <v>21</v>
      </c>
      <c r="H629" s="27">
        <v>0</v>
      </c>
      <c r="I629" s="27">
        <v>0</v>
      </c>
      <c r="J629" s="27">
        <v>0</v>
      </c>
      <c r="K629" s="27">
        <v>0.98</v>
      </c>
      <c r="L629" s="27">
        <v>3750</v>
      </c>
      <c r="M629" s="27">
        <v>3330</v>
      </c>
      <c r="N629" s="27">
        <v>0</v>
      </c>
      <c r="O629" s="27">
        <v>0</v>
      </c>
      <c r="P629" s="27" t="s">
        <v>13</v>
      </c>
      <c r="Q629" s="27">
        <v>1993</v>
      </c>
      <c r="R629" s="27">
        <v>1</v>
      </c>
      <c r="S629" s="27">
        <v>0</v>
      </c>
      <c r="T629" s="27">
        <v>-1.8E-3</v>
      </c>
      <c r="U629" s="27">
        <v>-1.2E-2</v>
      </c>
      <c r="V629" s="27">
        <v>0</v>
      </c>
      <c r="W629" s="27">
        <v>0</v>
      </c>
      <c r="X629" s="27" t="s">
        <v>31</v>
      </c>
    </row>
    <row r="630" spans="1:24">
      <c r="A630" s="27">
        <v>1</v>
      </c>
      <c r="B630" s="27">
        <v>6</v>
      </c>
      <c r="C630" s="27">
        <v>21</v>
      </c>
      <c r="D630" s="27">
        <v>2020</v>
      </c>
      <c r="E630" s="27">
        <v>2029</v>
      </c>
      <c r="F630" s="27">
        <v>7</v>
      </c>
      <c r="G630" s="27">
        <v>21</v>
      </c>
      <c r="H630" s="27">
        <v>0</v>
      </c>
      <c r="I630" s="27">
        <v>0</v>
      </c>
      <c r="J630" s="27">
        <v>0</v>
      </c>
      <c r="K630" s="27">
        <v>0.98</v>
      </c>
      <c r="L630" s="27">
        <v>3750</v>
      </c>
      <c r="M630" s="27">
        <v>3330</v>
      </c>
      <c r="N630" s="27">
        <v>0</v>
      </c>
      <c r="O630" s="27">
        <v>0</v>
      </c>
      <c r="P630" s="27" t="s">
        <v>13</v>
      </c>
      <c r="Q630" s="27">
        <v>1993</v>
      </c>
      <c r="R630" s="27">
        <v>1</v>
      </c>
      <c r="S630" s="27">
        <v>0</v>
      </c>
      <c r="T630" s="27">
        <v>-1.8E-3</v>
      </c>
      <c r="U630" s="27">
        <v>-1.2E-2</v>
      </c>
      <c r="V630" s="27">
        <v>0</v>
      </c>
      <c r="W630" s="27">
        <v>0</v>
      </c>
      <c r="X630" s="27" t="s">
        <v>31</v>
      </c>
    </row>
    <row r="631" spans="1:24">
      <c r="A631" s="27">
        <v>1</v>
      </c>
      <c r="B631" s="27">
        <v>6</v>
      </c>
      <c r="C631" s="27">
        <v>21</v>
      </c>
      <c r="D631" s="27">
        <v>2020</v>
      </c>
      <c r="E631" s="27">
        <v>2029</v>
      </c>
      <c r="F631" s="27">
        <v>8</v>
      </c>
      <c r="G631" s="27">
        <v>21</v>
      </c>
      <c r="H631" s="27">
        <v>0</v>
      </c>
      <c r="I631" s="27">
        <v>0</v>
      </c>
      <c r="J631" s="27">
        <v>0</v>
      </c>
      <c r="K631" s="27">
        <v>0.98</v>
      </c>
      <c r="L631" s="27">
        <v>3750</v>
      </c>
      <c r="M631" s="27">
        <v>3330</v>
      </c>
      <c r="N631" s="27">
        <v>0</v>
      </c>
      <c r="O631" s="27">
        <v>0</v>
      </c>
      <c r="P631" s="27" t="s">
        <v>13</v>
      </c>
      <c r="Q631" s="27">
        <v>1993</v>
      </c>
      <c r="R631" s="27">
        <v>1</v>
      </c>
      <c r="S631" s="27">
        <v>0</v>
      </c>
      <c r="T631" s="27">
        <v>-1.8E-3</v>
      </c>
      <c r="U631" s="27">
        <v>-1.2E-2</v>
      </c>
      <c r="V631" s="27">
        <v>0</v>
      </c>
      <c r="W631" s="27">
        <v>0</v>
      </c>
      <c r="X631" s="27" t="s">
        <v>31</v>
      </c>
    </row>
    <row r="632" spans="1:24">
      <c r="A632" s="27">
        <v>1</v>
      </c>
      <c r="B632" s="27">
        <v>6</v>
      </c>
      <c r="C632" s="27">
        <v>21</v>
      </c>
      <c r="D632" s="27">
        <v>2020</v>
      </c>
      <c r="E632" s="27">
        <v>2029</v>
      </c>
      <c r="F632" s="27">
        <v>9</v>
      </c>
      <c r="G632" s="27">
        <v>21</v>
      </c>
      <c r="H632" s="27">
        <v>0</v>
      </c>
      <c r="I632" s="27">
        <v>0</v>
      </c>
      <c r="J632" s="27">
        <v>0</v>
      </c>
      <c r="K632" s="27">
        <v>0.98</v>
      </c>
      <c r="L632" s="27">
        <v>3750</v>
      </c>
      <c r="M632" s="27">
        <v>3330</v>
      </c>
      <c r="N632" s="27">
        <v>0</v>
      </c>
      <c r="O632" s="27">
        <v>0</v>
      </c>
      <c r="P632" s="27" t="s">
        <v>13</v>
      </c>
      <c r="Q632" s="27">
        <v>1993</v>
      </c>
      <c r="R632" s="27">
        <v>1</v>
      </c>
      <c r="S632" s="27">
        <v>0</v>
      </c>
      <c r="T632" s="27">
        <v>-1.8E-3</v>
      </c>
      <c r="U632" s="27">
        <v>-1.2E-2</v>
      </c>
      <c r="V632" s="27">
        <v>0</v>
      </c>
      <c r="W632" s="27">
        <v>0</v>
      </c>
      <c r="X632" s="27" t="s">
        <v>31</v>
      </c>
    </row>
    <row r="633" spans="1:24">
      <c r="A633" s="27">
        <v>1</v>
      </c>
      <c r="B633" s="27">
        <v>6</v>
      </c>
      <c r="C633" s="27">
        <v>21</v>
      </c>
      <c r="D633" s="27">
        <v>2030</v>
      </c>
      <c r="E633" s="27">
        <v>2050</v>
      </c>
      <c r="F633" s="27">
        <v>1</v>
      </c>
      <c r="G633" s="27">
        <v>21</v>
      </c>
      <c r="H633" s="27">
        <v>0</v>
      </c>
      <c r="I633" s="27">
        <v>0</v>
      </c>
      <c r="J633" s="27">
        <v>0</v>
      </c>
      <c r="K633" s="27">
        <v>0.98</v>
      </c>
      <c r="L633" s="27">
        <v>3750</v>
      </c>
      <c r="M633" s="27">
        <v>3330</v>
      </c>
      <c r="N633" s="27">
        <v>0</v>
      </c>
      <c r="O633" s="27">
        <v>0</v>
      </c>
      <c r="P633" s="27" t="s">
        <v>13</v>
      </c>
      <c r="Q633" s="27">
        <v>1993</v>
      </c>
      <c r="R633" s="27">
        <v>1</v>
      </c>
      <c r="S633" s="27">
        <v>0</v>
      </c>
      <c r="T633" s="27">
        <v>-1.8E-3</v>
      </c>
      <c r="U633" s="27">
        <v>-1.2E-2</v>
      </c>
      <c r="V633" s="27">
        <v>0</v>
      </c>
      <c r="W633" s="27">
        <v>0</v>
      </c>
      <c r="X633" s="27" t="s">
        <v>31</v>
      </c>
    </row>
    <row r="634" spans="1:24">
      <c r="A634" s="27">
        <v>1</v>
      </c>
      <c r="B634" s="27">
        <v>6</v>
      </c>
      <c r="C634" s="27">
        <v>21</v>
      </c>
      <c r="D634" s="27">
        <v>2030</v>
      </c>
      <c r="E634" s="27">
        <v>2050</v>
      </c>
      <c r="F634" s="27">
        <v>2</v>
      </c>
      <c r="G634" s="27">
        <v>21</v>
      </c>
      <c r="H634" s="27">
        <v>0</v>
      </c>
      <c r="I634" s="27">
        <v>0</v>
      </c>
      <c r="J634" s="27">
        <v>0</v>
      </c>
      <c r="K634" s="27">
        <v>0.98</v>
      </c>
      <c r="L634" s="27">
        <v>3750</v>
      </c>
      <c r="M634" s="27">
        <v>3330</v>
      </c>
      <c r="N634" s="27">
        <v>0</v>
      </c>
      <c r="O634" s="27">
        <v>0</v>
      </c>
      <c r="P634" s="27" t="s">
        <v>13</v>
      </c>
      <c r="Q634" s="27">
        <v>1993</v>
      </c>
      <c r="R634" s="27">
        <v>1</v>
      </c>
      <c r="S634" s="27">
        <v>0</v>
      </c>
      <c r="T634" s="27">
        <v>-1.8E-3</v>
      </c>
      <c r="U634" s="27">
        <v>-1.2E-2</v>
      </c>
      <c r="V634" s="27">
        <v>0</v>
      </c>
      <c r="W634" s="27">
        <v>0</v>
      </c>
      <c r="X634" s="27" t="s">
        <v>31</v>
      </c>
    </row>
    <row r="635" spans="1:24">
      <c r="A635" s="27">
        <v>1</v>
      </c>
      <c r="B635" s="27">
        <v>6</v>
      </c>
      <c r="C635" s="27">
        <v>21</v>
      </c>
      <c r="D635" s="27">
        <v>2030</v>
      </c>
      <c r="E635" s="27">
        <v>2050</v>
      </c>
      <c r="F635" s="27">
        <v>3</v>
      </c>
      <c r="G635" s="27">
        <v>21</v>
      </c>
      <c r="H635" s="27">
        <v>0</v>
      </c>
      <c r="I635" s="27">
        <v>0</v>
      </c>
      <c r="J635" s="27">
        <v>0</v>
      </c>
      <c r="K635" s="27">
        <v>0.98</v>
      </c>
      <c r="L635" s="27">
        <v>3750</v>
      </c>
      <c r="M635" s="27">
        <v>3330</v>
      </c>
      <c r="N635" s="27">
        <v>0</v>
      </c>
      <c r="O635" s="27">
        <v>0</v>
      </c>
      <c r="P635" s="27" t="s">
        <v>13</v>
      </c>
      <c r="Q635" s="27">
        <v>1993</v>
      </c>
      <c r="R635" s="27">
        <v>1</v>
      </c>
      <c r="S635" s="27">
        <v>0</v>
      </c>
      <c r="T635" s="27">
        <v>-1.8E-3</v>
      </c>
      <c r="U635" s="27">
        <v>-1.2E-2</v>
      </c>
      <c r="V635" s="27">
        <v>0</v>
      </c>
      <c r="W635" s="27">
        <v>0</v>
      </c>
      <c r="X635" s="27" t="s">
        <v>31</v>
      </c>
    </row>
    <row r="636" spans="1:24">
      <c r="A636" s="27">
        <v>1</v>
      </c>
      <c r="B636" s="27">
        <v>6</v>
      </c>
      <c r="C636" s="27">
        <v>21</v>
      </c>
      <c r="D636" s="27">
        <v>2030</v>
      </c>
      <c r="E636" s="27">
        <v>2050</v>
      </c>
      <c r="F636" s="27">
        <v>4</v>
      </c>
      <c r="G636" s="27">
        <v>21</v>
      </c>
      <c r="H636" s="27">
        <v>0</v>
      </c>
      <c r="I636" s="27">
        <v>0</v>
      </c>
      <c r="J636" s="27">
        <v>0</v>
      </c>
      <c r="K636" s="27">
        <v>0.98</v>
      </c>
      <c r="L636" s="27">
        <v>3750</v>
      </c>
      <c r="M636" s="27">
        <v>3330</v>
      </c>
      <c r="N636" s="27">
        <v>0</v>
      </c>
      <c r="O636" s="27">
        <v>0</v>
      </c>
      <c r="P636" s="27" t="s">
        <v>13</v>
      </c>
      <c r="Q636" s="27">
        <v>1993</v>
      </c>
      <c r="R636" s="27">
        <v>1</v>
      </c>
      <c r="S636" s="27">
        <v>0</v>
      </c>
      <c r="T636" s="27">
        <v>-1.8E-3</v>
      </c>
      <c r="U636" s="27">
        <v>-1.2E-2</v>
      </c>
      <c r="V636" s="27">
        <v>0</v>
      </c>
      <c r="W636" s="27">
        <v>0</v>
      </c>
      <c r="X636" s="27" t="s">
        <v>31</v>
      </c>
    </row>
    <row r="637" spans="1:24">
      <c r="A637" s="27">
        <v>1</v>
      </c>
      <c r="B637" s="27">
        <v>6</v>
      </c>
      <c r="C637" s="27">
        <v>21</v>
      </c>
      <c r="D637" s="27">
        <v>2030</v>
      </c>
      <c r="E637" s="27">
        <v>2050</v>
      </c>
      <c r="F637" s="27">
        <v>5</v>
      </c>
      <c r="G637" s="27">
        <v>21</v>
      </c>
      <c r="H637" s="27">
        <v>0</v>
      </c>
      <c r="I637" s="27">
        <v>0</v>
      </c>
      <c r="J637" s="27">
        <v>0</v>
      </c>
      <c r="K637" s="27">
        <v>0.98</v>
      </c>
      <c r="L637" s="27">
        <v>3750</v>
      </c>
      <c r="M637" s="27">
        <v>3330</v>
      </c>
      <c r="N637" s="27">
        <v>0</v>
      </c>
      <c r="O637" s="27">
        <v>0</v>
      </c>
      <c r="P637" s="27" t="s">
        <v>13</v>
      </c>
      <c r="Q637" s="27">
        <v>1993</v>
      </c>
      <c r="R637" s="27">
        <v>1</v>
      </c>
      <c r="S637" s="27">
        <v>0</v>
      </c>
      <c r="T637" s="27">
        <v>-1.8E-3</v>
      </c>
      <c r="U637" s="27">
        <v>-1.2E-2</v>
      </c>
      <c r="V637" s="27">
        <v>0</v>
      </c>
      <c r="W637" s="27">
        <v>0</v>
      </c>
      <c r="X637" s="27" t="s">
        <v>31</v>
      </c>
    </row>
    <row r="638" spans="1:24">
      <c r="A638" s="27">
        <v>1</v>
      </c>
      <c r="B638" s="27">
        <v>6</v>
      </c>
      <c r="C638" s="27">
        <v>21</v>
      </c>
      <c r="D638" s="27">
        <v>2030</v>
      </c>
      <c r="E638" s="27">
        <v>2050</v>
      </c>
      <c r="F638" s="27">
        <v>6</v>
      </c>
      <c r="G638" s="27">
        <v>21</v>
      </c>
      <c r="H638" s="27">
        <v>0</v>
      </c>
      <c r="I638" s="27">
        <v>0</v>
      </c>
      <c r="J638" s="27">
        <v>0</v>
      </c>
      <c r="K638" s="27">
        <v>0.98</v>
      </c>
      <c r="L638" s="27">
        <v>3750</v>
      </c>
      <c r="M638" s="27">
        <v>3330</v>
      </c>
      <c r="N638" s="27">
        <v>0</v>
      </c>
      <c r="O638" s="27">
        <v>0</v>
      </c>
      <c r="P638" s="27" t="s">
        <v>13</v>
      </c>
      <c r="Q638" s="27">
        <v>1993</v>
      </c>
      <c r="R638" s="27">
        <v>1</v>
      </c>
      <c r="S638" s="27">
        <v>0</v>
      </c>
      <c r="T638" s="27">
        <v>-1.8E-3</v>
      </c>
      <c r="U638" s="27">
        <v>-1.2E-2</v>
      </c>
      <c r="V638" s="27">
        <v>0</v>
      </c>
      <c r="W638" s="27">
        <v>0</v>
      </c>
      <c r="X638" s="27" t="s">
        <v>31</v>
      </c>
    </row>
    <row r="639" spans="1:24">
      <c r="A639" s="27">
        <v>1</v>
      </c>
      <c r="B639" s="27">
        <v>6</v>
      </c>
      <c r="C639" s="27">
        <v>21</v>
      </c>
      <c r="D639" s="27">
        <v>2030</v>
      </c>
      <c r="E639" s="27">
        <v>2050</v>
      </c>
      <c r="F639" s="27">
        <v>7</v>
      </c>
      <c r="G639" s="27">
        <v>21</v>
      </c>
      <c r="H639" s="27">
        <v>0</v>
      </c>
      <c r="I639" s="27">
        <v>0</v>
      </c>
      <c r="J639" s="27">
        <v>0</v>
      </c>
      <c r="K639" s="27">
        <v>0.98</v>
      </c>
      <c r="L639" s="27">
        <v>3750</v>
      </c>
      <c r="M639" s="27">
        <v>3330</v>
      </c>
      <c r="N639" s="27">
        <v>0</v>
      </c>
      <c r="O639" s="27">
        <v>0</v>
      </c>
      <c r="P639" s="27" t="s">
        <v>13</v>
      </c>
      <c r="Q639" s="27">
        <v>1993</v>
      </c>
      <c r="R639" s="27">
        <v>1</v>
      </c>
      <c r="S639" s="27">
        <v>0</v>
      </c>
      <c r="T639" s="27">
        <v>-1.8E-3</v>
      </c>
      <c r="U639" s="27">
        <v>-1.2E-2</v>
      </c>
      <c r="V639" s="27">
        <v>0</v>
      </c>
      <c r="W639" s="27">
        <v>0</v>
      </c>
      <c r="X639" s="27" t="s">
        <v>31</v>
      </c>
    </row>
    <row r="640" spans="1:24">
      <c r="A640" s="27">
        <v>1</v>
      </c>
      <c r="B640" s="27">
        <v>6</v>
      </c>
      <c r="C640" s="27">
        <v>21</v>
      </c>
      <c r="D640" s="27">
        <v>2030</v>
      </c>
      <c r="E640" s="27">
        <v>2050</v>
      </c>
      <c r="F640" s="27">
        <v>8</v>
      </c>
      <c r="G640" s="27">
        <v>21</v>
      </c>
      <c r="H640" s="27">
        <v>0</v>
      </c>
      <c r="I640" s="27">
        <v>0</v>
      </c>
      <c r="J640" s="27">
        <v>0</v>
      </c>
      <c r="K640" s="27">
        <v>0.98</v>
      </c>
      <c r="L640" s="27">
        <v>3750</v>
      </c>
      <c r="M640" s="27">
        <v>3330</v>
      </c>
      <c r="N640" s="27">
        <v>0</v>
      </c>
      <c r="O640" s="27">
        <v>0</v>
      </c>
      <c r="P640" s="27" t="s">
        <v>13</v>
      </c>
      <c r="Q640" s="27">
        <v>1993</v>
      </c>
      <c r="R640" s="27">
        <v>1</v>
      </c>
      <c r="S640" s="27">
        <v>0</v>
      </c>
      <c r="T640" s="27">
        <v>-1.8E-3</v>
      </c>
      <c r="U640" s="27">
        <v>-1.2E-2</v>
      </c>
      <c r="V640" s="27">
        <v>0</v>
      </c>
      <c r="W640" s="27">
        <v>0</v>
      </c>
      <c r="X640" s="27" t="s">
        <v>31</v>
      </c>
    </row>
    <row r="641" spans="1:24">
      <c r="A641" s="27">
        <v>1</v>
      </c>
      <c r="B641" s="27">
        <v>6</v>
      </c>
      <c r="C641" s="27">
        <v>21</v>
      </c>
      <c r="D641" s="27">
        <v>2030</v>
      </c>
      <c r="E641" s="27">
        <v>2050</v>
      </c>
      <c r="F641" s="27">
        <v>9</v>
      </c>
      <c r="G641" s="27">
        <v>21</v>
      </c>
      <c r="H641" s="27">
        <v>0</v>
      </c>
      <c r="I641" s="27">
        <v>0</v>
      </c>
      <c r="J641" s="27">
        <v>0</v>
      </c>
      <c r="K641" s="27">
        <v>0.98</v>
      </c>
      <c r="L641" s="27">
        <v>3750</v>
      </c>
      <c r="M641" s="27">
        <v>3330</v>
      </c>
      <c r="N641" s="27">
        <v>0</v>
      </c>
      <c r="O641" s="27">
        <v>0</v>
      </c>
      <c r="P641" s="27" t="s">
        <v>13</v>
      </c>
      <c r="Q641" s="27">
        <v>1993</v>
      </c>
      <c r="R641" s="27">
        <v>1</v>
      </c>
      <c r="S641" s="27">
        <v>0</v>
      </c>
      <c r="T641" s="27">
        <v>-1.8E-3</v>
      </c>
      <c r="U641" s="27">
        <v>-1.2E-2</v>
      </c>
      <c r="V641" s="27">
        <v>0</v>
      </c>
      <c r="W641" s="27">
        <v>0</v>
      </c>
      <c r="X641" s="27" t="s">
        <v>31</v>
      </c>
    </row>
    <row r="642" spans="1:24">
      <c r="A642" s="27">
        <v>1</v>
      </c>
      <c r="B642" s="27">
        <v>7</v>
      </c>
      <c r="C642" s="27">
        <v>22</v>
      </c>
      <c r="D642" s="27">
        <v>2010</v>
      </c>
      <c r="E642" s="27">
        <v>2012</v>
      </c>
      <c r="F642" s="27">
        <v>1</v>
      </c>
      <c r="G642" s="27">
        <v>22</v>
      </c>
      <c r="H642" s="27">
        <v>0</v>
      </c>
      <c r="I642" s="27">
        <v>0</v>
      </c>
      <c r="J642" s="27">
        <v>0</v>
      </c>
      <c r="K642" s="27">
        <v>0.8</v>
      </c>
      <c r="L642" s="27">
        <v>3250</v>
      </c>
      <c r="M642" s="27">
        <v>2790</v>
      </c>
      <c r="N642" s="27">
        <v>0</v>
      </c>
      <c r="O642" s="27">
        <v>0</v>
      </c>
      <c r="P642" s="27" t="s">
        <v>13</v>
      </c>
      <c r="Q642" s="27">
        <v>1993</v>
      </c>
      <c r="R642" s="27">
        <v>1</v>
      </c>
      <c r="S642" s="27">
        <v>0</v>
      </c>
      <c r="T642" s="27">
        <v>-1.8E-3</v>
      </c>
      <c r="U642" s="27">
        <v>-1.2E-2</v>
      </c>
      <c r="V642" s="27">
        <v>0</v>
      </c>
      <c r="W642" s="27">
        <v>0</v>
      </c>
      <c r="X642" s="27" t="s">
        <v>32</v>
      </c>
    </row>
    <row r="643" spans="1:24">
      <c r="A643" s="27">
        <v>1</v>
      </c>
      <c r="B643" s="27">
        <v>7</v>
      </c>
      <c r="C643" s="27">
        <v>22</v>
      </c>
      <c r="D643" s="27">
        <v>2010</v>
      </c>
      <c r="E643" s="27">
        <v>2012</v>
      </c>
      <c r="F643" s="27">
        <v>2</v>
      </c>
      <c r="G643" s="27">
        <v>22</v>
      </c>
      <c r="H643" s="27">
        <v>0</v>
      </c>
      <c r="I643" s="27">
        <v>0</v>
      </c>
      <c r="J643" s="27">
        <v>0</v>
      </c>
      <c r="K643" s="27">
        <v>0.8</v>
      </c>
      <c r="L643" s="27">
        <v>3250</v>
      </c>
      <c r="M643" s="27">
        <v>2790</v>
      </c>
      <c r="N643" s="27">
        <v>0</v>
      </c>
      <c r="O643" s="27">
        <v>0</v>
      </c>
      <c r="P643" s="27" t="s">
        <v>13</v>
      </c>
      <c r="Q643" s="27">
        <v>1993</v>
      </c>
      <c r="R643" s="27">
        <v>1</v>
      </c>
      <c r="S643" s="27">
        <v>0</v>
      </c>
      <c r="T643" s="27">
        <v>-1.8E-3</v>
      </c>
      <c r="U643" s="27">
        <v>-1.2E-2</v>
      </c>
      <c r="V643" s="27">
        <v>0</v>
      </c>
      <c r="W643" s="27">
        <v>0</v>
      </c>
      <c r="X643" s="27" t="s">
        <v>32</v>
      </c>
    </row>
    <row r="644" spans="1:24">
      <c r="A644" s="27">
        <v>1</v>
      </c>
      <c r="B644" s="27">
        <v>7</v>
      </c>
      <c r="C644" s="27">
        <v>22</v>
      </c>
      <c r="D644" s="27">
        <v>2010</v>
      </c>
      <c r="E644" s="27">
        <v>2012</v>
      </c>
      <c r="F644" s="27">
        <v>3</v>
      </c>
      <c r="G644" s="27">
        <v>22</v>
      </c>
      <c r="H644" s="27">
        <v>0</v>
      </c>
      <c r="I644" s="27">
        <v>0</v>
      </c>
      <c r="J644" s="27">
        <v>0</v>
      </c>
      <c r="K644" s="27">
        <v>0.8</v>
      </c>
      <c r="L644" s="27">
        <v>3250</v>
      </c>
      <c r="M644" s="27">
        <v>2790</v>
      </c>
      <c r="N644" s="27">
        <v>0</v>
      </c>
      <c r="O644" s="27">
        <v>0</v>
      </c>
      <c r="P644" s="27" t="s">
        <v>13</v>
      </c>
      <c r="Q644" s="27">
        <v>1993</v>
      </c>
      <c r="R644" s="27">
        <v>1</v>
      </c>
      <c r="S644" s="27">
        <v>0</v>
      </c>
      <c r="T644" s="27">
        <v>-1.8E-3</v>
      </c>
      <c r="U644" s="27">
        <v>-1.2E-2</v>
      </c>
      <c r="V644" s="27">
        <v>0</v>
      </c>
      <c r="W644" s="27">
        <v>0</v>
      </c>
      <c r="X644" s="27" t="s">
        <v>32</v>
      </c>
    </row>
    <row r="645" spans="1:24">
      <c r="A645" s="27">
        <v>1</v>
      </c>
      <c r="B645" s="27">
        <v>7</v>
      </c>
      <c r="C645" s="27">
        <v>22</v>
      </c>
      <c r="D645" s="27">
        <v>2010</v>
      </c>
      <c r="E645" s="27">
        <v>2012</v>
      </c>
      <c r="F645" s="27">
        <v>4</v>
      </c>
      <c r="G645" s="27">
        <v>22</v>
      </c>
      <c r="H645" s="27">
        <v>0</v>
      </c>
      <c r="I645" s="27">
        <v>0</v>
      </c>
      <c r="J645" s="27">
        <v>0</v>
      </c>
      <c r="K645" s="27">
        <v>0.8</v>
      </c>
      <c r="L645" s="27">
        <v>3250</v>
      </c>
      <c r="M645" s="27">
        <v>2790</v>
      </c>
      <c r="N645" s="27">
        <v>0</v>
      </c>
      <c r="O645" s="27">
        <v>0</v>
      </c>
      <c r="P645" s="27" t="s">
        <v>13</v>
      </c>
      <c r="Q645" s="27">
        <v>1993</v>
      </c>
      <c r="R645" s="27">
        <v>1</v>
      </c>
      <c r="S645" s="27">
        <v>0</v>
      </c>
      <c r="T645" s="27">
        <v>-1.8E-3</v>
      </c>
      <c r="U645" s="27">
        <v>-1.2E-2</v>
      </c>
      <c r="V645" s="27">
        <v>0</v>
      </c>
      <c r="W645" s="27">
        <v>0</v>
      </c>
      <c r="X645" s="27" t="s">
        <v>32</v>
      </c>
    </row>
    <row r="646" spans="1:24">
      <c r="A646" s="27">
        <v>1</v>
      </c>
      <c r="B646" s="27">
        <v>7</v>
      </c>
      <c r="C646" s="27">
        <v>22</v>
      </c>
      <c r="D646" s="27">
        <v>2010</v>
      </c>
      <c r="E646" s="27">
        <v>2012</v>
      </c>
      <c r="F646" s="27">
        <v>5</v>
      </c>
      <c r="G646" s="27">
        <v>22</v>
      </c>
      <c r="H646" s="27">
        <v>0</v>
      </c>
      <c r="I646" s="27">
        <v>0</v>
      </c>
      <c r="J646" s="27">
        <v>0</v>
      </c>
      <c r="K646" s="27">
        <v>0.8</v>
      </c>
      <c r="L646" s="27">
        <v>3250</v>
      </c>
      <c r="M646" s="27">
        <v>2790</v>
      </c>
      <c r="N646" s="27">
        <v>0</v>
      </c>
      <c r="O646" s="27">
        <v>0</v>
      </c>
      <c r="P646" s="27" t="s">
        <v>13</v>
      </c>
      <c r="Q646" s="27">
        <v>1993</v>
      </c>
      <c r="R646" s="27">
        <v>1</v>
      </c>
      <c r="S646" s="27">
        <v>0</v>
      </c>
      <c r="T646" s="27">
        <v>-1.8E-3</v>
      </c>
      <c r="U646" s="27">
        <v>-1.2E-2</v>
      </c>
      <c r="V646" s="27">
        <v>0</v>
      </c>
      <c r="W646" s="27">
        <v>0</v>
      </c>
      <c r="X646" s="27" t="s">
        <v>32</v>
      </c>
    </row>
    <row r="647" spans="1:24">
      <c r="A647" s="27">
        <v>1</v>
      </c>
      <c r="B647" s="27">
        <v>7</v>
      </c>
      <c r="C647" s="27">
        <v>22</v>
      </c>
      <c r="D647" s="27">
        <v>2010</v>
      </c>
      <c r="E647" s="27">
        <v>2012</v>
      </c>
      <c r="F647" s="27">
        <v>6</v>
      </c>
      <c r="G647" s="27">
        <v>22</v>
      </c>
      <c r="H647" s="27">
        <v>0</v>
      </c>
      <c r="I647" s="27">
        <v>0</v>
      </c>
      <c r="J647" s="27">
        <v>0</v>
      </c>
      <c r="K647" s="27">
        <v>0.8</v>
      </c>
      <c r="L647" s="27">
        <v>3250</v>
      </c>
      <c r="M647" s="27">
        <v>2790</v>
      </c>
      <c r="N647" s="27">
        <v>0</v>
      </c>
      <c r="O647" s="27">
        <v>0</v>
      </c>
      <c r="P647" s="27" t="s">
        <v>13</v>
      </c>
      <c r="Q647" s="27">
        <v>1993</v>
      </c>
      <c r="R647" s="27">
        <v>1</v>
      </c>
      <c r="S647" s="27">
        <v>0</v>
      </c>
      <c r="T647" s="27">
        <v>-1.8E-3</v>
      </c>
      <c r="U647" s="27">
        <v>-1.2E-2</v>
      </c>
      <c r="V647" s="27">
        <v>0</v>
      </c>
      <c r="W647" s="27">
        <v>0</v>
      </c>
      <c r="X647" s="27" t="s">
        <v>32</v>
      </c>
    </row>
    <row r="648" spans="1:24">
      <c r="A648" s="27">
        <v>1</v>
      </c>
      <c r="B648" s="27">
        <v>7</v>
      </c>
      <c r="C648" s="27">
        <v>22</v>
      </c>
      <c r="D648" s="27">
        <v>2010</v>
      </c>
      <c r="E648" s="27">
        <v>2012</v>
      </c>
      <c r="F648" s="27">
        <v>7</v>
      </c>
      <c r="G648" s="27">
        <v>22</v>
      </c>
      <c r="H648" s="27">
        <v>0</v>
      </c>
      <c r="I648" s="27">
        <v>0</v>
      </c>
      <c r="J648" s="27">
        <v>0</v>
      </c>
      <c r="K648" s="27">
        <v>0.8</v>
      </c>
      <c r="L648" s="27">
        <v>3250</v>
      </c>
      <c r="M648" s="27">
        <v>2790</v>
      </c>
      <c r="N648" s="27">
        <v>0</v>
      </c>
      <c r="O648" s="27">
        <v>0</v>
      </c>
      <c r="P648" s="27" t="s">
        <v>13</v>
      </c>
      <c r="Q648" s="27">
        <v>1993</v>
      </c>
      <c r="R648" s="27">
        <v>1</v>
      </c>
      <c r="S648" s="27">
        <v>0</v>
      </c>
      <c r="T648" s="27">
        <v>-1.8E-3</v>
      </c>
      <c r="U648" s="27">
        <v>-1.2E-2</v>
      </c>
      <c r="V648" s="27">
        <v>0</v>
      </c>
      <c r="W648" s="27">
        <v>0</v>
      </c>
      <c r="X648" s="27" t="s">
        <v>32</v>
      </c>
    </row>
    <row r="649" spans="1:24">
      <c r="A649" s="27">
        <v>1</v>
      </c>
      <c r="B649" s="27">
        <v>7</v>
      </c>
      <c r="C649" s="27">
        <v>22</v>
      </c>
      <c r="D649" s="27">
        <v>2010</v>
      </c>
      <c r="E649" s="27">
        <v>2012</v>
      </c>
      <c r="F649" s="27">
        <v>8</v>
      </c>
      <c r="G649" s="27">
        <v>22</v>
      </c>
      <c r="H649" s="27">
        <v>0</v>
      </c>
      <c r="I649" s="27">
        <v>0</v>
      </c>
      <c r="J649" s="27">
        <v>0</v>
      </c>
      <c r="K649" s="27">
        <v>0.8</v>
      </c>
      <c r="L649" s="27">
        <v>3250</v>
      </c>
      <c r="M649" s="27">
        <v>2790</v>
      </c>
      <c r="N649" s="27">
        <v>0</v>
      </c>
      <c r="O649" s="27">
        <v>0</v>
      </c>
      <c r="P649" s="27" t="s">
        <v>13</v>
      </c>
      <c r="Q649" s="27">
        <v>1993</v>
      </c>
      <c r="R649" s="27">
        <v>1</v>
      </c>
      <c r="S649" s="27">
        <v>0</v>
      </c>
      <c r="T649" s="27">
        <v>-1.8E-3</v>
      </c>
      <c r="U649" s="27">
        <v>-1.2E-2</v>
      </c>
      <c r="V649" s="27">
        <v>0</v>
      </c>
      <c r="W649" s="27">
        <v>0</v>
      </c>
      <c r="X649" s="27" t="s">
        <v>32</v>
      </c>
    </row>
    <row r="650" spans="1:24">
      <c r="A650" s="27">
        <v>1</v>
      </c>
      <c r="B650" s="27">
        <v>7</v>
      </c>
      <c r="C650" s="27">
        <v>22</v>
      </c>
      <c r="D650" s="27">
        <v>2010</v>
      </c>
      <c r="E650" s="27">
        <v>2012</v>
      </c>
      <c r="F650" s="27">
        <v>9</v>
      </c>
      <c r="G650" s="27">
        <v>22</v>
      </c>
      <c r="H650" s="27">
        <v>0</v>
      </c>
      <c r="I650" s="27">
        <v>0</v>
      </c>
      <c r="J650" s="27">
        <v>0</v>
      </c>
      <c r="K650" s="27">
        <v>0.8</v>
      </c>
      <c r="L650" s="27">
        <v>3250</v>
      </c>
      <c r="M650" s="27">
        <v>2790</v>
      </c>
      <c r="N650" s="27">
        <v>0</v>
      </c>
      <c r="O650" s="27">
        <v>0</v>
      </c>
      <c r="P650" s="27" t="s">
        <v>13</v>
      </c>
      <c r="Q650" s="27">
        <v>1993</v>
      </c>
      <c r="R650" s="27">
        <v>1</v>
      </c>
      <c r="S650" s="27">
        <v>0</v>
      </c>
      <c r="T650" s="27">
        <v>-1.8E-3</v>
      </c>
      <c r="U650" s="27">
        <v>-1.2E-2</v>
      </c>
      <c r="V650" s="27">
        <v>0</v>
      </c>
      <c r="W650" s="27">
        <v>0</v>
      </c>
      <c r="X650" s="27" t="s">
        <v>32</v>
      </c>
    </row>
    <row r="651" spans="1:24">
      <c r="A651" s="27">
        <v>1</v>
      </c>
      <c r="B651" s="27">
        <v>7</v>
      </c>
      <c r="C651" s="27">
        <v>22</v>
      </c>
      <c r="D651" s="27">
        <v>2013</v>
      </c>
      <c r="E651" s="27">
        <v>2050</v>
      </c>
      <c r="F651" s="27">
        <v>1</v>
      </c>
      <c r="G651" s="27">
        <v>22</v>
      </c>
      <c r="H651" s="27">
        <v>0</v>
      </c>
      <c r="I651" s="27">
        <v>0</v>
      </c>
      <c r="J651" s="27">
        <v>0</v>
      </c>
      <c r="K651" s="27">
        <v>0.83</v>
      </c>
      <c r="L651" s="27">
        <v>3500</v>
      </c>
      <c r="M651" s="27">
        <v>3020</v>
      </c>
      <c r="N651" s="27">
        <v>0</v>
      </c>
      <c r="O651" s="27">
        <v>0</v>
      </c>
      <c r="P651" s="27" t="s">
        <v>13</v>
      </c>
      <c r="Q651" s="27">
        <v>1993</v>
      </c>
      <c r="R651" s="27">
        <v>1</v>
      </c>
      <c r="S651" s="27">
        <v>0</v>
      </c>
      <c r="T651" s="27">
        <v>-1.8E-3</v>
      </c>
      <c r="U651" s="27">
        <v>-1.2E-2</v>
      </c>
      <c r="V651" s="27">
        <v>0</v>
      </c>
      <c r="W651" s="27">
        <v>0</v>
      </c>
      <c r="X651" s="27" t="s">
        <v>32</v>
      </c>
    </row>
    <row r="652" spans="1:24">
      <c r="A652" s="27">
        <v>1</v>
      </c>
      <c r="B652" s="27">
        <v>7</v>
      </c>
      <c r="C652" s="27">
        <v>22</v>
      </c>
      <c r="D652" s="27">
        <v>2013</v>
      </c>
      <c r="E652" s="27">
        <v>2050</v>
      </c>
      <c r="F652" s="27">
        <v>2</v>
      </c>
      <c r="G652" s="27">
        <v>22</v>
      </c>
      <c r="H652" s="27">
        <v>0</v>
      </c>
      <c r="I652" s="27">
        <v>0</v>
      </c>
      <c r="J652" s="27">
        <v>0</v>
      </c>
      <c r="K652" s="27">
        <v>0.83</v>
      </c>
      <c r="L652" s="27">
        <v>3500</v>
      </c>
      <c r="M652" s="27">
        <v>3020</v>
      </c>
      <c r="N652" s="27">
        <v>0</v>
      </c>
      <c r="O652" s="27">
        <v>0</v>
      </c>
      <c r="P652" s="27" t="s">
        <v>13</v>
      </c>
      <c r="Q652" s="27">
        <v>1993</v>
      </c>
      <c r="R652" s="27">
        <v>1</v>
      </c>
      <c r="S652" s="27">
        <v>0</v>
      </c>
      <c r="T652" s="27">
        <v>-1.8E-3</v>
      </c>
      <c r="U652" s="27">
        <v>-1.2E-2</v>
      </c>
      <c r="V652" s="27">
        <v>0</v>
      </c>
      <c r="W652" s="27">
        <v>0</v>
      </c>
      <c r="X652" s="27" t="s">
        <v>32</v>
      </c>
    </row>
    <row r="653" spans="1:24">
      <c r="A653" s="27">
        <v>1</v>
      </c>
      <c r="B653" s="27">
        <v>7</v>
      </c>
      <c r="C653" s="27">
        <v>22</v>
      </c>
      <c r="D653" s="27">
        <v>2013</v>
      </c>
      <c r="E653" s="27">
        <v>2050</v>
      </c>
      <c r="F653" s="27">
        <v>3</v>
      </c>
      <c r="G653" s="27">
        <v>22</v>
      </c>
      <c r="H653" s="27">
        <v>0</v>
      </c>
      <c r="I653" s="27">
        <v>0</v>
      </c>
      <c r="J653" s="27">
        <v>0</v>
      </c>
      <c r="K653" s="27">
        <v>0.83</v>
      </c>
      <c r="L653" s="27">
        <v>3500</v>
      </c>
      <c r="M653" s="27">
        <v>3020</v>
      </c>
      <c r="N653" s="27">
        <v>0</v>
      </c>
      <c r="O653" s="27">
        <v>0</v>
      </c>
      <c r="P653" s="27" t="s">
        <v>13</v>
      </c>
      <c r="Q653" s="27">
        <v>1993</v>
      </c>
      <c r="R653" s="27">
        <v>1</v>
      </c>
      <c r="S653" s="27">
        <v>0</v>
      </c>
      <c r="T653" s="27">
        <v>-1.8E-3</v>
      </c>
      <c r="U653" s="27">
        <v>-1.2E-2</v>
      </c>
      <c r="V653" s="27">
        <v>0</v>
      </c>
      <c r="W653" s="27">
        <v>0</v>
      </c>
      <c r="X653" s="27" t="s">
        <v>32</v>
      </c>
    </row>
    <row r="654" spans="1:24">
      <c r="A654" s="27">
        <v>1</v>
      </c>
      <c r="B654" s="27">
        <v>7</v>
      </c>
      <c r="C654" s="27">
        <v>22</v>
      </c>
      <c r="D654" s="27">
        <v>2013</v>
      </c>
      <c r="E654" s="27">
        <v>2050</v>
      </c>
      <c r="F654" s="27">
        <v>4</v>
      </c>
      <c r="G654" s="27">
        <v>22</v>
      </c>
      <c r="H654" s="27">
        <v>0</v>
      </c>
      <c r="I654" s="27">
        <v>0</v>
      </c>
      <c r="J654" s="27">
        <v>0</v>
      </c>
      <c r="K654" s="27">
        <v>0.83</v>
      </c>
      <c r="L654" s="27">
        <v>3500</v>
      </c>
      <c r="M654" s="27">
        <v>3020</v>
      </c>
      <c r="N654" s="27">
        <v>0</v>
      </c>
      <c r="O654" s="27">
        <v>0</v>
      </c>
      <c r="P654" s="27" t="s">
        <v>13</v>
      </c>
      <c r="Q654" s="27">
        <v>1993</v>
      </c>
      <c r="R654" s="27">
        <v>1</v>
      </c>
      <c r="S654" s="27">
        <v>0</v>
      </c>
      <c r="T654" s="27">
        <v>-1.8E-3</v>
      </c>
      <c r="U654" s="27">
        <v>-1.2E-2</v>
      </c>
      <c r="V654" s="27">
        <v>0</v>
      </c>
      <c r="W654" s="27">
        <v>0</v>
      </c>
      <c r="X654" s="27" t="s">
        <v>32</v>
      </c>
    </row>
    <row r="655" spans="1:24">
      <c r="A655" s="27">
        <v>1</v>
      </c>
      <c r="B655" s="27">
        <v>7</v>
      </c>
      <c r="C655" s="27">
        <v>22</v>
      </c>
      <c r="D655" s="27">
        <v>2013</v>
      </c>
      <c r="E655" s="27">
        <v>2050</v>
      </c>
      <c r="F655" s="27">
        <v>5</v>
      </c>
      <c r="G655" s="27">
        <v>22</v>
      </c>
      <c r="H655" s="27">
        <v>0</v>
      </c>
      <c r="I655" s="27">
        <v>0</v>
      </c>
      <c r="J655" s="27">
        <v>0</v>
      </c>
      <c r="K655" s="27">
        <v>0.83</v>
      </c>
      <c r="L655" s="27">
        <v>3500</v>
      </c>
      <c r="M655" s="27">
        <v>3020</v>
      </c>
      <c r="N655" s="27">
        <v>0</v>
      </c>
      <c r="O655" s="27">
        <v>0</v>
      </c>
      <c r="P655" s="27" t="s">
        <v>13</v>
      </c>
      <c r="Q655" s="27">
        <v>1993</v>
      </c>
      <c r="R655" s="27">
        <v>1</v>
      </c>
      <c r="S655" s="27">
        <v>0</v>
      </c>
      <c r="T655" s="27">
        <v>-1.8E-3</v>
      </c>
      <c r="U655" s="27">
        <v>-1.2E-2</v>
      </c>
      <c r="V655" s="27">
        <v>0</v>
      </c>
      <c r="W655" s="27">
        <v>0</v>
      </c>
      <c r="X655" s="27" t="s">
        <v>32</v>
      </c>
    </row>
    <row r="656" spans="1:24">
      <c r="A656" s="27">
        <v>1</v>
      </c>
      <c r="B656" s="27">
        <v>7</v>
      </c>
      <c r="C656" s="27">
        <v>22</v>
      </c>
      <c r="D656" s="27">
        <v>2013</v>
      </c>
      <c r="E656" s="27">
        <v>2050</v>
      </c>
      <c r="F656" s="27">
        <v>6</v>
      </c>
      <c r="G656" s="27">
        <v>22</v>
      </c>
      <c r="H656" s="27">
        <v>0</v>
      </c>
      <c r="I656" s="27">
        <v>0</v>
      </c>
      <c r="J656" s="27">
        <v>0</v>
      </c>
      <c r="K656" s="27">
        <v>0.83</v>
      </c>
      <c r="L656" s="27">
        <v>3500</v>
      </c>
      <c r="M656" s="27">
        <v>3020</v>
      </c>
      <c r="N656" s="27">
        <v>0</v>
      </c>
      <c r="O656" s="27">
        <v>0</v>
      </c>
      <c r="P656" s="27" t="s">
        <v>13</v>
      </c>
      <c r="Q656" s="27">
        <v>1993</v>
      </c>
      <c r="R656" s="27">
        <v>1</v>
      </c>
      <c r="S656" s="27">
        <v>0</v>
      </c>
      <c r="T656" s="27">
        <v>-1.8E-3</v>
      </c>
      <c r="U656" s="27">
        <v>-1.2E-2</v>
      </c>
      <c r="V656" s="27">
        <v>0</v>
      </c>
      <c r="W656" s="27">
        <v>0</v>
      </c>
      <c r="X656" s="27" t="s">
        <v>32</v>
      </c>
    </row>
    <row r="657" spans="1:24">
      <c r="A657" s="27">
        <v>1</v>
      </c>
      <c r="B657" s="27">
        <v>7</v>
      </c>
      <c r="C657" s="27">
        <v>22</v>
      </c>
      <c r="D657" s="27">
        <v>2013</v>
      </c>
      <c r="E657" s="27">
        <v>2050</v>
      </c>
      <c r="F657" s="27">
        <v>7</v>
      </c>
      <c r="G657" s="27">
        <v>22</v>
      </c>
      <c r="H657" s="27">
        <v>0</v>
      </c>
      <c r="I657" s="27">
        <v>0</v>
      </c>
      <c r="J657" s="27">
        <v>0</v>
      </c>
      <c r="K657" s="27">
        <v>0.83</v>
      </c>
      <c r="L657" s="27">
        <v>3500</v>
      </c>
      <c r="M657" s="27">
        <v>3020</v>
      </c>
      <c r="N657" s="27">
        <v>0</v>
      </c>
      <c r="O657" s="27">
        <v>0</v>
      </c>
      <c r="P657" s="27" t="s">
        <v>13</v>
      </c>
      <c r="Q657" s="27">
        <v>1993</v>
      </c>
      <c r="R657" s="27">
        <v>1</v>
      </c>
      <c r="S657" s="27">
        <v>0</v>
      </c>
      <c r="T657" s="27">
        <v>-1.8E-3</v>
      </c>
      <c r="U657" s="27">
        <v>-1.2E-2</v>
      </c>
      <c r="V657" s="27">
        <v>0</v>
      </c>
      <c r="W657" s="27">
        <v>0</v>
      </c>
      <c r="X657" s="27" t="s">
        <v>32</v>
      </c>
    </row>
    <row r="658" spans="1:24">
      <c r="A658" s="27">
        <v>1</v>
      </c>
      <c r="B658" s="27">
        <v>7</v>
      </c>
      <c r="C658" s="27">
        <v>22</v>
      </c>
      <c r="D658" s="27">
        <v>2013</v>
      </c>
      <c r="E658" s="27">
        <v>2050</v>
      </c>
      <c r="F658" s="27">
        <v>8</v>
      </c>
      <c r="G658" s="27">
        <v>22</v>
      </c>
      <c r="H658" s="27">
        <v>0</v>
      </c>
      <c r="I658" s="27">
        <v>0</v>
      </c>
      <c r="J658" s="27">
        <v>0</v>
      </c>
      <c r="K658" s="27">
        <v>0.83</v>
      </c>
      <c r="L658" s="27">
        <v>3500</v>
      </c>
      <c r="M658" s="27">
        <v>3020</v>
      </c>
      <c r="N658" s="27">
        <v>0</v>
      </c>
      <c r="O658" s="27">
        <v>0</v>
      </c>
      <c r="P658" s="27" t="s">
        <v>13</v>
      </c>
      <c r="Q658" s="27">
        <v>1993</v>
      </c>
      <c r="R658" s="27">
        <v>1</v>
      </c>
      <c r="S658" s="27">
        <v>0</v>
      </c>
      <c r="T658" s="27">
        <v>-1.8E-3</v>
      </c>
      <c r="U658" s="27">
        <v>-1.2E-2</v>
      </c>
      <c r="V658" s="27">
        <v>0</v>
      </c>
      <c r="W658" s="27">
        <v>0</v>
      </c>
      <c r="X658" s="27" t="s">
        <v>32</v>
      </c>
    </row>
    <row r="659" spans="1:24">
      <c r="A659" s="27">
        <v>1</v>
      </c>
      <c r="B659" s="27">
        <v>7</v>
      </c>
      <c r="C659" s="27">
        <v>22</v>
      </c>
      <c r="D659" s="27">
        <v>2013</v>
      </c>
      <c r="E659" s="27">
        <v>2050</v>
      </c>
      <c r="F659" s="27">
        <v>9</v>
      </c>
      <c r="G659" s="27">
        <v>22</v>
      </c>
      <c r="H659" s="27">
        <v>0</v>
      </c>
      <c r="I659" s="27">
        <v>0</v>
      </c>
      <c r="J659" s="27">
        <v>0</v>
      </c>
      <c r="K659" s="27">
        <v>0.83</v>
      </c>
      <c r="L659" s="27">
        <v>3500</v>
      </c>
      <c r="M659" s="27">
        <v>3020</v>
      </c>
      <c r="N659" s="27">
        <v>0</v>
      </c>
      <c r="O659" s="27">
        <v>0</v>
      </c>
      <c r="P659" s="27" t="s">
        <v>13</v>
      </c>
      <c r="Q659" s="27">
        <v>1993</v>
      </c>
      <c r="R659" s="27">
        <v>1</v>
      </c>
      <c r="S659" s="27">
        <v>0</v>
      </c>
      <c r="T659" s="27">
        <v>-1.8E-3</v>
      </c>
      <c r="U659" s="27">
        <v>-1.2E-2</v>
      </c>
      <c r="V659" s="27">
        <v>0</v>
      </c>
      <c r="W659" s="27">
        <v>0</v>
      </c>
      <c r="X659" s="27" t="s">
        <v>32</v>
      </c>
    </row>
    <row r="660" spans="1:24">
      <c r="A660" s="27">
        <v>1</v>
      </c>
      <c r="B660" s="27">
        <v>7</v>
      </c>
      <c r="C660" s="27">
        <v>23</v>
      </c>
      <c r="D660" s="27">
        <v>2010</v>
      </c>
      <c r="E660" s="27">
        <v>2050</v>
      </c>
      <c r="F660" s="27">
        <v>1</v>
      </c>
      <c r="G660" s="27">
        <v>23</v>
      </c>
      <c r="H660" s="27">
        <v>0</v>
      </c>
      <c r="I660" s="27">
        <v>0</v>
      </c>
      <c r="J660" s="27">
        <v>0</v>
      </c>
      <c r="K660" s="27">
        <v>0.85</v>
      </c>
      <c r="L660" s="27">
        <v>4750</v>
      </c>
      <c r="M660" s="27">
        <v>4250</v>
      </c>
      <c r="N660" s="27">
        <v>1000</v>
      </c>
      <c r="O660" s="27">
        <v>1000</v>
      </c>
      <c r="P660" s="27" t="s">
        <v>13</v>
      </c>
      <c r="Q660" s="27">
        <v>1993</v>
      </c>
      <c r="R660" s="27">
        <v>1</v>
      </c>
      <c r="S660" s="27">
        <v>0</v>
      </c>
      <c r="T660" s="27">
        <v>-1.8E-3</v>
      </c>
      <c r="U660" s="27">
        <v>-1.2E-2</v>
      </c>
      <c r="V660" s="27">
        <v>0</v>
      </c>
      <c r="W660" s="27">
        <v>0</v>
      </c>
      <c r="X660" s="27" t="s">
        <v>33</v>
      </c>
    </row>
    <row r="661" spans="1:24">
      <c r="A661" s="27">
        <v>1</v>
      </c>
      <c r="B661" s="27">
        <v>7</v>
      </c>
      <c r="C661" s="27">
        <v>23</v>
      </c>
      <c r="D661" s="27">
        <v>2010</v>
      </c>
      <c r="E661" s="27">
        <v>2050</v>
      </c>
      <c r="F661" s="27">
        <v>2</v>
      </c>
      <c r="G661" s="27">
        <v>23</v>
      </c>
      <c r="H661" s="27">
        <v>0</v>
      </c>
      <c r="I661" s="27">
        <v>0</v>
      </c>
      <c r="J661" s="27">
        <v>0</v>
      </c>
      <c r="K661" s="27">
        <v>0.85</v>
      </c>
      <c r="L661" s="27">
        <v>4750</v>
      </c>
      <c r="M661" s="27">
        <v>4250</v>
      </c>
      <c r="N661" s="27">
        <v>1000</v>
      </c>
      <c r="O661" s="27">
        <v>1000</v>
      </c>
      <c r="P661" s="27" t="s">
        <v>13</v>
      </c>
      <c r="Q661" s="27">
        <v>1993</v>
      </c>
      <c r="R661" s="27">
        <v>1</v>
      </c>
      <c r="S661" s="27">
        <v>0</v>
      </c>
      <c r="T661" s="27">
        <v>-1.8E-3</v>
      </c>
      <c r="U661" s="27">
        <v>-1.2E-2</v>
      </c>
      <c r="V661" s="27">
        <v>0</v>
      </c>
      <c r="W661" s="27">
        <v>0</v>
      </c>
      <c r="X661" s="27" t="s">
        <v>33</v>
      </c>
    </row>
    <row r="662" spans="1:24">
      <c r="A662" s="27">
        <v>1</v>
      </c>
      <c r="B662" s="27">
        <v>7</v>
      </c>
      <c r="C662" s="27">
        <v>23</v>
      </c>
      <c r="D662" s="27">
        <v>2010</v>
      </c>
      <c r="E662" s="27">
        <v>2050</v>
      </c>
      <c r="F662" s="27">
        <v>3</v>
      </c>
      <c r="G662" s="27">
        <v>23</v>
      </c>
      <c r="H662" s="27">
        <v>0</v>
      </c>
      <c r="I662" s="27">
        <v>0</v>
      </c>
      <c r="J662" s="27">
        <v>0</v>
      </c>
      <c r="K662" s="27">
        <v>0.85</v>
      </c>
      <c r="L662" s="27">
        <v>4750</v>
      </c>
      <c r="M662" s="27">
        <v>4250</v>
      </c>
      <c r="N662" s="27">
        <v>1000</v>
      </c>
      <c r="O662" s="27">
        <v>1000</v>
      </c>
      <c r="P662" s="27" t="s">
        <v>13</v>
      </c>
      <c r="Q662" s="27">
        <v>1993</v>
      </c>
      <c r="R662" s="27">
        <v>1</v>
      </c>
      <c r="S662" s="27">
        <v>0</v>
      </c>
      <c r="T662" s="27">
        <v>-1.8E-3</v>
      </c>
      <c r="U662" s="27">
        <v>-1.2E-2</v>
      </c>
      <c r="V662" s="27">
        <v>0</v>
      </c>
      <c r="W662" s="27">
        <v>0</v>
      </c>
      <c r="X662" s="27" t="s">
        <v>33</v>
      </c>
    </row>
    <row r="663" spans="1:24">
      <c r="A663" s="27">
        <v>1</v>
      </c>
      <c r="B663" s="27">
        <v>7</v>
      </c>
      <c r="C663" s="27">
        <v>23</v>
      </c>
      <c r="D663" s="27">
        <v>2010</v>
      </c>
      <c r="E663" s="27">
        <v>2050</v>
      </c>
      <c r="F663" s="27">
        <v>4</v>
      </c>
      <c r="G663" s="27">
        <v>23</v>
      </c>
      <c r="H663" s="27">
        <v>0</v>
      </c>
      <c r="I663" s="27">
        <v>0</v>
      </c>
      <c r="J663" s="27">
        <v>0</v>
      </c>
      <c r="K663" s="27">
        <v>0.85</v>
      </c>
      <c r="L663" s="27">
        <v>4750</v>
      </c>
      <c r="M663" s="27">
        <v>4250</v>
      </c>
      <c r="N663" s="27">
        <v>1000</v>
      </c>
      <c r="O663" s="27">
        <v>1000</v>
      </c>
      <c r="P663" s="27" t="s">
        <v>13</v>
      </c>
      <c r="Q663" s="27">
        <v>1993</v>
      </c>
      <c r="R663" s="27">
        <v>1</v>
      </c>
      <c r="S663" s="27">
        <v>0</v>
      </c>
      <c r="T663" s="27">
        <v>-1.8E-3</v>
      </c>
      <c r="U663" s="27">
        <v>-1.2E-2</v>
      </c>
      <c r="V663" s="27">
        <v>0</v>
      </c>
      <c r="W663" s="27">
        <v>0</v>
      </c>
      <c r="X663" s="27" t="s">
        <v>33</v>
      </c>
    </row>
    <row r="664" spans="1:24">
      <c r="A664" s="27">
        <v>1</v>
      </c>
      <c r="B664" s="27">
        <v>7</v>
      </c>
      <c r="C664" s="27">
        <v>23</v>
      </c>
      <c r="D664" s="27">
        <v>2010</v>
      </c>
      <c r="E664" s="27">
        <v>2050</v>
      </c>
      <c r="F664" s="27">
        <v>5</v>
      </c>
      <c r="G664" s="27">
        <v>23</v>
      </c>
      <c r="H664" s="27">
        <v>0</v>
      </c>
      <c r="I664" s="27">
        <v>0</v>
      </c>
      <c r="J664" s="27">
        <v>0</v>
      </c>
      <c r="K664" s="27">
        <v>0.85</v>
      </c>
      <c r="L664" s="27">
        <v>4750</v>
      </c>
      <c r="M664" s="27">
        <v>4250</v>
      </c>
      <c r="N664" s="27">
        <v>1000</v>
      </c>
      <c r="O664" s="27">
        <v>1000</v>
      </c>
      <c r="P664" s="27" t="s">
        <v>13</v>
      </c>
      <c r="Q664" s="27">
        <v>1993</v>
      </c>
      <c r="R664" s="27">
        <v>1</v>
      </c>
      <c r="S664" s="27">
        <v>0</v>
      </c>
      <c r="T664" s="27">
        <v>-1.8E-3</v>
      </c>
      <c r="U664" s="27">
        <v>-1.2E-2</v>
      </c>
      <c r="V664" s="27">
        <v>0</v>
      </c>
      <c r="W664" s="27">
        <v>0</v>
      </c>
      <c r="X664" s="27" t="s">
        <v>33</v>
      </c>
    </row>
    <row r="665" spans="1:24">
      <c r="A665" s="27">
        <v>1</v>
      </c>
      <c r="B665" s="27">
        <v>7</v>
      </c>
      <c r="C665" s="27">
        <v>23</v>
      </c>
      <c r="D665" s="27">
        <v>2010</v>
      </c>
      <c r="E665" s="27">
        <v>2050</v>
      </c>
      <c r="F665" s="27">
        <v>6</v>
      </c>
      <c r="G665" s="27">
        <v>23</v>
      </c>
      <c r="H665" s="27">
        <v>0</v>
      </c>
      <c r="I665" s="27">
        <v>0</v>
      </c>
      <c r="J665" s="27">
        <v>0</v>
      </c>
      <c r="K665" s="27">
        <v>0.85</v>
      </c>
      <c r="L665" s="27">
        <v>4750</v>
      </c>
      <c r="M665" s="27">
        <v>4250</v>
      </c>
      <c r="N665" s="27">
        <v>1000</v>
      </c>
      <c r="O665" s="27">
        <v>1000</v>
      </c>
      <c r="P665" s="27" t="s">
        <v>13</v>
      </c>
      <c r="Q665" s="27">
        <v>1993</v>
      </c>
      <c r="R665" s="27">
        <v>1</v>
      </c>
      <c r="S665" s="27">
        <v>0</v>
      </c>
      <c r="T665" s="27">
        <v>-1.8E-3</v>
      </c>
      <c r="U665" s="27">
        <v>-1.2E-2</v>
      </c>
      <c r="V665" s="27">
        <v>0</v>
      </c>
      <c r="W665" s="27">
        <v>0</v>
      </c>
      <c r="X665" s="27" t="s">
        <v>33</v>
      </c>
    </row>
    <row r="666" spans="1:24">
      <c r="A666" s="27">
        <v>1</v>
      </c>
      <c r="B666" s="27">
        <v>7</v>
      </c>
      <c r="C666" s="27">
        <v>23</v>
      </c>
      <c r="D666" s="27">
        <v>2010</v>
      </c>
      <c r="E666" s="27">
        <v>2050</v>
      </c>
      <c r="F666" s="27">
        <v>7</v>
      </c>
      <c r="G666" s="27">
        <v>23</v>
      </c>
      <c r="H666" s="27">
        <v>0</v>
      </c>
      <c r="I666" s="27">
        <v>0</v>
      </c>
      <c r="J666" s="27">
        <v>0</v>
      </c>
      <c r="K666" s="27">
        <v>0.85</v>
      </c>
      <c r="L666" s="27">
        <v>4750</v>
      </c>
      <c r="M666" s="27">
        <v>4250</v>
      </c>
      <c r="N666" s="27">
        <v>1000</v>
      </c>
      <c r="O666" s="27">
        <v>1000</v>
      </c>
      <c r="P666" s="27" t="s">
        <v>13</v>
      </c>
      <c r="Q666" s="27">
        <v>1993</v>
      </c>
      <c r="R666" s="27">
        <v>1</v>
      </c>
      <c r="S666" s="27">
        <v>0</v>
      </c>
      <c r="T666" s="27">
        <v>-1.8E-3</v>
      </c>
      <c r="U666" s="27">
        <v>-1.2E-2</v>
      </c>
      <c r="V666" s="27">
        <v>0</v>
      </c>
      <c r="W666" s="27">
        <v>0</v>
      </c>
      <c r="X666" s="27" t="s">
        <v>33</v>
      </c>
    </row>
    <row r="667" spans="1:24">
      <c r="A667" s="27">
        <v>1</v>
      </c>
      <c r="B667" s="27">
        <v>7</v>
      </c>
      <c r="C667" s="27">
        <v>23</v>
      </c>
      <c r="D667" s="27">
        <v>2010</v>
      </c>
      <c r="E667" s="27">
        <v>2050</v>
      </c>
      <c r="F667" s="27">
        <v>8</v>
      </c>
      <c r="G667" s="27">
        <v>23</v>
      </c>
      <c r="H667" s="27">
        <v>0</v>
      </c>
      <c r="I667" s="27">
        <v>0</v>
      </c>
      <c r="J667" s="27">
        <v>0</v>
      </c>
      <c r="K667" s="27">
        <v>0.85</v>
      </c>
      <c r="L667" s="27">
        <v>4750</v>
      </c>
      <c r="M667" s="27">
        <v>4250</v>
      </c>
      <c r="N667" s="27">
        <v>1000</v>
      </c>
      <c r="O667" s="27">
        <v>1000</v>
      </c>
      <c r="P667" s="27" t="s">
        <v>13</v>
      </c>
      <c r="Q667" s="27">
        <v>1993</v>
      </c>
      <c r="R667" s="27">
        <v>1</v>
      </c>
      <c r="S667" s="27">
        <v>0</v>
      </c>
      <c r="T667" s="27">
        <v>-1.8E-3</v>
      </c>
      <c r="U667" s="27">
        <v>-1.2E-2</v>
      </c>
      <c r="V667" s="27">
        <v>0</v>
      </c>
      <c r="W667" s="27">
        <v>0</v>
      </c>
      <c r="X667" s="27" t="s">
        <v>33</v>
      </c>
    </row>
    <row r="668" spans="1:24">
      <c r="A668" s="27">
        <v>1</v>
      </c>
      <c r="B668" s="27">
        <v>7</v>
      </c>
      <c r="C668" s="27">
        <v>23</v>
      </c>
      <c r="D668" s="27">
        <v>2010</v>
      </c>
      <c r="E668" s="27">
        <v>2050</v>
      </c>
      <c r="F668" s="27">
        <v>9</v>
      </c>
      <c r="G668" s="27">
        <v>23</v>
      </c>
      <c r="H668" s="27">
        <v>0</v>
      </c>
      <c r="I668" s="27">
        <v>0</v>
      </c>
      <c r="J668" s="27">
        <v>0</v>
      </c>
      <c r="K668" s="27">
        <v>0.85</v>
      </c>
      <c r="L668" s="27">
        <v>4750</v>
      </c>
      <c r="M668" s="27">
        <v>4250</v>
      </c>
      <c r="N668" s="27">
        <v>1000</v>
      </c>
      <c r="O668" s="27">
        <v>1000</v>
      </c>
      <c r="P668" s="27" t="s">
        <v>13</v>
      </c>
      <c r="Q668" s="27">
        <v>1993</v>
      </c>
      <c r="R668" s="27">
        <v>1</v>
      </c>
      <c r="S668" s="27">
        <v>0</v>
      </c>
      <c r="T668" s="27">
        <v>-1.8E-3</v>
      </c>
      <c r="U668" s="27">
        <v>-1.2E-2</v>
      </c>
      <c r="V668" s="27">
        <v>0</v>
      </c>
      <c r="W668" s="27">
        <v>0</v>
      </c>
      <c r="X668" s="27" t="s">
        <v>33</v>
      </c>
    </row>
    <row r="669" spans="1:24">
      <c r="A669" s="27">
        <v>1</v>
      </c>
      <c r="B669" s="27">
        <v>7</v>
      </c>
      <c r="C669" s="27">
        <v>24</v>
      </c>
      <c r="D669" s="27">
        <v>2010</v>
      </c>
      <c r="E669" s="27">
        <v>2010</v>
      </c>
      <c r="F669" s="27">
        <v>1</v>
      </c>
      <c r="G669" s="27">
        <v>24</v>
      </c>
      <c r="H669" s="27">
        <v>0</v>
      </c>
      <c r="I669" s="27">
        <v>0</v>
      </c>
      <c r="J669" s="27">
        <v>0</v>
      </c>
      <c r="K669" s="27">
        <v>0.98</v>
      </c>
      <c r="L669" s="27">
        <v>4750</v>
      </c>
      <c r="M669" s="27">
        <v>4250</v>
      </c>
      <c r="N669" s="27">
        <v>1425</v>
      </c>
      <c r="O669" s="27">
        <v>855</v>
      </c>
      <c r="P669" s="27" t="s">
        <v>13</v>
      </c>
      <c r="Q669" s="27">
        <v>1993</v>
      </c>
      <c r="R669" s="27">
        <v>1</v>
      </c>
      <c r="S669" s="27">
        <v>0</v>
      </c>
      <c r="T669" s="27">
        <v>-1.8E-3</v>
      </c>
      <c r="U669" s="27">
        <v>-1.2E-2</v>
      </c>
      <c r="V669" s="27">
        <v>0</v>
      </c>
      <c r="W669" s="27">
        <v>0</v>
      </c>
      <c r="X669" s="27" t="s">
        <v>34</v>
      </c>
    </row>
    <row r="670" spans="1:24">
      <c r="A670" s="27">
        <v>1</v>
      </c>
      <c r="B670" s="27">
        <v>7</v>
      </c>
      <c r="C670" s="27">
        <v>24</v>
      </c>
      <c r="D670" s="27">
        <v>2010</v>
      </c>
      <c r="E670" s="27">
        <v>2010</v>
      </c>
      <c r="F670" s="27">
        <v>2</v>
      </c>
      <c r="G670" s="27">
        <v>24</v>
      </c>
      <c r="H670" s="27">
        <v>0</v>
      </c>
      <c r="I670" s="27">
        <v>0</v>
      </c>
      <c r="J670" s="27">
        <v>0</v>
      </c>
      <c r="K670" s="27">
        <v>0.98</v>
      </c>
      <c r="L670" s="27">
        <v>4750</v>
      </c>
      <c r="M670" s="27">
        <v>4250</v>
      </c>
      <c r="N670" s="27">
        <v>1425</v>
      </c>
      <c r="O670" s="27">
        <v>855</v>
      </c>
      <c r="P670" s="27" t="s">
        <v>13</v>
      </c>
      <c r="Q670" s="27">
        <v>1993</v>
      </c>
      <c r="R670" s="27">
        <v>1</v>
      </c>
      <c r="S670" s="27">
        <v>0</v>
      </c>
      <c r="T670" s="27">
        <v>-1.8E-3</v>
      </c>
      <c r="U670" s="27">
        <v>-1.2E-2</v>
      </c>
      <c r="V670" s="27">
        <v>0</v>
      </c>
      <c r="W670" s="27">
        <v>0</v>
      </c>
      <c r="X670" s="27" t="s">
        <v>34</v>
      </c>
    </row>
    <row r="671" spans="1:24">
      <c r="A671" s="27">
        <v>1</v>
      </c>
      <c r="B671" s="27">
        <v>7</v>
      </c>
      <c r="C671" s="27">
        <v>24</v>
      </c>
      <c r="D671" s="27">
        <v>2010</v>
      </c>
      <c r="E671" s="27">
        <v>2010</v>
      </c>
      <c r="F671" s="27">
        <v>3</v>
      </c>
      <c r="G671" s="27">
        <v>24</v>
      </c>
      <c r="H671" s="27">
        <v>0</v>
      </c>
      <c r="I671" s="27">
        <v>0</v>
      </c>
      <c r="J671" s="27">
        <v>0</v>
      </c>
      <c r="K671" s="27">
        <v>0.98</v>
      </c>
      <c r="L671" s="27">
        <v>4750</v>
      </c>
      <c r="M671" s="27">
        <v>4250</v>
      </c>
      <c r="N671" s="27">
        <v>1425</v>
      </c>
      <c r="O671" s="27">
        <v>855</v>
      </c>
      <c r="P671" s="27" t="s">
        <v>13</v>
      </c>
      <c r="Q671" s="27">
        <v>1993</v>
      </c>
      <c r="R671" s="27">
        <v>1</v>
      </c>
      <c r="S671" s="27">
        <v>0</v>
      </c>
      <c r="T671" s="27">
        <v>-1.8E-3</v>
      </c>
      <c r="U671" s="27">
        <v>-1.2E-2</v>
      </c>
      <c r="V671" s="27">
        <v>0</v>
      </c>
      <c r="W671" s="27">
        <v>0</v>
      </c>
      <c r="X671" s="27" t="s">
        <v>34</v>
      </c>
    </row>
    <row r="672" spans="1:24">
      <c r="A672" s="27">
        <v>1</v>
      </c>
      <c r="B672" s="27">
        <v>7</v>
      </c>
      <c r="C672" s="27">
        <v>24</v>
      </c>
      <c r="D672" s="27">
        <v>2010</v>
      </c>
      <c r="E672" s="27">
        <v>2010</v>
      </c>
      <c r="F672" s="27">
        <v>4</v>
      </c>
      <c r="G672" s="27">
        <v>24</v>
      </c>
      <c r="H672" s="27">
        <v>0</v>
      </c>
      <c r="I672" s="27">
        <v>0</v>
      </c>
      <c r="J672" s="27">
        <v>0</v>
      </c>
      <c r="K672" s="27">
        <v>0.98</v>
      </c>
      <c r="L672" s="27">
        <v>4750</v>
      </c>
      <c r="M672" s="27">
        <v>4250</v>
      </c>
      <c r="N672" s="27">
        <v>1425</v>
      </c>
      <c r="O672" s="27">
        <v>855</v>
      </c>
      <c r="P672" s="27" t="s">
        <v>13</v>
      </c>
      <c r="Q672" s="27">
        <v>1993</v>
      </c>
      <c r="R672" s="27">
        <v>1</v>
      </c>
      <c r="S672" s="27">
        <v>0</v>
      </c>
      <c r="T672" s="27">
        <v>-1.8E-3</v>
      </c>
      <c r="U672" s="27">
        <v>-1.2E-2</v>
      </c>
      <c r="V672" s="27">
        <v>0</v>
      </c>
      <c r="W672" s="27">
        <v>0</v>
      </c>
      <c r="X672" s="27" t="s">
        <v>34</v>
      </c>
    </row>
    <row r="673" spans="1:24">
      <c r="A673" s="27">
        <v>1</v>
      </c>
      <c r="B673" s="27">
        <v>7</v>
      </c>
      <c r="C673" s="27">
        <v>24</v>
      </c>
      <c r="D673" s="27">
        <v>2010</v>
      </c>
      <c r="E673" s="27">
        <v>2010</v>
      </c>
      <c r="F673" s="27">
        <v>5</v>
      </c>
      <c r="G673" s="27">
        <v>24</v>
      </c>
      <c r="H673" s="27">
        <v>0</v>
      </c>
      <c r="I673" s="27">
        <v>0</v>
      </c>
      <c r="J673" s="27">
        <v>0</v>
      </c>
      <c r="K673" s="27">
        <v>0.98</v>
      </c>
      <c r="L673" s="27">
        <v>4750</v>
      </c>
      <c r="M673" s="27">
        <v>4250</v>
      </c>
      <c r="N673" s="27">
        <v>1425</v>
      </c>
      <c r="O673" s="27">
        <v>855</v>
      </c>
      <c r="P673" s="27" t="s">
        <v>13</v>
      </c>
      <c r="Q673" s="27">
        <v>1993</v>
      </c>
      <c r="R673" s="27">
        <v>1</v>
      </c>
      <c r="S673" s="27">
        <v>0</v>
      </c>
      <c r="T673" s="27">
        <v>-1.8E-3</v>
      </c>
      <c r="U673" s="27">
        <v>-1.2E-2</v>
      </c>
      <c r="V673" s="27">
        <v>0</v>
      </c>
      <c r="W673" s="27">
        <v>0</v>
      </c>
      <c r="X673" s="27" t="s">
        <v>34</v>
      </c>
    </row>
    <row r="674" spans="1:24">
      <c r="A674" s="27">
        <v>1</v>
      </c>
      <c r="B674" s="27">
        <v>7</v>
      </c>
      <c r="C674" s="27">
        <v>24</v>
      </c>
      <c r="D674" s="27">
        <v>2010</v>
      </c>
      <c r="E674" s="27">
        <v>2010</v>
      </c>
      <c r="F674" s="27">
        <v>6</v>
      </c>
      <c r="G674" s="27">
        <v>24</v>
      </c>
      <c r="H674" s="27">
        <v>0</v>
      </c>
      <c r="I674" s="27">
        <v>0</v>
      </c>
      <c r="J674" s="27">
        <v>0</v>
      </c>
      <c r="K674" s="27">
        <v>0.98</v>
      </c>
      <c r="L674" s="27">
        <v>4750</v>
      </c>
      <c r="M674" s="27">
        <v>4250</v>
      </c>
      <c r="N674" s="27">
        <v>1425</v>
      </c>
      <c r="O674" s="27">
        <v>855</v>
      </c>
      <c r="P674" s="27" t="s">
        <v>13</v>
      </c>
      <c r="Q674" s="27">
        <v>1993</v>
      </c>
      <c r="R674" s="27">
        <v>1</v>
      </c>
      <c r="S674" s="27">
        <v>0</v>
      </c>
      <c r="T674" s="27">
        <v>-1.8E-3</v>
      </c>
      <c r="U674" s="27">
        <v>-1.2E-2</v>
      </c>
      <c r="V674" s="27">
        <v>0</v>
      </c>
      <c r="W674" s="27">
        <v>0</v>
      </c>
      <c r="X674" s="27" t="s">
        <v>34</v>
      </c>
    </row>
    <row r="675" spans="1:24">
      <c r="A675" s="27">
        <v>1</v>
      </c>
      <c r="B675" s="27">
        <v>7</v>
      </c>
      <c r="C675" s="27">
        <v>24</v>
      </c>
      <c r="D675" s="27">
        <v>2010</v>
      </c>
      <c r="E675" s="27">
        <v>2010</v>
      </c>
      <c r="F675" s="27">
        <v>7</v>
      </c>
      <c r="G675" s="27">
        <v>24</v>
      </c>
      <c r="H675" s="27">
        <v>0</v>
      </c>
      <c r="I675" s="27">
        <v>0</v>
      </c>
      <c r="J675" s="27">
        <v>0</v>
      </c>
      <c r="K675" s="27">
        <v>0.98</v>
      </c>
      <c r="L675" s="27">
        <v>4750</v>
      </c>
      <c r="M675" s="27">
        <v>4250</v>
      </c>
      <c r="N675" s="27">
        <v>1425</v>
      </c>
      <c r="O675" s="27">
        <v>855</v>
      </c>
      <c r="P675" s="27" t="s">
        <v>13</v>
      </c>
      <c r="Q675" s="27">
        <v>1993</v>
      </c>
      <c r="R675" s="27">
        <v>1</v>
      </c>
      <c r="S675" s="27">
        <v>0</v>
      </c>
      <c r="T675" s="27">
        <v>-1.8E-3</v>
      </c>
      <c r="U675" s="27">
        <v>-1.2E-2</v>
      </c>
      <c r="V675" s="27">
        <v>0</v>
      </c>
      <c r="W675" s="27">
        <v>0</v>
      </c>
      <c r="X675" s="27" t="s">
        <v>34</v>
      </c>
    </row>
    <row r="676" spans="1:24">
      <c r="A676" s="27">
        <v>1</v>
      </c>
      <c r="B676" s="27">
        <v>7</v>
      </c>
      <c r="C676" s="27">
        <v>24</v>
      </c>
      <c r="D676" s="27">
        <v>2010</v>
      </c>
      <c r="E676" s="27">
        <v>2010</v>
      </c>
      <c r="F676" s="27">
        <v>8</v>
      </c>
      <c r="G676" s="27">
        <v>24</v>
      </c>
      <c r="H676" s="27">
        <v>0</v>
      </c>
      <c r="I676" s="27">
        <v>0</v>
      </c>
      <c r="J676" s="27">
        <v>0</v>
      </c>
      <c r="K676" s="27">
        <v>0.98</v>
      </c>
      <c r="L676" s="27">
        <v>4750</v>
      </c>
      <c r="M676" s="27">
        <v>4250</v>
      </c>
      <c r="N676" s="27">
        <v>1425</v>
      </c>
      <c r="O676" s="27">
        <v>855</v>
      </c>
      <c r="P676" s="27" t="s">
        <v>13</v>
      </c>
      <c r="Q676" s="27">
        <v>1993</v>
      </c>
      <c r="R676" s="27">
        <v>1</v>
      </c>
      <c r="S676" s="27">
        <v>0</v>
      </c>
      <c r="T676" s="27">
        <v>-1.8E-3</v>
      </c>
      <c r="U676" s="27">
        <v>-1.2E-2</v>
      </c>
      <c r="V676" s="27">
        <v>0</v>
      </c>
      <c r="W676" s="27">
        <v>0</v>
      </c>
      <c r="X676" s="27" t="s">
        <v>34</v>
      </c>
    </row>
    <row r="677" spans="1:24">
      <c r="A677" s="27">
        <v>1</v>
      </c>
      <c r="B677" s="27">
        <v>7</v>
      </c>
      <c r="C677" s="27">
        <v>24</v>
      </c>
      <c r="D677" s="27">
        <v>2010</v>
      </c>
      <c r="E677" s="27">
        <v>2010</v>
      </c>
      <c r="F677" s="27">
        <v>9</v>
      </c>
      <c r="G677" s="27">
        <v>24</v>
      </c>
      <c r="H677" s="27">
        <v>0</v>
      </c>
      <c r="I677" s="27">
        <v>0</v>
      </c>
      <c r="J677" s="27">
        <v>0</v>
      </c>
      <c r="K677" s="27">
        <v>0.98</v>
      </c>
      <c r="L677" s="27">
        <v>4750</v>
      </c>
      <c r="M677" s="27">
        <v>4250</v>
      </c>
      <c r="N677" s="27">
        <v>1425</v>
      </c>
      <c r="O677" s="27">
        <v>855</v>
      </c>
      <c r="P677" s="27" t="s">
        <v>13</v>
      </c>
      <c r="Q677" s="27">
        <v>1993</v>
      </c>
      <c r="R677" s="27">
        <v>1</v>
      </c>
      <c r="S677" s="27">
        <v>0</v>
      </c>
      <c r="T677" s="27">
        <v>-1.8E-3</v>
      </c>
      <c r="U677" s="27">
        <v>-1.2E-2</v>
      </c>
      <c r="V677" s="27">
        <v>0</v>
      </c>
      <c r="W677" s="27">
        <v>0</v>
      </c>
      <c r="X677" s="27" t="s">
        <v>34</v>
      </c>
    </row>
    <row r="678" spans="1:24">
      <c r="A678" s="27">
        <v>1</v>
      </c>
      <c r="B678" s="27">
        <v>7</v>
      </c>
      <c r="C678" s="27">
        <v>24</v>
      </c>
      <c r="D678" s="27">
        <v>2011</v>
      </c>
      <c r="E678" s="27">
        <v>2011</v>
      </c>
      <c r="F678" s="27">
        <v>1</v>
      </c>
      <c r="G678" s="27">
        <v>24</v>
      </c>
      <c r="H678" s="27">
        <v>0</v>
      </c>
      <c r="I678" s="27">
        <v>0</v>
      </c>
      <c r="J678" s="27">
        <v>0</v>
      </c>
      <c r="K678" s="27">
        <v>0.98</v>
      </c>
      <c r="L678" s="27">
        <v>4750</v>
      </c>
      <c r="M678" s="27">
        <v>4250</v>
      </c>
      <c r="N678" s="27">
        <v>150</v>
      </c>
      <c r="O678" s="27">
        <v>90</v>
      </c>
      <c r="P678" s="27" t="s">
        <v>13</v>
      </c>
      <c r="Q678" s="27">
        <v>1993</v>
      </c>
      <c r="R678" s="27">
        <v>1</v>
      </c>
      <c r="S678" s="27">
        <v>0</v>
      </c>
      <c r="T678" s="27">
        <v>-1.8E-3</v>
      </c>
      <c r="U678" s="27">
        <v>-1.2E-2</v>
      </c>
      <c r="V678" s="27">
        <v>0</v>
      </c>
      <c r="W678" s="27">
        <v>0</v>
      </c>
      <c r="X678" s="27" t="s">
        <v>34</v>
      </c>
    </row>
    <row r="679" spans="1:24">
      <c r="A679" s="27">
        <v>1</v>
      </c>
      <c r="B679" s="27">
        <v>7</v>
      </c>
      <c r="C679" s="27">
        <v>24</v>
      </c>
      <c r="D679" s="27">
        <v>2011</v>
      </c>
      <c r="E679" s="27">
        <v>2011</v>
      </c>
      <c r="F679" s="27">
        <v>2</v>
      </c>
      <c r="G679" s="27">
        <v>24</v>
      </c>
      <c r="H679" s="27">
        <v>0</v>
      </c>
      <c r="I679" s="27">
        <v>0</v>
      </c>
      <c r="J679" s="27">
        <v>0</v>
      </c>
      <c r="K679" s="27">
        <v>0.98</v>
      </c>
      <c r="L679" s="27">
        <v>4750</v>
      </c>
      <c r="M679" s="27">
        <v>4250</v>
      </c>
      <c r="N679" s="27">
        <v>150</v>
      </c>
      <c r="O679" s="27">
        <v>90</v>
      </c>
      <c r="P679" s="27" t="s">
        <v>13</v>
      </c>
      <c r="Q679" s="27">
        <v>1993</v>
      </c>
      <c r="R679" s="27">
        <v>1</v>
      </c>
      <c r="S679" s="27">
        <v>0</v>
      </c>
      <c r="T679" s="27">
        <v>-1.8E-3</v>
      </c>
      <c r="U679" s="27">
        <v>-1.2E-2</v>
      </c>
      <c r="V679" s="27">
        <v>0</v>
      </c>
      <c r="W679" s="27">
        <v>0</v>
      </c>
      <c r="X679" s="27" t="s">
        <v>34</v>
      </c>
    </row>
    <row r="680" spans="1:24">
      <c r="A680" s="27">
        <v>1</v>
      </c>
      <c r="B680" s="27">
        <v>7</v>
      </c>
      <c r="C680" s="27">
        <v>24</v>
      </c>
      <c r="D680" s="27">
        <v>2011</v>
      </c>
      <c r="E680" s="27">
        <v>2011</v>
      </c>
      <c r="F680" s="27">
        <v>3</v>
      </c>
      <c r="G680" s="27">
        <v>24</v>
      </c>
      <c r="H680" s="27">
        <v>0</v>
      </c>
      <c r="I680" s="27">
        <v>0</v>
      </c>
      <c r="J680" s="27">
        <v>0</v>
      </c>
      <c r="K680" s="27">
        <v>0.98</v>
      </c>
      <c r="L680" s="27">
        <v>4750</v>
      </c>
      <c r="M680" s="27">
        <v>4250</v>
      </c>
      <c r="N680" s="27">
        <v>150</v>
      </c>
      <c r="O680" s="27">
        <v>90</v>
      </c>
      <c r="P680" s="27" t="s">
        <v>13</v>
      </c>
      <c r="Q680" s="27">
        <v>1993</v>
      </c>
      <c r="R680" s="27">
        <v>1</v>
      </c>
      <c r="S680" s="27">
        <v>0</v>
      </c>
      <c r="T680" s="27">
        <v>-1.8E-3</v>
      </c>
      <c r="U680" s="27">
        <v>-1.2E-2</v>
      </c>
      <c r="V680" s="27">
        <v>0</v>
      </c>
      <c r="W680" s="27">
        <v>0</v>
      </c>
      <c r="X680" s="27" t="s">
        <v>34</v>
      </c>
    </row>
    <row r="681" spans="1:24">
      <c r="A681" s="27">
        <v>1</v>
      </c>
      <c r="B681" s="27">
        <v>7</v>
      </c>
      <c r="C681" s="27">
        <v>24</v>
      </c>
      <c r="D681" s="27">
        <v>2011</v>
      </c>
      <c r="E681" s="27">
        <v>2011</v>
      </c>
      <c r="F681" s="27">
        <v>4</v>
      </c>
      <c r="G681" s="27">
        <v>24</v>
      </c>
      <c r="H681" s="27">
        <v>0</v>
      </c>
      <c r="I681" s="27">
        <v>0</v>
      </c>
      <c r="J681" s="27">
        <v>0</v>
      </c>
      <c r="K681" s="27">
        <v>0.98</v>
      </c>
      <c r="L681" s="27">
        <v>4750</v>
      </c>
      <c r="M681" s="27">
        <v>4250</v>
      </c>
      <c r="N681" s="27">
        <v>150</v>
      </c>
      <c r="O681" s="27">
        <v>90</v>
      </c>
      <c r="P681" s="27" t="s">
        <v>13</v>
      </c>
      <c r="Q681" s="27">
        <v>1993</v>
      </c>
      <c r="R681" s="27">
        <v>1</v>
      </c>
      <c r="S681" s="27">
        <v>0</v>
      </c>
      <c r="T681" s="27">
        <v>-1.8E-3</v>
      </c>
      <c r="U681" s="27">
        <v>-1.2E-2</v>
      </c>
      <c r="V681" s="27">
        <v>0</v>
      </c>
      <c r="W681" s="27">
        <v>0</v>
      </c>
      <c r="X681" s="27" t="s">
        <v>34</v>
      </c>
    </row>
    <row r="682" spans="1:24">
      <c r="A682" s="27">
        <v>1</v>
      </c>
      <c r="B682" s="27">
        <v>7</v>
      </c>
      <c r="C682" s="27">
        <v>24</v>
      </c>
      <c r="D682" s="27">
        <v>2011</v>
      </c>
      <c r="E682" s="27">
        <v>2011</v>
      </c>
      <c r="F682" s="27">
        <v>5</v>
      </c>
      <c r="G682" s="27">
        <v>24</v>
      </c>
      <c r="H682" s="27">
        <v>0</v>
      </c>
      <c r="I682" s="27">
        <v>0</v>
      </c>
      <c r="J682" s="27">
        <v>0</v>
      </c>
      <c r="K682" s="27">
        <v>0.98</v>
      </c>
      <c r="L682" s="27">
        <v>4750</v>
      </c>
      <c r="M682" s="27">
        <v>4250</v>
      </c>
      <c r="N682" s="27">
        <v>150</v>
      </c>
      <c r="O682" s="27">
        <v>90</v>
      </c>
      <c r="P682" s="27" t="s">
        <v>13</v>
      </c>
      <c r="Q682" s="27">
        <v>1993</v>
      </c>
      <c r="R682" s="27">
        <v>1</v>
      </c>
      <c r="S682" s="27">
        <v>0</v>
      </c>
      <c r="T682" s="27">
        <v>-1.8E-3</v>
      </c>
      <c r="U682" s="27">
        <v>-1.2E-2</v>
      </c>
      <c r="V682" s="27">
        <v>0</v>
      </c>
      <c r="W682" s="27">
        <v>0</v>
      </c>
      <c r="X682" s="27" t="s">
        <v>34</v>
      </c>
    </row>
    <row r="683" spans="1:24">
      <c r="A683" s="27">
        <v>1</v>
      </c>
      <c r="B683" s="27">
        <v>7</v>
      </c>
      <c r="C683" s="27">
        <v>24</v>
      </c>
      <c r="D683" s="27">
        <v>2011</v>
      </c>
      <c r="E683" s="27">
        <v>2011</v>
      </c>
      <c r="F683" s="27">
        <v>6</v>
      </c>
      <c r="G683" s="27">
        <v>24</v>
      </c>
      <c r="H683" s="27">
        <v>0</v>
      </c>
      <c r="I683" s="27">
        <v>0</v>
      </c>
      <c r="J683" s="27">
        <v>0</v>
      </c>
      <c r="K683" s="27">
        <v>0.98</v>
      </c>
      <c r="L683" s="27">
        <v>4750</v>
      </c>
      <c r="M683" s="27">
        <v>4250</v>
      </c>
      <c r="N683" s="27">
        <v>150</v>
      </c>
      <c r="O683" s="27">
        <v>90</v>
      </c>
      <c r="P683" s="27" t="s">
        <v>13</v>
      </c>
      <c r="Q683" s="27">
        <v>1993</v>
      </c>
      <c r="R683" s="27">
        <v>1</v>
      </c>
      <c r="S683" s="27">
        <v>0</v>
      </c>
      <c r="T683" s="27">
        <v>-1.8E-3</v>
      </c>
      <c r="U683" s="27">
        <v>-1.2E-2</v>
      </c>
      <c r="V683" s="27">
        <v>0</v>
      </c>
      <c r="W683" s="27">
        <v>0</v>
      </c>
      <c r="X683" s="27" t="s">
        <v>34</v>
      </c>
    </row>
    <row r="684" spans="1:24">
      <c r="A684" s="27">
        <v>1</v>
      </c>
      <c r="B684" s="27">
        <v>7</v>
      </c>
      <c r="C684" s="27">
        <v>24</v>
      </c>
      <c r="D684" s="27">
        <v>2011</v>
      </c>
      <c r="E684" s="27">
        <v>2011</v>
      </c>
      <c r="F684" s="27">
        <v>7</v>
      </c>
      <c r="G684" s="27">
        <v>24</v>
      </c>
      <c r="H684" s="27">
        <v>0</v>
      </c>
      <c r="I684" s="27">
        <v>0</v>
      </c>
      <c r="J684" s="27">
        <v>0</v>
      </c>
      <c r="K684" s="27">
        <v>0.98</v>
      </c>
      <c r="L684" s="27">
        <v>4750</v>
      </c>
      <c r="M684" s="27">
        <v>4250</v>
      </c>
      <c r="N684" s="27">
        <v>150</v>
      </c>
      <c r="O684" s="27">
        <v>90</v>
      </c>
      <c r="P684" s="27" t="s">
        <v>13</v>
      </c>
      <c r="Q684" s="27">
        <v>1993</v>
      </c>
      <c r="R684" s="27">
        <v>1</v>
      </c>
      <c r="S684" s="27">
        <v>0</v>
      </c>
      <c r="T684" s="27">
        <v>-1.8E-3</v>
      </c>
      <c r="U684" s="27">
        <v>-1.2E-2</v>
      </c>
      <c r="V684" s="27">
        <v>0</v>
      </c>
      <c r="W684" s="27">
        <v>0</v>
      </c>
      <c r="X684" s="27" t="s">
        <v>34</v>
      </c>
    </row>
    <row r="685" spans="1:24">
      <c r="A685" s="27">
        <v>1</v>
      </c>
      <c r="B685" s="27">
        <v>7</v>
      </c>
      <c r="C685" s="27">
        <v>24</v>
      </c>
      <c r="D685" s="27">
        <v>2011</v>
      </c>
      <c r="E685" s="27">
        <v>2011</v>
      </c>
      <c r="F685" s="27">
        <v>8</v>
      </c>
      <c r="G685" s="27">
        <v>24</v>
      </c>
      <c r="H685" s="27">
        <v>0</v>
      </c>
      <c r="I685" s="27">
        <v>0</v>
      </c>
      <c r="J685" s="27">
        <v>0</v>
      </c>
      <c r="K685" s="27">
        <v>0.98</v>
      </c>
      <c r="L685" s="27">
        <v>4750</v>
      </c>
      <c r="M685" s="27">
        <v>4250</v>
      </c>
      <c r="N685" s="27">
        <v>150</v>
      </c>
      <c r="O685" s="27">
        <v>90</v>
      </c>
      <c r="P685" s="27" t="s">
        <v>13</v>
      </c>
      <c r="Q685" s="27">
        <v>1993</v>
      </c>
      <c r="R685" s="27">
        <v>1</v>
      </c>
      <c r="S685" s="27">
        <v>0</v>
      </c>
      <c r="T685" s="27">
        <v>-1.8E-3</v>
      </c>
      <c r="U685" s="27">
        <v>-1.2E-2</v>
      </c>
      <c r="V685" s="27">
        <v>0</v>
      </c>
      <c r="W685" s="27">
        <v>0</v>
      </c>
      <c r="X685" s="27" t="s">
        <v>34</v>
      </c>
    </row>
    <row r="686" spans="1:24">
      <c r="A686" s="27">
        <v>1</v>
      </c>
      <c r="B686" s="27">
        <v>7</v>
      </c>
      <c r="C686" s="27">
        <v>24</v>
      </c>
      <c r="D686" s="27">
        <v>2011</v>
      </c>
      <c r="E686" s="27">
        <v>2011</v>
      </c>
      <c r="F686" s="27">
        <v>9</v>
      </c>
      <c r="G686" s="27">
        <v>24</v>
      </c>
      <c r="H686" s="27">
        <v>0</v>
      </c>
      <c r="I686" s="27">
        <v>0</v>
      </c>
      <c r="J686" s="27">
        <v>0</v>
      </c>
      <c r="K686" s="27">
        <v>0.98</v>
      </c>
      <c r="L686" s="27">
        <v>4750</v>
      </c>
      <c r="M686" s="27">
        <v>4250</v>
      </c>
      <c r="N686" s="27">
        <v>150</v>
      </c>
      <c r="O686" s="27">
        <v>90</v>
      </c>
      <c r="P686" s="27" t="s">
        <v>13</v>
      </c>
      <c r="Q686" s="27">
        <v>1993</v>
      </c>
      <c r="R686" s="27">
        <v>1</v>
      </c>
      <c r="S686" s="27">
        <v>0</v>
      </c>
      <c r="T686" s="27">
        <v>-1.8E-3</v>
      </c>
      <c r="U686" s="27">
        <v>-1.2E-2</v>
      </c>
      <c r="V686" s="27">
        <v>0</v>
      </c>
      <c r="W686" s="27">
        <v>0</v>
      </c>
      <c r="X686" s="27" t="s">
        <v>34</v>
      </c>
    </row>
    <row r="687" spans="1:24">
      <c r="A687" s="27">
        <v>1</v>
      </c>
      <c r="B687" s="27">
        <v>7</v>
      </c>
      <c r="C687" s="27">
        <v>24</v>
      </c>
      <c r="D687" s="27">
        <v>2012</v>
      </c>
      <c r="E687" s="27">
        <v>2012</v>
      </c>
      <c r="F687" s="27">
        <v>1</v>
      </c>
      <c r="G687" s="27">
        <v>24</v>
      </c>
      <c r="H687" s="27">
        <v>0</v>
      </c>
      <c r="I687" s="27">
        <v>0</v>
      </c>
      <c r="J687" s="27">
        <v>0</v>
      </c>
      <c r="K687" s="27">
        <v>0.98</v>
      </c>
      <c r="L687" s="27">
        <v>4750</v>
      </c>
      <c r="M687" s="27">
        <v>4250</v>
      </c>
      <c r="N687" s="27">
        <v>0</v>
      </c>
      <c r="O687" s="27">
        <v>0</v>
      </c>
      <c r="P687" s="27" t="s">
        <v>13</v>
      </c>
      <c r="Q687" s="27">
        <v>1993</v>
      </c>
      <c r="R687" s="27">
        <v>1</v>
      </c>
      <c r="S687" s="27">
        <v>0</v>
      </c>
      <c r="T687" s="27">
        <v>-1.8E-3</v>
      </c>
      <c r="U687" s="27">
        <v>-1.2E-2</v>
      </c>
      <c r="V687" s="27">
        <v>0</v>
      </c>
      <c r="W687" s="27">
        <v>0</v>
      </c>
      <c r="X687" s="27" t="s">
        <v>34</v>
      </c>
    </row>
    <row r="688" spans="1:24">
      <c r="A688" s="27">
        <v>1</v>
      </c>
      <c r="B688" s="27">
        <v>7</v>
      </c>
      <c r="C688" s="27">
        <v>24</v>
      </c>
      <c r="D688" s="27">
        <v>2012</v>
      </c>
      <c r="E688" s="27">
        <v>2012</v>
      </c>
      <c r="F688" s="27">
        <v>2</v>
      </c>
      <c r="G688" s="27">
        <v>24</v>
      </c>
      <c r="H688" s="27">
        <v>0</v>
      </c>
      <c r="I688" s="27">
        <v>0</v>
      </c>
      <c r="J688" s="27">
        <v>0</v>
      </c>
      <c r="K688" s="27">
        <v>0.98</v>
      </c>
      <c r="L688" s="27">
        <v>4750</v>
      </c>
      <c r="M688" s="27">
        <v>4250</v>
      </c>
      <c r="N688" s="27">
        <v>0</v>
      </c>
      <c r="O688" s="27">
        <v>0</v>
      </c>
      <c r="P688" s="27" t="s">
        <v>13</v>
      </c>
      <c r="Q688" s="27">
        <v>1993</v>
      </c>
      <c r="R688" s="27">
        <v>1</v>
      </c>
      <c r="S688" s="27">
        <v>0</v>
      </c>
      <c r="T688" s="27">
        <v>-1.8E-3</v>
      </c>
      <c r="U688" s="27">
        <v>-1.2E-2</v>
      </c>
      <c r="V688" s="27">
        <v>0</v>
      </c>
      <c r="W688" s="27">
        <v>0</v>
      </c>
      <c r="X688" s="27" t="s">
        <v>34</v>
      </c>
    </row>
    <row r="689" spans="1:24">
      <c r="A689" s="27">
        <v>1</v>
      </c>
      <c r="B689" s="27">
        <v>7</v>
      </c>
      <c r="C689" s="27">
        <v>24</v>
      </c>
      <c r="D689" s="27">
        <v>2012</v>
      </c>
      <c r="E689" s="27">
        <v>2012</v>
      </c>
      <c r="F689" s="27">
        <v>3</v>
      </c>
      <c r="G689" s="27">
        <v>24</v>
      </c>
      <c r="H689" s="27">
        <v>0</v>
      </c>
      <c r="I689" s="27">
        <v>0</v>
      </c>
      <c r="J689" s="27">
        <v>0</v>
      </c>
      <c r="K689" s="27">
        <v>0.98</v>
      </c>
      <c r="L689" s="27">
        <v>4750</v>
      </c>
      <c r="M689" s="27">
        <v>4250</v>
      </c>
      <c r="N689" s="27">
        <v>0</v>
      </c>
      <c r="O689" s="27">
        <v>0</v>
      </c>
      <c r="P689" s="27" t="s">
        <v>13</v>
      </c>
      <c r="Q689" s="27">
        <v>1993</v>
      </c>
      <c r="R689" s="27">
        <v>1</v>
      </c>
      <c r="S689" s="27">
        <v>0</v>
      </c>
      <c r="T689" s="27">
        <v>-1.8E-3</v>
      </c>
      <c r="U689" s="27">
        <v>-1.2E-2</v>
      </c>
      <c r="V689" s="27">
        <v>0</v>
      </c>
      <c r="W689" s="27">
        <v>0</v>
      </c>
      <c r="X689" s="27" t="s">
        <v>34</v>
      </c>
    </row>
    <row r="690" spans="1:24">
      <c r="A690" s="27">
        <v>1</v>
      </c>
      <c r="B690" s="27">
        <v>7</v>
      </c>
      <c r="C690" s="27">
        <v>24</v>
      </c>
      <c r="D690" s="27">
        <v>2012</v>
      </c>
      <c r="E690" s="27">
        <v>2012</v>
      </c>
      <c r="F690" s="27">
        <v>4</v>
      </c>
      <c r="G690" s="27">
        <v>24</v>
      </c>
      <c r="H690" s="27">
        <v>0</v>
      </c>
      <c r="I690" s="27">
        <v>0</v>
      </c>
      <c r="J690" s="27">
        <v>0</v>
      </c>
      <c r="K690" s="27">
        <v>0.98</v>
      </c>
      <c r="L690" s="27">
        <v>4750</v>
      </c>
      <c r="M690" s="27">
        <v>4250</v>
      </c>
      <c r="N690" s="27">
        <v>0</v>
      </c>
      <c r="O690" s="27">
        <v>0</v>
      </c>
      <c r="P690" s="27" t="s">
        <v>13</v>
      </c>
      <c r="Q690" s="27">
        <v>1993</v>
      </c>
      <c r="R690" s="27">
        <v>1</v>
      </c>
      <c r="S690" s="27">
        <v>0</v>
      </c>
      <c r="T690" s="27">
        <v>-1.8E-3</v>
      </c>
      <c r="U690" s="27">
        <v>-1.2E-2</v>
      </c>
      <c r="V690" s="27">
        <v>0</v>
      </c>
      <c r="W690" s="27">
        <v>0</v>
      </c>
      <c r="X690" s="27" t="s">
        <v>34</v>
      </c>
    </row>
    <row r="691" spans="1:24">
      <c r="A691" s="27">
        <v>1</v>
      </c>
      <c r="B691" s="27">
        <v>7</v>
      </c>
      <c r="C691" s="27">
        <v>24</v>
      </c>
      <c r="D691" s="27">
        <v>2012</v>
      </c>
      <c r="E691" s="27">
        <v>2012</v>
      </c>
      <c r="F691" s="27">
        <v>5</v>
      </c>
      <c r="G691" s="27">
        <v>24</v>
      </c>
      <c r="H691" s="27">
        <v>0</v>
      </c>
      <c r="I691" s="27">
        <v>0</v>
      </c>
      <c r="J691" s="27">
        <v>0</v>
      </c>
      <c r="K691" s="27">
        <v>0.98</v>
      </c>
      <c r="L691" s="27">
        <v>4750</v>
      </c>
      <c r="M691" s="27">
        <v>4250</v>
      </c>
      <c r="N691" s="27">
        <v>0</v>
      </c>
      <c r="O691" s="27">
        <v>0</v>
      </c>
      <c r="P691" s="27" t="s">
        <v>13</v>
      </c>
      <c r="Q691" s="27">
        <v>1993</v>
      </c>
      <c r="R691" s="27">
        <v>1</v>
      </c>
      <c r="S691" s="27">
        <v>0</v>
      </c>
      <c r="T691" s="27">
        <v>-1.8E-3</v>
      </c>
      <c r="U691" s="27">
        <v>-1.2E-2</v>
      </c>
      <c r="V691" s="27">
        <v>0</v>
      </c>
      <c r="W691" s="27">
        <v>0</v>
      </c>
      <c r="X691" s="27" t="s">
        <v>34</v>
      </c>
    </row>
    <row r="692" spans="1:24">
      <c r="A692" s="27">
        <v>1</v>
      </c>
      <c r="B692" s="27">
        <v>7</v>
      </c>
      <c r="C692" s="27">
        <v>24</v>
      </c>
      <c r="D692" s="27">
        <v>2012</v>
      </c>
      <c r="E692" s="27">
        <v>2012</v>
      </c>
      <c r="F692" s="27">
        <v>6</v>
      </c>
      <c r="G692" s="27">
        <v>24</v>
      </c>
      <c r="H692" s="27">
        <v>0</v>
      </c>
      <c r="I692" s="27">
        <v>0</v>
      </c>
      <c r="J692" s="27">
        <v>0</v>
      </c>
      <c r="K692" s="27">
        <v>0.98</v>
      </c>
      <c r="L692" s="27">
        <v>4750</v>
      </c>
      <c r="M692" s="27">
        <v>4250</v>
      </c>
      <c r="N692" s="27">
        <v>0</v>
      </c>
      <c r="O692" s="27">
        <v>0</v>
      </c>
      <c r="P692" s="27" t="s">
        <v>13</v>
      </c>
      <c r="Q692" s="27">
        <v>1993</v>
      </c>
      <c r="R692" s="27">
        <v>1</v>
      </c>
      <c r="S692" s="27">
        <v>0</v>
      </c>
      <c r="T692" s="27">
        <v>-1.8E-3</v>
      </c>
      <c r="U692" s="27">
        <v>-1.2E-2</v>
      </c>
      <c r="V692" s="27">
        <v>0</v>
      </c>
      <c r="W692" s="27">
        <v>0</v>
      </c>
      <c r="X692" s="27" t="s">
        <v>34</v>
      </c>
    </row>
    <row r="693" spans="1:24">
      <c r="A693" s="27">
        <v>1</v>
      </c>
      <c r="B693" s="27">
        <v>7</v>
      </c>
      <c r="C693" s="27">
        <v>24</v>
      </c>
      <c r="D693" s="27">
        <v>2012</v>
      </c>
      <c r="E693" s="27">
        <v>2012</v>
      </c>
      <c r="F693" s="27">
        <v>7</v>
      </c>
      <c r="G693" s="27">
        <v>24</v>
      </c>
      <c r="H693" s="27">
        <v>0</v>
      </c>
      <c r="I693" s="27">
        <v>0</v>
      </c>
      <c r="J693" s="27">
        <v>0</v>
      </c>
      <c r="K693" s="27">
        <v>0.98</v>
      </c>
      <c r="L693" s="27">
        <v>4750</v>
      </c>
      <c r="M693" s="27">
        <v>4250</v>
      </c>
      <c r="N693" s="27">
        <v>0</v>
      </c>
      <c r="O693" s="27">
        <v>0</v>
      </c>
      <c r="P693" s="27" t="s">
        <v>13</v>
      </c>
      <c r="Q693" s="27">
        <v>1993</v>
      </c>
      <c r="R693" s="27">
        <v>1</v>
      </c>
      <c r="S693" s="27">
        <v>0</v>
      </c>
      <c r="T693" s="27">
        <v>-1.8E-3</v>
      </c>
      <c r="U693" s="27">
        <v>-1.2E-2</v>
      </c>
      <c r="V693" s="27">
        <v>0</v>
      </c>
      <c r="W693" s="27">
        <v>0</v>
      </c>
      <c r="X693" s="27" t="s">
        <v>34</v>
      </c>
    </row>
    <row r="694" spans="1:24">
      <c r="A694" s="27">
        <v>1</v>
      </c>
      <c r="B694" s="27">
        <v>7</v>
      </c>
      <c r="C694" s="27">
        <v>24</v>
      </c>
      <c r="D694" s="27">
        <v>2012</v>
      </c>
      <c r="E694" s="27">
        <v>2012</v>
      </c>
      <c r="F694" s="27">
        <v>8</v>
      </c>
      <c r="G694" s="27">
        <v>24</v>
      </c>
      <c r="H694" s="27">
        <v>0</v>
      </c>
      <c r="I694" s="27">
        <v>0</v>
      </c>
      <c r="J694" s="27">
        <v>0</v>
      </c>
      <c r="K694" s="27">
        <v>0.98</v>
      </c>
      <c r="L694" s="27">
        <v>4750</v>
      </c>
      <c r="M694" s="27">
        <v>4250</v>
      </c>
      <c r="N694" s="27">
        <v>0</v>
      </c>
      <c r="O694" s="27">
        <v>0</v>
      </c>
      <c r="P694" s="27" t="s">
        <v>13</v>
      </c>
      <c r="Q694" s="27">
        <v>1993</v>
      </c>
      <c r="R694" s="27">
        <v>1</v>
      </c>
      <c r="S694" s="27">
        <v>0</v>
      </c>
      <c r="T694" s="27">
        <v>-1.8E-3</v>
      </c>
      <c r="U694" s="27">
        <v>-1.2E-2</v>
      </c>
      <c r="V694" s="27">
        <v>0</v>
      </c>
      <c r="W694" s="27">
        <v>0</v>
      </c>
      <c r="X694" s="27" t="s">
        <v>34</v>
      </c>
    </row>
    <row r="695" spans="1:24">
      <c r="A695" s="27">
        <v>1</v>
      </c>
      <c r="B695" s="27">
        <v>7</v>
      </c>
      <c r="C695" s="27">
        <v>24</v>
      </c>
      <c r="D695" s="27">
        <v>2012</v>
      </c>
      <c r="E695" s="27">
        <v>2012</v>
      </c>
      <c r="F695" s="27">
        <v>9</v>
      </c>
      <c r="G695" s="27">
        <v>24</v>
      </c>
      <c r="H695" s="27">
        <v>0</v>
      </c>
      <c r="I695" s="27">
        <v>0</v>
      </c>
      <c r="J695" s="27">
        <v>0</v>
      </c>
      <c r="K695" s="27">
        <v>0.98</v>
      </c>
      <c r="L695" s="27">
        <v>4750</v>
      </c>
      <c r="M695" s="27">
        <v>4250</v>
      </c>
      <c r="N695" s="27">
        <v>0</v>
      </c>
      <c r="O695" s="27">
        <v>0</v>
      </c>
      <c r="P695" s="27" t="s">
        <v>13</v>
      </c>
      <c r="Q695" s="27">
        <v>1993</v>
      </c>
      <c r="R695" s="27">
        <v>1</v>
      </c>
      <c r="S695" s="27">
        <v>0</v>
      </c>
      <c r="T695" s="27">
        <v>-1.8E-3</v>
      </c>
      <c r="U695" s="27">
        <v>-1.2E-2</v>
      </c>
      <c r="V695" s="27">
        <v>0</v>
      </c>
      <c r="W695" s="27">
        <v>0</v>
      </c>
      <c r="X695" s="27" t="s">
        <v>34</v>
      </c>
    </row>
    <row r="696" spans="1:24">
      <c r="A696" s="27">
        <v>1</v>
      </c>
      <c r="B696" s="27">
        <v>7</v>
      </c>
      <c r="C696" s="27">
        <v>24</v>
      </c>
      <c r="D696" s="27">
        <v>2013</v>
      </c>
      <c r="E696" s="27">
        <v>2013</v>
      </c>
      <c r="F696" s="27">
        <v>1</v>
      </c>
      <c r="G696" s="27">
        <v>24</v>
      </c>
      <c r="H696" s="27">
        <v>0</v>
      </c>
      <c r="I696" s="27">
        <v>0</v>
      </c>
      <c r="J696" s="27">
        <v>0</v>
      </c>
      <c r="K696" s="27">
        <v>0.98</v>
      </c>
      <c r="L696" s="27">
        <v>4750</v>
      </c>
      <c r="M696" s="27">
        <v>4250</v>
      </c>
      <c r="N696" s="27">
        <v>150</v>
      </c>
      <c r="O696" s="27">
        <v>90</v>
      </c>
      <c r="P696" s="27" t="s">
        <v>13</v>
      </c>
      <c r="Q696" s="27">
        <v>1993</v>
      </c>
      <c r="R696" s="27">
        <v>1</v>
      </c>
      <c r="S696" s="27">
        <v>0</v>
      </c>
      <c r="T696" s="27">
        <v>-1.8E-3</v>
      </c>
      <c r="U696" s="27">
        <v>-1.2E-2</v>
      </c>
      <c r="V696" s="27">
        <v>0</v>
      </c>
      <c r="W696" s="27">
        <v>0</v>
      </c>
      <c r="X696" s="27" t="s">
        <v>34</v>
      </c>
    </row>
    <row r="697" spans="1:24">
      <c r="A697" s="27">
        <v>1</v>
      </c>
      <c r="B697" s="27">
        <v>7</v>
      </c>
      <c r="C697" s="27">
        <v>24</v>
      </c>
      <c r="D697" s="27">
        <v>2013</v>
      </c>
      <c r="E697" s="27">
        <v>2013</v>
      </c>
      <c r="F697" s="27">
        <v>2</v>
      </c>
      <c r="G697" s="27">
        <v>24</v>
      </c>
      <c r="H697" s="27">
        <v>0</v>
      </c>
      <c r="I697" s="27">
        <v>0</v>
      </c>
      <c r="J697" s="27">
        <v>0</v>
      </c>
      <c r="K697" s="27">
        <v>0.98</v>
      </c>
      <c r="L697" s="27">
        <v>4750</v>
      </c>
      <c r="M697" s="27">
        <v>4250</v>
      </c>
      <c r="N697" s="27">
        <v>150</v>
      </c>
      <c r="O697" s="27">
        <v>90</v>
      </c>
      <c r="P697" s="27" t="s">
        <v>13</v>
      </c>
      <c r="Q697" s="27">
        <v>1993</v>
      </c>
      <c r="R697" s="27">
        <v>1</v>
      </c>
      <c r="S697" s="27">
        <v>0</v>
      </c>
      <c r="T697" s="27">
        <v>-1.8E-3</v>
      </c>
      <c r="U697" s="27">
        <v>-1.2E-2</v>
      </c>
      <c r="V697" s="27">
        <v>0</v>
      </c>
      <c r="W697" s="27">
        <v>0</v>
      </c>
      <c r="X697" s="27" t="s">
        <v>34</v>
      </c>
    </row>
    <row r="698" spans="1:24">
      <c r="A698" s="27">
        <v>1</v>
      </c>
      <c r="B698" s="27">
        <v>7</v>
      </c>
      <c r="C698" s="27">
        <v>24</v>
      </c>
      <c r="D698" s="27">
        <v>2013</v>
      </c>
      <c r="E698" s="27">
        <v>2013</v>
      </c>
      <c r="F698" s="27">
        <v>3</v>
      </c>
      <c r="G698" s="27">
        <v>24</v>
      </c>
      <c r="H698" s="27">
        <v>0</v>
      </c>
      <c r="I698" s="27">
        <v>0</v>
      </c>
      <c r="J698" s="27">
        <v>0</v>
      </c>
      <c r="K698" s="27">
        <v>0.98</v>
      </c>
      <c r="L698" s="27">
        <v>4750</v>
      </c>
      <c r="M698" s="27">
        <v>4250</v>
      </c>
      <c r="N698" s="27">
        <v>150</v>
      </c>
      <c r="O698" s="27">
        <v>90</v>
      </c>
      <c r="P698" s="27" t="s">
        <v>13</v>
      </c>
      <c r="Q698" s="27">
        <v>1993</v>
      </c>
      <c r="R698" s="27">
        <v>1</v>
      </c>
      <c r="S698" s="27">
        <v>0</v>
      </c>
      <c r="T698" s="27">
        <v>-1.8E-3</v>
      </c>
      <c r="U698" s="27">
        <v>-1.2E-2</v>
      </c>
      <c r="V698" s="27">
        <v>0</v>
      </c>
      <c r="W698" s="27">
        <v>0</v>
      </c>
      <c r="X698" s="27" t="s">
        <v>34</v>
      </c>
    </row>
    <row r="699" spans="1:24">
      <c r="A699" s="27">
        <v>1</v>
      </c>
      <c r="B699" s="27">
        <v>7</v>
      </c>
      <c r="C699" s="27">
        <v>24</v>
      </c>
      <c r="D699" s="27">
        <v>2013</v>
      </c>
      <c r="E699" s="27">
        <v>2013</v>
      </c>
      <c r="F699" s="27">
        <v>4</v>
      </c>
      <c r="G699" s="27">
        <v>24</v>
      </c>
      <c r="H699" s="27">
        <v>0</v>
      </c>
      <c r="I699" s="27">
        <v>0</v>
      </c>
      <c r="J699" s="27">
        <v>0</v>
      </c>
      <c r="K699" s="27">
        <v>0.98</v>
      </c>
      <c r="L699" s="27">
        <v>4750</v>
      </c>
      <c r="M699" s="27">
        <v>4250</v>
      </c>
      <c r="N699" s="27">
        <v>150</v>
      </c>
      <c r="O699" s="27">
        <v>90</v>
      </c>
      <c r="P699" s="27" t="s">
        <v>13</v>
      </c>
      <c r="Q699" s="27">
        <v>1993</v>
      </c>
      <c r="R699" s="27">
        <v>1</v>
      </c>
      <c r="S699" s="27">
        <v>0</v>
      </c>
      <c r="T699" s="27">
        <v>-1.8E-3</v>
      </c>
      <c r="U699" s="27">
        <v>-1.2E-2</v>
      </c>
      <c r="V699" s="27">
        <v>0</v>
      </c>
      <c r="W699" s="27">
        <v>0</v>
      </c>
      <c r="X699" s="27" t="s">
        <v>34</v>
      </c>
    </row>
    <row r="700" spans="1:24">
      <c r="A700" s="27">
        <v>1</v>
      </c>
      <c r="B700" s="27">
        <v>7</v>
      </c>
      <c r="C700" s="27">
        <v>24</v>
      </c>
      <c r="D700" s="27">
        <v>2013</v>
      </c>
      <c r="E700" s="27">
        <v>2013</v>
      </c>
      <c r="F700" s="27">
        <v>5</v>
      </c>
      <c r="G700" s="27">
        <v>24</v>
      </c>
      <c r="H700" s="27">
        <v>0</v>
      </c>
      <c r="I700" s="27">
        <v>0</v>
      </c>
      <c r="J700" s="27">
        <v>0</v>
      </c>
      <c r="K700" s="27">
        <v>0.98</v>
      </c>
      <c r="L700" s="27">
        <v>4750</v>
      </c>
      <c r="M700" s="27">
        <v>4250</v>
      </c>
      <c r="N700" s="27">
        <v>150</v>
      </c>
      <c r="O700" s="27">
        <v>90</v>
      </c>
      <c r="P700" s="27" t="s">
        <v>13</v>
      </c>
      <c r="Q700" s="27">
        <v>1993</v>
      </c>
      <c r="R700" s="27">
        <v>1</v>
      </c>
      <c r="S700" s="27">
        <v>0</v>
      </c>
      <c r="T700" s="27">
        <v>-1.8E-3</v>
      </c>
      <c r="U700" s="27">
        <v>-1.2E-2</v>
      </c>
      <c r="V700" s="27">
        <v>0</v>
      </c>
      <c r="W700" s="27">
        <v>0</v>
      </c>
      <c r="X700" s="27" t="s">
        <v>34</v>
      </c>
    </row>
    <row r="701" spans="1:24">
      <c r="A701" s="27">
        <v>1</v>
      </c>
      <c r="B701" s="27">
        <v>7</v>
      </c>
      <c r="C701" s="27">
        <v>24</v>
      </c>
      <c r="D701" s="27">
        <v>2013</v>
      </c>
      <c r="E701" s="27">
        <v>2013</v>
      </c>
      <c r="F701" s="27">
        <v>6</v>
      </c>
      <c r="G701" s="27">
        <v>24</v>
      </c>
      <c r="H701" s="27">
        <v>0</v>
      </c>
      <c r="I701" s="27">
        <v>0</v>
      </c>
      <c r="J701" s="27">
        <v>0</v>
      </c>
      <c r="K701" s="27">
        <v>0.98</v>
      </c>
      <c r="L701" s="27">
        <v>4750</v>
      </c>
      <c r="M701" s="27">
        <v>4250</v>
      </c>
      <c r="N701" s="27">
        <v>150</v>
      </c>
      <c r="O701" s="27">
        <v>90</v>
      </c>
      <c r="P701" s="27" t="s">
        <v>13</v>
      </c>
      <c r="Q701" s="27">
        <v>1993</v>
      </c>
      <c r="R701" s="27">
        <v>1</v>
      </c>
      <c r="S701" s="27">
        <v>0</v>
      </c>
      <c r="T701" s="27">
        <v>-1.8E-3</v>
      </c>
      <c r="U701" s="27">
        <v>-1.2E-2</v>
      </c>
      <c r="V701" s="27">
        <v>0</v>
      </c>
      <c r="W701" s="27">
        <v>0</v>
      </c>
      <c r="X701" s="27" t="s">
        <v>34</v>
      </c>
    </row>
    <row r="702" spans="1:24">
      <c r="A702" s="27">
        <v>1</v>
      </c>
      <c r="B702" s="27">
        <v>7</v>
      </c>
      <c r="C702" s="27">
        <v>24</v>
      </c>
      <c r="D702" s="27">
        <v>2013</v>
      </c>
      <c r="E702" s="27">
        <v>2013</v>
      </c>
      <c r="F702" s="27">
        <v>7</v>
      </c>
      <c r="G702" s="27">
        <v>24</v>
      </c>
      <c r="H702" s="27">
        <v>0</v>
      </c>
      <c r="I702" s="27">
        <v>0</v>
      </c>
      <c r="J702" s="27">
        <v>0</v>
      </c>
      <c r="K702" s="27">
        <v>0.98</v>
      </c>
      <c r="L702" s="27">
        <v>4750</v>
      </c>
      <c r="M702" s="27">
        <v>4250</v>
      </c>
      <c r="N702" s="27">
        <v>150</v>
      </c>
      <c r="O702" s="27">
        <v>90</v>
      </c>
      <c r="P702" s="27" t="s">
        <v>13</v>
      </c>
      <c r="Q702" s="27">
        <v>1993</v>
      </c>
      <c r="R702" s="27">
        <v>1</v>
      </c>
      <c r="S702" s="27">
        <v>0</v>
      </c>
      <c r="T702" s="27">
        <v>-1.8E-3</v>
      </c>
      <c r="U702" s="27">
        <v>-1.2E-2</v>
      </c>
      <c r="V702" s="27">
        <v>0</v>
      </c>
      <c r="W702" s="27">
        <v>0</v>
      </c>
      <c r="X702" s="27" t="s">
        <v>34</v>
      </c>
    </row>
    <row r="703" spans="1:24">
      <c r="A703" s="27">
        <v>1</v>
      </c>
      <c r="B703" s="27">
        <v>7</v>
      </c>
      <c r="C703" s="27">
        <v>24</v>
      </c>
      <c r="D703" s="27">
        <v>2013</v>
      </c>
      <c r="E703" s="27">
        <v>2013</v>
      </c>
      <c r="F703" s="27">
        <v>8</v>
      </c>
      <c r="G703" s="27">
        <v>24</v>
      </c>
      <c r="H703" s="27">
        <v>0</v>
      </c>
      <c r="I703" s="27">
        <v>0</v>
      </c>
      <c r="J703" s="27">
        <v>0</v>
      </c>
      <c r="K703" s="27">
        <v>0.98</v>
      </c>
      <c r="L703" s="27">
        <v>4750</v>
      </c>
      <c r="M703" s="27">
        <v>4250</v>
      </c>
      <c r="N703" s="27">
        <v>150</v>
      </c>
      <c r="O703" s="27">
        <v>90</v>
      </c>
      <c r="P703" s="27" t="s">
        <v>13</v>
      </c>
      <c r="Q703" s="27">
        <v>1993</v>
      </c>
      <c r="R703" s="27">
        <v>1</v>
      </c>
      <c r="S703" s="27">
        <v>0</v>
      </c>
      <c r="T703" s="27">
        <v>-1.8E-3</v>
      </c>
      <c r="U703" s="27">
        <v>-1.2E-2</v>
      </c>
      <c r="V703" s="27">
        <v>0</v>
      </c>
      <c r="W703" s="27">
        <v>0</v>
      </c>
      <c r="X703" s="27" t="s">
        <v>34</v>
      </c>
    </row>
    <row r="704" spans="1:24">
      <c r="A704" s="27">
        <v>1</v>
      </c>
      <c r="B704" s="27">
        <v>7</v>
      </c>
      <c r="C704" s="27">
        <v>24</v>
      </c>
      <c r="D704" s="27">
        <v>2013</v>
      </c>
      <c r="E704" s="27">
        <v>2013</v>
      </c>
      <c r="F704" s="27">
        <v>9</v>
      </c>
      <c r="G704" s="27">
        <v>24</v>
      </c>
      <c r="H704" s="27">
        <v>0</v>
      </c>
      <c r="I704" s="27">
        <v>0</v>
      </c>
      <c r="J704" s="27">
        <v>0</v>
      </c>
      <c r="K704" s="27">
        <v>0.98</v>
      </c>
      <c r="L704" s="27">
        <v>4750</v>
      </c>
      <c r="M704" s="27">
        <v>4250</v>
      </c>
      <c r="N704" s="27">
        <v>150</v>
      </c>
      <c r="O704" s="27">
        <v>90</v>
      </c>
      <c r="P704" s="27" t="s">
        <v>13</v>
      </c>
      <c r="Q704" s="27">
        <v>1993</v>
      </c>
      <c r="R704" s="27">
        <v>1</v>
      </c>
      <c r="S704" s="27">
        <v>0</v>
      </c>
      <c r="T704" s="27">
        <v>-1.8E-3</v>
      </c>
      <c r="U704" s="27">
        <v>-1.2E-2</v>
      </c>
      <c r="V704" s="27">
        <v>0</v>
      </c>
      <c r="W704" s="27">
        <v>0</v>
      </c>
      <c r="X704" s="27" t="s">
        <v>34</v>
      </c>
    </row>
    <row r="705" spans="1:24">
      <c r="A705" s="27">
        <v>1</v>
      </c>
      <c r="B705" s="27">
        <v>7</v>
      </c>
      <c r="C705" s="27">
        <v>24</v>
      </c>
      <c r="D705" s="27">
        <v>2014</v>
      </c>
      <c r="E705" s="27">
        <v>2050</v>
      </c>
      <c r="F705" s="27">
        <v>1</v>
      </c>
      <c r="G705" s="27">
        <v>24</v>
      </c>
      <c r="H705" s="27">
        <v>0</v>
      </c>
      <c r="I705" s="27">
        <v>0</v>
      </c>
      <c r="J705" s="27">
        <v>0</v>
      </c>
      <c r="K705" s="27">
        <v>0.98</v>
      </c>
      <c r="L705" s="27">
        <v>4750</v>
      </c>
      <c r="M705" s="27">
        <v>4250</v>
      </c>
      <c r="N705" s="27">
        <v>0</v>
      </c>
      <c r="O705" s="27">
        <v>0</v>
      </c>
      <c r="P705" s="27" t="s">
        <v>13</v>
      </c>
      <c r="Q705" s="27">
        <v>1993</v>
      </c>
      <c r="R705" s="27">
        <v>1</v>
      </c>
      <c r="S705" s="27">
        <v>0</v>
      </c>
      <c r="T705" s="27">
        <v>-1.8E-3</v>
      </c>
      <c r="U705" s="27">
        <v>-1.2E-2</v>
      </c>
      <c r="V705" s="27">
        <v>0</v>
      </c>
      <c r="W705" s="27">
        <v>0</v>
      </c>
      <c r="X705" s="27" t="s">
        <v>34</v>
      </c>
    </row>
    <row r="706" spans="1:24">
      <c r="A706" s="27">
        <v>1</v>
      </c>
      <c r="B706" s="27">
        <v>7</v>
      </c>
      <c r="C706" s="27">
        <v>24</v>
      </c>
      <c r="D706" s="27">
        <v>2014</v>
      </c>
      <c r="E706" s="27">
        <v>2050</v>
      </c>
      <c r="F706" s="27">
        <v>2</v>
      </c>
      <c r="G706" s="27">
        <v>24</v>
      </c>
      <c r="H706" s="27">
        <v>0</v>
      </c>
      <c r="I706" s="27">
        <v>0</v>
      </c>
      <c r="J706" s="27">
        <v>0</v>
      </c>
      <c r="K706" s="27">
        <v>0.98</v>
      </c>
      <c r="L706" s="27">
        <v>4750</v>
      </c>
      <c r="M706" s="27">
        <v>4250</v>
      </c>
      <c r="N706" s="27">
        <v>0</v>
      </c>
      <c r="O706" s="27">
        <v>0</v>
      </c>
      <c r="P706" s="27" t="s">
        <v>13</v>
      </c>
      <c r="Q706" s="27">
        <v>1993</v>
      </c>
      <c r="R706" s="27">
        <v>1</v>
      </c>
      <c r="S706" s="27">
        <v>0</v>
      </c>
      <c r="T706" s="27">
        <v>-1.8E-3</v>
      </c>
      <c r="U706" s="27">
        <v>-1.2E-2</v>
      </c>
      <c r="V706" s="27">
        <v>0</v>
      </c>
      <c r="W706" s="27">
        <v>0</v>
      </c>
      <c r="X706" s="27" t="s">
        <v>34</v>
      </c>
    </row>
    <row r="707" spans="1:24">
      <c r="A707" s="27">
        <v>1</v>
      </c>
      <c r="B707" s="27">
        <v>7</v>
      </c>
      <c r="C707" s="27">
        <v>24</v>
      </c>
      <c r="D707" s="27">
        <v>2014</v>
      </c>
      <c r="E707" s="27">
        <v>2050</v>
      </c>
      <c r="F707" s="27">
        <v>3</v>
      </c>
      <c r="G707" s="27">
        <v>24</v>
      </c>
      <c r="H707" s="27">
        <v>0</v>
      </c>
      <c r="I707" s="27">
        <v>0</v>
      </c>
      <c r="J707" s="27">
        <v>0</v>
      </c>
      <c r="K707" s="27">
        <v>0.98</v>
      </c>
      <c r="L707" s="27">
        <v>4750</v>
      </c>
      <c r="M707" s="27">
        <v>4250</v>
      </c>
      <c r="N707" s="27">
        <v>0</v>
      </c>
      <c r="O707" s="27">
        <v>0</v>
      </c>
      <c r="P707" s="27" t="s">
        <v>13</v>
      </c>
      <c r="Q707" s="27">
        <v>1993</v>
      </c>
      <c r="R707" s="27">
        <v>1</v>
      </c>
      <c r="S707" s="27">
        <v>0</v>
      </c>
      <c r="T707" s="27">
        <v>-1.8E-3</v>
      </c>
      <c r="U707" s="27">
        <v>-1.2E-2</v>
      </c>
      <c r="V707" s="27">
        <v>0</v>
      </c>
      <c r="W707" s="27">
        <v>0</v>
      </c>
      <c r="X707" s="27" t="s">
        <v>34</v>
      </c>
    </row>
    <row r="708" spans="1:24">
      <c r="A708" s="27">
        <v>1</v>
      </c>
      <c r="B708" s="27">
        <v>7</v>
      </c>
      <c r="C708" s="27">
        <v>24</v>
      </c>
      <c r="D708" s="27">
        <v>2014</v>
      </c>
      <c r="E708" s="27">
        <v>2050</v>
      </c>
      <c r="F708" s="27">
        <v>4</v>
      </c>
      <c r="G708" s="27">
        <v>24</v>
      </c>
      <c r="H708" s="27">
        <v>0</v>
      </c>
      <c r="I708" s="27">
        <v>0</v>
      </c>
      <c r="J708" s="27">
        <v>0</v>
      </c>
      <c r="K708" s="27">
        <v>0.98</v>
      </c>
      <c r="L708" s="27">
        <v>4750</v>
      </c>
      <c r="M708" s="27">
        <v>4250</v>
      </c>
      <c r="N708" s="27">
        <v>0</v>
      </c>
      <c r="O708" s="27">
        <v>0</v>
      </c>
      <c r="P708" s="27" t="s">
        <v>13</v>
      </c>
      <c r="Q708" s="27">
        <v>1993</v>
      </c>
      <c r="R708" s="27">
        <v>1</v>
      </c>
      <c r="S708" s="27">
        <v>0</v>
      </c>
      <c r="T708" s="27">
        <v>-1.8E-3</v>
      </c>
      <c r="U708" s="27">
        <v>-1.2E-2</v>
      </c>
      <c r="V708" s="27">
        <v>0</v>
      </c>
      <c r="W708" s="27">
        <v>0</v>
      </c>
      <c r="X708" s="27" t="s">
        <v>34</v>
      </c>
    </row>
    <row r="709" spans="1:24">
      <c r="A709" s="27">
        <v>1</v>
      </c>
      <c r="B709" s="27">
        <v>7</v>
      </c>
      <c r="C709" s="27">
        <v>24</v>
      </c>
      <c r="D709" s="27">
        <v>2014</v>
      </c>
      <c r="E709" s="27">
        <v>2050</v>
      </c>
      <c r="F709" s="27">
        <v>5</v>
      </c>
      <c r="G709" s="27">
        <v>24</v>
      </c>
      <c r="H709" s="27">
        <v>0</v>
      </c>
      <c r="I709" s="27">
        <v>0</v>
      </c>
      <c r="J709" s="27">
        <v>0</v>
      </c>
      <c r="K709" s="27">
        <v>0.98</v>
      </c>
      <c r="L709" s="27">
        <v>4750</v>
      </c>
      <c r="M709" s="27">
        <v>4250</v>
      </c>
      <c r="N709" s="27">
        <v>0</v>
      </c>
      <c r="O709" s="27">
        <v>0</v>
      </c>
      <c r="P709" s="27" t="s">
        <v>13</v>
      </c>
      <c r="Q709" s="27">
        <v>1993</v>
      </c>
      <c r="R709" s="27">
        <v>1</v>
      </c>
      <c r="S709" s="27">
        <v>0</v>
      </c>
      <c r="T709" s="27">
        <v>-1.8E-3</v>
      </c>
      <c r="U709" s="27">
        <v>-1.2E-2</v>
      </c>
      <c r="V709" s="27">
        <v>0</v>
      </c>
      <c r="W709" s="27">
        <v>0</v>
      </c>
      <c r="X709" s="27" t="s">
        <v>34</v>
      </c>
    </row>
    <row r="710" spans="1:24">
      <c r="A710" s="27">
        <v>1</v>
      </c>
      <c r="B710" s="27">
        <v>7</v>
      </c>
      <c r="C710" s="27">
        <v>24</v>
      </c>
      <c r="D710" s="27">
        <v>2014</v>
      </c>
      <c r="E710" s="27">
        <v>2050</v>
      </c>
      <c r="F710" s="27">
        <v>6</v>
      </c>
      <c r="G710" s="27">
        <v>24</v>
      </c>
      <c r="H710" s="27">
        <v>0</v>
      </c>
      <c r="I710" s="27">
        <v>0</v>
      </c>
      <c r="J710" s="27">
        <v>0</v>
      </c>
      <c r="K710" s="27">
        <v>0.98</v>
      </c>
      <c r="L710" s="27">
        <v>4750</v>
      </c>
      <c r="M710" s="27">
        <v>4250</v>
      </c>
      <c r="N710" s="27">
        <v>0</v>
      </c>
      <c r="O710" s="27">
        <v>0</v>
      </c>
      <c r="P710" s="27" t="s">
        <v>13</v>
      </c>
      <c r="Q710" s="27">
        <v>1993</v>
      </c>
      <c r="R710" s="27">
        <v>1</v>
      </c>
      <c r="S710" s="27">
        <v>0</v>
      </c>
      <c r="T710" s="27">
        <v>-1.8E-3</v>
      </c>
      <c r="U710" s="27">
        <v>-1.2E-2</v>
      </c>
      <c r="V710" s="27">
        <v>0</v>
      </c>
      <c r="W710" s="27">
        <v>0</v>
      </c>
      <c r="X710" s="27" t="s">
        <v>34</v>
      </c>
    </row>
    <row r="711" spans="1:24">
      <c r="A711" s="27">
        <v>1</v>
      </c>
      <c r="B711" s="27">
        <v>7</v>
      </c>
      <c r="C711" s="27">
        <v>24</v>
      </c>
      <c r="D711" s="27">
        <v>2014</v>
      </c>
      <c r="E711" s="27">
        <v>2050</v>
      </c>
      <c r="F711" s="27">
        <v>7</v>
      </c>
      <c r="G711" s="27">
        <v>24</v>
      </c>
      <c r="H711" s="27">
        <v>0</v>
      </c>
      <c r="I711" s="27">
        <v>0</v>
      </c>
      <c r="J711" s="27">
        <v>0</v>
      </c>
      <c r="K711" s="27">
        <v>0.98</v>
      </c>
      <c r="L711" s="27">
        <v>4750</v>
      </c>
      <c r="M711" s="27">
        <v>4250</v>
      </c>
      <c r="N711" s="27">
        <v>0</v>
      </c>
      <c r="O711" s="27">
        <v>0</v>
      </c>
      <c r="P711" s="27" t="s">
        <v>13</v>
      </c>
      <c r="Q711" s="27">
        <v>1993</v>
      </c>
      <c r="R711" s="27">
        <v>1</v>
      </c>
      <c r="S711" s="27">
        <v>0</v>
      </c>
      <c r="T711" s="27">
        <v>-1.8E-3</v>
      </c>
      <c r="U711" s="27">
        <v>-1.2E-2</v>
      </c>
      <c r="V711" s="27">
        <v>0</v>
      </c>
      <c r="W711" s="27">
        <v>0</v>
      </c>
      <c r="X711" s="27" t="s">
        <v>34</v>
      </c>
    </row>
    <row r="712" spans="1:24">
      <c r="A712" s="27">
        <v>1</v>
      </c>
      <c r="B712" s="27">
        <v>7</v>
      </c>
      <c r="C712" s="27">
        <v>24</v>
      </c>
      <c r="D712" s="27">
        <v>2014</v>
      </c>
      <c r="E712" s="27">
        <v>2050</v>
      </c>
      <c r="F712" s="27">
        <v>8</v>
      </c>
      <c r="G712" s="27">
        <v>24</v>
      </c>
      <c r="H712" s="27">
        <v>0</v>
      </c>
      <c r="I712" s="27">
        <v>0</v>
      </c>
      <c r="J712" s="27">
        <v>0</v>
      </c>
      <c r="K712" s="27">
        <v>0.98</v>
      </c>
      <c r="L712" s="27">
        <v>4750</v>
      </c>
      <c r="M712" s="27">
        <v>4250</v>
      </c>
      <c r="N712" s="27">
        <v>0</v>
      </c>
      <c r="O712" s="27">
        <v>0</v>
      </c>
      <c r="P712" s="27" t="s">
        <v>13</v>
      </c>
      <c r="Q712" s="27">
        <v>1993</v>
      </c>
      <c r="R712" s="27">
        <v>1</v>
      </c>
      <c r="S712" s="27">
        <v>0</v>
      </c>
      <c r="T712" s="27">
        <v>-1.8E-3</v>
      </c>
      <c r="U712" s="27">
        <v>-1.2E-2</v>
      </c>
      <c r="V712" s="27">
        <v>0</v>
      </c>
      <c r="W712" s="27">
        <v>0</v>
      </c>
      <c r="X712" s="27" t="s">
        <v>34</v>
      </c>
    </row>
    <row r="713" spans="1:24">
      <c r="A713" s="27">
        <v>1</v>
      </c>
      <c r="B713" s="27">
        <v>7</v>
      </c>
      <c r="C713" s="27">
        <v>24</v>
      </c>
      <c r="D713" s="27">
        <v>2014</v>
      </c>
      <c r="E713" s="27">
        <v>2050</v>
      </c>
      <c r="F713" s="27">
        <v>9</v>
      </c>
      <c r="G713" s="27">
        <v>24</v>
      </c>
      <c r="H713" s="27">
        <v>0</v>
      </c>
      <c r="I713" s="27">
        <v>0</v>
      </c>
      <c r="J713" s="27">
        <v>0</v>
      </c>
      <c r="K713" s="27">
        <v>0.98</v>
      </c>
      <c r="L713" s="27">
        <v>4750</v>
      </c>
      <c r="M713" s="27">
        <v>4250</v>
      </c>
      <c r="N713" s="27">
        <v>0</v>
      </c>
      <c r="O713" s="27">
        <v>0</v>
      </c>
      <c r="P713" s="27" t="s">
        <v>13</v>
      </c>
      <c r="Q713" s="27">
        <v>1993</v>
      </c>
      <c r="R713" s="27">
        <v>1</v>
      </c>
      <c r="S713" s="27">
        <v>0</v>
      </c>
      <c r="T713" s="27">
        <v>-1.8E-3</v>
      </c>
      <c r="U713" s="27">
        <v>-1.2E-2</v>
      </c>
      <c r="V713" s="27">
        <v>0</v>
      </c>
      <c r="W713" s="27">
        <v>0</v>
      </c>
      <c r="X713" s="27" t="s">
        <v>34</v>
      </c>
    </row>
    <row r="714" spans="1:24">
      <c r="A714" s="27">
        <v>1</v>
      </c>
      <c r="B714" s="27">
        <v>8</v>
      </c>
      <c r="C714" s="27">
        <v>25</v>
      </c>
      <c r="D714" s="27">
        <v>2010</v>
      </c>
      <c r="E714" s="27">
        <v>2012</v>
      </c>
      <c r="F714" s="27">
        <v>1</v>
      </c>
      <c r="G714" s="27">
        <v>25</v>
      </c>
      <c r="H714" s="27">
        <v>0</v>
      </c>
      <c r="I714" s="27">
        <v>0</v>
      </c>
      <c r="J714" s="27">
        <v>0</v>
      </c>
      <c r="K714" s="27">
        <v>0.8</v>
      </c>
      <c r="L714" s="27">
        <v>3300</v>
      </c>
      <c r="M714" s="27">
        <v>2540</v>
      </c>
      <c r="N714" s="27">
        <v>0</v>
      </c>
      <c r="O714" s="27">
        <v>0</v>
      </c>
      <c r="P714" s="27" t="s">
        <v>13</v>
      </c>
      <c r="Q714" s="27">
        <v>1993</v>
      </c>
      <c r="R714" s="27">
        <v>1</v>
      </c>
      <c r="S714" s="27">
        <v>0</v>
      </c>
      <c r="T714" s="27">
        <v>-1.8E-3</v>
      </c>
      <c r="U714" s="27">
        <v>-1.2E-2</v>
      </c>
      <c r="V714" s="27">
        <v>0</v>
      </c>
      <c r="W714" s="27">
        <v>0</v>
      </c>
      <c r="X714" s="27" t="s">
        <v>35</v>
      </c>
    </row>
    <row r="715" spans="1:24">
      <c r="A715" s="27">
        <v>1</v>
      </c>
      <c r="B715" s="27">
        <v>8</v>
      </c>
      <c r="C715" s="27">
        <v>25</v>
      </c>
      <c r="D715" s="27">
        <v>2010</v>
      </c>
      <c r="E715" s="27">
        <v>2012</v>
      </c>
      <c r="F715" s="27">
        <v>2</v>
      </c>
      <c r="G715" s="27">
        <v>25</v>
      </c>
      <c r="H715" s="27">
        <v>0</v>
      </c>
      <c r="I715" s="27">
        <v>0</v>
      </c>
      <c r="J715" s="27">
        <v>0</v>
      </c>
      <c r="K715" s="27">
        <v>0.8</v>
      </c>
      <c r="L715" s="27">
        <v>3300</v>
      </c>
      <c r="M715" s="27">
        <v>2540</v>
      </c>
      <c r="N715" s="27">
        <v>0</v>
      </c>
      <c r="O715" s="27">
        <v>0</v>
      </c>
      <c r="P715" s="27" t="s">
        <v>13</v>
      </c>
      <c r="Q715" s="27">
        <v>1993</v>
      </c>
      <c r="R715" s="27">
        <v>1</v>
      </c>
      <c r="S715" s="27">
        <v>0</v>
      </c>
      <c r="T715" s="27">
        <v>-1.8E-3</v>
      </c>
      <c r="U715" s="27">
        <v>-1.2E-2</v>
      </c>
      <c r="V715" s="27">
        <v>0</v>
      </c>
      <c r="W715" s="27">
        <v>0</v>
      </c>
      <c r="X715" s="27" t="s">
        <v>35</v>
      </c>
    </row>
    <row r="716" spans="1:24">
      <c r="A716" s="27">
        <v>1</v>
      </c>
      <c r="B716" s="27">
        <v>8</v>
      </c>
      <c r="C716" s="27">
        <v>25</v>
      </c>
      <c r="D716" s="27">
        <v>2010</v>
      </c>
      <c r="E716" s="27">
        <v>2012</v>
      </c>
      <c r="F716" s="27">
        <v>3</v>
      </c>
      <c r="G716" s="27">
        <v>25</v>
      </c>
      <c r="H716" s="27">
        <v>0</v>
      </c>
      <c r="I716" s="27">
        <v>0</v>
      </c>
      <c r="J716" s="27">
        <v>0</v>
      </c>
      <c r="K716" s="27">
        <v>0.8</v>
      </c>
      <c r="L716" s="27">
        <v>3300</v>
      </c>
      <c r="M716" s="27">
        <v>2540</v>
      </c>
      <c r="N716" s="27">
        <v>0</v>
      </c>
      <c r="O716" s="27">
        <v>0</v>
      </c>
      <c r="P716" s="27" t="s">
        <v>13</v>
      </c>
      <c r="Q716" s="27">
        <v>1993</v>
      </c>
      <c r="R716" s="27">
        <v>1</v>
      </c>
      <c r="S716" s="27">
        <v>0</v>
      </c>
      <c r="T716" s="27">
        <v>-1.8E-3</v>
      </c>
      <c r="U716" s="27">
        <v>-1.2E-2</v>
      </c>
      <c r="V716" s="27">
        <v>0</v>
      </c>
      <c r="W716" s="27">
        <v>0</v>
      </c>
      <c r="X716" s="27" t="s">
        <v>35</v>
      </c>
    </row>
    <row r="717" spans="1:24">
      <c r="A717" s="27">
        <v>1</v>
      </c>
      <c r="B717" s="27">
        <v>8</v>
      </c>
      <c r="C717" s="27">
        <v>25</v>
      </c>
      <c r="D717" s="27">
        <v>2010</v>
      </c>
      <c r="E717" s="27">
        <v>2012</v>
      </c>
      <c r="F717" s="27">
        <v>4</v>
      </c>
      <c r="G717" s="27">
        <v>25</v>
      </c>
      <c r="H717" s="27">
        <v>0</v>
      </c>
      <c r="I717" s="27">
        <v>0</v>
      </c>
      <c r="J717" s="27">
        <v>0</v>
      </c>
      <c r="K717" s="27">
        <v>0.8</v>
      </c>
      <c r="L717" s="27">
        <v>3300</v>
      </c>
      <c r="M717" s="27">
        <v>2540</v>
      </c>
      <c r="N717" s="27">
        <v>0</v>
      </c>
      <c r="O717" s="27">
        <v>0</v>
      </c>
      <c r="P717" s="27" t="s">
        <v>13</v>
      </c>
      <c r="Q717" s="27">
        <v>1993</v>
      </c>
      <c r="R717" s="27">
        <v>1</v>
      </c>
      <c r="S717" s="27">
        <v>0</v>
      </c>
      <c r="T717" s="27">
        <v>-1.8E-3</v>
      </c>
      <c r="U717" s="27">
        <v>-1.2E-2</v>
      </c>
      <c r="V717" s="27">
        <v>0</v>
      </c>
      <c r="W717" s="27">
        <v>0</v>
      </c>
      <c r="X717" s="27" t="s">
        <v>35</v>
      </c>
    </row>
    <row r="718" spans="1:24">
      <c r="A718" s="27">
        <v>1</v>
      </c>
      <c r="B718" s="27">
        <v>8</v>
      </c>
      <c r="C718" s="27">
        <v>25</v>
      </c>
      <c r="D718" s="27">
        <v>2010</v>
      </c>
      <c r="E718" s="27">
        <v>2012</v>
      </c>
      <c r="F718" s="27">
        <v>5</v>
      </c>
      <c r="G718" s="27">
        <v>25</v>
      </c>
      <c r="H718" s="27">
        <v>0</v>
      </c>
      <c r="I718" s="27">
        <v>0</v>
      </c>
      <c r="J718" s="27">
        <v>0</v>
      </c>
      <c r="K718" s="27">
        <v>0.8</v>
      </c>
      <c r="L718" s="27">
        <v>3300</v>
      </c>
      <c r="M718" s="27">
        <v>2540</v>
      </c>
      <c r="N718" s="27">
        <v>0</v>
      </c>
      <c r="O718" s="27">
        <v>0</v>
      </c>
      <c r="P718" s="27" t="s">
        <v>13</v>
      </c>
      <c r="Q718" s="27">
        <v>1993</v>
      </c>
      <c r="R718" s="27">
        <v>1</v>
      </c>
      <c r="S718" s="27">
        <v>0</v>
      </c>
      <c r="T718" s="27">
        <v>-1.8E-3</v>
      </c>
      <c r="U718" s="27">
        <v>-1.2E-2</v>
      </c>
      <c r="V718" s="27">
        <v>0</v>
      </c>
      <c r="W718" s="27">
        <v>0</v>
      </c>
      <c r="X718" s="27" t="s">
        <v>35</v>
      </c>
    </row>
    <row r="719" spans="1:24">
      <c r="A719" s="27">
        <v>1</v>
      </c>
      <c r="B719" s="27">
        <v>8</v>
      </c>
      <c r="C719" s="27">
        <v>25</v>
      </c>
      <c r="D719" s="27">
        <v>2010</v>
      </c>
      <c r="E719" s="27">
        <v>2012</v>
      </c>
      <c r="F719" s="27">
        <v>6</v>
      </c>
      <c r="G719" s="27">
        <v>25</v>
      </c>
      <c r="H719" s="27">
        <v>0</v>
      </c>
      <c r="I719" s="27">
        <v>0</v>
      </c>
      <c r="J719" s="27">
        <v>0</v>
      </c>
      <c r="K719" s="27">
        <v>0.8</v>
      </c>
      <c r="L719" s="27">
        <v>3300</v>
      </c>
      <c r="M719" s="27">
        <v>2540</v>
      </c>
      <c r="N719" s="27">
        <v>0</v>
      </c>
      <c r="O719" s="27">
        <v>0</v>
      </c>
      <c r="P719" s="27" t="s">
        <v>13</v>
      </c>
      <c r="Q719" s="27">
        <v>1993</v>
      </c>
      <c r="R719" s="27">
        <v>1</v>
      </c>
      <c r="S719" s="27">
        <v>0</v>
      </c>
      <c r="T719" s="27">
        <v>-1.8E-3</v>
      </c>
      <c r="U719" s="27">
        <v>-1.2E-2</v>
      </c>
      <c r="V719" s="27">
        <v>0</v>
      </c>
      <c r="W719" s="27">
        <v>0</v>
      </c>
      <c r="X719" s="27" t="s">
        <v>35</v>
      </c>
    </row>
    <row r="720" spans="1:24">
      <c r="A720" s="27">
        <v>1</v>
      </c>
      <c r="B720" s="27">
        <v>8</v>
      </c>
      <c r="C720" s="27">
        <v>25</v>
      </c>
      <c r="D720" s="27">
        <v>2010</v>
      </c>
      <c r="E720" s="27">
        <v>2012</v>
      </c>
      <c r="F720" s="27">
        <v>7</v>
      </c>
      <c r="G720" s="27">
        <v>25</v>
      </c>
      <c r="H720" s="27">
        <v>0</v>
      </c>
      <c r="I720" s="27">
        <v>0</v>
      </c>
      <c r="J720" s="27">
        <v>0</v>
      </c>
      <c r="K720" s="27">
        <v>0.8</v>
      </c>
      <c r="L720" s="27">
        <v>3300</v>
      </c>
      <c r="M720" s="27">
        <v>2540</v>
      </c>
      <c r="N720" s="27">
        <v>0</v>
      </c>
      <c r="O720" s="27">
        <v>0</v>
      </c>
      <c r="P720" s="27" t="s">
        <v>13</v>
      </c>
      <c r="Q720" s="27">
        <v>1993</v>
      </c>
      <c r="R720" s="27">
        <v>1</v>
      </c>
      <c r="S720" s="27">
        <v>0</v>
      </c>
      <c r="T720" s="27">
        <v>-1.8E-3</v>
      </c>
      <c r="U720" s="27">
        <v>-1.2E-2</v>
      </c>
      <c r="V720" s="27">
        <v>0</v>
      </c>
      <c r="W720" s="27">
        <v>0</v>
      </c>
      <c r="X720" s="27" t="s">
        <v>35</v>
      </c>
    </row>
    <row r="721" spans="1:24">
      <c r="A721" s="27">
        <v>1</v>
      </c>
      <c r="B721" s="27">
        <v>8</v>
      </c>
      <c r="C721" s="27">
        <v>25</v>
      </c>
      <c r="D721" s="27">
        <v>2010</v>
      </c>
      <c r="E721" s="27">
        <v>2012</v>
      </c>
      <c r="F721" s="27">
        <v>8</v>
      </c>
      <c r="G721" s="27">
        <v>25</v>
      </c>
      <c r="H721" s="27">
        <v>0</v>
      </c>
      <c r="I721" s="27">
        <v>0</v>
      </c>
      <c r="J721" s="27">
        <v>0</v>
      </c>
      <c r="K721" s="27">
        <v>0.8</v>
      </c>
      <c r="L721" s="27">
        <v>3300</v>
      </c>
      <c r="M721" s="27">
        <v>2540</v>
      </c>
      <c r="N721" s="27">
        <v>0</v>
      </c>
      <c r="O721" s="27">
        <v>0</v>
      </c>
      <c r="P721" s="27" t="s">
        <v>13</v>
      </c>
      <c r="Q721" s="27">
        <v>1993</v>
      </c>
      <c r="R721" s="27">
        <v>1</v>
      </c>
      <c r="S721" s="27">
        <v>0</v>
      </c>
      <c r="T721" s="27">
        <v>-1.8E-3</v>
      </c>
      <c r="U721" s="27">
        <v>-1.2E-2</v>
      </c>
      <c r="V721" s="27">
        <v>0</v>
      </c>
      <c r="W721" s="27">
        <v>0</v>
      </c>
      <c r="X721" s="27" t="s">
        <v>35</v>
      </c>
    </row>
    <row r="722" spans="1:24">
      <c r="A722" s="27">
        <v>1</v>
      </c>
      <c r="B722" s="27">
        <v>8</v>
      </c>
      <c r="C722" s="27">
        <v>25</v>
      </c>
      <c r="D722" s="27">
        <v>2010</v>
      </c>
      <c r="E722" s="27">
        <v>2012</v>
      </c>
      <c r="F722" s="27">
        <v>9</v>
      </c>
      <c r="G722" s="27">
        <v>25</v>
      </c>
      <c r="H722" s="27">
        <v>0</v>
      </c>
      <c r="I722" s="27">
        <v>0</v>
      </c>
      <c r="J722" s="27">
        <v>0</v>
      </c>
      <c r="K722" s="27">
        <v>0.8</v>
      </c>
      <c r="L722" s="27">
        <v>3300</v>
      </c>
      <c r="M722" s="27">
        <v>2540</v>
      </c>
      <c r="N722" s="27">
        <v>0</v>
      </c>
      <c r="O722" s="27">
        <v>0</v>
      </c>
      <c r="P722" s="27" t="s">
        <v>13</v>
      </c>
      <c r="Q722" s="27">
        <v>1993</v>
      </c>
      <c r="R722" s="27">
        <v>1</v>
      </c>
      <c r="S722" s="27">
        <v>0</v>
      </c>
      <c r="T722" s="27">
        <v>-1.8E-3</v>
      </c>
      <c r="U722" s="27">
        <v>-1.2E-2</v>
      </c>
      <c r="V722" s="27">
        <v>0</v>
      </c>
      <c r="W722" s="27">
        <v>0</v>
      </c>
      <c r="X722" s="27" t="s">
        <v>35</v>
      </c>
    </row>
    <row r="723" spans="1:24">
      <c r="A723" s="27">
        <v>1</v>
      </c>
      <c r="B723" s="27">
        <v>8</v>
      </c>
      <c r="C723" s="27">
        <v>25</v>
      </c>
      <c r="D723" s="27">
        <v>2013</v>
      </c>
      <c r="E723" s="27">
        <v>2050</v>
      </c>
      <c r="F723" s="27">
        <v>1</v>
      </c>
      <c r="G723" s="27">
        <v>25</v>
      </c>
      <c r="H723" s="27">
        <v>0</v>
      </c>
      <c r="I723" s="27">
        <v>0</v>
      </c>
      <c r="J723" s="27">
        <v>0</v>
      </c>
      <c r="K723" s="27">
        <v>0.82</v>
      </c>
      <c r="L723" s="27">
        <v>3500</v>
      </c>
      <c r="M723" s="27">
        <v>2740</v>
      </c>
      <c r="N723" s="27">
        <v>0</v>
      </c>
      <c r="O723" s="27">
        <v>0</v>
      </c>
      <c r="P723" s="27" t="s">
        <v>13</v>
      </c>
      <c r="Q723" s="27">
        <v>1993</v>
      </c>
      <c r="R723" s="27">
        <v>1</v>
      </c>
      <c r="S723" s="27">
        <v>0</v>
      </c>
      <c r="T723" s="27">
        <v>-1.8E-3</v>
      </c>
      <c r="U723" s="27">
        <v>-1.2E-2</v>
      </c>
      <c r="V723" s="27">
        <v>0</v>
      </c>
      <c r="W723" s="27">
        <v>0</v>
      </c>
      <c r="X723" s="27" t="s">
        <v>35</v>
      </c>
    </row>
    <row r="724" spans="1:24">
      <c r="A724" s="27">
        <v>1</v>
      </c>
      <c r="B724" s="27">
        <v>8</v>
      </c>
      <c r="C724" s="27">
        <v>25</v>
      </c>
      <c r="D724" s="27">
        <v>2013</v>
      </c>
      <c r="E724" s="27">
        <v>2050</v>
      </c>
      <c r="F724" s="27">
        <v>2</v>
      </c>
      <c r="G724" s="27">
        <v>25</v>
      </c>
      <c r="H724" s="27">
        <v>0</v>
      </c>
      <c r="I724" s="27">
        <v>0</v>
      </c>
      <c r="J724" s="27">
        <v>0</v>
      </c>
      <c r="K724" s="27">
        <v>0.82</v>
      </c>
      <c r="L724" s="27">
        <v>3500</v>
      </c>
      <c r="M724" s="27">
        <v>2740</v>
      </c>
      <c r="N724" s="27">
        <v>0</v>
      </c>
      <c r="O724" s="27">
        <v>0</v>
      </c>
      <c r="P724" s="27" t="s">
        <v>13</v>
      </c>
      <c r="Q724" s="27">
        <v>1993</v>
      </c>
      <c r="R724" s="27">
        <v>1</v>
      </c>
      <c r="S724" s="27">
        <v>0</v>
      </c>
      <c r="T724" s="27">
        <v>-1.8E-3</v>
      </c>
      <c r="U724" s="27">
        <v>-1.2E-2</v>
      </c>
      <c r="V724" s="27">
        <v>0</v>
      </c>
      <c r="W724" s="27">
        <v>0</v>
      </c>
      <c r="X724" s="27" t="s">
        <v>35</v>
      </c>
    </row>
    <row r="725" spans="1:24">
      <c r="A725" s="27">
        <v>1</v>
      </c>
      <c r="B725" s="27">
        <v>8</v>
      </c>
      <c r="C725" s="27">
        <v>25</v>
      </c>
      <c r="D725" s="27">
        <v>2013</v>
      </c>
      <c r="E725" s="27">
        <v>2050</v>
      </c>
      <c r="F725" s="27">
        <v>3</v>
      </c>
      <c r="G725" s="27">
        <v>25</v>
      </c>
      <c r="H725" s="27">
        <v>0</v>
      </c>
      <c r="I725" s="27">
        <v>0</v>
      </c>
      <c r="J725" s="27">
        <v>0</v>
      </c>
      <c r="K725" s="27">
        <v>0.82</v>
      </c>
      <c r="L725" s="27">
        <v>3500</v>
      </c>
      <c r="M725" s="27">
        <v>2740</v>
      </c>
      <c r="N725" s="27">
        <v>0</v>
      </c>
      <c r="O725" s="27">
        <v>0</v>
      </c>
      <c r="P725" s="27" t="s">
        <v>13</v>
      </c>
      <c r="Q725" s="27">
        <v>1993</v>
      </c>
      <c r="R725" s="27">
        <v>1</v>
      </c>
      <c r="S725" s="27">
        <v>0</v>
      </c>
      <c r="T725" s="27">
        <v>-1.8E-3</v>
      </c>
      <c r="U725" s="27">
        <v>-1.2E-2</v>
      </c>
      <c r="V725" s="27">
        <v>0</v>
      </c>
      <c r="W725" s="27">
        <v>0</v>
      </c>
      <c r="X725" s="27" t="s">
        <v>35</v>
      </c>
    </row>
    <row r="726" spans="1:24">
      <c r="A726" s="27">
        <v>1</v>
      </c>
      <c r="B726" s="27">
        <v>8</v>
      </c>
      <c r="C726" s="27">
        <v>25</v>
      </c>
      <c r="D726" s="27">
        <v>2013</v>
      </c>
      <c r="E726" s="27">
        <v>2050</v>
      </c>
      <c r="F726" s="27">
        <v>4</v>
      </c>
      <c r="G726" s="27">
        <v>25</v>
      </c>
      <c r="H726" s="27">
        <v>0</v>
      </c>
      <c r="I726" s="27">
        <v>0</v>
      </c>
      <c r="J726" s="27">
        <v>0</v>
      </c>
      <c r="K726" s="27">
        <v>0.82</v>
      </c>
      <c r="L726" s="27">
        <v>3500</v>
      </c>
      <c r="M726" s="27">
        <v>2740</v>
      </c>
      <c r="N726" s="27">
        <v>0</v>
      </c>
      <c r="O726" s="27">
        <v>0</v>
      </c>
      <c r="P726" s="27" t="s">
        <v>13</v>
      </c>
      <c r="Q726" s="27">
        <v>1993</v>
      </c>
      <c r="R726" s="27">
        <v>1</v>
      </c>
      <c r="S726" s="27">
        <v>0</v>
      </c>
      <c r="T726" s="27">
        <v>-1.8E-3</v>
      </c>
      <c r="U726" s="27">
        <v>-1.2E-2</v>
      </c>
      <c r="V726" s="27">
        <v>0</v>
      </c>
      <c r="W726" s="27">
        <v>0</v>
      </c>
      <c r="X726" s="27" t="s">
        <v>35</v>
      </c>
    </row>
    <row r="727" spans="1:24">
      <c r="A727" s="27">
        <v>1</v>
      </c>
      <c r="B727" s="27">
        <v>8</v>
      </c>
      <c r="C727" s="27">
        <v>25</v>
      </c>
      <c r="D727" s="27">
        <v>2013</v>
      </c>
      <c r="E727" s="27">
        <v>2050</v>
      </c>
      <c r="F727" s="27">
        <v>5</v>
      </c>
      <c r="G727" s="27">
        <v>25</v>
      </c>
      <c r="H727" s="27">
        <v>0</v>
      </c>
      <c r="I727" s="27">
        <v>0</v>
      </c>
      <c r="J727" s="27">
        <v>0</v>
      </c>
      <c r="K727" s="27">
        <v>0.82</v>
      </c>
      <c r="L727" s="27">
        <v>3500</v>
      </c>
      <c r="M727" s="27">
        <v>2740</v>
      </c>
      <c r="N727" s="27">
        <v>0</v>
      </c>
      <c r="O727" s="27">
        <v>0</v>
      </c>
      <c r="P727" s="27" t="s">
        <v>13</v>
      </c>
      <c r="Q727" s="27">
        <v>1993</v>
      </c>
      <c r="R727" s="27">
        <v>1</v>
      </c>
      <c r="S727" s="27">
        <v>0</v>
      </c>
      <c r="T727" s="27">
        <v>-1.8E-3</v>
      </c>
      <c r="U727" s="27">
        <v>-1.2E-2</v>
      </c>
      <c r="V727" s="27">
        <v>0</v>
      </c>
      <c r="W727" s="27">
        <v>0</v>
      </c>
      <c r="X727" s="27" t="s">
        <v>35</v>
      </c>
    </row>
    <row r="728" spans="1:24">
      <c r="A728" s="27">
        <v>1</v>
      </c>
      <c r="B728" s="27">
        <v>8</v>
      </c>
      <c r="C728" s="27">
        <v>25</v>
      </c>
      <c r="D728" s="27">
        <v>2013</v>
      </c>
      <c r="E728" s="27">
        <v>2050</v>
      </c>
      <c r="F728" s="27">
        <v>6</v>
      </c>
      <c r="G728" s="27">
        <v>25</v>
      </c>
      <c r="H728" s="27">
        <v>0</v>
      </c>
      <c r="I728" s="27">
        <v>0</v>
      </c>
      <c r="J728" s="27">
        <v>0</v>
      </c>
      <c r="K728" s="27">
        <v>0.82</v>
      </c>
      <c r="L728" s="27">
        <v>3500</v>
      </c>
      <c r="M728" s="27">
        <v>2740</v>
      </c>
      <c r="N728" s="27">
        <v>0</v>
      </c>
      <c r="O728" s="27">
        <v>0</v>
      </c>
      <c r="P728" s="27" t="s">
        <v>13</v>
      </c>
      <c r="Q728" s="27">
        <v>1993</v>
      </c>
      <c r="R728" s="27">
        <v>1</v>
      </c>
      <c r="S728" s="27">
        <v>0</v>
      </c>
      <c r="T728" s="27">
        <v>-1.8E-3</v>
      </c>
      <c r="U728" s="27">
        <v>-1.2E-2</v>
      </c>
      <c r="V728" s="27">
        <v>0</v>
      </c>
      <c r="W728" s="27">
        <v>0</v>
      </c>
      <c r="X728" s="27" t="s">
        <v>35</v>
      </c>
    </row>
    <row r="729" spans="1:24">
      <c r="A729" s="27">
        <v>1</v>
      </c>
      <c r="B729" s="27">
        <v>8</v>
      </c>
      <c r="C729" s="27">
        <v>25</v>
      </c>
      <c r="D729" s="27">
        <v>2013</v>
      </c>
      <c r="E729" s="27">
        <v>2050</v>
      </c>
      <c r="F729" s="27">
        <v>7</v>
      </c>
      <c r="G729" s="27">
        <v>25</v>
      </c>
      <c r="H729" s="27">
        <v>0</v>
      </c>
      <c r="I729" s="27">
        <v>0</v>
      </c>
      <c r="J729" s="27">
        <v>0</v>
      </c>
      <c r="K729" s="27">
        <v>0.82</v>
      </c>
      <c r="L729" s="27">
        <v>3500</v>
      </c>
      <c r="M729" s="27">
        <v>2740</v>
      </c>
      <c r="N729" s="27">
        <v>0</v>
      </c>
      <c r="O729" s="27">
        <v>0</v>
      </c>
      <c r="P729" s="27" t="s">
        <v>13</v>
      </c>
      <c r="Q729" s="27">
        <v>1993</v>
      </c>
      <c r="R729" s="27">
        <v>1</v>
      </c>
      <c r="S729" s="27">
        <v>0</v>
      </c>
      <c r="T729" s="27">
        <v>-1.8E-3</v>
      </c>
      <c r="U729" s="27">
        <v>-1.2E-2</v>
      </c>
      <c r="V729" s="27">
        <v>0</v>
      </c>
      <c r="W729" s="27">
        <v>0</v>
      </c>
      <c r="X729" s="27" t="s">
        <v>35</v>
      </c>
    </row>
    <row r="730" spans="1:24">
      <c r="A730" s="27">
        <v>1</v>
      </c>
      <c r="B730" s="27">
        <v>8</v>
      </c>
      <c r="C730" s="27">
        <v>25</v>
      </c>
      <c r="D730" s="27">
        <v>2013</v>
      </c>
      <c r="E730" s="27">
        <v>2050</v>
      </c>
      <c r="F730" s="27">
        <v>8</v>
      </c>
      <c r="G730" s="27">
        <v>25</v>
      </c>
      <c r="H730" s="27">
        <v>0</v>
      </c>
      <c r="I730" s="27">
        <v>0</v>
      </c>
      <c r="J730" s="27">
        <v>0</v>
      </c>
      <c r="K730" s="27">
        <v>0.82</v>
      </c>
      <c r="L730" s="27">
        <v>3500</v>
      </c>
      <c r="M730" s="27">
        <v>2740</v>
      </c>
      <c r="N730" s="27">
        <v>0</v>
      </c>
      <c r="O730" s="27">
        <v>0</v>
      </c>
      <c r="P730" s="27" t="s">
        <v>13</v>
      </c>
      <c r="Q730" s="27">
        <v>1993</v>
      </c>
      <c r="R730" s="27">
        <v>1</v>
      </c>
      <c r="S730" s="27">
        <v>0</v>
      </c>
      <c r="T730" s="27">
        <v>-1.8E-3</v>
      </c>
      <c r="U730" s="27">
        <v>-1.2E-2</v>
      </c>
      <c r="V730" s="27">
        <v>0</v>
      </c>
      <c r="W730" s="27">
        <v>0</v>
      </c>
      <c r="X730" s="27" t="s">
        <v>35</v>
      </c>
    </row>
    <row r="731" spans="1:24">
      <c r="A731" s="27">
        <v>1</v>
      </c>
      <c r="B731" s="27">
        <v>8</v>
      </c>
      <c r="C731" s="27">
        <v>25</v>
      </c>
      <c r="D731" s="27">
        <v>2013</v>
      </c>
      <c r="E731" s="27">
        <v>2050</v>
      </c>
      <c r="F731" s="27">
        <v>9</v>
      </c>
      <c r="G731" s="27">
        <v>25</v>
      </c>
      <c r="H731" s="27">
        <v>0</v>
      </c>
      <c r="I731" s="27">
        <v>0</v>
      </c>
      <c r="J731" s="27">
        <v>0</v>
      </c>
      <c r="K731" s="27">
        <v>0.82</v>
      </c>
      <c r="L731" s="27">
        <v>3500</v>
      </c>
      <c r="M731" s="27">
        <v>2740</v>
      </c>
      <c r="N731" s="27">
        <v>0</v>
      </c>
      <c r="O731" s="27">
        <v>0</v>
      </c>
      <c r="P731" s="27" t="s">
        <v>13</v>
      </c>
      <c r="Q731" s="27">
        <v>1993</v>
      </c>
      <c r="R731" s="27">
        <v>1</v>
      </c>
      <c r="S731" s="27">
        <v>0</v>
      </c>
      <c r="T731" s="27">
        <v>-1.8E-3</v>
      </c>
      <c r="U731" s="27">
        <v>-1.2E-2</v>
      </c>
      <c r="V731" s="27">
        <v>0</v>
      </c>
      <c r="W731" s="27">
        <v>0</v>
      </c>
      <c r="X731" s="27" t="s">
        <v>35</v>
      </c>
    </row>
    <row r="732" spans="1:24">
      <c r="A732" s="27">
        <v>1</v>
      </c>
      <c r="B732" s="27">
        <v>8</v>
      </c>
      <c r="C732" s="27">
        <v>26</v>
      </c>
      <c r="D732" s="27">
        <v>2010</v>
      </c>
      <c r="E732" s="27">
        <v>2050</v>
      </c>
      <c r="F732" s="27">
        <v>1</v>
      </c>
      <c r="G732" s="27">
        <v>26</v>
      </c>
      <c r="H732" s="27">
        <v>0</v>
      </c>
      <c r="I732" s="27">
        <v>0</v>
      </c>
      <c r="J732" s="27">
        <v>0</v>
      </c>
      <c r="K732" s="27">
        <v>0.85</v>
      </c>
      <c r="L732" s="27">
        <v>4250</v>
      </c>
      <c r="M732" s="27">
        <v>3470</v>
      </c>
      <c r="N732" s="27">
        <v>0</v>
      </c>
      <c r="O732" s="27">
        <v>0</v>
      </c>
      <c r="P732" s="27" t="s">
        <v>13</v>
      </c>
      <c r="Q732" s="27">
        <v>1993</v>
      </c>
      <c r="R732" s="27">
        <v>1</v>
      </c>
      <c r="S732" s="27">
        <v>0</v>
      </c>
      <c r="T732" s="27">
        <v>-1.8E-3</v>
      </c>
      <c r="U732" s="27">
        <v>-1.2E-2</v>
      </c>
      <c r="V732" s="27">
        <v>0</v>
      </c>
      <c r="W732" s="27">
        <v>0</v>
      </c>
      <c r="X732" s="27" t="s">
        <v>36</v>
      </c>
    </row>
    <row r="733" spans="1:24">
      <c r="A733" s="27">
        <v>1</v>
      </c>
      <c r="B733" s="27">
        <v>8</v>
      </c>
      <c r="C733" s="27">
        <v>26</v>
      </c>
      <c r="D733" s="27">
        <v>2010</v>
      </c>
      <c r="E733" s="27">
        <v>2050</v>
      </c>
      <c r="F733" s="27">
        <v>2</v>
      </c>
      <c r="G733" s="27">
        <v>26</v>
      </c>
      <c r="H733" s="27">
        <v>0</v>
      </c>
      <c r="I733" s="27">
        <v>0</v>
      </c>
      <c r="J733" s="27">
        <v>0</v>
      </c>
      <c r="K733" s="27">
        <v>0.85</v>
      </c>
      <c r="L733" s="27">
        <v>4250</v>
      </c>
      <c r="M733" s="27">
        <v>3470</v>
      </c>
      <c r="N733" s="27">
        <v>0</v>
      </c>
      <c r="O733" s="27">
        <v>0</v>
      </c>
      <c r="P733" s="27" t="s">
        <v>13</v>
      </c>
      <c r="Q733" s="27">
        <v>1993</v>
      </c>
      <c r="R733" s="27">
        <v>1</v>
      </c>
      <c r="S733" s="27">
        <v>0</v>
      </c>
      <c r="T733" s="27">
        <v>-1.8E-3</v>
      </c>
      <c r="U733" s="27">
        <v>-1.2E-2</v>
      </c>
      <c r="V733" s="27">
        <v>0</v>
      </c>
      <c r="W733" s="27">
        <v>0</v>
      </c>
      <c r="X733" s="27" t="s">
        <v>36</v>
      </c>
    </row>
    <row r="734" spans="1:24">
      <c r="A734" s="27">
        <v>1</v>
      </c>
      <c r="B734" s="27">
        <v>8</v>
      </c>
      <c r="C734" s="27">
        <v>26</v>
      </c>
      <c r="D734" s="27">
        <v>2010</v>
      </c>
      <c r="E734" s="27">
        <v>2050</v>
      </c>
      <c r="F734" s="27">
        <v>3</v>
      </c>
      <c r="G734" s="27">
        <v>26</v>
      </c>
      <c r="H734" s="27">
        <v>0</v>
      </c>
      <c r="I734" s="27">
        <v>0</v>
      </c>
      <c r="J734" s="27">
        <v>0</v>
      </c>
      <c r="K734" s="27">
        <v>0.85</v>
      </c>
      <c r="L734" s="27">
        <v>4250</v>
      </c>
      <c r="M734" s="27">
        <v>3470</v>
      </c>
      <c r="N734" s="27">
        <v>0</v>
      </c>
      <c r="O734" s="27">
        <v>0</v>
      </c>
      <c r="P734" s="27" t="s">
        <v>13</v>
      </c>
      <c r="Q734" s="27">
        <v>1993</v>
      </c>
      <c r="R734" s="27">
        <v>1</v>
      </c>
      <c r="S734" s="27">
        <v>0</v>
      </c>
      <c r="T734" s="27">
        <v>-1.8E-3</v>
      </c>
      <c r="U734" s="27">
        <v>-1.2E-2</v>
      </c>
      <c r="V734" s="27">
        <v>0</v>
      </c>
      <c r="W734" s="27">
        <v>0</v>
      </c>
      <c r="X734" s="27" t="s">
        <v>36</v>
      </c>
    </row>
    <row r="735" spans="1:24">
      <c r="A735" s="27">
        <v>1</v>
      </c>
      <c r="B735" s="27">
        <v>8</v>
      </c>
      <c r="C735" s="27">
        <v>26</v>
      </c>
      <c r="D735" s="27">
        <v>2010</v>
      </c>
      <c r="E735" s="27">
        <v>2050</v>
      </c>
      <c r="F735" s="27">
        <v>4</v>
      </c>
      <c r="G735" s="27">
        <v>26</v>
      </c>
      <c r="H735" s="27">
        <v>0</v>
      </c>
      <c r="I735" s="27">
        <v>0</v>
      </c>
      <c r="J735" s="27">
        <v>0</v>
      </c>
      <c r="K735" s="27">
        <v>0.85</v>
      </c>
      <c r="L735" s="27">
        <v>4250</v>
      </c>
      <c r="M735" s="27">
        <v>3470</v>
      </c>
      <c r="N735" s="27">
        <v>0</v>
      </c>
      <c r="O735" s="27">
        <v>0</v>
      </c>
      <c r="P735" s="27" t="s">
        <v>13</v>
      </c>
      <c r="Q735" s="27">
        <v>1993</v>
      </c>
      <c r="R735" s="27">
        <v>1</v>
      </c>
      <c r="S735" s="27">
        <v>0</v>
      </c>
      <c r="T735" s="27">
        <v>-1.8E-3</v>
      </c>
      <c r="U735" s="27">
        <v>-1.2E-2</v>
      </c>
      <c r="V735" s="27">
        <v>0</v>
      </c>
      <c r="W735" s="27">
        <v>0</v>
      </c>
      <c r="X735" s="27" t="s">
        <v>36</v>
      </c>
    </row>
    <row r="736" spans="1:24">
      <c r="A736" s="27">
        <v>1</v>
      </c>
      <c r="B736" s="27">
        <v>8</v>
      </c>
      <c r="C736" s="27">
        <v>26</v>
      </c>
      <c r="D736" s="27">
        <v>2010</v>
      </c>
      <c r="E736" s="27">
        <v>2050</v>
      </c>
      <c r="F736" s="27">
        <v>5</v>
      </c>
      <c r="G736" s="27">
        <v>26</v>
      </c>
      <c r="H736" s="27">
        <v>0</v>
      </c>
      <c r="I736" s="27">
        <v>0</v>
      </c>
      <c r="J736" s="27">
        <v>0</v>
      </c>
      <c r="K736" s="27">
        <v>0.85</v>
      </c>
      <c r="L736" s="27">
        <v>4250</v>
      </c>
      <c r="M736" s="27">
        <v>3470</v>
      </c>
      <c r="N736" s="27">
        <v>0</v>
      </c>
      <c r="O736" s="27">
        <v>0</v>
      </c>
      <c r="P736" s="27" t="s">
        <v>13</v>
      </c>
      <c r="Q736" s="27">
        <v>1993</v>
      </c>
      <c r="R736" s="27">
        <v>1</v>
      </c>
      <c r="S736" s="27">
        <v>0</v>
      </c>
      <c r="T736" s="27">
        <v>-1.8E-3</v>
      </c>
      <c r="U736" s="27">
        <v>-1.2E-2</v>
      </c>
      <c r="V736" s="27">
        <v>0</v>
      </c>
      <c r="W736" s="27">
        <v>0</v>
      </c>
      <c r="X736" s="27" t="s">
        <v>36</v>
      </c>
    </row>
    <row r="737" spans="1:24">
      <c r="A737" s="27">
        <v>1</v>
      </c>
      <c r="B737" s="27">
        <v>8</v>
      </c>
      <c r="C737" s="27">
        <v>26</v>
      </c>
      <c r="D737" s="27">
        <v>2010</v>
      </c>
      <c r="E737" s="27">
        <v>2050</v>
      </c>
      <c r="F737" s="27">
        <v>6</v>
      </c>
      <c r="G737" s="27">
        <v>26</v>
      </c>
      <c r="H737" s="27">
        <v>0</v>
      </c>
      <c r="I737" s="27">
        <v>0</v>
      </c>
      <c r="J737" s="27">
        <v>0</v>
      </c>
      <c r="K737" s="27">
        <v>0.85</v>
      </c>
      <c r="L737" s="27">
        <v>4250</v>
      </c>
      <c r="M737" s="27">
        <v>3470</v>
      </c>
      <c r="N737" s="27">
        <v>0</v>
      </c>
      <c r="O737" s="27">
        <v>0</v>
      </c>
      <c r="P737" s="27" t="s">
        <v>13</v>
      </c>
      <c r="Q737" s="27">
        <v>1993</v>
      </c>
      <c r="R737" s="27">
        <v>1</v>
      </c>
      <c r="S737" s="27">
        <v>0</v>
      </c>
      <c r="T737" s="27">
        <v>-1.8E-3</v>
      </c>
      <c r="U737" s="27">
        <v>-1.2E-2</v>
      </c>
      <c r="V737" s="27">
        <v>0</v>
      </c>
      <c r="W737" s="27">
        <v>0</v>
      </c>
      <c r="X737" s="27" t="s">
        <v>36</v>
      </c>
    </row>
    <row r="738" spans="1:24">
      <c r="A738" s="27">
        <v>1</v>
      </c>
      <c r="B738" s="27">
        <v>8</v>
      </c>
      <c r="C738" s="27">
        <v>26</v>
      </c>
      <c r="D738" s="27">
        <v>2010</v>
      </c>
      <c r="E738" s="27">
        <v>2050</v>
      </c>
      <c r="F738" s="27">
        <v>7</v>
      </c>
      <c r="G738" s="27">
        <v>26</v>
      </c>
      <c r="H738" s="27">
        <v>0</v>
      </c>
      <c r="I738" s="27">
        <v>0</v>
      </c>
      <c r="J738" s="27">
        <v>0</v>
      </c>
      <c r="K738" s="27">
        <v>0.85</v>
      </c>
      <c r="L738" s="27">
        <v>4250</v>
      </c>
      <c r="M738" s="27">
        <v>3470</v>
      </c>
      <c r="N738" s="27">
        <v>0</v>
      </c>
      <c r="O738" s="27">
        <v>0</v>
      </c>
      <c r="P738" s="27" t="s">
        <v>13</v>
      </c>
      <c r="Q738" s="27">
        <v>1993</v>
      </c>
      <c r="R738" s="27">
        <v>1</v>
      </c>
      <c r="S738" s="27">
        <v>0</v>
      </c>
      <c r="T738" s="27">
        <v>-1.8E-3</v>
      </c>
      <c r="U738" s="27">
        <v>-1.2E-2</v>
      </c>
      <c r="V738" s="27">
        <v>0</v>
      </c>
      <c r="W738" s="27">
        <v>0</v>
      </c>
      <c r="X738" s="27" t="s">
        <v>36</v>
      </c>
    </row>
    <row r="739" spans="1:24">
      <c r="A739" s="27">
        <v>1</v>
      </c>
      <c r="B739" s="27">
        <v>8</v>
      </c>
      <c r="C739" s="27">
        <v>26</v>
      </c>
      <c r="D739" s="27">
        <v>2010</v>
      </c>
      <c r="E739" s="27">
        <v>2050</v>
      </c>
      <c r="F739" s="27">
        <v>8</v>
      </c>
      <c r="G739" s="27">
        <v>26</v>
      </c>
      <c r="H739" s="27">
        <v>0</v>
      </c>
      <c r="I739" s="27">
        <v>0</v>
      </c>
      <c r="J739" s="27">
        <v>0</v>
      </c>
      <c r="K739" s="27">
        <v>0.85</v>
      </c>
      <c r="L739" s="27">
        <v>4250</v>
      </c>
      <c r="M739" s="27">
        <v>3470</v>
      </c>
      <c r="N739" s="27">
        <v>0</v>
      </c>
      <c r="O739" s="27">
        <v>0</v>
      </c>
      <c r="P739" s="27" t="s">
        <v>13</v>
      </c>
      <c r="Q739" s="27">
        <v>1993</v>
      </c>
      <c r="R739" s="27">
        <v>1</v>
      </c>
      <c r="S739" s="27">
        <v>0</v>
      </c>
      <c r="T739" s="27">
        <v>-1.8E-3</v>
      </c>
      <c r="U739" s="27">
        <v>-1.2E-2</v>
      </c>
      <c r="V739" s="27">
        <v>0</v>
      </c>
      <c r="W739" s="27">
        <v>0</v>
      </c>
      <c r="X739" s="27" t="s">
        <v>36</v>
      </c>
    </row>
    <row r="740" spans="1:24">
      <c r="A740" s="27">
        <v>1</v>
      </c>
      <c r="B740" s="27">
        <v>8</v>
      </c>
      <c r="C740" s="27">
        <v>26</v>
      </c>
      <c r="D740" s="27">
        <v>2010</v>
      </c>
      <c r="E740" s="27">
        <v>2050</v>
      </c>
      <c r="F740" s="27">
        <v>9</v>
      </c>
      <c r="G740" s="27">
        <v>26</v>
      </c>
      <c r="H740" s="27">
        <v>0</v>
      </c>
      <c r="I740" s="27">
        <v>0</v>
      </c>
      <c r="J740" s="27">
        <v>0</v>
      </c>
      <c r="K740" s="27">
        <v>0.85</v>
      </c>
      <c r="L740" s="27">
        <v>4250</v>
      </c>
      <c r="M740" s="27">
        <v>3470</v>
      </c>
      <c r="N740" s="27">
        <v>0</v>
      </c>
      <c r="O740" s="27">
        <v>0</v>
      </c>
      <c r="P740" s="27" t="s">
        <v>13</v>
      </c>
      <c r="Q740" s="27">
        <v>1993</v>
      </c>
      <c r="R740" s="27">
        <v>1</v>
      </c>
      <c r="S740" s="27">
        <v>0</v>
      </c>
      <c r="T740" s="27">
        <v>-1.8E-3</v>
      </c>
      <c r="U740" s="27">
        <v>-1.2E-2</v>
      </c>
      <c r="V740" s="27">
        <v>0</v>
      </c>
      <c r="W740" s="27">
        <v>0</v>
      </c>
      <c r="X740" s="27" t="s">
        <v>36</v>
      </c>
    </row>
    <row r="741" spans="1:24">
      <c r="A741" s="27">
        <v>1</v>
      </c>
      <c r="B741" s="27">
        <v>8</v>
      </c>
      <c r="C741" s="27">
        <v>27</v>
      </c>
      <c r="D741" s="27">
        <v>2010</v>
      </c>
      <c r="E741" s="27">
        <v>2010</v>
      </c>
      <c r="F741" s="27">
        <v>1</v>
      </c>
      <c r="G741" s="27">
        <v>27</v>
      </c>
      <c r="H741" s="27">
        <v>0</v>
      </c>
      <c r="I741" s="27">
        <v>0</v>
      </c>
      <c r="J741" s="27">
        <v>0</v>
      </c>
      <c r="K741" s="27">
        <v>0.98</v>
      </c>
      <c r="L741" s="27">
        <v>4000</v>
      </c>
      <c r="M741" s="27">
        <v>3600</v>
      </c>
      <c r="N741" s="27">
        <v>1200</v>
      </c>
      <c r="O741" s="27">
        <v>720</v>
      </c>
      <c r="P741" s="27" t="s">
        <v>13</v>
      </c>
      <c r="Q741" s="27">
        <v>1993</v>
      </c>
      <c r="R741" s="27">
        <v>1</v>
      </c>
      <c r="S741" s="27">
        <v>0</v>
      </c>
      <c r="T741" s="27">
        <v>-1.8E-3</v>
      </c>
      <c r="U741" s="27">
        <v>-1.2E-2</v>
      </c>
      <c r="V741" s="27">
        <v>0</v>
      </c>
      <c r="W741" s="27">
        <v>0</v>
      </c>
      <c r="X741" s="27" t="s">
        <v>37</v>
      </c>
    </row>
    <row r="742" spans="1:24">
      <c r="A742" s="27">
        <v>1</v>
      </c>
      <c r="B742" s="27">
        <v>8</v>
      </c>
      <c r="C742" s="27">
        <v>27</v>
      </c>
      <c r="D742" s="27">
        <v>2010</v>
      </c>
      <c r="E742" s="27">
        <v>2010</v>
      </c>
      <c r="F742" s="27">
        <v>2</v>
      </c>
      <c r="G742" s="27">
        <v>27</v>
      </c>
      <c r="H742" s="27">
        <v>0</v>
      </c>
      <c r="I742" s="27">
        <v>0</v>
      </c>
      <c r="J742" s="27">
        <v>0</v>
      </c>
      <c r="K742" s="27">
        <v>0.98</v>
      </c>
      <c r="L742" s="27">
        <v>4000</v>
      </c>
      <c r="M742" s="27">
        <v>3600</v>
      </c>
      <c r="N742" s="27">
        <v>1200</v>
      </c>
      <c r="O742" s="27">
        <v>720</v>
      </c>
      <c r="P742" s="27" t="s">
        <v>13</v>
      </c>
      <c r="Q742" s="27">
        <v>1993</v>
      </c>
      <c r="R742" s="27">
        <v>1</v>
      </c>
      <c r="S742" s="27">
        <v>0</v>
      </c>
      <c r="T742" s="27">
        <v>-1.8E-3</v>
      </c>
      <c r="U742" s="27">
        <v>-1.2E-2</v>
      </c>
      <c r="V742" s="27">
        <v>0</v>
      </c>
      <c r="W742" s="27">
        <v>0</v>
      </c>
      <c r="X742" s="27" t="s">
        <v>37</v>
      </c>
    </row>
    <row r="743" spans="1:24">
      <c r="A743" s="27">
        <v>1</v>
      </c>
      <c r="B743" s="27">
        <v>8</v>
      </c>
      <c r="C743" s="27">
        <v>27</v>
      </c>
      <c r="D743" s="27">
        <v>2010</v>
      </c>
      <c r="E743" s="27">
        <v>2010</v>
      </c>
      <c r="F743" s="27">
        <v>3</v>
      </c>
      <c r="G743" s="27">
        <v>27</v>
      </c>
      <c r="H743" s="27">
        <v>0</v>
      </c>
      <c r="I743" s="27">
        <v>0</v>
      </c>
      <c r="J743" s="27">
        <v>0</v>
      </c>
      <c r="K743" s="27">
        <v>0.98</v>
      </c>
      <c r="L743" s="27">
        <v>4000</v>
      </c>
      <c r="M743" s="27">
        <v>3600</v>
      </c>
      <c r="N743" s="27">
        <v>1200</v>
      </c>
      <c r="O743" s="27">
        <v>720</v>
      </c>
      <c r="P743" s="27" t="s">
        <v>13</v>
      </c>
      <c r="Q743" s="27">
        <v>1993</v>
      </c>
      <c r="R743" s="27">
        <v>1</v>
      </c>
      <c r="S743" s="27">
        <v>0</v>
      </c>
      <c r="T743" s="27">
        <v>-1.8E-3</v>
      </c>
      <c r="U743" s="27">
        <v>-1.2E-2</v>
      </c>
      <c r="V743" s="27">
        <v>0</v>
      </c>
      <c r="W743" s="27">
        <v>0</v>
      </c>
      <c r="X743" s="27" t="s">
        <v>37</v>
      </c>
    </row>
    <row r="744" spans="1:24">
      <c r="A744" s="27">
        <v>1</v>
      </c>
      <c r="B744" s="27">
        <v>8</v>
      </c>
      <c r="C744" s="27">
        <v>27</v>
      </c>
      <c r="D744" s="27">
        <v>2010</v>
      </c>
      <c r="E744" s="27">
        <v>2010</v>
      </c>
      <c r="F744" s="27">
        <v>4</v>
      </c>
      <c r="G744" s="27">
        <v>27</v>
      </c>
      <c r="H744" s="27">
        <v>0</v>
      </c>
      <c r="I744" s="27">
        <v>0</v>
      </c>
      <c r="J744" s="27">
        <v>0</v>
      </c>
      <c r="K744" s="27">
        <v>0.98</v>
      </c>
      <c r="L744" s="27">
        <v>4000</v>
      </c>
      <c r="M744" s="27">
        <v>3600</v>
      </c>
      <c r="N744" s="27">
        <v>1200</v>
      </c>
      <c r="O744" s="27">
        <v>720</v>
      </c>
      <c r="P744" s="27" t="s">
        <v>13</v>
      </c>
      <c r="Q744" s="27">
        <v>1993</v>
      </c>
      <c r="R744" s="27">
        <v>1</v>
      </c>
      <c r="S744" s="27">
        <v>0</v>
      </c>
      <c r="T744" s="27">
        <v>-1.8E-3</v>
      </c>
      <c r="U744" s="27">
        <v>-1.2E-2</v>
      </c>
      <c r="V744" s="27">
        <v>0</v>
      </c>
      <c r="W744" s="27">
        <v>0</v>
      </c>
      <c r="X744" s="27" t="s">
        <v>37</v>
      </c>
    </row>
    <row r="745" spans="1:24">
      <c r="A745" s="27">
        <v>1</v>
      </c>
      <c r="B745" s="27">
        <v>8</v>
      </c>
      <c r="C745" s="27">
        <v>27</v>
      </c>
      <c r="D745" s="27">
        <v>2010</v>
      </c>
      <c r="E745" s="27">
        <v>2010</v>
      </c>
      <c r="F745" s="27">
        <v>5</v>
      </c>
      <c r="G745" s="27">
        <v>27</v>
      </c>
      <c r="H745" s="27">
        <v>0</v>
      </c>
      <c r="I745" s="27">
        <v>0</v>
      </c>
      <c r="J745" s="27">
        <v>0</v>
      </c>
      <c r="K745" s="27">
        <v>0.98</v>
      </c>
      <c r="L745" s="27">
        <v>4000</v>
      </c>
      <c r="M745" s="27">
        <v>3600</v>
      </c>
      <c r="N745" s="27">
        <v>1200</v>
      </c>
      <c r="O745" s="27">
        <v>720</v>
      </c>
      <c r="P745" s="27" t="s">
        <v>13</v>
      </c>
      <c r="Q745" s="27">
        <v>1993</v>
      </c>
      <c r="R745" s="27">
        <v>1</v>
      </c>
      <c r="S745" s="27">
        <v>0</v>
      </c>
      <c r="T745" s="27">
        <v>-1.8E-3</v>
      </c>
      <c r="U745" s="27">
        <v>-1.2E-2</v>
      </c>
      <c r="V745" s="27">
        <v>0</v>
      </c>
      <c r="W745" s="27">
        <v>0</v>
      </c>
      <c r="X745" s="27" t="s">
        <v>37</v>
      </c>
    </row>
    <row r="746" spans="1:24">
      <c r="A746" s="27">
        <v>1</v>
      </c>
      <c r="B746" s="27">
        <v>8</v>
      </c>
      <c r="C746" s="27">
        <v>27</v>
      </c>
      <c r="D746" s="27">
        <v>2010</v>
      </c>
      <c r="E746" s="27">
        <v>2010</v>
      </c>
      <c r="F746" s="27">
        <v>6</v>
      </c>
      <c r="G746" s="27">
        <v>27</v>
      </c>
      <c r="H746" s="27">
        <v>0</v>
      </c>
      <c r="I746" s="27">
        <v>0</v>
      </c>
      <c r="J746" s="27">
        <v>0</v>
      </c>
      <c r="K746" s="27">
        <v>0.98</v>
      </c>
      <c r="L746" s="27">
        <v>4000</v>
      </c>
      <c r="M746" s="27">
        <v>3600</v>
      </c>
      <c r="N746" s="27">
        <v>1200</v>
      </c>
      <c r="O746" s="27">
        <v>720</v>
      </c>
      <c r="P746" s="27" t="s">
        <v>13</v>
      </c>
      <c r="Q746" s="27">
        <v>1993</v>
      </c>
      <c r="R746" s="27">
        <v>1</v>
      </c>
      <c r="S746" s="27">
        <v>0</v>
      </c>
      <c r="T746" s="27">
        <v>-1.8E-3</v>
      </c>
      <c r="U746" s="27">
        <v>-1.2E-2</v>
      </c>
      <c r="V746" s="27">
        <v>0</v>
      </c>
      <c r="W746" s="27">
        <v>0</v>
      </c>
      <c r="X746" s="27" t="s">
        <v>37</v>
      </c>
    </row>
    <row r="747" spans="1:24">
      <c r="A747" s="27">
        <v>1</v>
      </c>
      <c r="B747" s="27">
        <v>8</v>
      </c>
      <c r="C747" s="27">
        <v>27</v>
      </c>
      <c r="D747" s="27">
        <v>2010</v>
      </c>
      <c r="E747" s="27">
        <v>2010</v>
      </c>
      <c r="F747" s="27">
        <v>7</v>
      </c>
      <c r="G747" s="27">
        <v>27</v>
      </c>
      <c r="H747" s="27">
        <v>0</v>
      </c>
      <c r="I747" s="27">
        <v>0</v>
      </c>
      <c r="J747" s="27">
        <v>0</v>
      </c>
      <c r="K747" s="27">
        <v>0.98</v>
      </c>
      <c r="L747" s="27">
        <v>4000</v>
      </c>
      <c r="M747" s="27">
        <v>3600</v>
      </c>
      <c r="N747" s="27">
        <v>1200</v>
      </c>
      <c r="O747" s="27">
        <v>720</v>
      </c>
      <c r="P747" s="27" t="s">
        <v>13</v>
      </c>
      <c r="Q747" s="27">
        <v>1993</v>
      </c>
      <c r="R747" s="27">
        <v>1</v>
      </c>
      <c r="S747" s="27">
        <v>0</v>
      </c>
      <c r="T747" s="27">
        <v>-1.8E-3</v>
      </c>
      <c r="U747" s="27">
        <v>-1.2E-2</v>
      </c>
      <c r="V747" s="27">
        <v>0</v>
      </c>
      <c r="W747" s="27">
        <v>0</v>
      </c>
      <c r="X747" s="27" t="s">
        <v>37</v>
      </c>
    </row>
    <row r="748" spans="1:24">
      <c r="A748" s="27">
        <v>1</v>
      </c>
      <c r="B748" s="27">
        <v>8</v>
      </c>
      <c r="C748" s="27">
        <v>27</v>
      </c>
      <c r="D748" s="27">
        <v>2010</v>
      </c>
      <c r="E748" s="27">
        <v>2010</v>
      </c>
      <c r="F748" s="27">
        <v>8</v>
      </c>
      <c r="G748" s="27">
        <v>27</v>
      </c>
      <c r="H748" s="27">
        <v>0</v>
      </c>
      <c r="I748" s="27">
        <v>0</v>
      </c>
      <c r="J748" s="27">
        <v>0</v>
      </c>
      <c r="K748" s="27">
        <v>0.98</v>
      </c>
      <c r="L748" s="27">
        <v>4000</v>
      </c>
      <c r="M748" s="27">
        <v>3600</v>
      </c>
      <c r="N748" s="27">
        <v>1200</v>
      </c>
      <c r="O748" s="27">
        <v>720</v>
      </c>
      <c r="P748" s="27" t="s">
        <v>13</v>
      </c>
      <c r="Q748" s="27">
        <v>1993</v>
      </c>
      <c r="R748" s="27">
        <v>1</v>
      </c>
      <c r="S748" s="27">
        <v>0</v>
      </c>
      <c r="T748" s="27">
        <v>-1.8E-3</v>
      </c>
      <c r="U748" s="27">
        <v>-1.2E-2</v>
      </c>
      <c r="V748" s="27">
        <v>0</v>
      </c>
      <c r="W748" s="27">
        <v>0</v>
      </c>
      <c r="X748" s="27" t="s">
        <v>37</v>
      </c>
    </row>
    <row r="749" spans="1:24">
      <c r="A749" s="27">
        <v>1</v>
      </c>
      <c r="B749" s="27">
        <v>8</v>
      </c>
      <c r="C749" s="27">
        <v>27</v>
      </c>
      <c r="D749" s="27">
        <v>2010</v>
      </c>
      <c r="E749" s="27">
        <v>2010</v>
      </c>
      <c r="F749" s="27">
        <v>9</v>
      </c>
      <c r="G749" s="27">
        <v>27</v>
      </c>
      <c r="H749" s="27">
        <v>0</v>
      </c>
      <c r="I749" s="27">
        <v>0</v>
      </c>
      <c r="J749" s="27">
        <v>0</v>
      </c>
      <c r="K749" s="27">
        <v>0.98</v>
      </c>
      <c r="L749" s="27">
        <v>4000</v>
      </c>
      <c r="M749" s="27">
        <v>3600</v>
      </c>
      <c r="N749" s="27">
        <v>1200</v>
      </c>
      <c r="O749" s="27">
        <v>720</v>
      </c>
      <c r="P749" s="27" t="s">
        <v>13</v>
      </c>
      <c r="Q749" s="27">
        <v>1993</v>
      </c>
      <c r="R749" s="27">
        <v>1</v>
      </c>
      <c r="S749" s="27">
        <v>0</v>
      </c>
      <c r="T749" s="27">
        <v>-1.8E-3</v>
      </c>
      <c r="U749" s="27">
        <v>-1.2E-2</v>
      </c>
      <c r="V749" s="27">
        <v>0</v>
      </c>
      <c r="W749" s="27">
        <v>0</v>
      </c>
      <c r="X749" s="27" t="s">
        <v>37</v>
      </c>
    </row>
    <row r="750" spans="1:24">
      <c r="A750" s="27">
        <v>1</v>
      </c>
      <c r="B750" s="27">
        <v>8</v>
      </c>
      <c r="C750" s="27">
        <v>27</v>
      </c>
      <c r="D750" s="27">
        <v>2011</v>
      </c>
      <c r="E750" s="27">
        <v>2011</v>
      </c>
      <c r="F750" s="27">
        <v>1</v>
      </c>
      <c r="G750" s="27">
        <v>27</v>
      </c>
      <c r="H750" s="27">
        <v>0</v>
      </c>
      <c r="I750" s="27">
        <v>0</v>
      </c>
      <c r="J750" s="27">
        <v>0</v>
      </c>
      <c r="K750" s="27">
        <v>0.98</v>
      </c>
      <c r="L750" s="27">
        <v>4000</v>
      </c>
      <c r="M750" s="27">
        <v>3600</v>
      </c>
      <c r="N750" s="27">
        <v>150</v>
      </c>
      <c r="O750" s="27">
        <v>90</v>
      </c>
      <c r="P750" s="27" t="s">
        <v>13</v>
      </c>
      <c r="Q750" s="27">
        <v>1993</v>
      </c>
      <c r="R750" s="27">
        <v>1</v>
      </c>
      <c r="S750" s="27">
        <v>0</v>
      </c>
      <c r="T750" s="27">
        <v>-1.8E-3</v>
      </c>
      <c r="U750" s="27">
        <v>-1.2E-2</v>
      </c>
      <c r="V750" s="27">
        <v>0</v>
      </c>
      <c r="W750" s="27">
        <v>0</v>
      </c>
      <c r="X750" s="27" t="s">
        <v>37</v>
      </c>
    </row>
    <row r="751" spans="1:24">
      <c r="A751" s="27">
        <v>1</v>
      </c>
      <c r="B751" s="27">
        <v>8</v>
      </c>
      <c r="C751" s="27">
        <v>27</v>
      </c>
      <c r="D751" s="27">
        <v>2011</v>
      </c>
      <c r="E751" s="27">
        <v>2011</v>
      </c>
      <c r="F751" s="27">
        <v>2</v>
      </c>
      <c r="G751" s="27">
        <v>27</v>
      </c>
      <c r="H751" s="27">
        <v>0</v>
      </c>
      <c r="I751" s="27">
        <v>0</v>
      </c>
      <c r="J751" s="27">
        <v>0</v>
      </c>
      <c r="K751" s="27">
        <v>0.98</v>
      </c>
      <c r="L751" s="27">
        <v>4000</v>
      </c>
      <c r="M751" s="27">
        <v>3600</v>
      </c>
      <c r="N751" s="27">
        <v>150</v>
      </c>
      <c r="O751" s="27">
        <v>90</v>
      </c>
      <c r="P751" s="27" t="s">
        <v>13</v>
      </c>
      <c r="Q751" s="27">
        <v>1993</v>
      </c>
      <c r="R751" s="27">
        <v>1</v>
      </c>
      <c r="S751" s="27">
        <v>0</v>
      </c>
      <c r="T751" s="27">
        <v>-1.8E-3</v>
      </c>
      <c r="U751" s="27">
        <v>-1.2E-2</v>
      </c>
      <c r="V751" s="27">
        <v>0</v>
      </c>
      <c r="W751" s="27">
        <v>0</v>
      </c>
      <c r="X751" s="27" t="s">
        <v>37</v>
      </c>
    </row>
    <row r="752" spans="1:24">
      <c r="A752" s="27">
        <v>1</v>
      </c>
      <c r="B752" s="27">
        <v>8</v>
      </c>
      <c r="C752" s="27">
        <v>27</v>
      </c>
      <c r="D752" s="27">
        <v>2011</v>
      </c>
      <c r="E752" s="27">
        <v>2011</v>
      </c>
      <c r="F752" s="27">
        <v>3</v>
      </c>
      <c r="G752" s="27">
        <v>27</v>
      </c>
      <c r="H752" s="27">
        <v>0</v>
      </c>
      <c r="I752" s="27">
        <v>0</v>
      </c>
      <c r="J752" s="27">
        <v>0</v>
      </c>
      <c r="K752" s="27">
        <v>0.98</v>
      </c>
      <c r="L752" s="27">
        <v>4000</v>
      </c>
      <c r="M752" s="27">
        <v>3600</v>
      </c>
      <c r="N752" s="27">
        <v>150</v>
      </c>
      <c r="O752" s="27">
        <v>90</v>
      </c>
      <c r="P752" s="27" t="s">
        <v>13</v>
      </c>
      <c r="Q752" s="27">
        <v>1993</v>
      </c>
      <c r="R752" s="27">
        <v>1</v>
      </c>
      <c r="S752" s="27">
        <v>0</v>
      </c>
      <c r="T752" s="27">
        <v>-1.8E-3</v>
      </c>
      <c r="U752" s="27">
        <v>-1.2E-2</v>
      </c>
      <c r="V752" s="27">
        <v>0</v>
      </c>
      <c r="W752" s="27">
        <v>0</v>
      </c>
      <c r="X752" s="27" t="s">
        <v>37</v>
      </c>
    </row>
    <row r="753" spans="1:24">
      <c r="A753" s="27">
        <v>1</v>
      </c>
      <c r="B753" s="27">
        <v>8</v>
      </c>
      <c r="C753" s="27">
        <v>27</v>
      </c>
      <c r="D753" s="27">
        <v>2011</v>
      </c>
      <c r="E753" s="27">
        <v>2011</v>
      </c>
      <c r="F753" s="27">
        <v>4</v>
      </c>
      <c r="G753" s="27">
        <v>27</v>
      </c>
      <c r="H753" s="27">
        <v>0</v>
      </c>
      <c r="I753" s="27">
        <v>0</v>
      </c>
      <c r="J753" s="27">
        <v>0</v>
      </c>
      <c r="K753" s="27">
        <v>0.98</v>
      </c>
      <c r="L753" s="27">
        <v>4000</v>
      </c>
      <c r="M753" s="27">
        <v>3600</v>
      </c>
      <c r="N753" s="27">
        <v>150</v>
      </c>
      <c r="O753" s="27">
        <v>90</v>
      </c>
      <c r="P753" s="27" t="s">
        <v>13</v>
      </c>
      <c r="Q753" s="27">
        <v>1993</v>
      </c>
      <c r="R753" s="27">
        <v>1</v>
      </c>
      <c r="S753" s="27">
        <v>0</v>
      </c>
      <c r="T753" s="27">
        <v>-1.8E-3</v>
      </c>
      <c r="U753" s="27">
        <v>-1.2E-2</v>
      </c>
      <c r="V753" s="27">
        <v>0</v>
      </c>
      <c r="W753" s="27">
        <v>0</v>
      </c>
      <c r="X753" s="27" t="s">
        <v>37</v>
      </c>
    </row>
    <row r="754" spans="1:24">
      <c r="A754" s="27">
        <v>1</v>
      </c>
      <c r="B754" s="27">
        <v>8</v>
      </c>
      <c r="C754" s="27">
        <v>27</v>
      </c>
      <c r="D754" s="27">
        <v>2011</v>
      </c>
      <c r="E754" s="27">
        <v>2011</v>
      </c>
      <c r="F754" s="27">
        <v>5</v>
      </c>
      <c r="G754" s="27">
        <v>27</v>
      </c>
      <c r="H754" s="27">
        <v>0</v>
      </c>
      <c r="I754" s="27">
        <v>0</v>
      </c>
      <c r="J754" s="27">
        <v>0</v>
      </c>
      <c r="K754" s="27">
        <v>0.98</v>
      </c>
      <c r="L754" s="27">
        <v>4000</v>
      </c>
      <c r="M754" s="27">
        <v>3600</v>
      </c>
      <c r="N754" s="27">
        <v>150</v>
      </c>
      <c r="O754" s="27">
        <v>90</v>
      </c>
      <c r="P754" s="27" t="s">
        <v>13</v>
      </c>
      <c r="Q754" s="27">
        <v>1993</v>
      </c>
      <c r="R754" s="27">
        <v>1</v>
      </c>
      <c r="S754" s="27">
        <v>0</v>
      </c>
      <c r="T754" s="27">
        <v>-1.8E-3</v>
      </c>
      <c r="U754" s="27">
        <v>-1.2E-2</v>
      </c>
      <c r="V754" s="27">
        <v>0</v>
      </c>
      <c r="W754" s="27">
        <v>0</v>
      </c>
      <c r="X754" s="27" t="s">
        <v>37</v>
      </c>
    </row>
    <row r="755" spans="1:24">
      <c r="A755" s="27">
        <v>1</v>
      </c>
      <c r="B755" s="27">
        <v>8</v>
      </c>
      <c r="C755" s="27">
        <v>27</v>
      </c>
      <c r="D755" s="27">
        <v>2011</v>
      </c>
      <c r="E755" s="27">
        <v>2011</v>
      </c>
      <c r="F755" s="27">
        <v>6</v>
      </c>
      <c r="G755" s="27">
        <v>27</v>
      </c>
      <c r="H755" s="27">
        <v>0</v>
      </c>
      <c r="I755" s="27">
        <v>0</v>
      </c>
      <c r="J755" s="27">
        <v>0</v>
      </c>
      <c r="K755" s="27">
        <v>0.98</v>
      </c>
      <c r="L755" s="27">
        <v>4000</v>
      </c>
      <c r="M755" s="27">
        <v>3600</v>
      </c>
      <c r="N755" s="27">
        <v>150</v>
      </c>
      <c r="O755" s="27">
        <v>90</v>
      </c>
      <c r="P755" s="27" t="s">
        <v>13</v>
      </c>
      <c r="Q755" s="27">
        <v>1993</v>
      </c>
      <c r="R755" s="27">
        <v>1</v>
      </c>
      <c r="S755" s="27">
        <v>0</v>
      </c>
      <c r="T755" s="27">
        <v>-1.8E-3</v>
      </c>
      <c r="U755" s="27">
        <v>-1.2E-2</v>
      </c>
      <c r="V755" s="27">
        <v>0</v>
      </c>
      <c r="W755" s="27">
        <v>0</v>
      </c>
      <c r="X755" s="27" t="s">
        <v>37</v>
      </c>
    </row>
    <row r="756" spans="1:24">
      <c r="A756" s="27">
        <v>1</v>
      </c>
      <c r="B756" s="27">
        <v>8</v>
      </c>
      <c r="C756" s="27">
        <v>27</v>
      </c>
      <c r="D756" s="27">
        <v>2011</v>
      </c>
      <c r="E756" s="27">
        <v>2011</v>
      </c>
      <c r="F756" s="27">
        <v>7</v>
      </c>
      <c r="G756" s="27">
        <v>27</v>
      </c>
      <c r="H756" s="27">
        <v>0</v>
      </c>
      <c r="I756" s="27">
        <v>0</v>
      </c>
      <c r="J756" s="27">
        <v>0</v>
      </c>
      <c r="K756" s="27">
        <v>0.98</v>
      </c>
      <c r="L756" s="27">
        <v>4000</v>
      </c>
      <c r="M756" s="27">
        <v>3600</v>
      </c>
      <c r="N756" s="27">
        <v>150</v>
      </c>
      <c r="O756" s="27">
        <v>90</v>
      </c>
      <c r="P756" s="27" t="s">
        <v>13</v>
      </c>
      <c r="Q756" s="27">
        <v>1993</v>
      </c>
      <c r="R756" s="27">
        <v>1</v>
      </c>
      <c r="S756" s="27">
        <v>0</v>
      </c>
      <c r="T756" s="27">
        <v>-1.8E-3</v>
      </c>
      <c r="U756" s="27">
        <v>-1.2E-2</v>
      </c>
      <c r="V756" s="27">
        <v>0</v>
      </c>
      <c r="W756" s="27">
        <v>0</v>
      </c>
      <c r="X756" s="27" t="s">
        <v>37</v>
      </c>
    </row>
    <row r="757" spans="1:24">
      <c r="A757" s="27">
        <v>1</v>
      </c>
      <c r="B757" s="27">
        <v>8</v>
      </c>
      <c r="C757" s="27">
        <v>27</v>
      </c>
      <c r="D757" s="27">
        <v>2011</v>
      </c>
      <c r="E757" s="27">
        <v>2011</v>
      </c>
      <c r="F757" s="27">
        <v>8</v>
      </c>
      <c r="G757" s="27">
        <v>27</v>
      </c>
      <c r="H757" s="27">
        <v>0</v>
      </c>
      <c r="I757" s="27">
        <v>0</v>
      </c>
      <c r="J757" s="27">
        <v>0</v>
      </c>
      <c r="K757" s="27">
        <v>0.98</v>
      </c>
      <c r="L757" s="27">
        <v>4000</v>
      </c>
      <c r="M757" s="27">
        <v>3600</v>
      </c>
      <c r="N757" s="27">
        <v>150</v>
      </c>
      <c r="O757" s="27">
        <v>90</v>
      </c>
      <c r="P757" s="27" t="s">
        <v>13</v>
      </c>
      <c r="Q757" s="27">
        <v>1993</v>
      </c>
      <c r="R757" s="27">
        <v>1</v>
      </c>
      <c r="S757" s="27">
        <v>0</v>
      </c>
      <c r="T757" s="27">
        <v>-1.8E-3</v>
      </c>
      <c r="U757" s="27">
        <v>-1.2E-2</v>
      </c>
      <c r="V757" s="27">
        <v>0</v>
      </c>
      <c r="W757" s="27">
        <v>0</v>
      </c>
      <c r="X757" s="27" t="s">
        <v>37</v>
      </c>
    </row>
    <row r="758" spans="1:24">
      <c r="A758" s="27">
        <v>1</v>
      </c>
      <c r="B758" s="27">
        <v>8</v>
      </c>
      <c r="C758" s="27">
        <v>27</v>
      </c>
      <c r="D758" s="27">
        <v>2011</v>
      </c>
      <c r="E758" s="27">
        <v>2011</v>
      </c>
      <c r="F758" s="27">
        <v>9</v>
      </c>
      <c r="G758" s="27">
        <v>27</v>
      </c>
      <c r="H758" s="27">
        <v>0</v>
      </c>
      <c r="I758" s="27">
        <v>0</v>
      </c>
      <c r="J758" s="27">
        <v>0</v>
      </c>
      <c r="K758" s="27">
        <v>0.98</v>
      </c>
      <c r="L758" s="27">
        <v>4000</v>
      </c>
      <c r="M758" s="27">
        <v>3600</v>
      </c>
      <c r="N758" s="27">
        <v>150</v>
      </c>
      <c r="O758" s="27">
        <v>90</v>
      </c>
      <c r="P758" s="27" t="s">
        <v>13</v>
      </c>
      <c r="Q758" s="27">
        <v>1993</v>
      </c>
      <c r="R758" s="27">
        <v>1</v>
      </c>
      <c r="S758" s="27">
        <v>0</v>
      </c>
      <c r="T758" s="27">
        <v>-1.8E-3</v>
      </c>
      <c r="U758" s="27">
        <v>-1.2E-2</v>
      </c>
      <c r="V758" s="27">
        <v>0</v>
      </c>
      <c r="W758" s="27">
        <v>0</v>
      </c>
      <c r="X758" s="27" t="s">
        <v>37</v>
      </c>
    </row>
    <row r="759" spans="1:24">
      <c r="A759" s="27">
        <v>1</v>
      </c>
      <c r="B759" s="27">
        <v>8</v>
      </c>
      <c r="C759" s="27">
        <v>27</v>
      </c>
      <c r="D759" s="27">
        <v>2012</v>
      </c>
      <c r="E759" s="27">
        <v>2012</v>
      </c>
      <c r="F759" s="27">
        <v>1</v>
      </c>
      <c r="G759" s="27">
        <v>27</v>
      </c>
      <c r="H759" s="27">
        <v>0</v>
      </c>
      <c r="I759" s="27">
        <v>0</v>
      </c>
      <c r="J759" s="27">
        <v>0</v>
      </c>
      <c r="K759" s="27">
        <v>0.98</v>
      </c>
      <c r="L759" s="27">
        <v>4000</v>
      </c>
      <c r="M759" s="27">
        <v>3600</v>
      </c>
      <c r="N759" s="27">
        <v>0</v>
      </c>
      <c r="O759" s="27">
        <v>0</v>
      </c>
      <c r="P759" s="27" t="s">
        <v>13</v>
      </c>
      <c r="Q759" s="27">
        <v>1993</v>
      </c>
      <c r="R759" s="27">
        <v>1</v>
      </c>
      <c r="S759" s="27">
        <v>0</v>
      </c>
      <c r="T759" s="27">
        <v>-1.8E-3</v>
      </c>
      <c r="U759" s="27">
        <v>-1.2E-2</v>
      </c>
      <c r="V759" s="27">
        <v>0</v>
      </c>
      <c r="W759" s="27">
        <v>0</v>
      </c>
      <c r="X759" s="27" t="s">
        <v>37</v>
      </c>
    </row>
    <row r="760" spans="1:24">
      <c r="A760" s="27">
        <v>1</v>
      </c>
      <c r="B760" s="27">
        <v>8</v>
      </c>
      <c r="C760" s="27">
        <v>27</v>
      </c>
      <c r="D760" s="27">
        <v>2012</v>
      </c>
      <c r="E760" s="27">
        <v>2012</v>
      </c>
      <c r="F760" s="27">
        <v>2</v>
      </c>
      <c r="G760" s="27">
        <v>27</v>
      </c>
      <c r="H760" s="27">
        <v>0</v>
      </c>
      <c r="I760" s="27">
        <v>0</v>
      </c>
      <c r="J760" s="27">
        <v>0</v>
      </c>
      <c r="K760" s="27">
        <v>0.98</v>
      </c>
      <c r="L760" s="27">
        <v>4000</v>
      </c>
      <c r="M760" s="27">
        <v>3600</v>
      </c>
      <c r="N760" s="27">
        <v>0</v>
      </c>
      <c r="O760" s="27">
        <v>0</v>
      </c>
      <c r="P760" s="27" t="s">
        <v>13</v>
      </c>
      <c r="Q760" s="27">
        <v>1993</v>
      </c>
      <c r="R760" s="27">
        <v>1</v>
      </c>
      <c r="S760" s="27">
        <v>0</v>
      </c>
      <c r="T760" s="27">
        <v>-1.8E-3</v>
      </c>
      <c r="U760" s="27">
        <v>-1.2E-2</v>
      </c>
      <c r="V760" s="27">
        <v>0</v>
      </c>
      <c r="W760" s="27">
        <v>0</v>
      </c>
      <c r="X760" s="27" t="s">
        <v>37</v>
      </c>
    </row>
    <row r="761" spans="1:24">
      <c r="A761" s="27">
        <v>1</v>
      </c>
      <c r="B761" s="27">
        <v>8</v>
      </c>
      <c r="C761" s="27">
        <v>27</v>
      </c>
      <c r="D761" s="27">
        <v>2012</v>
      </c>
      <c r="E761" s="27">
        <v>2012</v>
      </c>
      <c r="F761" s="27">
        <v>3</v>
      </c>
      <c r="G761" s="27">
        <v>27</v>
      </c>
      <c r="H761" s="27">
        <v>0</v>
      </c>
      <c r="I761" s="27">
        <v>0</v>
      </c>
      <c r="J761" s="27">
        <v>0</v>
      </c>
      <c r="K761" s="27">
        <v>0.98</v>
      </c>
      <c r="L761" s="27">
        <v>4000</v>
      </c>
      <c r="M761" s="27">
        <v>3600</v>
      </c>
      <c r="N761" s="27">
        <v>0</v>
      </c>
      <c r="O761" s="27">
        <v>0</v>
      </c>
      <c r="P761" s="27" t="s">
        <v>13</v>
      </c>
      <c r="Q761" s="27">
        <v>1993</v>
      </c>
      <c r="R761" s="27">
        <v>1</v>
      </c>
      <c r="S761" s="27">
        <v>0</v>
      </c>
      <c r="T761" s="27">
        <v>-1.8E-3</v>
      </c>
      <c r="U761" s="27">
        <v>-1.2E-2</v>
      </c>
      <c r="V761" s="27">
        <v>0</v>
      </c>
      <c r="W761" s="27">
        <v>0</v>
      </c>
      <c r="X761" s="27" t="s">
        <v>37</v>
      </c>
    </row>
    <row r="762" spans="1:24">
      <c r="A762" s="27">
        <v>1</v>
      </c>
      <c r="B762" s="27">
        <v>8</v>
      </c>
      <c r="C762" s="27">
        <v>27</v>
      </c>
      <c r="D762" s="27">
        <v>2012</v>
      </c>
      <c r="E762" s="27">
        <v>2012</v>
      </c>
      <c r="F762" s="27">
        <v>4</v>
      </c>
      <c r="G762" s="27">
        <v>27</v>
      </c>
      <c r="H762" s="27">
        <v>0</v>
      </c>
      <c r="I762" s="27">
        <v>0</v>
      </c>
      <c r="J762" s="27">
        <v>0</v>
      </c>
      <c r="K762" s="27">
        <v>0.98</v>
      </c>
      <c r="L762" s="27">
        <v>4000</v>
      </c>
      <c r="M762" s="27">
        <v>3600</v>
      </c>
      <c r="N762" s="27">
        <v>0</v>
      </c>
      <c r="O762" s="27">
        <v>0</v>
      </c>
      <c r="P762" s="27" t="s">
        <v>13</v>
      </c>
      <c r="Q762" s="27">
        <v>1993</v>
      </c>
      <c r="R762" s="27">
        <v>1</v>
      </c>
      <c r="S762" s="27">
        <v>0</v>
      </c>
      <c r="T762" s="27">
        <v>-1.8E-3</v>
      </c>
      <c r="U762" s="27">
        <v>-1.2E-2</v>
      </c>
      <c r="V762" s="27">
        <v>0</v>
      </c>
      <c r="W762" s="27">
        <v>0</v>
      </c>
      <c r="X762" s="27" t="s">
        <v>37</v>
      </c>
    </row>
    <row r="763" spans="1:24">
      <c r="A763" s="27">
        <v>1</v>
      </c>
      <c r="B763" s="27">
        <v>8</v>
      </c>
      <c r="C763" s="27">
        <v>27</v>
      </c>
      <c r="D763" s="27">
        <v>2012</v>
      </c>
      <c r="E763" s="27">
        <v>2012</v>
      </c>
      <c r="F763" s="27">
        <v>5</v>
      </c>
      <c r="G763" s="27">
        <v>27</v>
      </c>
      <c r="H763" s="27">
        <v>0</v>
      </c>
      <c r="I763" s="27">
        <v>0</v>
      </c>
      <c r="J763" s="27">
        <v>0</v>
      </c>
      <c r="K763" s="27">
        <v>0.98</v>
      </c>
      <c r="L763" s="27">
        <v>4000</v>
      </c>
      <c r="M763" s="27">
        <v>3600</v>
      </c>
      <c r="N763" s="27">
        <v>0</v>
      </c>
      <c r="O763" s="27">
        <v>0</v>
      </c>
      <c r="P763" s="27" t="s">
        <v>13</v>
      </c>
      <c r="Q763" s="27">
        <v>1993</v>
      </c>
      <c r="R763" s="27">
        <v>1</v>
      </c>
      <c r="S763" s="27">
        <v>0</v>
      </c>
      <c r="T763" s="27">
        <v>-1.8E-3</v>
      </c>
      <c r="U763" s="27">
        <v>-1.2E-2</v>
      </c>
      <c r="V763" s="27">
        <v>0</v>
      </c>
      <c r="W763" s="27">
        <v>0</v>
      </c>
      <c r="X763" s="27" t="s">
        <v>37</v>
      </c>
    </row>
    <row r="764" spans="1:24">
      <c r="A764" s="27">
        <v>1</v>
      </c>
      <c r="B764" s="27">
        <v>8</v>
      </c>
      <c r="C764" s="27">
        <v>27</v>
      </c>
      <c r="D764" s="27">
        <v>2012</v>
      </c>
      <c r="E764" s="27">
        <v>2012</v>
      </c>
      <c r="F764" s="27">
        <v>6</v>
      </c>
      <c r="G764" s="27">
        <v>27</v>
      </c>
      <c r="H764" s="27">
        <v>0</v>
      </c>
      <c r="I764" s="27">
        <v>0</v>
      </c>
      <c r="J764" s="27">
        <v>0</v>
      </c>
      <c r="K764" s="27">
        <v>0.98</v>
      </c>
      <c r="L764" s="27">
        <v>4000</v>
      </c>
      <c r="M764" s="27">
        <v>3600</v>
      </c>
      <c r="N764" s="27">
        <v>0</v>
      </c>
      <c r="O764" s="27">
        <v>0</v>
      </c>
      <c r="P764" s="27" t="s">
        <v>13</v>
      </c>
      <c r="Q764" s="27">
        <v>1993</v>
      </c>
      <c r="R764" s="27">
        <v>1</v>
      </c>
      <c r="S764" s="27">
        <v>0</v>
      </c>
      <c r="T764" s="27">
        <v>-1.8E-3</v>
      </c>
      <c r="U764" s="27">
        <v>-1.2E-2</v>
      </c>
      <c r="V764" s="27">
        <v>0</v>
      </c>
      <c r="W764" s="27">
        <v>0</v>
      </c>
      <c r="X764" s="27" t="s">
        <v>37</v>
      </c>
    </row>
    <row r="765" spans="1:24">
      <c r="A765" s="27">
        <v>1</v>
      </c>
      <c r="B765" s="27">
        <v>8</v>
      </c>
      <c r="C765" s="27">
        <v>27</v>
      </c>
      <c r="D765" s="27">
        <v>2012</v>
      </c>
      <c r="E765" s="27">
        <v>2012</v>
      </c>
      <c r="F765" s="27">
        <v>7</v>
      </c>
      <c r="G765" s="27">
        <v>27</v>
      </c>
      <c r="H765" s="27">
        <v>0</v>
      </c>
      <c r="I765" s="27">
        <v>0</v>
      </c>
      <c r="J765" s="27">
        <v>0</v>
      </c>
      <c r="K765" s="27">
        <v>0.98</v>
      </c>
      <c r="L765" s="27">
        <v>4000</v>
      </c>
      <c r="M765" s="27">
        <v>3600</v>
      </c>
      <c r="N765" s="27">
        <v>0</v>
      </c>
      <c r="O765" s="27">
        <v>0</v>
      </c>
      <c r="P765" s="27" t="s">
        <v>13</v>
      </c>
      <c r="Q765" s="27">
        <v>1993</v>
      </c>
      <c r="R765" s="27">
        <v>1</v>
      </c>
      <c r="S765" s="27">
        <v>0</v>
      </c>
      <c r="T765" s="27">
        <v>-1.8E-3</v>
      </c>
      <c r="U765" s="27">
        <v>-1.2E-2</v>
      </c>
      <c r="V765" s="27">
        <v>0</v>
      </c>
      <c r="W765" s="27">
        <v>0</v>
      </c>
      <c r="X765" s="27" t="s">
        <v>37</v>
      </c>
    </row>
    <row r="766" spans="1:24">
      <c r="A766" s="27">
        <v>1</v>
      </c>
      <c r="B766" s="27">
        <v>8</v>
      </c>
      <c r="C766" s="27">
        <v>27</v>
      </c>
      <c r="D766" s="27">
        <v>2012</v>
      </c>
      <c r="E766" s="27">
        <v>2012</v>
      </c>
      <c r="F766" s="27">
        <v>8</v>
      </c>
      <c r="G766" s="27">
        <v>27</v>
      </c>
      <c r="H766" s="27">
        <v>0</v>
      </c>
      <c r="I766" s="27">
        <v>0</v>
      </c>
      <c r="J766" s="27">
        <v>0</v>
      </c>
      <c r="K766" s="27">
        <v>0.98</v>
      </c>
      <c r="L766" s="27">
        <v>4000</v>
      </c>
      <c r="M766" s="27">
        <v>3600</v>
      </c>
      <c r="N766" s="27">
        <v>0</v>
      </c>
      <c r="O766" s="27">
        <v>0</v>
      </c>
      <c r="P766" s="27" t="s">
        <v>13</v>
      </c>
      <c r="Q766" s="27">
        <v>1993</v>
      </c>
      <c r="R766" s="27">
        <v>1</v>
      </c>
      <c r="S766" s="27">
        <v>0</v>
      </c>
      <c r="T766" s="27">
        <v>-1.8E-3</v>
      </c>
      <c r="U766" s="27">
        <v>-1.2E-2</v>
      </c>
      <c r="V766" s="27">
        <v>0</v>
      </c>
      <c r="W766" s="27">
        <v>0</v>
      </c>
      <c r="X766" s="27" t="s">
        <v>37</v>
      </c>
    </row>
    <row r="767" spans="1:24">
      <c r="A767" s="27">
        <v>1</v>
      </c>
      <c r="B767" s="27">
        <v>8</v>
      </c>
      <c r="C767" s="27">
        <v>27</v>
      </c>
      <c r="D767" s="27">
        <v>2012</v>
      </c>
      <c r="E767" s="27">
        <v>2012</v>
      </c>
      <c r="F767" s="27">
        <v>9</v>
      </c>
      <c r="G767" s="27">
        <v>27</v>
      </c>
      <c r="H767" s="27">
        <v>0</v>
      </c>
      <c r="I767" s="27">
        <v>0</v>
      </c>
      <c r="J767" s="27">
        <v>0</v>
      </c>
      <c r="K767" s="27">
        <v>0.98</v>
      </c>
      <c r="L767" s="27">
        <v>4000</v>
      </c>
      <c r="M767" s="27">
        <v>3600</v>
      </c>
      <c r="N767" s="27">
        <v>0</v>
      </c>
      <c r="O767" s="27">
        <v>0</v>
      </c>
      <c r="P767" s="27" t="s">
        <v>13</v>
      </c>
      <c r="Q767" s="27">
        <v>1993</v>
      </c>
      <c r="R767" s="27">
        <v>1</v>
      </c>
      <c r="S767" s="27">
        <v>0</v>
      </c>
      <c r="T767" s="27">
        <v>-1.8E-3</v>
      </c>
      <c r="U767" s="27">
        <v>-1.2E-2</v>
      </c>
      <c r="V767" s="27">
        <v>0</v>
      </c>
      <c r="W767" s="27">
        <v>0</v>
      </c>
      <c r="X767" s="27" t="s">
        <v>37</v>
      </c>
    </row>
    <row r="768" spans="1:24">
      <c r="A768" s="27">
        <v>1</v>
      </c>
      <c r="B768" s="27">
        <v>8</v>
      </c>
      <c r="C768" s="27">
        <v>27</v>
      </c>
      <c r="D768" s="27">
        <v>2013</v>
      </c>
      <c r="E768" s="27">
        <v>2013</v>
      </c>
      <c r="F768" s="27">
        <v>1</v>
      </c>
      <c r="G768" s="27">
        <v>27</v>
      </c>
      <c r="H768" s="27">
        <v>0</v>
      </c>
      <c r="I768" s="27">
        <v>0</v>
      </c>
      <c r="J768" s="27">
        <v>0</v>
      </c>
      <c r="K768" s="27">
        <v>0.98</v>
      </c>
      <c r="L768" s="27">
        <v>4000</v>
      </c>
      <c r="M768" s="27">
        <v>3600</v>
      </c>
      <c r="N768" s="27">
        <v>150</v>
      </c>
      <c r="O768" s="27">
        <v>90</v>
      </c>
      <c r="P768" s="27" t="s">
        <v>13</v>
      </c>
      <c r="Q768" s="27">
        <v>1993</v>
      </c>
      <c r="R768" s="27">
        <v>1</v>
      </c>
      <c r="S768" s="27">
        <v>0</v>
      </c>
      <c r="T768" s="27">
        <v>-1.8E-3</v>
      </c>
      <c r="U768" s="27">
        <v>-1.2E-2</v>
      </c>
      <c r="V768" s="27">
        <v>0</v>
      </c>
      <c r="W768" s="27">
        <v>0</v>
      </c>
      <c r="X768" s="27" t="s">
        <v>37</v>
      </c>
    </row>
    <row r="769" spans="1:24">
      <c r="A769" s="27">
        <v>1</v>
      </c>
      <c r="B769" s="27">
        <v>8</v>
      </c>
      <c r="C769" s="27">
        <v>27</v>
      </c>
      <c r="D769" s="27">
        <v>2013</v>
      </c>
      <c r="E769" s="27">
        <v>2013</v>
      </c>
      <c r="F769" s="27">
        <v>2</v>
      </c>
      <c r="G769" s="27">
        <v>27</v>
      </c>
      <c r="H769" s="27">
        <v>0</v>
      </c>
      <c r="I769" s="27">
        <v>0</v>
      </c>
      <c r="J769" s="27">
        <v>0</v>
      </c>
      <c r="K769" s="27">
        <v>0.98</v>
      </c>
      <c r="L769" s="27">
        <v>4000</v>
      </c>
      <c r="M769" s="27">
        <v>3600</v>
      </c>
      <c r="N769" s="27">
        <v>150</v>
      </c>
      <c r="O769" s="27">
        <v>90</v>
      </c>
      <c r="P769" s="27" t="s">
        <v>13</v>
      </c>
      <c r="Q769" s="27">
        <v>1993</v>
      </c>
      <c r="R769" s="27">
        <v>1</v>
      </c>
      <c r="S769" s="27">
        <v>0</v>
      </c>
      <c r="T769" s="27">
        <v>-1.8E-3</v>
      </c>
      <c r="U769" s="27">
        <v>-1.2E-2</v>
      </c>
      <c r="V769" s="27">
        <v>0</v>
      </c>
      <c r="W769" s="27">
        <v>0</v>
      </c>
      <c r="X769" s="27" t="s">
        <v>37</v>
      </c>
    </row>
    <row r="770" spans="1:24">
      <c r="A770" s="27">
        <v>1</v>
      </c>
      <c r="B770" s="27">
        <v>8</v>
      </c>
      <c r="C770" s="27">
        <v>27</v>
      </c>
      <c r="D770" s="27">
        <v>2013</v>
      </c>
      <c r="E770" s="27">
        <v>2013</v>
      </c>
      <c r="F770" s="27">
        <v>3</v>
      </c>
      <c r="G770" s="27">
        <v>27</v>
      </c>
      <c r="H770" s="27">
        <v>0</v>
      </c>
      <c r="I770" s="27">
        <v>0</v>
      </c>
      <c r="J770" s="27">
        <v>0</v>
      </c>
      <c r="K770" s="27">
        <v>0.98</v>
      </c>
      <c r="L770" s="27">
        <v>4000</v>
      </c>
      <c r="M770" s="27">
        <v>3600</v>
      </c>
      <c r="N770" s="27">
        <v>150</v>
      </c>
      <c r="O770" s="27">
        <v>90</v>
      </c>
      <c r="P770" s="27" t="s">
        <v>13</v>
      </c>
      <c r="Q770" s="27">
        <v>1993</v>
      </c>
      <c r="R770" s="27">
        <v>1</v>
      </c>
      <c r="S770" s="27">
        <v>0</v>
      </c>
      <c r="T770" s="27">
        <v>-1.8E-3</v>
      </c>
      <c r="U770" s="27">
        <v>-1.2E-2</v>
      </c>
      <c r="V770" s="27">
        <v>0</v>
      </c>
      <c r="W770" s="27">
        <v>0</v>
      </c>
      <c r="X770" s="27" t="s">
        <v>37</v>
      </c>
    </row>
    <row r="771" spans="1:24">
      <c r="A771" s="27">
        <v>1</v>
      </c>
      <c r="B771" s="27">
        <v>8</v>
      </c>
      <c r="C771" s="27">
        <v>27</v>
      </c>
      <c r="D771" s="27">
        <v>2013</v>
      </c>
      <c r="E771" s="27">
        <v>2013</v>
      </c>
      <c r="F771" s="27">
        <v>4</v>
      </c>
      <c r="G771" s="27">
        <v>27</v>
      </c>
      <c r="H771" s="27">
        <v>0</v>
      </c>
      <c r="I771" s="27">
        <v>0</v>
      </c>
      <c r="J771" s="27">
        <v>0</v>
      </c>
      <c r="K771" s="27">
        <v>0.98</v>
      </c>
      <c r="L771" s="27">
        <v>4000</v>
      </c>
      <c r="M771" s="27">
        <v>3600</v>
      </c>
      <c r="N771" s="27">
        <v>150</v>
      </c>
      <c r="O771" s="27">
        <v>90</v>
      </c>
      <c r="P771" s="27" t="s">
        <v>13</v>
      </c>
      <c r="Q771" s="27">
        <v>1993</v>
      </c>
      <c r="R771" s="27">
        <v>1</v>
      </c>
      <c r="S771" s="27">
        <v>0</v>
      </c>
      <c r="T771" s="27">
        <v>-1.8E-3</v>
      </c>
      <c r="U771" s="27">
        <v>-1.2E-2</v>
      </c>
      <c r="V771" s="27">
        <v>0</v>
      </c>
      <c r="W771" s="27">
        <v>0</v>
      </c>
      <c r="X771" s="27" t="s">
        <v>37</v>
      </c>
    </row>
    <row r="772" spans="1:24">
      <c r="A772" s="27">
        <v>1</v>
      </c>
      <c r="B772" s="27">
        <v>8</v>
      </c>
      <c r="C772" s="27">
        <v>27</v>
      </c>
      <c r="D772" s="27">
        <v>2013</v>
      </c>
      <c r="E772" s="27">
        <v>2013</v>
      </c>
      <c r="F772" s="27">
        <v>5</v>
      </c>
      <c r="G772" s="27">
        <v>27</v>
      </c>
      <c r="H772" s="27">
        <v>0</v>
      </c>
      <c r="I772" s="27">
        <v>0</v>
      </c>
      <c r="J772" s="27">
        <v>0</v>
      </c>
      <c r="K772" s="27">
        <v>0.98</v>
      </c>
      <c r="L772" s="27">
        <v>4000</v>
      </c>
      <c r="M772" s="27">
        <v>3600</v>
      </c>
      <c r="N772" s="27">
        <v>150</v>
      </c>
      <c r="O772" s="27">
        <v>90</v>
      </c>
      <c r="P772" s="27" t="s">
        <v>13</v>
      </c>
      <c r="Q772" s="27">
        <v>1993</v>
      </c>
      <c r="R772" s="27">
        <v>1</v>
      </c>
      <c r="S772" s="27">
        <v>0</v>
      </c>
      <c r="T772" s="27">
        <v>-1.8E-3</v>
      </c>
      <c r="U772" s="27">
        <v>-1.2E-2</v>
      </c>
      <c r="V772" s="27">
        <v>0</v>
      </c>
      <c r="W772" s="27">
        <v>0</v>
      </c>
      <c r="X772" s="27" t="s">
        <v>37</v>
      </c>
    </row>
    <row r="773" spans="1:24">
      <c r="A773" s="27">
        <v>1</v>
      </c>
      <c r="B773" s="27">
        <v>8</v>
      </c>
      <c r="C773" s="27">
        <v>27</v>
      </c>
      <c r="D773" s="27">
        <v>2013</v>
      </c>
      <c r="E773" s="27">
        <v>2013</v>
      </c>
      <c r="F773" s="27">
        <v>6</v>
      </c>
      <c r="G773" s="27">
        <v>27</v>
      </c>
      <c r="H773" s="27">
        <v>0</v>
      </c>
      <c r="I773" s="27">
        <v>0</v>
      </c>
      <c r="J773" s="27">
        <v>0</v>
      </c>
      <c r="K773" s="27">
        <v>0.98</v>
      </c>
      <c r="L773" s="27">
        <v>4000</v>
      </c>
      <c r="M773" s="27">
        <v>3600</v>
      </c>
      <c r="N773" s="27">
        <v>150</v>
      </c>
      <c r="O773" s="27">
        <v>90</v>
      </c>
      <c r="P773" s="27" t="s">
        <v>13</v>
      </c>
      <c r="Q773" s="27">
        <v>1993</v>
      </c>
      <c r="R773" s="27">
        <v>1</v>
      </c>
      <c r="S773" s="27">
        <v>0</v>
      </c>
      <c r="T773" s="27">
        <v>-1.8E-3</v>
      </c>
      <c r="U773" s="27">
        <v>-1.2E-2</v>
      </c>
      <c r="V773" s="27">
        <v>0</v>
      </c>
      <c r="W773" s="27">
        <v>0</v>
      </c>
      <c r="X773" s="27" t="s">
        <v>37</v>
      </c>
    </row>
    <row r="774" spans="1:24">
      <c r="A774" s="27">
        <v>1</v>
      </c>
      <c r="B774" s="27">
        <v>8</v>
      </c>
      <c r="C774" s="27">
        <v>27</v>
      </c>
      <c r="D774" s="27">
        <v>2013</v>
      </c>
      <c r="E774" s="27">
        <v>2013</v>
      </c>
      <c r="F774" s="27">
        <v>7</v>
      </c>
      <c r="G774" s="27">
        <v>27</v>
      </c>
      <c r="H774" s="27">
        <v>0</v>
      </c>
      <c r="I774" s="27">
        <v>0</v>
      </c>
      <c r="J774" s="27">
        <v>0</v>
      </c>
      <c r="K774" s="27">
        <v>0.98</v>
      </c>
      <c r="L774" s="27">
        <v>4000</v>
      </c>
      <c r="M774" s="27">
        <v>3600</v>
      </c>
      <c r="N774" s="27">
        <v>150</v>
      </c>
      <c r="O774" s="27">
        <v>90</v>
      </c>
      <c r="P774" s="27" t="s">
        <v>13</v>
      </c>
      <c r="Q774" s="27">
        <v>1993</v>
      </c>
      <c r="R774" s="27">
        <v>1</v>
      </c>
      <c r="S774" s="27">
        <v>0</v>
      </c>
      <c r="T774" s="27">
        <v>-1.8E-3</v>
      </c>
      <c r="U774" s="27">
        <v>-1.2E-2</v>
      </c>
      <c r="V774" s="27">
        <v>0</v>
      </c>
      <c r="W774" s="27">
        <v>0</v>
      </c>
      <c r="X774" s="27" t="s">
        <v>37</v>
      </c>
    </row>
    <row r="775" spans="1:24">
      <c r="A775" s="27">
        <v>1</v>
      </c>
      <c r="B775" s="27">
        <v>8</v>
      </c>
      <c r="C775" s="27">
        <v>27</v>
      </c>
      <c r="D775" s="27">
        <v>2013</v>
      </c>
      <c r="E775" s="27">
        <v>2013</v>
      </c>
      <c r="F775" s="27">
        <v>8</v>
      </c>
      <c r="G775" s="27">
        <v>27</v>
      </c>
      <c r="H775" s="27">
        <v>0</v>
      </c>
      <c r="I775" s="27">
        <v>0</v>
      </c>
      <c r="J775" s="27">
        <v>0</v>
      </c>
      <c r="K775" s="27">
        <v>0.98</v>
      </c>
      <c r="L775" s="27">
        <v>4000</v>
      </c>
      <c r="M775" s="27">
        <v>3600</v>
      </c>
      <c r="N775" s="27">
        <v>150</v>
      </c>
      <c r="O775" s="27">
        <v>90</v>
      </c>
      <c r="P775" s="27" t="s">
        <v>13</v>
      </c>
      <c r="Q775" s="27">
        <v>1993</v>
      </c>
      <c r="R775" s="27">
        <v>1</v>
      </c>
      <c r="S775" s="27">
        <v>0</v>
      </c>
      <c r="T775" s="27">
        <v>-1.8E-3</v>
      </c>
      <c r="U775" s="27">
        <v>-1.2E-2</v>
      </c>
      <c r="V775" s="27">
        <v>0</v>
      </c>
      <c r="W775" s="27">
        <v>0</v>
      </c>
      <c r="X775" s="27" t="s">
        <v>37</v>
      </c>
    </row>
    <row r="776" spans="1:24">
      <c r="A776" s="27">
        <v>1</v>
      </c>
      <c r="B776" s="27">
        <v>8</v>
      </c>
      <c r="C776" s="27">
        <v>27</v>
      </c>
      <c r="D776" s="27">
        <v>2013</v>
      </c>
      <c r="E776" s="27">
        <v>2013</v>
      </c>
      <c r="F776" s="27">
        <v>9</v>
      </c>
      <c r="G776" s="27">
        <v>27</v>
      </c>
      <c r="H776" s="27">
        <v>0</v>
      </c>
      <c r="I776" s="27">
        <v>0</v>
      </c>
      <c r="J776" s="27">
        <v>0</v>
      </c>
      <c r="K776" s="27">
        <v>0.98</v>
      </c>
      <c r="L776" s="27">
        <v>4000</v>
      </c>
      <c r="M776" s="27">
        <v>3600</v>
      </c>
      <c r="N776" s="27">
        <v>150</v>
      </c>
      <c r="O776" s="27">
        <v>90</v>
      </c>
      <c r="P776" s="27" t="s">
        <v>13</v>
      </c>
      <c r="Q776" s="27">
        <v>1993</v>
      </c>
      <c r="R776" s="27">
        <v>1</v>
      </c>
      <c r="S776" s="27">
        <v>0</v>
      </c>
      <c r="T776" s="27">
        <v>-1.8E-3</v>
      </c>
      <c r="U776" s="27">
        <v>-1.2E-2</v>
      </c>
      <c r="V776" s="27">
        <v>0</v>
      </c>
      <c r="W776" s="27">
        <v>0</v>
      </c>
      <c r="X776" s="27" t="s">
        <v>37</v>
      </c>
    </row>
    <row r="777" spans="1:24">
      <c r="A777" s="27">
        <v>1</v>
      </c>
      <c r="B777" s="27">
        <v>8</v>
      </c>
      <c r="C777" s="27">
        <v>27</v>
      </c>
      <c r="D777" s="27">
        <v>2014</v>
      </c>
      <c r="E777" s="27">
        <v>2050</v>
      </c>
      <c r="F777" s="27">
        <v>1</v>
      </c>
      <c r="G777" s="27">
        <v>27</v>
      </c>
      <c r="H777" s="27">
        <v>0</v>
      </c>
      <c r="I777" s="27">
        <v>0</v>
      </c>
      <c r="J777" s="27">
        <v>0</v>
      </c>
      <c r="K777" s="27">
        <v>0.98</v>
      </c>
      <c r="L777" s="27">
        <v>4000</v>
      </c>
      <c r="M777" s="27">
        <v>3600</v>
      </c>
      <c r="N777" s="27">
        <v>0</v>
      </c>
      <c r="O777" s="27">
        <v>0</v>
      </c>
      <c r="P777" s="27" t="s">
        <v>13</v>
      </c>
      <c r="Q777" s="27">
        <v>1993</v>
      </c>
      <c r="R777" s="27">
        <v>1</v>
      </c>
      <c r="S777" s="27">
        <v>0</v>
      </c>
      <c r="T777" s="27">
        <v>-1.8E-3</v>
      </c>
      <c r="U777" s="27">
        <v>-1.2E-2</v>
      </c>
      <c r="V777" s="27">
        <v>0</v>
      </c>
      <c r="W777" s="27">
        <v>0</v>
      </c>
      <c r="X777" s="27" t="s">
        <v>37</v>
      </c>
    </row>
    <row r="778" spans="1:24">
      <c r="A778" s="27">
        <v>1</v>
      </c>
      <c r="B778" s="27">
        <v>8</v>
      </c>
      <c r="C778" s="27">
        <v>27</v>
      </c>
      <c r="D778" s="27">
        <v>2014</v>
      </c>
      <c r="E778" s="27">
        <v>2050</v>
      </c>
      <c r="F778" s="27">
        <v>2</v>
      </c>
      <c r="G778" s="27">
        <v>27</v>
      </c>
      <c r="H778" s="27">
        <v>0</v>
      </c>
      <c r="I778" s="27">
        <v>0</v>
      </c>
      <c r="J778" s="27">
        <v>0</v>
      </c>
      <c r="K778" s="27">
        <v>0.98</v>
      </c>
      <c r="L778" s="27">
        <v>4000</v>
      </c>
      <c r="M778" s="27">
        <v>3600</v>
      </c>
      <c r="N778" s="27">
        <v>0</v>
      </c>
      <c r="O778" s="27">
        <v>0</v>
      </c>
      <c r="P778" s="27" t="s">
        <v>13</v>
      </c>
      <c r="Q778" s="27">
        <v>1993</v>
      </c>
      <c r="R778" s="27">
        <v>1</v>
      </c>
      <c r="S778" s="27">
        <v>0</v>
      </c>
      <c r="T778" s="27">
        <v>-1.8E-3</v>
      </c>
      <c r="U778" s="27">
        <v>-1.2E-2</v>
      </c>
      <c r="V778" s="27">
        <v>0</v>
      </c>
      <c r="W778" s="27">
        <v>0</v>
      </c>
      <c r="X778" s="27" t="s">
        <v>37</v>
      </c>
    </row>
    <row r="779" spans="1:24">
      <c r="A779" s="27">
        <v>1</v>
      </c>
      <c r="B779" s="27">
        <v>8</v>
      </c>
      <c r="C779" s="27">
        <v>27</v>
      </c>
      <c r="D779" s="27">
        <v>2014</v>
      </c>
      <c r="E779" s="27">
        <v>2050</v>
      </c>
      <c r="F779" s="27">
        <v>3</v>
      </c>
      <c r="G779" s="27">
        <v>27</v>
      </c>
      <c r="H779" s="27">
        <v>0</v>
      </c>
      <c r="I779" s="27">
        <v>0</v>
      </c>
      <c r="J779" s="27">
        <v>0</v>
      </c>
      <c r="K779" s="27">
        <v>0.98</v>
      </c>
      <c r="L779" s="27">
        <v>4000</v>
      </c>
      <c r="M779" s="27">
        <v>3600</v>
      </c>
      <c r="N779" s="27">
        <v>0</v>
      </c>
      <c r="O779" s="27">
        <v>0</v>
      </c>
      <c r="P779" s="27" t="s">
        <v>13</v>
      </c>
      <c r="Q779" s="27">
        <v>1993</v>
      </c>
      <c r="R779" s="27">
        <v>1</v>
      </c>
      <c r="S779" s="27">
        <v>0</v>
      </c>
      <c r="T779" s="27">
        <v>-1.8E-3</v>
      </c>
      <c r="U779" s="27">
        <v>-1.2E-2</v>
      </c>
      <c r="V779" s="27">
        <v>0</v>
      </c>
      <c r="W779" s="27">
        <v>0</v>
      </c>
      <c r="X779" s="27" t="s">
        <v>37</v>
      </c>
    </row>
    <row r="780" spans="1:24">
      <c r="A780" s="27">
        <v>1</v>
      </c>
      <c r="B780" s="27">
        <v>8</v>
      </c>
      <c r="C780" s="27">
        <v>27</v>
      </c>
      <c r="D780" s="27">
        <v>2014</v>
      </c>
      <c r="E780" s="27">
        <v>2050</v>
      </c>
      <c r="F780" s="27">
        <v>4</v>
      </c>
      <c r="G780" s="27">
        <v>27</v>
      </c>
      <c r="H780" s="27">
        <v>0</v>
      </c>
      <c r="I780" s="27">
        <v>0</v>
      </c>
      <c r="J780" s="27">
        <v>0</v>
      </c>
      <c r="K780" s="27">
        <v>0.98</v>
      </c>
      <c r="L780" s="27">
        <v>4000</v>
      </c>
      <c r="M780" s="27">
        <v>3600</v>
      </c>
      <c r="N780" s="27">
        <v>0</v>
      </c>
      <c r="O780" s="27">
        <v>0</v>
      </c>
      <c r="P780" s="27" t="s">
        <v>13</v>
      </c>
      <c r="Q780" s="27">
        <v>1993</v>
      </c>
      <c r="R780" s="27">
        <v>1</v>
      </c>
      <c r="S780" s="27">
        <v>0</v>
      </c>
      <c r="T780" s="27">
        <v>-1.8E-3</v>
      </c>
      <c r="U780" s="27">
        <v>-1.2E-2</v>
      </c>
      <c r="V780" s="27">
        <v>0</v>
      </c>
      <c r="W780" s="27">
        <v>0</v>
      </c>
      <c r="X780" s="27" t="s">
        <v>37</v>
      </c>
    </row>
    <row r="781" spans="1:24">
      <c r="A781" s="27">
        <v>1</v>
      </c>
      <c r="B781" s="27">
        <v>8</v>
      </c>
      <c r="C781" s="27">
        <v>27</v>
      </c>
      <c r="D781" s="27">
        <v>2014</v>
      </c>
      <c r="E781" s="27">
        <v>2050</v>
      </c>
      <c r="F781" s="27">
        <v>5</v>
      </c>
      <c r="G781" s="27">
        <v>27</v>
      </c>
      <c r="H781" s="27">
        <v>0</v>
      </c>
      <c r="I781" s="27">
        <v>0</v>
      </c>
      <c r="J781" s="27">
        <v>0</v>
      </c>
      <c r="K781" s="27">
        <v>0.98</v>
      </c>
      <c r="L781" s="27">
        <v>4000</v>
      </c>
      <c r="M781" s="27">
        <v>3600</v>
      </c>
      <c r="N781" s="27">
        <v>0</v>
      </c>
      <c r="O781" s="27">
        <v>0</v>
      </c>
      <c r="P781" s="27" t="s">
        <v>13</v>
      </c>
      <c r="Q781" s="27">
        <v>1993</v>
      </c>
      <c r="R781" s="27">
        <v>1</v>
      </c>
      <c r="S781" s="27">
        <v>0</v>
      </c>
      <c r="T781" s="27">
        <v>-1.8E-3</v>
      </c>
      <c r="U781" s="27">
        <v>-1.2E-2</v>
      </c>
      <c r="V781" s="27">
        <v>0</v>
      </c>
      <c r="W781" s="27">
        <v>0</v>
      </c>
      <c r="X781" s="27" t="s">
        <v>37</v>
      </c>
    </row>
    <row r="782" spans="1:24">
      <c r="A782" s="27">
        <v>1</v>
      </c>
      <c r="B782" s="27">
        <v>8</v>
      </c>
      <c r="C782" s="27">
        <v>27</v>
      </c>
      <c r="D782" s="27">
        <v>2014</v>
      </c>
      <c r="E782" s="27">
        <v>2050</v>
      </c>
      <c r="F782" s="27">
        <v>6</v>
      </c>
      <c r="G782" s="27">
        <v>27</v>
      </c>
      <c r="H782" s="27">
        <v>0</v>
      </c>
      <c r="I782" s="27">
        <v>0</v>
      </c>
      <c r="J782" s="27">
        <v>0</v>
      </c>
      <c r="K782" s="27">
        <v>0.98</v>
      </c>
      <c r="L782" s="27">
        <v>4000</v>
      </c>
      <c r="M782" s="27">
        <v>3600</v>
      </c>
      <c r="N782" s="27">
        <v>0</v>
      </c>
      <c r="O782" s="27">
        <v>0</v>
      </c>
      <c r="P782" s="27" t="s">
        <v>13</v>
      </c>
      <c r="Q782" s="27">
        <v>1993</v>
      </c>
      <c r="R782" s="27">
        <v>1</v>
      </c>
      <c r="S782" s="27">
        <v>0</v>
      </c>
      <c r="T782" s="27">
        <v>-1.8E-3</v>
      </c>
      <c r="U782" s="27">
        <v>-1.2E-2</v>
      </c>
      <c r="V782" s="27">
        <v>0</v>
      </c>
      <c r="W782" s="27">
        <v>0</v>
      </c>
      <c r="X782" s="27" t="s">
        <v>37</v>
      </c>
    </row>
    <row r="783" spans="1:24">
      <c r="A783" s="27">
        <v>1</v>
      </c>
      <c r="B783" s="27">
        <v>8</v>
      </c>
      <c r="C783" s="27">
        <v>27</v>
      </c>
      <c r="D783" s="27">
        <v>2014</v>
      </c>
      <c r="E783" s="27">
        <v>2050</v>
      </c>
      <c r="F783" s="27">
        <v>7</v>
      </c>
      <c r="G783" s="27">
        <v>27</v>
      </c>
      <c r="H783" s="27">
        <v>0</v>
      </c>
      <c r="I783" s="27">
        <v>0</v>
      </c>
      <c r="J783" s="27">
        <v>0</v>
      </c>
      <c r="K783" s="27">
        <v>0.98</v>
      </c>
      <c r="L783" s="27">
        <v>4000</v>
      </c>
      <c r="M783" s="27">
        <v>3600</v>
      </c>
      <c r="N783" s="27">
        <v>0</v>
      </c>
      <c r="O783" s="27">
        <v>0</v>
      </c>
      <c r="P783" s="27" t="s">
        <v>13</v>
      </c>
      <c r="Q783" s="27">
        <v>1993</v>
      </c>
      <c r="R783" s="27">
        <v>1</v>
      </c>
      <c r="S783" s="27">
        <v>0</v>
      </c>
      <c r="T783" s="27">
        <v>-1.8E-3</v>
      </c>
      <c r="U783" s="27">
        <v>-1.2E-2</v>
      </c>
      <c r="V783" s="27">
        <v>0</v>
      </c>
      <c r="W783" s="27">
        <v>0</v>
      </c>
      <c r="X783" s="27" t="s">
        <v>37</v>
      </c>
    </row>
    <row r="784" spans="1:24">
      <c r="A784" s="27">
        <v>1</v>
      </c>
      <c r="B784" s="27">
        <v>8</v>
      </c>
      <c r="C784" s="27">
        <v>27</v>
      </c>
      <c r="D784" s="27">
        <v>2014</v>
      </c>
      <c r="E784" s="27">
        <v>2050</v>
      </c>
      <c r="F784" s="27">
        <v>8</v>
      </c>
      <c r="G784" s="27">
        <v>27</v>
      </c>
      <c r="H784" s="27">
        <v>0</v>
      </c>
      <c r="I784" s="27">
        <v>0</v>
      </c>
      <c r="J784" s="27">
        <v>0</v>
      </c>
      <c r="K784" s="27">
        <v>0.98</v>
      </c>
      <c r="L784" s="27">
        <v>4000</v>
      </c>
      <c r="M784" s="27">
        <v>3600</v>
      </c>
      <c r="N784" s="27">
        <v>0</v>
      </c>
      <c r="O784" s="27">
        <v>0</v>
      </c>
      <c r="P784" s="27" t="s">
        <v>13</v>
      </c>
      <c r="Q784" s="27">
        <v>1993</v>
      </c>
      <c r="R784" s="27">
        <v>1</v>
      </c>
      <c r="S784" s="27">
        <v>0</v>
      </c>
      <c r="T784" s="27">
        <v>-1.8E-3</v>
      </c>
      <c r="U784" s="27">
        <v>-1.2E-2</v>
      </c>
      <c r="V784" s="27">
        <v>0</v>
      </c>
      <c r="W784" s="27">
        <v>0</v>
      </c>
      <c r="X784" s="27" t="s">
        <v>37</v>
      </c>
    </row>
    <row r="785" spans="1:24">
      <c r="A785" s="27">
        <v>1</v>
      </c>
      <c r="B785" s="27">
        <v>8</v>
      </c>
      <c r="C785" s="27">
        <v>27</v>
      </c>
      <c r="D785" s="27">
        <v>2014</v>
      </c>
      <c r="E785" s="27">
        <v>2050</v>
      </c>
      <c r="F785" s="27">
        <v>9</v>
      </c>
      <c r="G785" s="27">
        <v>27</v>
      </c>
      <c r="H785" s="27">
        <v>0</v>
      </c>
      <c r="I785" s="27">
        <v>0</v>
      </c>
      <c r="J785" s="27">
        <v>0</v>
      </c>
      <c r="K785" s="27">
        <v>0.98</v>
      </c>
      <c r="L785" s="27">
        <v>4000</v>
      </c>
      <c r="M785" s="27">
        <v>3600</v>
      </c>
      <c r="N785" s="27">
        <v>0</v>
      </c>
      <c r="O785" s="27">
        <v>0</v>
      </c>
      <c r="P785" s="27" t="s">
        <v>13</v>
      </c>
      <c r="Q785" s="27">
        <v>1993</v>
      </c>
      <c r="R785" s="27">
        <v>1</v>
      </c>
      <c r="S785" s="27">
        <v>0</v>
      </c>
      <c r="T785" s="27">
        <v>-1.8E-3</v>
      </c>
      <c r="U785" s="27">
        <v>-1.2E-2</v>
      </c>
      <c r="V785" s="27">
        <v>0</v>
      </c>
      <c r="W785" s="27">
        <v>0</v>
      </c>
      <c r="X785" s="27" t="s">
        <v>37</v>
      </c>
    </row>
    <row r="786" spans="1:24">
      <c r="A786" s="27">
        <v>1</v>
      </c>
      <c r="B786" s="27">
        <v>9</v>
      </c>
      <c r="C786" s="27">
        <v>28</v>
      </c>
      <c r="D786" s="27">
        <v>2010</v>
      </c>
      <c r="E786" s="27">
        <v>2010</v>
      </c>
      <c r="F786" s="27">
        <v>1</v>
      </c>
      <c r="G786" s="27">
        <v>28</v>
      </c>
      <c r="H786" s="27">
        <v>0</v>
      </c>
      <c r="I786" s="27">
        <v>0</v>
      </c>
      <c r="J786" s="27">
        <v>0</v>
      </c>
      <c r="K786" s="27">
        <v>1</v>
      </c>
      <c r="L786" s="27">
        <v>4500</v>
      </c>
      <c r="M786" s="27">
        <v>4100</v>
      </c>
      <c r="N786" s="27">
        <v>1350</v>
      </c>
      <c r="O786" s="27">
        <v>810</v>
      </c>
      <c r="P786" s="27" t="s">
        <v>13</v>
      </c>
      <c r="Q786" s="27">
        <v>1993</v>
      </c>
      <c r="R786" s="27">
        <v>1</v>
      </c>
      <c r="S786" s="27">
        <v>0</v>
      </c>
      <c r="T786" s="27">
        <v>-1.8E-3</v>
      </c>
      <c r="U786" s="27">
        <v>-1.2E-2</v>
      </c>
      <c r="V786" s="27">
        <v>0</v>
      </c>
      <c r="W786" s="27">
        <v>0</v>
      </c>
      <c r="X786" s="27" t="s">
        <v>38</v>
      </c>
    </row>
    <row r="787" spans="1:24">
      <c r="A787" s="27">
        <v>1</v>
      </c>
      <c r="B787" s="27">
        <v>9</v>
      </c>
      <c r="C787" s="27">
        <v>28</v>
      </c>
      <c r="D787" s="27">
        <v>2010</v>
      </c>
      <c r="E787" s="27">
        <v>2010</v>
      </c>
      <c r="F787" s="27">
        <v>2</v>
      </c>
      <c r="G787" s="27">
        <v>28</v>
      </c>
      <c r="H787" s="27">
        <v>0</v>
      </c>
      <c r="I787" s="27">
        <v>0</v>
      </c>
      <c r="J787" s="27">
        <v>0</v>
      </c>
      <c r="K787" s="27">
        <v>1</v>
      </c>
      <c r="L787" s="27">
        <v>4500</v>
      </c>
      <c r="M787" s="27">
        <v>4100</v>
      </c>
      <c r="N787" s="27">
        <v>1350</v>
      </c>
      <c r="O787" s="27">
        <v>810</v>
      </c>
      <c r="P787" s="27" t="s">
        <v>13</v>
      </c>
      <c r="Q787" s="27">
        <v>1993</v>
      </c>
      <c r="R787" s="27">
        <v>1</v>
      </c>
      <c r="S787" s="27">
        <v>0</v>
      </c>
      <c r="T787" s="27">
        <v>-1.8E-3</v>
      </c>
      <c r="U787" s="27">
        <v>-1.2E-2</v>
      </c>
      <c r="V787" s="27">
        <v>0</v>
      </c>
      <c r="W787" s="27">
        <v>0</v>
      </c>
      <c r="X787" s="27" t="s">
        <v>38</v>
      </c>
    </row>
    <row r="788" spans="1:24">
      <c r="A788" s="27">
        <v>1</v>
      </c>
      <c r="B788" s="27">
        <v>9</v>
      </c>
      <c r="C788" s="27">
        <v>28</v>
      </c>
      <c r="D788" s="27">
        <v>2010</v>
      </c>
      <c r="E788" s="27">
        <v>2010</v>
      </c>
      <c r="F788" s="27">
        <v>3</v>
      </c>
      <c r="G788" s="27">
        <v>28</v>
      </c>
      <c r="H788" s="27">
        <v>0</v>
      </c>
      <c r="I788" s="27">
        <v>0</v>
      </c>
      <c r="J788" s="27">
        <v>0</v>
      </c>
      <c r="K788" s="27">
        <v>1</v>
      </c>
      <c r="L788" s="27">
        <v>4500</v>
      </c>
      <c r="M788" s="27">
        <v>4100</v>
      </c>
      <c r="N788" s="27">
        <v>1350</v>
      </c>
      <c r="O788" s="27">
        <v>810</v>
      </c>
      <c r="P788" s="27" t="s">
        <v>13</v>
      </c>
      <c r="Q788" s="27">
        <v>1993</v>
      </c>
      <c r="R788" s="27">
        <v>1</v>
      </c>
      <c r="S788" s="27">
        <v>0</v>
      </c>
      <c r="T788" s="27">
        <v>-1.8E-3</v>
      </c>
      <c r="U788" s="27">
        <v>-1.2E-2</v>
      </c>
      <c r="V788" s="27">
        <v>0</v>
      </c>
      <c r="W788" s="27">
        <v>0</v>
      </c>
      <c r="X788" s="27" t="s">
        <v>38</v>
      </c>
    </row>
    <row r="789" spans="1:24">
      <c r="A789" s="27">
        <v>1</v>
      </c>
      <c r="B789" s="27">
        <v>9</v>
      </c>
      <c r="C789" s="27">
        <v>28</v>
      </c>
      <c r="D789" s="27">
        <v>2010</v>
      </c>
      <c r="E789" s="27">
        <v>2010</v>
      </c>
      <c r="F789" s="27">
        <v>4</v>
      </c>
      <c r="G789" s="27">
        <v>28</v>
      </c>
      <c r="H789" s="27">
        <v>0</v>
      </c>
      <c r="I789" s="27">
        <v>0</v>
      </c>
      <c r="J789" s="27">
        <v>0</v>
      </c>
      <c r="K789" s="27">
        <v>1</v>
      </c>
      <c r="L789" s="27">
        <v>4500</v>
      </c>
      <c r="M789" s="27">
        <v>4100</v>
      </c>
      <c r="N789" s="27">
        <v>1350</v>
      </c>
      <c r="O789" s="27">
        <v>810</v>
      </c>
      <c r="P789" s="27" t="s">
        <v>13</v>
      </c>
      <c r="Q789" s="27">
        <v>1993</v>
      </c>
      <c r="R789" s="27">
        <v>1</v>
      </c>
      <c r="S789" s="27">
        <v>0</v>
      </c>
      <c r="T789" s="27">
        <v>-1.8E-3</v>
      </c>
      <c r="U789" s="27">
        <v>-1.2E-2</v>
      </c>
      <c r="V789" s="27">
        <v>0</v>
      </c>
      <c r="W789" s="27">
        <v>0</v>
      </c>
      <c r="X789" s="27" t="s">
        <v>38</v>
      </c>
    </row>
    <row r="790" spans="1:24">
      <c r="A790" s="27">
        <v>1</v>
      </c>
      <c r="B790" s="27">
        <v>9</v>
      </c>
      <c r="C790" s="27">
        <v>28</v>
      </c>
      <c r="D790" s="27">
        <v>2010</v>
      </c>
      <c r="E790" s="27">
        <v>2010</v>
      </c>
      <c r="F790" s="27">
        <v>5</v>
      </c>
      <c r="G790" s="27">
        <v>28</v>
      </c>
      <c r="H790" s="27">
        <v>0</v>
      </c>
      <c r="I790" s="27">
        <v>0</v>
      </c>
      <c r="J790" s="27">
        <v>0</v>
      </c>
      <c r="K790" s="27">
        <v>1</v>
      </c>
      <c r="L790" s="27">
        <v>4500</v>
      </c>
      <c r="M790" s="27">
        <v>4100</v>
      </c>
      <c r="N790" s="27">
        <v>1350</v>
      </c>
      <c r="O790" s="27">
        <v>810</v>
      </c>
      <c r="P790" s="27" t="s">
        <v>13</v>
      </c>
      <c r="Q790" s="27">
        <v>1993</v>
      </c>
      <c r="R790" s="27">
        <v>1</v>
      </c>
      <c r="S790" s="27">
        <v>0</v>
      </c>
      <c r="T790" s="27">
        <v>-1.8E-3</v>
      </c>
      <c r="U790" s="27">
        <v>-1.2E-2</v>
      </c>
      <c r="V790" s="27">
        <v>0</v>
      </c>
      <c r="W790" s="27">
        <v>0</v>
      </c>
      <c r="X790" s="27" t="s">
        <v>38</v>
      </c>
    </row>
    <row r="791" spans="1:24">
      <c r="A791" s="27">
        <v>1</v>
      </c>
      <c r="B791" s="27">
        <v>9</v>
      </c>
      <c r="C791" s="27">
        <v>28</v>
      </c>
      <c r="D791" s="27">
        <v>2010</v>
      </c>
      <c r="E791" s="27">
        <v>2010</v>
      </c>
      <c r="F791" s="27">
        <v>6</v>
      </c>
      <c r="G791" s="27">
        <v>28</v>
      </c>
      <c r="H791" s="27">
        <v>0</v>
      </c>
      <c r="I791" s="27">
        <v>0</v>
      </c>
      <c r="J791" s="27">
        <v>0</v>
      </c>
      <c r="K791" s="27">
        <v>1</v>
      </c>
      <c r="L791" s="27">
        <v>4500</v>
      </c>
      <c r="M791" s="27">
        <v>4100</v>
      </c>
      <c r="N791" s="27">
        <v>1350</v>
      </c>
      <c r="O791" s="27">
        <v>810</v>
      </c>
      <c r="P791" s="27" t="s">
        <v>13</v>
      </c>
      <c r="Q791" s="27">
        <v>1993</v>
      </c>
      <c r="R791" s="27">
        <v>1</v>
      </c>
      <c r="S791" s="27">
        <v>0</v>
      </c>
      <c r="T791" s="27">
        <v>-1.8E-3</v>
      </c>
      <c r="U791" s="27">
        <v>-1.2E-2</v>
      </c>
      <c r="V791" s="27">
        <v>0</v>
      </c>
      <c r="W791" s="27">
        <v>0</v>
      </c>
      <c r="X791" s="27" t="s">
        <v>38</v>
      </c>
    </row>
    <row r="792" spans="1:24">
      <c r="A792" s="27">
        <v>1</v>
      </c>
      <c r="B792" s="27">
        <v>9</v>
      </c>
      <c r="C792" s="27">
        <v>28</v>
      </c>
      <c r="D792" s="27">
        <v>2010</v>
      </c>
      <c r="E792" s="27">
        <v>2010</v>
      </c>
      <c r="F792" s="27">
        <v>7</v>
      </c>
      <c r="G792" s="27">
        <v>28</v>
      </c>
      <c r="H792" s="27">
        <v>0</v>
      </c>
      <c r="I792" s="27">
        <v>0</v>
      </c>
      <c r="J792" s="27">
        <v>0</v>
      </c>
      <c r="K792" s="27">
        <v>1</v>
      </c>
      <c r="L792" s="27">
        <v>4500</v>
      </c>
      <c r="M792" s="27">
        <v>4100</v>
      </c>
      <c r="N792" s="27">
        <v>1350</v>
      </c>
      <c r="O792" s="27">
        <v>810</v>
      </c>
      <c r="P792" s="27" t="s">
        <v>13</v>
      </c>
      <c r="Q792" s="27">
        <v>1993</v>
      </c>
      <c r="R792" s="27">
        <v>1</v>
      </c>
      <c r="S792" s="27">
        <v>0</v>
      </c>
      <c r="T792" s="27">
        <v>-1.8E-3</v>
      </c>
      <c r="U792" s="27">
        <v>-1.2E-2</v>
      </c>
      <c r="V792" s="27">
        <v>0</v>
      </c>
      <c r="W792" s="27">
        <v>0</v>
      </c>
      <c r="X792" s="27" t="s">
        <v>38</v>
      </c>
    </row>
    <row r="793" spans="1:24">
      <c r="A793" s="27">
        <v>1</v>
      </c>
      <c r="B793" s="27">
        <v>9</v>
      </c>
      <c r="C793" s="27">
        <v>28</v>
      </c>
      <c r="D793" s="27">
        <v>2010</v>
      </c>
      <c r="E793" s="27">
        <v>2010</v>
      </c>
      <c r="F793" s="27">
        <v>8</v>
      </c>
      <c r="G793" s="27">
        <v>28</v>
      </c>
      <c r="H793" s="27">
        <v>0</v>
      </c>
      <c r="I793" s="27">
        <v>0</v>
      </c>
      <c r="J793" s="27">
        <v>0</v>
      </c>
      <c r="K793" s="27">
        <v>1</v>
      </c>
      <c r="L793" s="27">
        <v>4500</v>
      </c>
      <c r="M793" s="27">
        <v>4100</v>
      </c>
      <c r="N793" s="27">
        <v>1350</v>
      </c>
      <c r="O793" s="27">
        <v>810</v>
      </c>
      <c r="P793" s="27" t="s">
        <v>13</v>
      </c>
      <c r="Q793" s="27">
        <v>1993</v>
      </c>
      <c r="R793" s="27">
        <v>1</v>
      </c>
      <c r="S793" s="27">
        <v>0</v>
      </c>
      <c r="T793" s="27">
        <v>-1.8E-3</v>
      </c>
      <c r="U793" s="27">
        <v>-1.2E-2</v>
      </c>
      <c r="V793" s="27">
        <v>0</v>
      </c>
      <c r="W793" s="27">
        <v>0</v>
      </c>
      <c r="X793" s="27" t="s">
        <v>38</v>
      </c>
    </row>
    <row r="794" spans="1:24">
      <c r="A794" s="27">
        <v>1</v>
      </c>
      <c r="B794" s="27">
        <v>9</v>
      </c>
      <c r="C794" s="27">
        <v>28</v>
      </c>
      <c r="D794" s="27">
        <v>2010</v>
      </c>
      <c r="E794" s="27">
        <v>2010</v>
      </c>
      <c r="F794" s="27">
        <v>9</v>
      </c>
      <c r="G794" s="27">
        <v>28</v>
      </c>
      <c r="H794" s="27">
        <v>0</v>
      </c>
      <c r="I794" s="27">
        <v>0</v>
      </c>
      <c r="J794" s="27">
        <v>0</v>
      </c>
      <c r="K794" s="27">
        <v>1</v>
      </c>
      <c r="L794" s="27">
        <v>4500</v>
      </c>
      <c r="M794" s="27">
        <v>4100</v>
      </c>
      <c r="N794" s="27">
        <v>1350</v>
      </c>
      <c r="O794" s="27">
        <v>810</v>
      </c>
      <c r="P794" s="27" t="s">
        <v>13</v>
      </c>
      <c r="Q794" s="27">
        <v>1993</v>
      </c>
      <c r="R794" s="27">
        <v>1</v>
      </c>
      <c r="S794" s="27">
        <v>0</v>
      </c>
      <c r="T794" s="27">
        <v>-1.8E-3</v>
      </c>
      <c r="U794" s="27">
        <v>-1.2E-2</v>
      </c>
      <c r="V794" s="27">
        <v>0</v>
      </c>
      <c r="W794" s="27">
        <v>0</v>
      </c>
      <c r="X794" s="27" t="s">
        <v>38</v>
      </c>
    </row>
    <row r="795" spans="1:24">
      <c r="A795" s="27">
        <v>1</v>
      </c>
      <c r="B795" s="27">
        <v>9</v>
      </c>
      <c r="C795" s="27">
        <v>28</v>
      </c>
      <c r="D795" s="27">
        <v>2011</v>
      </c>
      <c r="E795" s="27">
        <v>2011</v>
      </c>
      <c r="F795" s="27">
        <v>1</v>
      </c>
      <c r="G795" s="27">
        <v>28</v>
      </c>
      <c r="H795" s="27">
        <v>0</v>
      </c>
      <c r="I795" s="27">
        <v>0</v>
      </c>
      <c r="J795" s="27">
        <v>0</v>
      </c>
      <c r="K795" s="27">
        <v>1</v>
      </c>
      <c r="L795" s="27">
        <v>4500</v>
      </c>
      <c r="M795" s="27">
        <v>4100</v>
      </c>
      <c r="N795" s="27">
        <v>450</v>
      </c>
      <c r="O795" s="27">
        <v>270</v>
      </c>
      <c r="P795" s="27" t="s">
        <v>13</v>
      </c>
      <c r="Q795" s="27">
        <v>1993</v>
      </c>
      <c r="R795" s="27">
        <v>1</v>
      </c>
      <c r="S795" s="27">
        <v>0</v>
      </c>
      <c r="T795" s="27">
        <v>-1.8E-3</v>
      </c>
      <c r="U795" s="27">
        <v>-1.2E-2</v>
      </c>
      <c r="V795" s="27">
        <v>0</v>
      </c>
      <c r="W795" s="27">
        <v>0</v>
      </c>
      <c r="X795" s="27" t="s">
        <v>38</v>
      </c>
    </row>
    <row r="796" spans="1:24">
      <c r="A796" s="27">
        <v>1</v>
      </c>
      <c r="B796" s="27">
        <v>9</v>
      </c>
      <c r="C796" s="27">
        <v>28</v>
      </c>
      <c r="D796" s="27">
        <v>2011</v>
      </c>
      <c r="E796" s="27">
        <v>2011</v>
      </c>
      <c r="F796" s="27">
        <v>2</v>
      </c>
      <c r="G796" s="27">
        <v>28</v>
      </c>
      <c r="H796" s="27">
        <v>0</v>
      </c>
      <c r="I796" s="27">
        <v>0</v>
      </c>
      <c r="J796" s="27">
        <v>0</v>
      </c>
      <c r="K796" s="27">
        <v>1</v>
      </c>
      <c r="L796" s="27">
        <v>4500</v>
      </c>
      <c r="M796" s="27">
        <v>4100</v>
      </c>
      <c r="N796" s="27">
        <v>450</v>
      </c>
      <c r="O796" s="27">
        <v>270</v>
      </c>
      <c r="P796" s="27" t="s">
        <v>13</v>
      </c>
      <c r="Q796" s="27">
        <v>1993</v>
      </c>
      <c r="R796" s="27">
        <v>1</v>
      </c>
      <c r="S796" s="27">
        <v>0</v>
      </c>
      <c r="T796" s="27">
        <v>-1.8E-3</v>
      </c>
      <c r="U796" s="27">
        <v>-1.2E-2</v>
      </c>
      <c r="V796" s="27">
        <v>0</v>
      </c>
      <c r="W796" s="27">
        <v>0</v>
      </c>
      <c r="X796" s="27" t="s">
        <v>38</v>
      </c>
    </row>
    <row r="797" spans="1:24">
      <c r="A797" s="27">
        <v>1</v>
      </c>
      <c r="B797" s="27">
        <v>9</v>
      </c>
      <c r="C797" s="27">
        <v>28</v>
      </c>
      <c r="D797" s="27">
        <v>2011</v>
      </c>
      <c r="E797" s="27">
        <v>2011</v>
      </c>
      <c r="F797" s="27">
        <v>3</v>
      </c>
      <c r="G797" s="27">
        <v>28</v>
      </c>
      <c r="H797" s="27">
        <v>0</v>
      </c>
      <c r="I797" s="27">
        <v>0</v>
      </c>
      <c r="J797" s="27">
        <v>0</v>
      </c>
      <c r="K797" s="27">
        <v>1</v>
      </c>
      <c r="L797" s="27">
        <v>4500</v>
      </c>
      <c r="M797" s="27">
        <v>4100</v>
      </c>
      <c r="N797" s="27">
        <v>450</v>
      </c>
      <c r="O797" s="27">
        <v>270</v>
      </c>
      <c r="P797" s="27" t="s">
        <v>13</v>
      </c>
      <c r="Q797" s="27">
        <v>1993</v>
      </c>
      <c r="R797" s="27">
        <v>1</v>
      </c>
      <c r="S797" s="27">
        <v>0</v>
      </c>
      <c r="T797" s="27">
        <v>-1.8E-3</v>
      </c>
      <c r="U797" s="27">
        <v>-1.2E-2</v>
      </c>
      <c r="V797" s="27">
        <v>0</v>
      </c>
      <c r="W797" s="27">
        <v>0</v>
      </c>
      <c r="X797" s="27" t="s">
        <v>38</v>
      </c>
    </row>
    <row r="798" spans="1:24">
      <c r="A798" s="27">
        <v>1</v>
      </c>
      <c r="B798" s="27">
        <v>9</v>
      </c>
      <c r="C798" s="27">
        <v>28</v>
      </c>
      <c r="D798" s="27">
        <v>2011</v>
      </c>
      <c r="E798" s="27">
        <v>2011</v>
      </c>
      <c r="F798" s="27">
        <v>4</v>
      </c>
      <c r="G798" s="27">
        <v>28</v>
      </c>
      <c r="H798" s="27">
        <v>0</v>
      </c>
      <c r="I798" s="27">
        <v>0</v>
      </c>
      <c r="J798" s="27">
        <v>0</v>
      </c>
      <c r="K798" s="27">
        <v>1</v>
      </c>
      <c r="L798" s="27">
        <v>4500</v>
      </c>
      <c r="M798" s="27">
        <v>4100</v>
      </c>
      <c r="N798" s="27">
        <v>450</v>
      </c>
      <c r="O798" s="27">
        <v>270</v>
      </c>
      <c r="P798" s="27" t="s">
        <v>13</v>
      </c>
      <c r="Q798" s="27">
        <v>1993</v>
      </c>
      <c r="R798" s="27">
        <v>1</v>
      </c>
      <c r="S798" s="27">
        <v>0</v>
      </c>
      <c r="T798" s="27">
        <v>-1.8E-3</v>
      </c>
      <c r="U798" s="27">
        <v>-1.2E-2</v>
      </c>
      <c r="V798" s="27">
        <v>0</v>
      </c>
      <c r="W798" s="27">
        <v>0</v>
      </c>
      <c r="X798" s="27" t="s">
        <v>38</v>
      </c>
    </row>
    <row r="799" spans="1:24">
      <c r="A799" s="27">
        <v>1</v>
      </c>
      <c r="B799" s="27">
        <v>9</v>
      </c>
      <c r="C799" s="27">
        <v>28</v>
      </c>
      <c r="D799" s="27">
        <v>2011</v>
      </c>
      <c r="E799" s="27">
        <v>2011</v>
      </c>
      <c r="F799" s="27">
        <v>5</v>
      </c>
      <c r="G799" s="27">
        <v>28</v>
      </c>
      <c r="H799" s="27">
        <v>0</v>
      </c>
      <c r="I799" s="27">
        <v>0</v>
      </c>
      <c r="J799" s="27">
        <v>0</v>
      </c>
      <c r="K799" s="27">
        <v>1</v>
      </c>
      <c r="L799" s="27">
        <v>4500</v>
      </c>
      <c r="M799" s="27">
        <v>4100</v>
      </c>
      <c r="N799" s="27">
        <v>450</v>
      </c>
      <c r="O799" s="27">
        <v>270</v>
      </c>
      <c r="P799" s="27" t="s">
        <v>13</v>
      </c>
      <c r="Q799" s="27">
        <v>1993</v>
      </c>
      <c r="R799" s="27">
        <v>1</v>
      </c>
      <c r="S799" s="27">
        <v>0</v>
      </c>
      <c r="T799" s="27">
        <v>-1.8E-3</v>
      </c>
      <c r="U799" s="27">
        <v>-1.2E-2</v>
      </c>
      <c r="V799" s="27">
        <v>0</v>
      </c>
      <c r="W799" s="27">
        <v>0</v>
      </c>
      <c r="X799" s="27" t="s">
        <v>38</v>
      </c>
    </row>
    <row r="800" spans="1:24">
      <c r="A800" s="27">
        <v>1</v>
      </c>
      <c r="B800" s="27">
        <v>9</v>
      </c>
      <c r="C800" s="27">
        <v>28</v>
      </c>
      <c r="D800" s="27">
        <v>2011</v>
      </c>
      <c r="E800" s="27">
        <v>2011</v>
      </c>
      <c r="F800" s="27">
        <v>6</v>
      </c>
      <c r="G800" s="27">
        <v>28</v>
      </c>
      <c r="H800" s="27">
        <v>0</v>
      </c>
      <c r="I800" s="27">
        <v>0</v>
      </c>
      <c r="J800" s="27">
        <v>0</v>
      </c>
      <c r="K800" s="27">
        <v>1</v>
      </c>
      <c r="L800" s="27">
        <v>4500</v>
      </c>
      <c r="M800" s="27">
        <v>4100</v>
      </c>
      <c r="N800" s="27">
        <v>450</v>
      </c>
      <c r="O800" s="27">
        <v>270</v>
      </c>
      <c r="P800" s="27" t="s">
        <v>13</v>
      </c>
      <c r="Q800" s="27">
        <v>1993</v>
      </c>
      <c r="R800" s="27">
        <v>1</v>
      </c>
      <c r="S800" s="27">
        <v>0</v>
      </c>
      <c r="T800" s="27">
        <v>-1.8E-3</v>
      </c>
      <c r="U800" s="27">
        <v>-1.2E-2</v>
      </c>
      <c r="V800" s="27">
        <v>0</v>
      </c>
      <c r="W800" s="27">
        <v>0</v>
      </c>
      <c r="X800" s="27" t="s">
        <v>38</v>
      </c>
    </row>
    <row r="801" spans="1:24">
      <c r="A801" s="27">
        <v>1</v>
      </c>
      <c r="B801" s="27">
        <v>9</v>
      </c>
      <c r="C801" s="27">
        <v>28</v>
      </c>
      <c r="D801" s="27">
        <v>2011</v>
      </c>
      <c r="E801" s="27">
        <v>2011</v>
      </c>
      <c r="F801" s="27">
        <v>7</v>
      </c>
      <c r="G801" s="27">
        <v>28</v>
      </c>
      <c r="H801" s="27">
        <v>0</v>
      </c>
      <c r="I801" s="27">
        <v>0</v>
      </c>
      <c r="J801" s="27">
        <v>0</v>
      </c>
      <c r="K801" s="27">
        <v>1</v>
      </c>
      <c r="L801" s="27">
        <v>4500</v>
      </c>
      <c r="M801" s="27">
        <v>4100</v>
      </c>
      <c r="N801" s="27">
        <v>450</v>
      </c>
      <c r="O801" s="27">
        <v>270</v>
      </c>
      <c r="P801" s="27" t="s">
        <v>13</v>
      </c>
      <c r="Q801" s="27">
        <v>1993</v>
      </c>
      <c r="R801" s="27">
        <v>1</v>
      </c>
      <c r="S801" s="27">
        <v>0</v>
      </c>
      <c r="T801" s="27">
        <v>-1.8E-3</v>
      </c>
      <c r="U801" s="27">
        <v>-1.2E-2</v>
      </c>
      <c r="V801" s="27">
        <v>0</v>
      </c>
      <c r="W801" s="27">
        <v>0</v>
      </c>
      <c r="X801" s="27" t="s">
        <v>38</v>
      </c>
    </row>
    <row r="802" spans="1:24">
      <c r="A802" s="27">
        <v>1</v>
      </c>
      <c r="B802" s="27">
        <v>9</v>
      </c>
      <c r="C802" s="27">
        <v>28</v>
      </c>
      <c r="D802" s="27">
        <v>2011</v>
      </c>
      <c r="E802" s="27">
        <v>2011</v>
      </c>
      <c r="F802" s="27">
        <v>8</v>
      </c>
      <c r="G802" s="27">
        <v>28</v>
      </c>
      <c r="H802" s="27">
        <v>0</v>
      </c>
      <c r="I802" s="27">
        <v>0</v>
      </c>
      <c r="J802" s="27">
        <v>0</v>
      </c>
      <c r="K802" s="27">
        <v>1</v>
      </c>
      <c r="L802" s="27">
        <v>4500</v>
      </c>
      <c r="M802" s="27">
        <v>4100</v>
      </c>
      <c r="N802" s="27">
        <v>450</v>
      </c>
      <c r="O802" s="27">
        <v>270</v>
      </c>
      <c r="P802" s="27" t="s">
        <v>13</v>
      </c>
      <c r="Q802" s="27">
        <v>1993</v>
      </c>
      <c r="R802" s="27">
        <v>1</v>
      </c>
      <c r="S802" s="27">
        <v>0</v>
      </c>
      <c r="T802" s="27">
        <v>-1.8E-3</v>
      </c>
      <c r="U802" s="27">
        <v>-1.2E-2</v>
      </c>
      <c r="V802" s="27">
        <v>0</v>
      </c>
      <c r="W802" s="27">
        <v>0</v>
      </c>
      <c r="X802" s="27" t="s">
        <v>38</v>
      </c>
    </row>
    <row r="803" spans="1:24">
      <c r="A803" s="27">
        <v>1</v>
      </c>
      <c r="B803" s="27">
        <v>9</v>
      </c>
      <c r="C803" s="27">
        <v>28</v>
      </c>
      <c r="D803" s="27">
        <v>2011</v>
      </c>
      <c r="E803" s="27">
        <v>2011</v>
      </c>
      <c r="F803" s="27">
        <v>9</v>
      </c>
      <c r="G803" s="27">
        <v>28</v>
      </c>
      <c r="H803" s="27">
        <v>0</v>
      </c>
      <c r="I803" s="27">
        <v>0</v>
      </c>
      <c r="J803" s="27">
        <v>0</v>
      </c>
      <c r="K803" s="27">
        <v>1</v>
      </c>
      <c r="L803" s="27">
        <v>4500</v>
      </c>
      <c r="M803" s="27">
        <v>4100</v>
      </c>
      <c r="N803" s="27">
        <v>450</v>
      </c>
      <c r="O803" s="27">
        <v>270</v>
      </c>
      <c r="P803" s="27" t="s">
        <v>13</v>
      </c>
      <c r="Q803" s="27">
        <v>1993</v>
      </c>
      <c r="R803" s="27">
        <v>1</v>
      </c>
      <c r="S803" s="27">
        <v>0</v>
      </c>
      <c r="T803" s="27">
        <v>-1.8E-3</v>
      </c>
      <c r="U803" s="27">
        <v>-1.2E-2</v>
      </c>
      <c r="V803" s="27">
        <v>0</v>
      </c>
      <c r="W803" s="27">
        <v>0</v>
      </c>
      <c r="X803" s="27" t="s">
        <v>38</v>
      </c>
    </row>
    <row r="804" spans="1:24">
      <c r="A804" s="27">
        <v>1</v>
      </c>
      <c r="B804" s="27">
        <v>9</v>
      </c>
      <c r="C804" s="27">
        <v>28</v>
      </c>
      <c r="D804" s="27">
        <v>2012</v>
      </c>
      <c r="E804" s="27">
        <v>2012</v>
      </c>
      <c r="F804" s="27">
        <v>1</v>
      </c>
      <c r="G804" s="27">
        <v>28</v>
      </c>
      <c r="H804" s="27">
        <v>0</v>
      </c>
      <c r="I804" s="27">
        <v>0</v>
      </c>
      <c r="J804" s="27">
        <v>0</v>
      </c>
      <c r="K804" s="27">
        <v>1</v>
      </c>
      <c r="L804" s="27">
        <v>4500</v>
      </c>
      <c r="M804" s="27">
        <v>4100</v>
      </c>
      <c r="N804" s="27">
        <v>0</v>
      </c>
      <c r="O804" s="27">
        <v>0</v>
      </c>
      <c r="P804" s="27" t="s">
        <v>13</v>
      </c>
      <c r="Q804" s="27">
        <v>1993</v>
      </c>
      <c r="R804" s="27">
        <v>1</v>
      </c>
      <c r="S804" s="27">
        <v>0</v>
      </c>
      <c r="T804" s="27">
        <v>-1.8E-3</v>
      </c>
      <c r="U804" s="27">
        <v>-1.2E-2</v>
      </c>
      <c r="V804" s="27">
        <v>0</v>
      </c>
      <c r="W804" s="27">
        <v>0</v>
      </c>
      <c r="X804" s="27" t="s">
        <v>38</v>
      </c>
    </row>
    <row r="805" spans="1:24">
      <c r="A805" s="27">
        <v>1</v>
      </c>
      <c r="B805" s="27">
        <v>9</v>
      </c>
      <c r="C805" s="27">
        <v>28</v>
      </c>
      <c r="D805" s="27">
        <v>2012</v>
      </c>
      <c r="E805" s="27">
        <v>2012</v>
      </c>
      <c r="F805" s="27">
        <v>2</v>
      </c>
      <c r="G805" s="27">
        <v>28</v>
      </c>
      <c r="H805" s="27">
        <v>0</v>
      </c>
      <c r="I805" s="27">
        <v>0</v>
      </c>
      <c r="J805" s="27">
        <v>0</v>
      </c>
      <c r="K805" s="27">
        <v>1</v>
      </c>
      <c r="L805" s="27">
        <v>4500</v>
      </c>
      <c r="M805" s="27">
        <v>4100</v>
      </c>
      <c r="N805" s="27">
        <v>0</v>
      </c>
      <c r="O805" s="27">
        <v>0</v>
      </c>
      <c r="P805" s="27" t="s">
        <v>13</v>
      </c>
      <c r="Q805" s="27">
        <v>1993</v>
      </c>
      <c r="R805" s="27">
        <v>1</v>
      </c>
      <c r="S805" s="27">
        <v>0</v>
      </c>
      <c r="T805" s="27">
        <v>-1.8E-3</v>
      </c>
      <c r="U805" s="27">
        <v>-1.2E-2</v>
      </c>
      <c r="V805" s="27">
        <v>0</v>
      </c>
      <c r="W805" s="27">
        <v>0</v>
      </c>
      <c r="X805" s="27" t="s">
        <v>38</v>
      </c>
    </row>
    <row r="806" spans="1:24">
      <c r="A806" s="27">
        <v>1</v>
      </c>
      <c r="B806" s="27">
        <v>9</v>
      </c>
      <c r="C806" s="27">
        <v>28</v>
      </c>
      <c r="D806" s="27">
        <v>2012</v>
      </c>
      <c r="E806" s="27">
        <v>2012</v>
      </c>
      <c r="F806" s="27">
        <v>3</v>
      </c>
      <c r="G806" s="27">
        <v>28</v>
      </c>
      <c r="H806" s="27">
        <v>0</v>
      </c>
      <c r="I806" s="27">
        <v>0</v>
      </c>
      <c r="J806" s="27">
        <v>0</v>
      </c>
      <c r="K806" s="27">
        <v>1</v>
      </c>
      <c r="L806" s="27">
        <v>4500</v>
      </c>
      <c r="M806" s="27">
        <v>4100</v>
      </c>
      <c r="N806" s="27">
        <v>0</v>
      </c>
      <c r="O806" s="27">
        <v>0</v>
      </c>
      <c r="P806" s="27" t="s">
        <v>13</v>
      </c>
      <c r="Q806" s="27">
        <v>1993</v>
      </c>
      <c r="R806" s="27">
        <v>1</v>
      </c>
      <c r="S806" s="27">
        <v>0</v>
      </c>
      <c r="T806" s="27">
        <v>-1.8E-3</v>
      </c>
      <c r="U806" s="27">
        <v>-1.2E-2</v>
      </c>
      <c r="V806" s="27">
        <v>0</v>
      </c>
      <c r="W806" s="27">
        <v>0</v>
      </c>
      <c r="X806" s="27" t="s">
        <v>38</v>
      </c>
    </row>
    <row r="807" spans="1:24">
      <c r="A807" s="27">
        <v>1</v>
      </c>
      <c r="B807" s="27">
        <v>9</v>
      </c>
      <c r="C807" s="27">
        <v>28</v>
      </c>
      <c r="D807" s="27">
        <v>2012</v>
      </c>
      <c r="E807" s="27">
        <v>2012</v>
      </c>
      <c r="F807" s="27">
        <v>4</v>
      </c>
      <c r="G807" s="27">
        <v>28</v>
      </c>
      <c r="H807" s="27">
        <v>0</v>
      </c>
      <c r="I807" s="27">
        <v>0</v>
      </c>
      <c r="J807" s="27">
        <v>0</v>
      </c>
      <c r="K807" s="27">
        <v>1</v>
      </c>
      <c r="L807" s="27">
        <v>4500</v>
      </c>
      <c r="M807" s="27">
        <v>4100</v>
      </c>
      <c r="N807" s="27">
        <v>0</v>
      </c>
      <c r="O807" s="27">
        <v>0</v>
      </c>
      <c r="P807" s="27" t="s">
        <v>13</v>
      </c>
      <c r="Q807" s="27">
        <v>1993</v>
      </c>
      <c r="R807" s="27">
        <v>1</v>
      </c>
      <c r="S807" s="27">
        <v>0</v>
      </c>
      <c r="T807" s="27">
        <v>-1.8E-3</v>
      </c>
      <c r="U807" s="27">
        <v>-1.2E-2</v>
      </c>
      <c r="V807" s="27">
        <v>0</v>
      </c>
      <c r="W807" s="27">
        <v>0</v>
      </c>
      <c r="X807" s="27" t="s">
        <v>38</v>
      </c>
    </row>
    <row r="808" spans="1:24">
      <c r="A808" s="27">
        <v>1</v>
      </c>
      <c r="B808" s="27">
        <v>9</v>
      </c>
      <c r="C808" s="27">
        <v>28</v>
      </c>
      <c r="D808" s="27">
        <v>2012</v>
      </c>
      <c r="E808" s="27">
        <v>2012</v>
      </c>
      <c r="F808" s="27">
        <v>5</v>
      </c>
      <c r="G808" s="27">
        <v>28</v>
      </c>
      <c r="H808" s="27">
        <v>0</v>
      </c>
      <c r="I808" s="27">
        <v>0</v>
      </c>
      <c r="J808" s="27">
        <v>0</v>
      </c>
      <c r="K808" s="27">
        <v>1</v>
      </c>
      <c r="L808" s="27">
        <v>4500</v>
      </c>
      <c r="M808" s="27">
        <v>4100</v>
      </c>
      <c r="N808" s="27">
        <v>0</v>
      </c>
      <c r="O808" s="27">
        <v>0</v>
      </c>
      <c r="P808" s="27" t="s">
        <v>13</v>
      </c>
      <c r="Q808" s="27">
        <v>1993</v>
      </c>
      <c r="R808" s="27">
        <v>1</v>
      </c>
      <c r="S808" s="27">
        <v>0</v>
      </c>
      <c r="T808" s="27">
        <v>-1.8E-3</v>
      </c>
      <c r="U808" s="27">
        <v>-1.2E-2</v>
      </c>
      <c r="V808" s="27">
        <v>0</v>
      </c>
      <c r="W808" s="27">
        <v>0</v>
      </c>
      <c r="X808" s="27" t="s">
        <v>38</v>
      </c>
    </row>
    <row r="809" spans="1:24">
      <c r="A809" s="27">
        <v>1</v>
      </c>
      <c r="B809" s="27">
        <v>9</v>
      </c>
      <c r="C809" s="27">
        <v>28</v>
      </c>
      <c r="D809" s="27">
        <v>2012</v>
      </c>
      <c r="E809" s="27">
        <v>2012</v>
      </c>
      <c r="F809" s="27">
        <v>6</v>
      </c>
      <c r="G809" s="27">
        <v>28</v>
      </c>
      <c r="H809" s="27">
        <v>0</v>
      </c>
      <c r="I809" s="27">
        <v>0</v>
      </c>
      <c r="J809" s="27">
        <v>0</v>
      </c>
      <c r="K809" s="27">
        <v>1</v>
      </c>
      <c r="L809" s="27">
        <v>4500</v>
      </c>
      <c r="M809" s="27">
        <v>4100</v>
      </c>
      <c r="N809" s="27">
        <v>0</v>
      </c>
      <c r="O809" s="27">
        <v>0</v>
      </c>
      <c r="P809" s="27" t="s">
        <v>13</v>
      </c>
      <c r="Q809" s="27">
        <v>1993</v>
      </c>
      <c r="R809" s="27">
        <v>1</v>
      </c>
      <c r="S809" s="27">
        <v>0</v>
      </c>
      <c r="T809" s="27">
        <v>-1.8E-3</v>
      </c>
      <c r="U809" s="27">
        <v>-1.2E-2</v>
      </c>
      <c r="V809" s="27">
        <v>0</v>
      </c>
      <c r="W809" s="27">
        <v>0</v>
      </c>
      <c r="X809" s="27" t="s">
        <v>38</v>
      </c>
    </row>
    <row r="810" spans="1:24">
      <c r="A810" s="27">
        <v>1</v>
      </c>
      <c r="B810" s="27">
        <v>9</v>
      </c>
      <c r="C810" s="27">
        <v>28</v>
      </c>
      <c r="D810" s="27">
        <v>2012</v>
      </c>
      <c r="E810" s="27">
        <v>2012</v>
      </c>
      <c r="F810" s="27">
        <v>7</v>
      </c>
      <c r="G810" s="27">
        <v>28</v>
      </c>
      <c r="H810" s="27">
        <v>0</v>
      </c>
      <c r="I810" s="27">
        <v>0</v>
      </c>
      <c r="J810" s="27">
        <v>0</v>
      </c>
      <c r="K810" s="27">
        <v>1</v>
      </c>
      <c r="L810" s="27">
        <v>4500</v>
      </c>
      <c r="M810" s="27">
        <v>4100</v>
      </c>
      <c r="N810" s="27">
        <v>0</v>
      </c>
      <c r="O810" s="27">
        <v>0</v>
      </c>
      <c r="P810" s="27" t="s">
        <v>13</v>
      </c>
      <c r="Q810" s="27">
        <v>1993</v>
      </c>
      <c r="R810" s="27">
        <v>1</v>
      </c>
      <c r="S810" s="27">
        <v>0</v>
      </c>
      <c r="T810" s="27">
        <v>-1.8E-3</v>
      </c>
      <c r="U810" s="27">
        <v>-1.2E-2</v>
      </c>
      <c r="V810" s="27">
        <v>0</v>
      </c>
      <c r="W810" s="27">
        <v>0</v>
      </c>
      <c r="X810" s="27" t="s">
        <v>38</v>
      </c>
    </row>
    <row r="811" spans="1:24">
      <c r="A811" s="27">
        <v>1</v>
      </c>
      <c r="B811" s="27">
        <v>9</v>
      </c>
      <c r="C811" s="27">
        <v>28</v>
      </c>
      <c r="D811" s="27">
        <v>2012</v>
      </c>
      <c r="E811" s="27">
        <v>2012</v>
      </c>
      <c r="F811" s="27">
        <v>8</v>
      </c>
      <c r="G811" s="27">
        <v>28</v>
      </c>
      <c r="H811" s="27">
        <v>0</v>
      </c>
      <c r="I811" s="27">
        <v>0</v>
      </c>
      <c r="J811" s="27">
        <v>0</v>
      </c>
      <c r="K811" s="27">
        <v>1</v>
      </c>
      <c r="L811" s="27">
        <v>4500</v>
      </c>
      <c r="M811" s="27">
        <v>4100</v>
      </c>
      <c r="N811" s="27">
        <v>0</v>
      </c>
      <c r="O811" s="27">
        <v>0</v>
      </c>
      <c r="P811" s="27" t="s">
        <v>13</v>
      </c>
      <c r="Q811" s="27">
        <v>1993</v>
      </c>
      <c r="R811" s="27">
        <v>1</v>
      </c>
      <c r="S811" s="27">
        <v>0</v>
      </c>
      <c r="T811" s="27">
        <v>-1.8E-3</v>
      </c>
      <c r="U811" s="27">
        <v>-1.2E-2</v>
      </c>
      <c r="V811" s="27">
        <v>0</v>
      </c>
      <c r="W811" s="27">
        <v>0</v>
      </c>
      <c r="X811" s="27" t="s">
        <v>38</v>
      </c>
    </row>
    <row r="812" spans="1:24">
      <c r="A812" s="27">
        <v>1</v>
      </c>
      <c r="B812" s="27">
        <v>9</v>
      </c>
      <c r="C812" s="27">
        <v>28</v>
      </c>
      <c r="D812" s="27">
        <v>2012</v>
      </c>
      <c r="E812" s="27">
        <v>2012</v>
      </c>
      <c r="F812" s="27">
        <v>9</v>
      </c>
      <c r="G812" s="27">
        <v>28</v>
      </c>
      <c r="H812" s="27">
        <v>0</v>
      </c>
      <c r="I812" s="27">
        <v>0</v>
      </c>
      <c r="J812" s="27">
        <v>0</v>
      </c>
      <c r="K812" s="27">
        <v>1</v>
      </c>
      <c r="L812" s="27">
        <v>4500</v>
      </c>
      <c r="M812" s="27">
        <v>4100</v>
      </c>
      <c r="N812" s="27">
        <v>0</v>
      </c>
      <c r="O812" s="27">
        <v>0</v>
      </c>
      <c r="P812" s="27" t="s">
        <v>13</v>
      </c>
      <c r="Q812" s="27">
        <v>1993</v>
      </c>
      <c r="R812" s="27">
        <v>1</v>
      </c>
      <c r="S812" s="27">
        <v>0</v>
      </c>
      <c r="T812" s="27">
        <v>-1.8E-3</v>
      </c>
      <c r="U812" s="27">
        <v>-1.2E-2</v>
      </c>
      <c r="V812" s="27">
        <v>0</v>
      </c>
      <c r="W812" s="27">
        <v>0</v>
      </c>
      <c r="X812" s="27" t="s">
        <v>38</v>
      </c>
    </row>
    <row r="813" spans="1:24">
      <c r="A813" s="27">
        <v>1</v>
      </c>
      <c r="B813" s="27">
        <v>9</v>
      </c>
      <c r="C813" s="27">
        <v>28</v>
      </c>
      <c r="D813" s="27">
        <v>2013</v>
      </c>
      <c r="E813" s="27">
        <v>2013</v>
      </c>
      <c r="F813" s="27">
        <v>1</v>
      </c>
      <c r="G813" s="27">
        <v>28</v>
      </c>
      <c r="H813" s="27">
        <v>0</v>
      </c>
      <c r="I813" s="27">
        <v>0</v>
      </c>
      <c r="J813" s="27">
        <v>0</v>
      </c>
      <c r="K813" s="27">
        <v>1</v>
      </c>
      <c r="L813" s="27">
        <v>4500</v>
      </c>
      <c r="M813" s="27">
        <v>4100</v>
      </c>
      <c r="N813" s="27">
        <v>450</v>
      </c>
      <c r="O813" s="27">
        <v>270</v>
      </c>
      <c r="P813" s="27" t="s">
        <v>13</v>
      </c>
      <c r="Q813" s="27">
        <v>1993</v>
      </c>
      <c r="R813" s="27">
        <v>1</v>
      </c>
      <c r="S813" s="27">
        <v>0</v>
      </c>
      <c r="T813" s="27">
        <v>-1.8E-3</v>
      </c>
      <c r="U813" s="27">
        <v>-1.2E-2</v>
      </c>
      <c r="V813" s="27">
        <v>0</v>
      </c>
      <c r="W813" s="27">
        <v>0</v>
      </c>
      <c r="X813" s="27" t="s">
        <v>38</v>
      </c>
    </row>
    <row r="814" spans="1:24">
      <c r="A814" s="27">
        <v>1</v>
      </c>
      <c r="B814" s="27">
        <v>9</v>
      </c>
      <c r="C814" s="27">
        <v>28</v>
      </c>
      <c r="D814" s="27">
        <v>2013</v>
      </c>
      <c r="E814" s="27">
        <v>2013</v>
      </c>
      <c r="F814" s="27">
        <v>2</v>
      </c>
      <c r="G814" s="27">
        <v>28</v>
      </c>
      <c r="H814" s="27">
        <v>0</v>
      </c>
      <c r="I814" s="27">
        <v>0</v>
      </c>
      <c r="J814" s="27">
        <v>0</v>
      </c>
      <c r="K814" s="27">
        <v>1</v>
      </c>
      <c r="L814" s="27">
        <v>4500</v>
      </c>
      <c r="M814" s="27">
        <v>4100</v>
      </c>
      <c r="N814" s="27">
        <v>450</v>
      </c>
      <c r="O814" s="27">
        <v>270</v>
      </c>
      <c r="P814" s="27" t="s">
        <v>13</v>
      </c>
      <c r="Q814" s="27">
        <v>1993</v>
      </c>
      <c r="R814" s="27">
        <v>1</v>
      </c>
      <c r="S814" s="27">
        <v>0</v>
      </c>
      <c r="T814" s="27">
        <v>-1.8E-3</v>
      </c>
      <c r="U814" s="27">
        <v>-1.2E-2</v>
      </c>
      <c r="V814" s="27">
        <v>0</v>
      </c>
      <c r="W814" s="27">
        <v>0</v>
      </c>
      <c r="X814" s="27" t="s">
        <v>38</v>
      </c>
    </row>
    <row r="815" spans="1:24">
      <c r="A815" s="27">
        <v>1</v>
      </c>
      <c r="B815" s="27">
        <v>9</v>
      </c>
      <c r="C815" s="27">
        <v>28</v>
      </c>
      <c r="D815" s="27">
        <v>2013</v>
      </c>
      <c r="E815" s="27">
        <v>2013</v>
      </c>
      <c r="F815" s="27">
        <v>3</v>
      </c>
      <c r="G815" s="27">
        <v>28</v>
      </c>
      <c r="H815" s="27">
        <v>0</v>
      </c>
      <c r="I815" s="27">
        <v>0</v>
      </c>
      <c r="J815" s="27">
        <v>0</v>
      </c>
      <c r="K815" s="27">
        <v>1</v>
      </c>
      <c r="L815" s="27">
        <v>4500</v>
      </c>
      <c r="M815" s="27">
        <v>4100</v>
      </c>
      <c r="N815" s="27">
        <v>450</v>
      </c>
      <c r="O815" s="27">
        <v>270</v>
      </c>
      <c r="P815" s="27" t="s">
        <v>13</v>
      </c>
      <c r="Q815" s="27">
        <v>1993</v>
      </c>
      <c r="R815" s="27">
        <v>1</v>
      </c>
      <c r="S815" s="27">
        <v>0</v>
      </c>
      <c r="T815" s="27">
        <v>-1.8E-3</v>
      </c>
      <c r="U815" s="27">
        <v>-1.2E-2</v>
      </c>
      <c r="V815" s="27">
        <v>0</v>
      </c>
      <c r="W815" s="27">
        <v>0</v>
      </c>
      <c r="X815" s="27" t="s">
        <v>38</v>
      </c>
    </row>
    <row r="816" spans="1:24">
      <c r="A816" s="27">
        <v>1</v>
      </c>
      <c r="B816" s="27">
        <v>9</v>
      </c>
      <c r="C816" s="27">
        <v>28</v>
      </c>
      <c r="D816" s="27">
        <v>2013</v>
      </c>
      <c r="E816" s="27">
        <v>2013</v>
      </c>
      <c r="F816" s="27">
        <v>4</v>
      </c>
      <c r="G816" s="27">
        <v>28</v>
      </c>
      <c r="H816" s="27">
        <v>0</v>
      </c>
      <c r="I816" s="27">
        <v>0</v>
      </c>
      <c r="J816" s="27">
        <v>0</v>
      </c>
      <c r="K816" s="27">
        <v>1</v>
      </c>
      <c r="L816" s="27">
        <v>4500</v>
      </c>
      <c r="M816" s="27">
        <v>4100</v>
      </c>
      <c r="N816" s="27">
        <v>450</v>
      </c>
      <c r="O816" s="27">
        <v>270</v>
      </c>
      <c r="P816" s="27" t="s">
        <v>13</v>
      </c>
      <c r="Q816" s="27">
        <v>1993</v>
      </c>
      <c r="R816" s="27">
        <v>1</v>
      </c>
      <c r="S816" s="27">
        <v>0</v>
      </c>
      <c r="T816" s="27">
        <v>-1.8E-3</v>
      </c>
      <c r="U816" s="27">
        <v>-1.2E-2</v>
      </c>
      <c r="V816" s="27">
        <v>0</v>
      </c>
      <c r="W816" s="27">
        <v>0</v>
      </c>
      <c r="X816" s="27" t="s">
        <v>38</v>
      </c>
    </row>
    <row r="817" spans="1:24">
      <c r="A817" s="27">
        <v>1</v>
      </c>
      <c r="B817" s="27">
        <v>9</v>
      </c>
      <c r="C817" s="27">
        <v>28</v>
      </c>
      <c r="D817" s="27">
        <v>2013</v>
      </c>
      <c r="E817" s="27">
        <v>2013</v>
      </c>
      <c r="F817" s="27">
        <v>5</v>
      </c>
      <c r="G817" s="27">
        <v>28</v>
      </c>
      <c r="H817" s="27">
        <v>0</v>
      </c>
      <c r="I817" s="27">
        <v>0</v>
      </c>
      <c r="J817" s="27">
        <v>0</v>
      </c>
      <c r="K817" s="27">
        <v>1</v>
      </c>
      <c r="L817" s="27">
        <v>4500</v>
      </c>
      <c r="M817" s="27">
        <v>4100</v>
      </c>
      <c r="N817" s="27">
        <v>450</v>
      </c>
      <c r="O817" s="27">
        <v>270</v>
      </c>
      <c r="P817" s="27" t="s">
        <v>13</v>
      </c>
      <c r="Q817" s="27">
        <v>1993</v>
      </c>
      <c r="R817" s="27">
        <v>1</v>
      </c>
      <c r="S817" s="27">
        <v>0</v>
      </c>
      <c r="T817" s="27">
        <v>-1.8E-3</v>
      </c>
      <c r="U817" s="27">
        <v>-1.2E-2</v>
      </c>
      <c r="V817" s="27">
        <v>0</v>
      </c>
      <c r="W817" s="27">
        <v>0</v>
      </c>
      <c r="X817" s="27" t="s">
        <v>38</v>
      </c>
    </row>
    <row r="818" spans="1:24">
      <c r="A818" s="27">
        <v>1</v>
      </c>
      <c r="B818" s="27">
        <v>9</v>
      </c>
      <c r="C818" s="27">
        <v>28</v>
      </c>
      <c r="D818" s="27">
        <v>2013</v>
      </c>
      <c r="E818" s="27">
        <v>2013</v>
      </c>
      <c r="F818" s="27">
        <v>6</v>
      </c>
      <c r="G818" s="27">
        <v>28</v>
      </c>
      <c r="H818" s="27">
        <v>0</v>
      </c>
      <c r="I818" s="27">
        <v>0</v>
      </c>
      <c r="J818" s="27">
        <v>0</v>
      </c>
      <c r="K818" s="27">
        <v>1</v>
      </c>
      <c r="L818" s="27">
        <v>4500</v>
      </c>
      <c r="M818" s="27">
        <v>4100</v>
      </c>
      <c r="N818" s="27">
        <v>450</v>
      </c>
      <c r="O818" s="27">
        <v>270</v>
      </c>
      <c r="P818" s="27" t="s">
        <v>13</v>
      </c>
      <c r="Q818" s="27">
        <v>1993</v>
      </c>
      <c r="R818" s="27">
        <v>1</v>
      </c>
      <c r="S818" s="27">
        <v>0</v>
      </c>
      <c r="T818" s="27">
        <v>-1.8E-3</v>
      </c>
      <c r="U818" s="27">
        <v>-1.2E-2</v>
      </c>
      <c r="V818" s="27">
        <v>0</v>
      </c>
      <c r="W818" s="27">
        <v>0</v>
      </c>
      <c r="X818" s="27" t="s">
        <v>38</v>
      </c>
    </row>
    <row r="819" spans="1:24">
      <c r="A819" s="27">
        <v>1</v>
      </c>
      <c r="B819" s="27">
        <v>9</v>
      </c>
      <c r="C819" s="27">
        <v>28</v>
      </c>
      <c r="D819" s="27">
        <v>2013</v>
      </c>
      <c r="E819" s="27">
        <v>2013</v>
      </c>
      <c r="F819" s="27">
        <v>7</v>
      </c>
      <c r="G819" s="27">
        <v>28</v>
      </c>
      <c r="H819" s="27">
        <v>0</v>
      </c>
      <c r="I819" s="27">
        <v>0</v>
      </c>
      <c r="J819" s="27">
        <v>0</v>
      </c>
      <c r="K819" s="27">
        <v>1</v>
      </c>
      <c r="L819" s="27">
        <v>4500</v>
      </c>
      <c r="M819" s="27">
        <v>4100</v>
      </c>
      <c r="N819" s="27">
        <v>450</v>
      </c>
      <c r="O819" s="27">
        <v>270</v>
      </c>
      <c r="P819" s="27" t="s">
        <v>13</v>
      </c>
      <c r="Q819" s="27">
        <v>1993</v>
      </c>
      <c r="R819" s="27">
        <v>1</v>
      </c>
      <c r="S819" s="27">
        <v>0</v>
      </c>
      <c r="T819" s="27">
        <v>-1.8E-3</v>
      </c>
      <c r="U819" s="27">
        <v>-1.2E-2</v>
      </c>
      <c r="V819" s="27">
        <v>0</v>
      </c>
      <c r="W819" s="27">
        <v>0</v>
      </c>
      <c r="X819" s="27" t="s">
        <v>38</v>
      </c>
    </row>
    <row r="820" spans="1:24">
      <c r="A820" s="27">
        <v>1</v>
      </c>
      <c r="B820" s="27">
        <v>9</v>
      </c>
      <c r="C820" s="27">
        <v>28</v>
      </c>
      <c r="D820" s="27">
        <v>2013</v>
      </c>
      <c r="E820" s="27">
        <v>2013</v>
      </c>
      <c r="F820" s="27">
        <v>8</v>
      </c>
      <c r="G820" s="27">
        <v>28</v>
      </c>
      <c r="H820" s="27">
        <v>0</v>
      </c>
      <c r="I820" s="27">
        <v>0</v>
      </c>
      <c r="J820" s="27">
        <v>0</v>
      </c>
      <c r="K820" s="27">
        <v>1</v>
      </c>
      <c r="L820" s="27">
        <v>4500</v>
      </c>
      <c r="M820" s="27">
        <v>4100</v>
      </c>
      <c r="N820" s="27">
        <v>450</v>
      </c>
      <c r="O820" s="27">
        <v>270</v>
      </c>
      <c r="P820" s="27" t="s">
        <v>13</v>
      </c>
      <c r="Q820" s="27">
        <v>1993</v>
      </c>
      <c r="R820" s="27">
        <v>1</v>
      </c>
      <c r="S820" s="27">
        <v>0</v>
      </c>
      <c r="T820" s="27">
        <v>-1.8E-3</v>
      </c>
      <c r="U820" s="27">
        <v>-1.2E-2</v>
      </c>
      <c r="V820" s="27">
        <v>0</v>
      </c>
      <c r="W820" s="27">
        <v>0</v>
      </c>
      <c r="X820" s="27" t="s">
        <v>38</v>
      </c>
    </row>
    <row r="821" spans="1:24">
      <c r="A821" s="27">
        <v>1</v>
      </c>
      <c r="B821" s="27">
        <v>9</v>
      </c>
      <c r="C821" s="27">
        <v>28</v>
      </c>
      <c r="D821" s="27">
        <v>2013</v>
      </c>
      <c r="E821" s="27">
        <v>2013</v>
      </c>
      <c r="F821" s="27">
        <v>9</v>
      </c>
      <c r="G821" s="27">
        <v>28</v>
      </c>
      <c r="H821" s="27">
        <v>0</v>
      </c>
      <c r="I821" s="27">
        <v>0</v>
      </c>
      <c r="J821" s="27">
        <v>0</v>
      </c>
      <c r="K821" s="27">
        <v>1</v>
      </c>
      <c r="L821" s="27">
        <v>4500</v>
      </c>
      <c r="M821" s="27">
        <v>4100</v>
      </c>
      <c r="N821" s="27">
        <v>450</v>
      </c>
      <c r="O821" s="27">
        <v>270</v>
      </c>
      <c r="P821" s="27" t="s">
        <v>13</v>
      </c>
      <c r="Q821" s="27">
        <v>1993</v>
      </c>
      <c r="R821" s="27">
        <v>1</v>
      </c>
      <c r="S821" s="27">
        <v>0</v>
      </c>
      <c r="T821" s="27">
        <v>-1.8E-3</v>
      </c>
      <c r="U821" s="27">
        <v>-1.2E-2</v>
      </c>
      <c r="V821" s="27">
        <v>0</v>
      </c>
      <c r="W821" s="27">
        <v>0</v>
      </c>
      <c r="X821" s="27" t="s">
        <v>38</v>
      </c>
    </row>
    <row r="822" spans="1:24">
      <c r="A822" s="27">
        <v>1</v>
      </c>
      <c r="B822" s="27">
        <v>9</v>
      </c>
      <c r="C822" s="27">
        <v>28</v>
      </c>
      <c r="D822" s="27">
        <v>2014</v>
      </c>
      <c r="E822" s="27">
        <v>2050</v>
      </c>
      <c r="F822" s="27">
        <v>1</v>
      </c>
      <c r="G822" s="27">
        <v>28</v>
      </c>
      <c r="H822" s="27">
        <v>0</v>
      </c>
      <c r="I822" s="27">
        <v>0</v>
      </c>
      <c r="J822" s="27">
        <v>0</v>
      </c>
      <c r="K822" s="27">
        <v>1</v>
      </c>
      <c r="L822" s="27">
        <v>4500</v>
      </c>
      <c r="M822" s="27">
        <v>4100</v>
      </c>
      <c r="N822" s="27">
        <v>0</v>
      </c>
      <c r="O822" s="27">
        <v>0</v>
      </c>
      <c r="P822" s="27" t="s">
        <v>13</v>
      </c>
      <c r="Q822" s="27">
        <v>1993</v>
      </c>
      <c r="R822" s="27">
        <v>1</v>
      </c>
      <c r="S822" s="27">
        <v>0</v>
      </c>
      <c r="T822" s="27">
        <v>-1.8E-3</v>
      </c>
      <c r="U822" s="27">
        <v>-1.2E-2</v>
      </c>
      <c r="V822" s="27">
        <v>0</v>
      </c>
      <c r="W822" s="27">
        <v>0</v>
      </c>
      <c r="X822" s="27" t="s">
        <v>38</v>
      </c>
    </row>
    <row r="823" spans="1:24">
      <c r="A823" s="27">
        <v>1</v>
      </c>
      <c r="B823" s="27">
        <v>9</v>
      </c>
      <c r="C823" s="27">
        <v>28</v>
      </c>
      <c r="D823" s="27">
        <v>2014</v>
      </c>
      <c r="E823" s="27">
        <v>2050</v>
      </c>
      <c r="F823" s="27">
        <v>2</v>
      </c>
      <c r="G823" s="27">
        <v>28</v>
      </c>
      <c r="H823" s="27">
        <v>0</v>
      </c>
      <c r="I823" s="27">
        <v>0</v>
      </c>
      <c r="J823" s="27">
        <v>0</v>
      </c>
      <c r="K823" s="27">
        <v>1</v>
      </c>
      <c r="L823" s="27">
        <v>4500</v>
      </c>
      <c r="M823" s="27">
        <v>4100</v>
      </c>
      <c r="N823" s="27">
        <v>0</v>
      </c>
      <c r="O823" s="27">
        <v>0</v>
      </c>
      <c r="P823" s="27" t="s">
        <v>13</v>
      </c>
      <c r="Q823" s="27">
        <v>1993</v>
      </c>
      <c r="R823" s="27">
        <v>1</v>
      </c>
      <c r="S823" s="27">
        <v>0</v>
      </c>
      <c r="T823" s="27">
        <v>-1.8E-3</v>
      </c>
      <c r="U823" s="27">
        <v>-1.2E-2</v>
      </c>
      <c r="V823" s="27">
        <v>0</v>
      </c>
      <c r="W823" s="27">
        <v>0</v>
      </c>
      <c r="X823" s="27" t="s">
        <v>38</v>
      </c>
    </row>
    <row r="824" spans="1:24">
      <c r="A824" s="27">
        <v>1</v>
      </c>
      <c r="B824" s="27">
        <v>9</v>
      </c>
      <c r="C824" s="27">
        <v>28</v>
      </c>
      <c r="D824" s="27">
        <v>2014</v>
      </c>
      <c r="E824" s="27">
        <v>2050</v>
      </c>
      <c r="F824" s="27">
        <v>3</v>
      </c>
      <c r="G824" s="27">
        <v>28</v>
      </c>
      <c r="H824" s="27">
        <v>0</v>
      </c>
      <c r="I824" s="27">
        <v>0</v>
      </c>
      <c r="J824" s="27">
        <v>0</v>
      </c>
      <c r="K824" s="27">
        <v>1</v>
      </c>
      <c r="L824" s="27">
        <v>4500</v>
      </c>
      <c r="M824" s="27">
        <v>4100</v>
      </c>
      <c r="N824" s="27">
        <v>0</v>
      </c>
      <c r="O824" s="27">
        <v>0</v>
      </c>
      <c r="P824" s="27" t="s">
        <v>13</v>
      </c>
      <c r="Q824" s="27">
        <v>1993</v>
      </c>
      <c r="R824" s="27">
        <v>1</v>
      </c>
      <c r="S824" s="27">
        <v>0</v>
      </c>
      <c r="T824" s="27">
        <v>-1.8E-3</v>
      </c>
      <c r="U824" s="27">
        <v>-1.2E-2</v>
      </c>
      <c r="V824" s="27">
        <v>0</v>
      </c>
      <c r="W824" s="27">
        <v>0</v>
      </c>
      <c r="X824" s="27" t="s">
        <v>38</v>
      </c>
    </row>
    <row r="825" spans="1:24">
      <c r="A825" s="27">
        <v>1</v>
      </c>
      <c r="B825" s="27">
        <v>9</v>
      </c>
      <c r="C825" s="27">
        <v>28</v>
      </c>
      <c r="D825" s="27">
        <v>2014</v>
      </c>
      <c r="E825" s="27">
        <v>2050</v>
      </c>
      <c r="F825" s="27">
        <v>4</v>
      </c>
      <c r="G825" s="27">
        <v>28</v>
      </c>
      <c r="H825" s="27">
        <v>0</v>
      </c>
      <c r="I825" s="27">
        <v>0</v>
      </c>
      <c r="J825" s="27">
        <v>0</v>
      </c>
      <c r="K825" s="27">
        <v>1</v>
      </c>
      <c r="L825" s="27">
        <v>4500</v>
      </c>
      <c r="M825" s="27">
        <v>4100</v>
      </c>
      <c r="N825" s="27">
        <v>0</v>
      </c>
      <c r="O825" s="27">
        <v>0</v>
      </c>
      <c r="P825" s="27" t="s">
        <v>13</v>
      </c>
      <c r="Q825" s="27">
        <v>1993</v>
      </c>
      <c r="R825" s="27">
        <v>1</v>
      </c>
      <c r="S825" s="27">
        <v>0</v>
      </c>
      <c r="T825" s="27">
        <v>-1.8E-3</v>
      </c>
      <c r="U825" s="27">
        <v>-1.2E-2</v>
      </c>
      <c r="V825" s="27">
        <v>0</v>
      </c>
      <c r="W825" s="27">
        <v>0</v>
      </c>
      <c r="X825" s="27" t="s">
        <v>38</v>
      </c>
    </row>
    <row r="826" spans="1:24">
      <c r="A826" s="27">
        <v>1</v>
      </c>
      <c r="B826" s="27">
        <v>9</v>
      </c>
      <c r="C826" s="27">
        <v>28</v>
      </c>
      <c r="D826" s="27">
        <v>2014</v>
      </c>
      <c r="E826" s="27">
        <v>2050</v>
      </c>
      <c r="F826" s="27">
        <v>5</v>
      </c>
      <c r="G826" s="27">
        <v>28</v>
      </c>
      <c r="H826" s="27">
        <v>0</v>
      </c>
      <c r="I826" s="27">
        <v>0</v>
      </c>
      <c r="J826" s="27">
        <v>0</v>
      </c>
      <c r="K826" s="27">
        <v>1</v>
      </c>
      <c r="L826" s="27">
        <v>4500</v>
      </c>
      <c r="M826" s="27">
        <v>4100</v>
      </c>
      <c r="N826" s="27">
        <v>0</v>
      </c>
      <c r="O826" s="27">
        <v>0</v>
      </c>
      <c r="P826" s="27" t="s">
        <v>13</v>
      </c>
      <c r="Q826" s="27">
        <v>1993</v>
      </c>
      <c r="R826" s="27">
        <v>1</v>
      </c>
      <c r="S826" s="27">
        <v>0</v>
      </c>
      <c r="T826" s="27">
        <v>-1.8E-3</v>
      </c>
      <c r="U826" s="27">
        <v>-1.2E-2</v>
      </c>
      <c r="V826" s="27">
        <v>0</v>
      </c>
      <c r="W826" s="27">
        <v>0</v>
      </c>
      <c r="X826" s="27" t="s">
        <v>38</v>
      </c>
    </row>
    <row r="827" spans="1:24">
      <c r="A827" s="27">
        <v>1</v>
      </c>
      <c r="B827" s="27">
        <v>9</v>
      </c>
      <c r="C827" s="27">
        <v>28</v>
      </c>
      <c r="D827" s="27">
        <v>2014</v>
      </c>
      <c r="E827" s="27">
        <v>2050</v>
      </c>
      <c r="F827" s="27">
        <v>6</v>
      </c>
      <c r="G827" s="27">
        <v>28</v>
      </c>
      <c r="H827" s="27">
        <v>0</v>
      </c>
      <c r="I827" s="27">
        <v>0</v>
      </c>
      <c r="J827" s="27">
        <v>0</v>
      </c>
      <c r="K827" s="27">
        <v>1</v>
      </c>
      <c r="L827" s="27">
        <v>4500</v>
      </c>
      <c r="M827" s="27">
        <v>4100</v>
      </c>
      <c r="N827" s="27">
        <v>0</v>
      </c>
      <c r="O827" s="27">
        <v>0</v>
      </c>
      <c r="P827" s="27" t="s">
        <v>13</v>
      </c>
      <c r="Q827" s="27">
        <v>1993</v>
      </c>
      <c r="R827" s="27">
        <v>1</v>
      </c>
      <c r="S827" s="27">
        <v>0</v>
      </c>
      <c r="T827" s="27">
        <v>-1.8E-3</v>
      </c>
      <c r="U827" s="27">
        <v>-1.2E-2</v>
      </c>
      <c r="V827" s="27">
        <v>0</v>
      </c>
      <c r="W827" s="27">
        <v>0</v>
      </c>
      <c r="X827" s="27" t="s">
        <v>38</v>
      </c>
    </row>
    <row r="828" spans="1:24">
      <c r="A828" s="27">
        <v>1</v>
      </c>
      <c r="B828" s="27">
        <v>9</v>
      </c>
      <c r="C828" s="27">
        <v>28</v>
      </c>
      <c r="D828" s="27">
        <v>2014</v>
      </c>
      <c r="E828" s="27">
        <v>2050</v>
      </c>
      <c r="F828" s="27">
        <v>7</v>
      </c>
      <c r="G828" s="27">
        <v>28</v>
      </c>
      <c r="H828" s="27">
        <v>0</v>
      </c>
      <c r="I828" s="27">
        <v>0</v>
      </c>
      <c r="J828" s="27">
        <v>0</v>
      </c>
      <c r="K828" s="27">
        <v>1</v>
      </c>
      <c r="L828" s="27">
        <v>4500</v>
      </c>
      <c r="M828" s="27">
        <v>4100</v>
      </c>
      <c r="N828" s="27">
        <v>0</v>
      </c>
      <c r="O828" s="27">
        <v>0</v>
      </c>
      <c r="P828" s="27" t="s">
        <v>13</v>
      </c>
      <c r="Q828" s="27">
        <v>1993</v>
      </c>
      <c r="R828" s="27">
        <v>1</v>
      </c>
      <c r="S828" s="27">
        <v>0</v>
      </c>
      <c r="T828" s="27">
        <v>-1.8E-3</v>
      </c>
      <c r="U828" s="27">
        <v>-1.2E-2</v>
      </c>
      <c r="V828" s="27">
        <v>0</v>
      </c>
      <c r="W828" s="27">
        <v>0</v>
      </c>
      <c r="X828" s="27" t="s">
        <v>38</v>
      </c>
    </row>
    <row r="829" spans="1:24">
      <c r="A829" s="27">
        <v>1</v>
      </c>
      <c r="B829" s="27">
        <v>9</v>
      </c>
      <c r="C829" s="27">
        <v>28</v>
      </c>
      <c r="D829" s="27">
        <v>2014</v>
      </c>
      <c r="E829" s="27">
        <v>2050</v>
      </c>
      <c r="F829" s="27">
        <v>8</v>
      </c>
      <c r="G829" s="27">
        <v>28</v>
      </c>
      <c r="H829" s="27">
        <v>0</v>
      </c>
      <c r="I829" s="27">
        <v>0</v>
      </c>
      <c r="J829" s="27">
        <v>0</v>
      </c>
      <c r="K829" s="27">
        <v>1</v>
      </c>
      <c r="L829" s="27">
        <v>4500</v>
      </c>
      <c r="M829" s="27">
        <v>4100</v>
      </c>
      <c r="N829" s="27">
        <v>0</v>
      </c>
      <c r="O829" s="27">
        <v>0</v>
      </c>
      <c r="P829" s="27" t="s">
        <v>13</v>
      </c>
      <c r="Q829" s="27">
        <v>1993</v>
      </c>
      <c r="R829" s="27">
        <v>1</v>
      </c>
      <c r="S829" s="27">
        <v>0</v>
      </c>
      <c r="T829" s="27">
        <v>-1.8E-3</v>
      </c>
      <c r="U829" s="27">
        <v>-1.2E-2</v>
      </c>
      <c r="V829" s="27">
        <v>0</v>
      </c>
      <c r="W829" s="27">
        <v>0</v>
      </c>
      <c r="X829" s="27" t="s">
        <v>38</v>
      </c>
    </row>
    <row r="830" spans="1:24">
      <c r="A830" s="27">
        <v>1</v>
      </c>
      <c r="B830" s="27">
        <v>9</v>
      </c>
      <c r="C830" s="27">
        <v>28</v>
      </c>
      <c r="D830" s="27">
        <v>2014</v>
      </c>
      <c r="E830" s="27">
        <v>2050</v>
      </c>
      <c r="F830" s="27">
        <v>9</v>
      </c>
      <c r="G830" s="27">
        <v>28</v>
      </c>
      <c r="H830" s="27">
        <v>0</v>
      </c>
      <c r="I830" s="27">
        <v>0</v>
      </c>
      <c r="J830" s="27">
        <v>0</v>
      </c>
      <c r="K830" s="27">
        <v>1</v>
      </c>
      <c r="L830" s="27">
        <v>4500</v>
      </c>
      <c r="M830" s="27">
        <v>4100</v>
      </c>
      <c r="N830" s="27">
        <v>0</v>
      </c>
      <c r="O830" s="27">
        <v>0</v>
      </c>
      <c r="P830" s="27" t="s">
        <v>13</v>
      </c>
      <c r="Q830" s="27">
        <v>1993</v>
      </c>
      <c r="R830" s="27">
        <v>1</v>
      </c>
      <c r="S830" s="27">
        <v>0</v>
      </c>
      <c r="T830" s="27">
        <v>-1.8E-3</v>
      </c>
      <c r="U830" s="27">
        <v>-1.2E-2</v>
      </c>
      <c r="V830" s="27">
        <v>0</v>
      </c>
      <c r="W830" s="27">
        <v>0</v>
      </c>
      <c r="X830" s="27" t="s">
        <v>38</v>
      </c>
    </row>
    <row r="831" spans="1:24">
      <c r="A831" s="27">
        <v>1</v>
      </c>
      <c r="B831" s="27">
        <v>10</v>
      </c>
      <c r="C831" s="27">
        <v>29</v>
      </c>
      <c r="D831" s="27">
        <v>2010</v>
      </c>
      <c r="E831" s="27">
        <v>2016</v>
      </c>
      <c r="F831" s="27">
        <v>1</v>
      </c>
      <c r="G831" s="27">
        <v>29</v>
      </c>
      <c r="H831" s="27">
        <v>0</v>
      </c>
      <c r="I831" s="27">
        <v>0</v>
      </c>
      <c r="J831" s="27">
        <v>0</v>
      </c>
      <c r="K831" s="27">
        <v>3.3</v>
      </c>
      <c r="L831" s="27">
        <v>5000</v>
      </c>
      <c r="M831" s="27">
        <v>5000</v>
      </c>
      <c r="N831" s="27">
        <v>1500</v>
      </c>
      <c r="O831" s="27">
        <v>1500</v>
      </c>
      <c r="P831" s="27" t="s">
        <v>13</v>
      </c>
      <c r="Q831" s="27">
        <v>1993</v>
      </c>
      <c r="R831" s="27">
        <v>1</v>
      </c>
      <c r="S831" s="27">
        <v>0</v>
      </c>
      <c r="T831" s="27">
        <v>-1.8E-3</v>
      </c>
      <c r="U831" s="27">
        <v>-1.2E-2</v>
      </c>
      <c r="V831" s="27">
        <v>0</v>
      </c>
      <c r="W831" s="27">
        <v>0</v>
      </c>
      <c r="X831" s="27" t="s">
        <v>39</v>
      </c>
    </row>
    <row r="832" spans="1:24">
      <c r="A832" s="27">
        <v>1</v>
      </c>
      <c r="B832" s="27">
        <v>10</v>
      </c>
      <c r="C832" s="27">
        <v>29</v>
      </c>
      <c r="D832" s="27">
        <v>2010</v>
      </c>
      <c r="E832" s="27">
        <v>2016</v>
      </c>
      <c r="F832" s="27">
        <v>2</v>
      </c>
      <c r="G832" s="27">
        <v>29</v>
      </c>
      <c r="H832" s="27">
        <v>0</v>
      </c>
      <c r="I832" s="27">
        <v>0</v>
      </c>
      <c r="J832" s="27">
        <v>0</v>
      </c>
      <c r="K832" s="27">
        <v>3.3</v>
      </c>
      <c r="L832" s="27">
        <v>5000</v>
      </c>
      <c r="M832" s="27">
        <v>5000</v>
      </c>
      <c r="N832" s="27">
        <v>1500</v>
      </c>
      <c r="O832" s="27">
        <v>1500</v>
      </c>
      <c r="P832" s="27" t="s">
        <v>13</v>
      </c>
      <c r="Q832" s="27">
        <v>1993</v>
      </c>
      <c r="R832" s="27">
        <v>1</v>
      </c>
      <c r="S832" s="27">
        <v>0</v>
      </c>
      <c r="T832" s="27">
        <v>-1.8E-3</v>
      </c>
      <c r="U832" s="27">
        <v>-1.2E-2</v>
      </c>
      <c r="V832" s="27">
        <v>0</v>
      </c>
      <c r="W832" s="27">
        <v>0</v>
      </c>
      <c r="X832" s="27" t="s">
        <v>39</v>
      </c>
    </row>
    <row r="833" spans="1:24">
      <c r="A833" s="27">
        <v>1</v>
      </c>
      <c r="B833" s="27">
        <v>10</v>
      </c>
      <c r="C833" s="27">
        <v>29</v>
      </c>
      <c r="D833" s="27">
        <v>2010</v>
      </c>
      <c r="E833" s="27">
        <v>2016</v>
      </c>
      <c r="F833" s="27">
        <v>3</v>
      </c>
      <c r="G833" s="27">
        <v>29</v>
      </c>
      <c r="H833" s="27">
        <v>0</v>
      </c>
      <c r="I833" s="27">
        <v>0</v>
      </c>
      <c r="J833" s="27">
        <v>0</v>
      </c>
      <c r="K833" s="27">
        <v>3.3</v>
      </c>
      <c r="L833" s="27">
        <v>5000</v>
      </c>
      <c r="M833" s="27">
        <v>5000</v>
      </c>
      <c r="N833" s="27">
        <v>1500</v>
      </c>
      <c r="O833" s="27">
        <v>1500</v>
      </c>
      <c r="P833" s="27" t="s">
        <v>13</v>
      </c>
      <c r="Q833" s="27">
        <v>1993</v>
      </c>
      <c r="R833" s="27">
        <v>1</v>
      </c>
      <c r="S833" s="27">
        <v>0</v>
      </c>
      <c r="T833" s="27">
        <v>-1.8E-3</v>
      </c>
      <c r="U833" s="27">
        <v>-1.2E-2</v>
      </c>
      <c r="V833" s="27">
        <v>0</v>
      </c>
      <c r="W833" s="27">
        <v>0</v>
      </c>
      <c r="X833" s="27" t="s">
        <v>39</v>
      </c>
    </row>
    <row r="834" spans="1:24">
      <c r="A834" s="27">
        <v>1</v>
      </c>
      <c r="B834" s="27">
        <v>10</v>
      </c>
      <c r="C834" s="27">
        <v>29</v>
      </c>
      <c r="D834" s="27">
        <v>2010</v>
      </c>
      <c r="E834" s="27">
        <v>2016</v>
      </c>
      <c r="F834" s="27">
        <v>4</v>
      </c>
      <c r="G834" s="27">
        <v>29</v>
      </c>
      <c r="H834" s="27">
        <v>0</v>
      </c>
      <c r="I834" s="27">
        <v>0</v>
      </c>
      <c r="J834" s="27">
        <v>0</v>
      </c>
      <c r="K834" s="27">
        <v>3.3</v>
      </c>
      <c r="L834" s="27">
        <v>5000</v>
      </c>
      <c r="M834" s="27">
        <v>5000</v>
      </c>
      <c r="N834" s="27">
        <v>1500</v>
      </c>
      <c r="O834" s="27">
        <v>1500</v>
      </c>
      <c r="P834" s="27" t="s">
        <v>13</v>
      </c>
      <c r="Q834" s="27">
        <v>1993</v>
      </c>
      <c r="R834" s="27">
        <v>1</v>
      </c>
      <c r="S834" s="27">
        <v>0</v>
      </c>
      <c r="T834" s="27">
        <v>-1.8E-3</v>
      </c>
      <c r="U834" s="27">
        <v>-1.2E-2</v>
      </c>
      <c r="V834" s="27">
        <v>0</v>
      </c>
      <c r="W834" s="27">
        <v>0</v>
      </c>
      <c r="X834" s="27" t="s">
        <v>39</v>
      </c>
    </row>
    <row r="835" spans="1:24">
      <c r="A835" s="27">
        <v>1</v>
      </c>
      <c r="B835" s="27">
        <v>10</v>
      </c>
      <c r="C835" s="27">
        <v>29</v>
      </c>
      <c r="D835" s="27">
        <v>2010</v>
      </c>
      <c r="E835" s="27">
        <v>2016</v>
      </c>
      <c r="F835" s="27">
        <v>5</v>
      </c>
      <c r="G835" s="27">
        <v>29</v>
      </c>
      <c r="H835" s="27">
        <v>0</v>
      </c>
      <c r="I835" s="27">
        <v>0</v>
      </c>
      <c r="J835" s="27">
        <v>0</v>
      </c>
      <c r="K835" s="27">
        <v>3.3</v>
      </c>
      <c r="L835" s="27">
        <v>5000</v>
      </c>
      <c r="M835" s="27">
        <v>5000</v>
      </c>
      <c r="N835" s="27">
        <v>1500</v>
      </c>
      <c r="O835" s="27">
        <v>1500</v>
      </c>
      <c r="P835" s="27" t="s">
        <v>13</v>
      </c>
      <c r="Q835" s="27">
        <v>1993</v>
      </c>
      <c r="R835" s="27">
        <v>1</v>
      </c>
      <c r="S835" s="27">
        <v>0</v>
      </c>
      <c r="T835" s="27">
        <v>-1.8E-3</v>
      </c>
      <c r="U835" s="27">
        <v>-1.2E-2</v>
      </c>
      <c r="V835" s="27">
        <v>0</v>
      </c>
      <c r="W835" s="27">
        <v>0</v>
      </c>
      <c r="X835" s="27" t="s">
        <v>39</v>
      </c>
    </row>
    <row r="836" spans="1:24">
      <c r="A836" s="27">
        <v>1</v>
      </c>
      <c r="B836" s="27">
        <v>10</v>
      </c>
      <c r="C836" s="27">
        <v>29</v>
      </c>
      <c r="D836" s="27">
        <v>2010</v>
      </c>
      <c r="E836" s="27">
        <v>2016</v>
      </c>
      <c r="F836" s="27">
        <v>6</v>
      </c>
      <c r="G836" s="27">
        <v>29</v>
      </c>
      <c r="H836" s="27">
        <v>0</v>
      </c>
      <c r="I836" s="27">
        <v>0</v>
      </c>
      <c r="J836" s="27">
        <v>0</v>
      </c>
      <c r="K836" s="27">
        <v>3.3</v>
      </c>
      <c r="L836" s="27">
        <v>5000</v>
      </c>
      <c r="M836" s="27">
        <v>5000</v>
      </c>
      <c r="N836" s="27">
        <v>1500</v>
      </c>
      <c r="O836" s="27">
        <v>1500</v>
      </c>
      <c r="P836" s="27" t="s">
        <v>13</v>
      </c>
      <c r="Q836" s="27">
        <v>1993</v>
      </c>
      <c r="R836" s="27">
        <v>1</v>
      </c>
      <c r="S836" s="27">
        <v>0</v>
      </c>
      <c r="T836" s="27">
        <v>-1.8E-3</v>
      </c>
      <c r="U836" s="27">
        <v>-1.2E-2</v>
      </c>
      <c r="V836" s="27">
        <v>0</v>
      </c>
      <c r="W836" s="27">
        <v>0</v>
      </c>
      <c r="X836" s="27" t="s">
        <v>39</v>
      </c>
    </row>
    <row r="837" spans="1:24">
      <c r="A837" s="27">
        <v>1</v>
      </c>
      <c r="B837" s="27">
        <v>10</v>
      </c>
      <c r="C837" s="27">
        <v>29</v>
      </c>
      <c r="D837" s="27">
        <v>2010</v>
      </c>
      <c r="E837" s="27">
        <v>2016</v>
      </c>
      <c r="F837" s="27">
        <v>7</v>
      </c>
      <c r="G837" s="27">
        <v>29</v>
      </c>
      <c r="H837" s="27">
        <v>0</v>
      </c>
      <c r="I837" s="27">
        <v>0</v>
      </c>
      <c r="J837" s="27">
        <v>0</v>
      </c>
      <c r="K837" s="27">
        <v>3.3</v>
      </c>
      <c r="L837" s="27">
        <v>5000</v>
      </c>
      <c r="M837" s="27">
        <v>5000</v>
      </c>
      <c r="N837" s="27">
        <v>1500</v>
      </c>
      <c r="O837" s="27">
        <v>1500</v>
      </c>
      <c r="P837" s="27" t="s">
        <v>13</v>
      </c>
      <c r="Q837" s="27">
        <v>1993</v>
      </c>
      <c r="R837" s="27">
        <v>1</v>
      </c>
      <c r="S837" s="27">
        <v>0</v>
      </c>
      <c r="T837" s="27">
        <v>-1.8E-3</v>
      </c>
      <c r="U837" s="27">
        <v>-1.2E-2</v>
      </c>
      <c r="V837" s="27">
        <v>0</v>
      </c>
      <c r="W837" s="27">
        <v>0</v>
      </c>
      <c r="X837" s="27" t="s">
        <v>39</v>
      </c>
    </row>
    <row r="838" spans="1:24">
      <c r="A838" s="27">
        <v>1</v>
      </c>
      <c r="B838" s="27">
        <v>10</v>
      </c>
      <c r="C838" s="27">
        <v>29</v>
      </c>
      <c r="D838" s="27">
        <v>2010</v>
      </c>
      <c r="E838" s="27">
        <v>2016</v>
      </c>
      <c r="F838" s="27">
        <v>8</v>
      </c>
      <c r="G838" s="27">
        <v>29</v>
      </c>
      <c r="H838" s="27">
        <v>0</v>
      </c>
      <c r="I838" s="27">
        <v>0</v>
      </c>
      <c r="J838" s="27">
        <v>0</v>
      </c>
      <c r="K838" s="27">
        <v>3.3</v>
      </c>
      <c r="L838" s="27">
        <v>5000</v>
      </c>
      <c r="M838" s="27">
        <v>5000</v>
      </c>
      <c r="N838" s="27">
        <v>1500</v>
      </c>
      <c r="O838" s="27">
        <v>1500</v>
      </c>
      <c r="P838" s="27" t="s">
        <v>13</v>
      </c>
      <c r="Q838" s="27">
        <v>1993</v>
      </c>
      <c r="R838" s="27">
        <v>1</v>
      </c>
      <c r="S838" s="27">
        <v>0</v>
      </c>
      <c r="T838" s="27">
        <v>-1.8E-3</v>
      </c>
      <c r="U838" s="27">
        <v>-1.2E-2</v>
      </c>
      <c r="V838" s="27">
        <v>0</v>
      </c>
      <c r="W838" s="27">
        <v>0</v>
      </c>
      <c r="X838" s="27" t="s">
        <v>39</v>
      </c>
    </row>
    <row r="839" spans="1:24">
      <c r="A839" s="27">
        <v>1</v>
      </c>
      <c r="B839" s="27">
        <v>10</v>
      </c>
      <c r="C839" s="27">
        <v>29</v>
      </c>
      <c r="D839" s="27">
        <v>2010</v>
      </c>
      <c r="E839" s="27">
        <v>2016</v>
      </c>
      <c r="F839" s="27">
        <v>9</v>
      </c>
      <c r="G839" s="27">
        <v>29</v>
      </c>
      <c r="H839" s="27">
        <v>0</v>
      </c>
      <c r="I839" s="27">
        <v>0</v>
      </c>
      <c r="J839" s="27">
        <v>0</v>
      </c>
      <c r="K839" s="27">
        <v>3.3</v>
      </c>
      <c r="L839" s="27">
        <v>5000</v>
      </c>
      <c r="M839" s="27">
        <v>5000</v>
      </c>
      <c r="N839" s="27">
        <v>1500</v>
      </c>
      <c r="O839" s="27">
        <v>1500</v>
      </c>
      <c r="P839" s="27" t="s">
        <v>13</v>
      </c>
      <c r="Q839" s="27">
        <v>1993</v>
      </c>
      <c r="R839" s="27">
        <v>1</v>
      </c>
      <c r="S839" s="27">
        <v>0</v>
      </c>
      <c r="T839" s="27">
        <v>-1.8E-3</v>
      </c>
      <c r="U839" s="27">
        <v>-1.2E-2</v>
      </c>
      <c r="V839" s="27">
        <v>0</v>
      </c>
      <c r="W839" s="27">
        <v>0</v>
      </c>
      <c r="X839" s="27" t="s">
        <v>39</v>
      </c>
    </row>
    <row r="840" spans="1:24">
      <c r="A840" s="27">
        <v>1</v>
      </c>
      <c r="B840" s="27">
        <v>10</v>
      </c>
      <c r="C840" s="27">
        <v>29</v>
      </c>
      <c r="D840" s="27">
        <v>2017</v>
      </c>
      <c r="E840" s="27">
        <v>2050</v>
      </c>
      <c r="F840" s="27">
        <v>1</v>
      </c>
      <c r="G840" s="27">
        <v>29</v>
      </c>
      <c r="H840" s="27">
        <v>0</v>
      </c>
      <c r="I840" s="27">
        <v>0</v>
      </c>
      <c r="J840" s="27">
        <v>0</v>
      </c>
      <c r="K840" s="27">
        <v>3.3</v>
      </c>
      <c r="L840" s="27">
        <v>5000</v>
      </c>
      <c r="M840" s="27">
        <v>5000</v>
      </c>
      <c r="N840" s="27">
        <v>0</v>
      </c>
      <c r="O840" s="27">
        <v>0</v>
      </c>
      <c r="P840" s="27" t="s">
        <v>13</v>
      </c>
      <c r="Q840" s="27">
        <v>1993</v>
      </c>
      <c r="R840" s="27">
        <v>1</v>
      </c>
      <c r="S840" s="27">
        <v>0</v>
      </c>
      <c r="T840" s="27">
        <v>-1.8E-3</v>
      </c>
      <c r="U840" s="27">
        <v>-1.2E-2</v>
      </c>
      <c r="V840" s="27">
        <v>0</v>
      </c>
      <c r="W840" s="27">
        <v>0</v>
      </c>
      <c r="X840" s="27" t="s">
        <v>39</v>
      </c>
    </row>
    <row r="841" spans="1:24">
      <c r="A841" s="27">
        <v>1</v>
      </c>
      <c r="B841" s="27">
        <v>10</v>
      </c>
      <c r="C841" s="27">
        <v>29</v>
      </c>
      <c r="D841" s="27">
        <v>2017</v>
      </c>
      <c r="E841" s="27">
        <v>2050</v>
      </c>
      <c r="F841" s="27">
        <v>2</v>
      </c>
      <c r="G841" s="27">
        <v>29</v>
      </c>
      <c r="H841" s="27">
        <v>0</v>
      </c>
      <c r="I841" s="27">
        <v>0</v>
      </c>
      <c r="J841" s="27">
        <v>0</v>
      </c>
      <c r="K841" s="27">
        <v>3.3</v>
      </c>
      <c r="L841" s="27">
        <v>5000</v>
      </c>
      <c r="M841" s="27">
        <v>5000</v>
      </c>
      <c r="N841" s="27">
        <v>0</v>
      </c>
      <c r="O841" s="27">
        <v>0</v>
      </c>
      <c r="P841" s="27" t="s">
        <v>13</v>
      </c>
      <c r="Q841" s="27">
        <v>1993</v>
      </c>
      <c r="R841" s="27">
        <v>1</v>
      </c>
      <c r="S841" s="27">
        <v>0</v>
      </c>
      <c r="T841" s="27">
        <v>-1.8E-3</v>
      </c>
      <c r="U841" s="27">
        <v>-1.2E-2</v>
      </c>
      <c r="V841" s="27">
        <v>0</v>
      </c>
      <c r="W841" s="27">
        <v>0</v>
      </c>
      <c r="X841" s="27" t="s">
        <v>39</v>
      </c>
    </row>
    <row r="842" spans="1:24">
      <c r="A842" s="27">
        <v>1</v>
      </c>
      <c r="B842" s="27">
        <v>10</v>
      </c>
      <c r="C842" s="27">
        <v>29</v>
      </c>
      <c r="D842" s="27">
        <v>2017</v>
      </c>
      <c r="E842" s="27">
        <v>2050</v>
      </c>
      <c r="F842" s="27">
        <v>3</v>
      </c>
      <c r="G842" s="27">
        <v>29</v>
      </c>
      <c r="H842" s="27">
        <v>0</v>
      </c>
      <c r="I842" s="27">
        <v>0</v>
      </c>
      <c r="J842" s="27">
        <v>0</v>
      </c>
      <c r="K842" s="27">
        <v>3.3</v>
      </c>
      <c r="L842" s="27">
        <v>5000</v>
      </c>
      <c r="M842" s="27">
        <v>5000</v>
      </c>
      <c r="N842" s="27">
        <v>0</v>
      </c>
      <c r="O842" s="27">
        <v>0</v>
      </c>
      <c r="P842" s="27" t="s">
        <v>13</v>
      </c>
      <c r="Q842" s="27">
        <v>1993</v>
      </c>
      <c r="R842" s="27">
        <v>1</v>
      </c>
      <c r="S842" s="27">
        <v>0</v>
      </c>
      <c r="T842" s="27">
        <v>-1.8E-3</v>
      </c>
      <c r="U842" s="27">
        <v>-1.2E-2</v>
      </c>
      <c r="V842" s="27">
        <v>0</v>
      </c>
      <c r="W842" s="27">
        <v>0</v>
      </c>
      <c r="X842" s="27" t="s">
        <v>39</v>
      </c>
    </row>
    <row r="843" spans="1:24">
      <c r="A843" s="27">
        <v>1</v>
      </c>
      <c r="B843" s="27">
        <v>10</v>
      </c>
      <c r="C843" s="27">
        <v>29</v>
      </c>
      <c r="D843" s="27">
        <v>2017</v>
      </c>
      <c r="E843" s="27">
        <v>2050</v>
      </c>
      <c r="F843" s="27">
        <v>4</v>
      </c>
      <c r="G843" s="27">
        <v>29</v>
      </c>
      <c r="H843" s="27">
        <v>0</v>
      </c>
      <c r="I843" s="27">
        <v>0</v>
      </c>
      <c r="J843" s="27">
        <v>0</v>
      </c>
      <c r="K843" s="27">
        <v>3.3</v>
      </c>
      <c r="L843" s="27">
        <v>5000</v>
      </c>
      <c r="M843" s="27">
        <v>5000</v>
      </c>
      <c r="N843" s="27">
        <v>0</v>
      </c>
      <c r="O843" s="27">
        <v>0</v>
      </c>
      <c r="P843" s="27" t="s">
        <v>13</v>
      </c>
      <c r="Q843" s="27">
        <v>1993</v>
      </c>
      <c r="R843" s="27">
        <v>1</v>
      </c>
      <c r="S843" s="27">
        <v>0</v>
      </c>
      <c r="T843" s="27">
        <v>-1.8E-3</v>
      </c>
      <c r="U843" s="27">
        <v>-1.2E-2</v>
      </c>
      <c r="V843" s="27">
        <v>0</v>
      </c>
      <c r="W843" s="27">
        <v>0</v>
      </c>
      <c r="X843" s="27" t="s">
        <v>39</v>
      </c>
    </row>
    <row r="844" spans="1:24">
      <c r="A844" s="27">
        <v>1</v>
      </c>
      <c r="B844" s="27">
        <v>10</v>
      </c>
      <c r="C844" s="27">
        <v>29</v>
      </c>
      <c r="D844" s="27">
        <v>2017</v>
      </c>
      <c r="E844" s="27">
        <v>2050</v>
      </c>
      <c r="F844" s="27">
        <v>5</v>
      </c>
      <c r="G844" s="27">
        <v>29</v>
      </c>
      <c r="H844" s="27">
        <v>0</v>
      </c>
      <c r="I844" s="27">
        <v>0</v>
      </c>
      <c r="J844" s="27">
        <v>0</v>
      </c>
      <c r="K844" s="27">
        <v>3.3</v>
      </c>
      <c r="L844" s="27">
        <v>5000</v>
      </c>
      <c r="M844" s="27">
        <v>5000</v>
      </c>
      <c r="N844" s="27">
        <v>0</v>
      </c>
      <c r="O844" s="27">
        <v>0</v>
      </c>
      <c r="P844" s="27" t="s">
        <v>13</v>
      </c>
      <c r="Q844" s="27">
        <v>1993</v>
      </c>
      <c r="R844" s="27">
        <v>1</v>
      </c>
      <c r="S844" s="27">
        <v>0</v>
      </c>
      <c r="T844" s="27">
        <v>-1.8E-3</v>
      </c>
      <c r="U844" s="27">
        <v>-1.2E-2</v>
      </c>
      <c r="V844" s="27">
        <v>0</v>
      </c>
      <c r="W844" s="27">
        <v>0</v>
      </c>
      <c r="X844" s="27" t="s">
        <v>39</v>
      </c>
    </row>
    <row r="845" spans="1:24">
      <c r="A845" s="27">
        <v>1</v>
      </c>
      <c r="B845" s="27">
        <v>10</v>
      </c>
      <c r="C845" s="27">
        <v>29</v>
      </c>
      <c r="D845" s="27">
        <v>2017</v>
      </c>
      <c r="E845" s="27">
        <v>2050</v>
      </c>
      <c r="F845" s="27">
        <v>6</v>
      </c>
      <c r="G845" s="27">
        <v>29</v>
      </c>
      <c r="H845" s="27">
        <v>0</v>
      </c>
      <c r="I845" s="27">
        <v>0</v>
      </c>
      <c r="J845" s="27">
        <v>0</v>
      </c>
      <c r="K845" s="27">
        <v>3.3</v>
      </c>
      <c r="L845" s="27">
        <v>5000</v>
      </c>
      <c r="M845" s="27">
        <v>5000</v>
      </c>
      <c r="N845" s="27">
        <v>0</v>
      </c>
      <c r="O845" s="27">
        <v>0</v>
      </c>
      <c r="P845" s="27" t="s">
        <v>13</v>
      </c>
      <c r="Q845" s="27">
        <v>1993</v>
      </c>
      <c r="R845" s="27">
        <v>1</v>
      </c>
      <c r="S845" s="27">
        <v>0</v>
      </c>
      <c r="T845" s="27">
        <v>-1.8E-3</v>
      </c>
      <c r="U845" s="27">
        <v>-1.2E-2</v>
      </c>
      <c r="V845" s="27">
        <v>0</v>
      </c>
      <c r="W845" s="27">
        <v>0</v>
      </c>
      <c r="X845" s="27" t="s">
        <v>39</v>
      </c>
    </row>
    <row r="846" spans="1:24">
      <c r="A846" s="27">
        <v>1</v>
      </c>
      <c r="B846" s="27">
        <v>10</v>
      </c>
      <c r="C846" s="27">
        <v>29</v>
      </c>
      <c r="D846" s="27">
        <v>2017</v>
      </c>
      <c r="E846" s="27">
        <v>2050</v>
      </c>
      <c r="F846" s="27">
        <v>7</v>
      </c>
      <c r="G846" s="27">
        <v>29</v>
      </c>
      <c r="H846" s="27">
        <v>0</v>
      </c>
      <c r="I846" s="27">
        <v>0</v>
      </c>
      <c r="J846" s="27">
        <v>0</v>
      </c>
      <c r="K846" s="27">
        <v>3.3</v>
      </c>
      <c r="L846" s="27">
        <v>5000</v>
      </c>
      <c r="M846" s="27">
        <v>5000</v>
      </c>
      <c r="N846" s="27">
        <v>0</v>
      </c>
      <c r="O846" s="27">
        <v>0</v>
      </c>
      <c r="P846" s="27" t="s">
        <v>13</v>
      </c>
      <c r="Q846" s="27">
        <v>1993</v>
      </c>
      <c r="R846" s="27">
        <v>1</v>
      </c>
      <c r="S846" s="27">
        <v>0</v>
      </c>
      <c r="T846" s="27">
        <v>-1.8E-3</v>
      </c>
      <c r="U846" s="27">
        <v>-1.2E-2</v>
      </c>
      <c r="V846" s="27">
        <v>0</v>
      </c>
      <c r="W846" s="27">
        <v>0</v>
      </c>
      <c r="X846" s="27" t="s">
        <v>39</v>
      </c>
    </row>
    <row r="847" spans="1:24">
      <c r="A847" s="27">
        <v>1</v>
      </c>
      <c r="B847" s="27">
        <v>10</v>
      </c>
      <c r="C847" s="27">
        <v>29</v>
      </c>
      <c r="D847" s="27">
        <v>2017</v>
      </c>
      <c r="E847" s="27">
        <v>2050</v>
      </c>
      <c r="F847" s="27">
        <v>8</v>
      </c>
      <c r="G847" s="27">
        <v>29</v>
      </c>
      <c r="H847" s="27">
        <v>0</v>
      </c>
      <c r="I847" s="27">
        <v>0</v>
      </c>
      <c r="J847" s="27">
        <v>0</v>
      </c>
      <c r="K847" s="27">
        <v>3.3</v>
      </c>
      <c r="L847" s="27">
        <v>5000</v>
      </c>
      <c r="M847" s="27">
        <v>5000</v>
      </c>
      <c r="N847" s="27">
        <v>0</v>
      </c>
      <c r="O847" s="27">
        <v>0</v>
      </c>
      <c r="P847" s="27" t="s">
        <v>13</v>
      </c>
      <c r="Q847" s="27">
        <v>1993</v>
      </c>
      <c r="R847" s="27">
        <v>1</v>
      </c>
      <c r="S847" s="27">
        <v>0</v>
      </c>
      <c r="T847" s="27">
        <v>-1.8E-3</v>
      </c>
      <c r="U847" s="27">
        <v>-1.2E-2</v>
      </c>
      <c r="V847" s="27">
        <v>0</v>
      </c>
      <c r="W847" s="27">
        <v>0</v>
      </c>
      <c r="X847" s="27" t="s">
        <v>39</v>
      </c>
    </row>
    <row r="848" spans="1:24">
      <c r="A848" s="27">
        <v>1</v>
      </c>
      <c r="B848" s="27">
        <v>10</v>
      </c>
      <c r="C848" s="27">
        <v>29</v>
      </c>
      <c r="D848" s="27">
        <v>2017</v>
      </c>
      <c r="E848" s="27">
        <v>2050</v>
      </c>
      <c r="F848" s="27">
        <v>9</v>
      </c>
      <c r="G848" s="27">
        <v>29</v>
      </c>
      <c r="H848" s="27">
        <v>0</v>
      </c>
      <c r="I848" s="27">
        <v>0</v>
      </c>
      <c r="J848" s="27">
        <v>0</v>
      </c>
      <c r="K848" s="27">
        <v>3.3</v>
      </c>
      <c r="L848" s="27">
        <v>5000</v>
      </c>
      <c r="M848" s="27">
        <v>5000</v>
      </c>
      <c r="N848" s="27">
        <v>0</v>
      </c>
      <c r="O848" s="27">
        <v>0</v>
      </c>
      <c r="P848" s="27" t="s">
        <v>13</v>
      </c>
      <c r="Q848" s="27">
        <v>1993</v>
      </c>
      <c r="R848" s="27">
        <v>1</v>
      </c>
      <c r="S848" s="27">
        <v>0</v>
      </c>
      <c r="T848" s="27">
        <v>-1.8E-3</v>
      </c>
      <c r="U848" s="27">
        <v>-1.2E-2</v>
      </c>
      <c r="V848" s="27">
        <v>0</v>
      </c>
      <c r="W848" s="27">
        <v>0</v>
      </c>
      <c r="X848" s="27" t="s">
        <v>39</v>
      </c>
    </row>
    <row r="849" spans="1:24">
      <c r="A849" s="27">
        <v>1</v>
      </c>
      <c r="B849" s="27">
        <v>10</v>
      </c>
      <c r="C849" s="27">
        <v>30</v>
      </c>
      <c r="D849" s="27">
        <v>2010</v>
      </c>
      <c r="E849" s="27">
        <v>2016</v>
      </c>
      <c r="F849" s="27">
        <v>1</v>
      </c>
      <c r="G849" s="27">
        <v>30</v>
      </c>
      <c r="H849" s="27">
        <v>0</v>
      </c>
      <c r="I849" s="27">
        <v>0</v>
      </c>
      <c r="J849" s="27">
        <v>0</v>
      </c>
      <c r="K849" s="27">
        <v>5</v>
      </c>
      <c r="L849" s="27">
        <v>6500</v>
      </c>
      <c r="M849" s="27">
        <v>7100</v>
      </c>
      <c r="N849" s="27">
        <v>1950</v>
      </c>
      <c r="O849" s="27">
        <v>2130</v>
      </c>
      <c r="P849" s="27" t="s">
        <v>13</v>
      </c>
      <c r="Q849" s="27">
        <v>1993</v>
      </c>
      <c r="R849" s="27">
        <v>1</v>
      </c>
      <c r="S849" s="27">
        <v>0</v>
      </c>
      <c r="T849" s="27">
        <v>-1.8E-3</v>
      </c>
      <c r="U849" s="27">
        <v>-1.2E-2</v>
      </c>
      <c r="V849" s="27">
        <v>0</v>
      </c>
      <c r="W849" s="27">
        <v>0</v>
      </c>
      <c r="X849" s="27" t="s">
        <v>40</v>
      </c>
    </row>
    <row r="850" spans="1:24">
      <c r="A850" s="27">
        <v>1</v>
      </c>
      <c r="B850" s="27">
        <v>10</v>
      </c>
      <c r="C850" s="27">
        <v>30</v>
      </c>
      <c r="D850" s="27">
        <v>2010</v>
      </c>
      <c r="E850" s="27">
        <v>2016</v>
      </c>
      <c r="F850" s="27">
        <v>2</v>
      </c>
      <c r="G850" s="27">
        <v>30</v>
      </c>
      <c r="H850" s="27">
        <v>0</v>
      </c>
      <c r="I850" s="27">
        <v>0</v>
      </c>
      <c r="J850" s="27">
        <v>0</v>
      </c>
      <c r="K850" s="27">
        <v>5</v>
      </c>
      <c r="L850" s="27">
        <v>6500</v>
      </c>
      <c r="M850" s="27">
        <v>7100</v>
      </c>
      <c r="N850" s="27">
        <v>1950</v>
      </c>
      <c r="O850" s="27">
        <v>2130</v>
      </c>
      <c r="P850" s="27" t="s">
        <v>13</v>
      </c>
      <c r="Q850" s="27">
        <v>1993</v>
      </c>
      <c r="R850" s="27">
        <v>1</v>
      </c>
      <c r="S850" s="27">
        <v>0</v>
      </c>
      <c r="T850" s="27">
        <v>-1.8E-3</v>
      </c>
      <c r="U850" s="27">
        <v>-1.2E-2</v>
      </c>
      <c r="V850" s="27">
        <v>0</v>
      </c>
      <c r="W850" s="27">
        <v>0</v>
      </c>
      <c r="X850" s="27" t="s">
        <v>40</v>
      </c>
    </row>
    <row r="851" spans="1:24">
      <c r="A851" s="27">
        <v>1</v>
      </c>
      <c r="B851" s="27">
        <v>10</v>
      </c>
      <c r="C851" s="27">
        <v>30</v>
      </c>
      <c r="D851" s="27">
        <v>2010</v>
      </c>
      <c r="E851" s="27">
        <v>2016</v>
      </c>
      <c r="F851" s="27">
        <v>3</v>
      </c>
      <c r="G851" s="27">
        <v>30</v>
      </c>
      <c r="H851" s="27">
        <v>0</v>
      </c>
      <c r="I851" s="27">
        <v>0</v>
      </c>
      <c r="J851" s="27">
        <v>0</v>
      </c>
      <c r="K851" s="27">
        <v>5</v>
      </c>
      <c r="L851" s="27">
        <v>6500</v>
      </c>
      <c r="M851" s="27">
        <v>7100</v>
      </c>
      <c r="N851" s="27">
        <v>1950</v>
      </c>
      <c r="O851" s="27">
        <v>2130</v>
      </c>
      <c r="P851" s="27" t="s">
        <v>13</v>
      </c>
      <c r="Q851" s="27">
        <v>1993</v>
      </c>
      <c r="R851" s="27">
        <v>1</v>
      </c>
      <c r="S851" s="27">
        <v>0</v>
      </c>
      <c r="T851" s="27">
        <v>-1.8E-3</v>
      </c>
      <c r="U851" s="27">
        <v>-1.2E-2</v>
      </c>
      <c r="V851" s="27">
        <v>0</v>
      </c>
      <c r="W851" s="27">
        <v>0</v>
      </c>
      <c r="X851" s="27" t="s">
        <v>40</v>
      </c>
    </row>
    <row r="852" spans="1:24">
      <c r="A852" s="27">
        <v>1</v>
      </c>
      <c r="B852" s="27">
        <v>10</v>
      </c>
      <c r="C852" s="27">
        <v>30</v>
      </c>
      <c r="D852" s="27">
        <v>2010</v>
      </c>
      <c r="E852" s="27">
        <v>2016</v>
      </c>
      <c r="F852" s="27">
        <v>4</v>
      </c>
      <c r="G852" s="27">
        <v>30</v>
      </c>
      <c r="H852" s="27">
        <v>0</v>
      </c>
      <c r="I852" s="27">
        <v>0</v>
      </c>
      <c r="J852" s="27">
        <v>0</v>
      </c>
      <c r="K852" s="27">
        <v>5</v>
      </c>
      <c r="L852" s="27">
        <v>6500</v>
      </c>
      <c r="M852" s="27">
        <v>7100</v>
      </c>
      <c r="N852" s="27">
        <v>1950</v>
      </c>
      <c r="O852" s="27">
        <v>2130</v>
      </c>
      <c r="P852" s="27" t="s">
        <v>13</v>
      </c>
      <c r="Q852" s="27">
        <v>1993</v>
      </c>
      <c r="R852" s="27">
        <v>1</v>
      </c>
      <c r="S852" s="27">
        <v>0</v>
      </c>
      <c r="T852" s="27">
        <v>-1.8E-3</v>
      </c>
      <c r="U852" s="27">
        <v>-1.2E-2</v>
      </c>
      <c r="V852" s="27">
        <v>0</v>
      </c>
      <c r="W852" s="27">
        <v>0</v>
      </c>
      <c r="X852" s="27" t="s">
        <v>40</v>
      </c>
    </row>
    <row r="853" spans="1:24">
      <c r="A853" s="27">
        <v>1</v>
      </c>
      <c r="B853" s="27">
        <v>10</v>
      </c>
      <c r="C853" s="27">
        <v>30</v>
      </c>
      <c r="D853" s="27">
        <v>2010</v>
      </c>
      <c r="E853" s="27">
        <v>2016</v>
      </c>
      <c r="F853" s="27">
        <v>5</v>
      </c>
      <c r="G853" s="27">
        <v>30</v>
      </c>
      <c r="H853" s="27">
        <v>0</v>
      </c>
      <c r="I853" s="27">
        <v>0</v>
      </c>
      <c r="J853" s="27">
        <v>0</v>
      </c>
      <c r="K853" s="27">
        <v>5</v>
      </c>
      <c r="L853" s="27">
        <v>6500</v>
      </c>
      <c r="M853" s="27">
        <v>7100</v>
      </c>
      <c r="N853" s="27">
        <v>1950</v>
      </c>
      <c r="O853" s="27">
        <v>2130</v>
      </c>
      <c r="P853" s="27" t="s">
        <v>13</v>
      </c>
      <c r="Q853" s="27">
        <v>1993</v>
      </c>
      <c r="R853" s="27">
        <v>1</v>
      </c>
      <c r="S853" s="27">
        <v>0</v>
      </c>
      <c r="T853" s="27">
        <v>-1.8E-3</v>
      </c>
      <c r="U853" s="27">
        <v>-1.2E-2</v>
      </c>
      <c r="V853" s="27">
        <v>0</v>
      </c>
      <c r="W853" s="27">
        <v>0</v>
      </c>
      <c r="X853" s="27" t="s">
        <v>40</v>
      </c>
    </row>
    <row r="854" spans="1:24">
      <c r="A854" s="27">
        <v>1</v>
      </c>
      <c r="B854" s="27">
        <v>10</v>
      </c>
      <c r="C854" s="27">
        <v>30</v>
      </c>
      <c r="D854" s="27">
        <v>2010</v>
      </c>
      <c r="E854" s="27">
        <v>2016</v>
      </c>
      <c r="F854" s="27">
        <v>6</v>
      </c>
      <c r="G854" s="27">
        <v>30</v>
      </c>
      <c r="H854" s="27">
        <v>0</v>
      </c>
      <c r="I854" s="27">
        <v>0</v>
      </c>
      <c r="J854" s="27">
        <v>0</v>
      </c>
      <c r="K854" s="27">
        <v>5</v>
      </c>
      <c r="L854" s="27">
        <v>6500</v>
      </c>
      <c r="M854" s="27">
        <v>7100</v>
      </c>
      <c r="N854" s="27">
        <v>1950</v>
      </c>
      <c r="O854" s="27">
        <v>2130</v>
      </c>
      <c r="P854" s="27" t="s">
        <v>13</v>
      </c>
      <c r="Q854" s="27">
        <v>1993</v>
      </c>
      <c r="R854" s="27">
        <v>1</v>
      </c>
      <c r="S854" s="27">
        <v>0</v>
      </c>
      <c r="T854" s="27">
        <v>-1.8E-3</v>
      </c>
      <c r="U854" s="27">
        <v>-1.2E-2</v>
      </c>
      <c r="V854" s="27">
        <v>0</v>
      </c>
      <c r="W854" s="27">
        <v>0</v>
      </c>
      <c r="X854" s="27" t="s">
        <v>40</v>
      </c>
    </row>
    <row r="855" spans="1:24">
      <c r="A855" s="27">
        <v>1</v>
      </c>
      <c r="B855" s="27">
        <v>10</v>
      </c>
      <c r="C855" s="27">
        <v>30</v>
      </c>
      <c r="D855" s="27">
        <v>2010</v>
      </c>
      <c r="E855" s="27">
        <v>2016</v>
      </c>
      <c r="F855" s="27">
        <v>7</v>
      </c>
      <c r="G855" s="27">
        <v>30</v>
      </c>
      <c r="H855" s="27">
        <v>0</v>
      </c>
      <c r="I855" s="27">
        <v>0</v>
      </c>
      <c r="J855" s="27">
        <v>0</v>
      </c>
      <c r="K855" s="27">
        <v>5</v>
      </c>
      <c r="L855" s="27">
        <v>6500</v>
      </c>
      <c r="M855" s="27">
        <v>7100</v>
      </c>
      <c r="N855" s="27">
        <v>1950</v>
      </c>
      <c r="O855" s="27">
        <v>2130</v>
      </c>
      <c r="P855" s="27" t="s">
        <v>13</v>
      </c>
      <c r="Q855" s="27">
        <v>1993</v>
      </c>
      <c r="R855" s="27">
        <v>1</v>
      </c>
      <c r="S855" s="27">
        <v>0</v>
      </c>
      <c r="T855" s="27">
        <v>-1.8E-3</v>
      </c>
      <c r="U855" s="27">
        <v>-1.2E-2</v>
      </c>
      <c r="V855" s="27">
        <v>0</v>
      </c>
      <c r="W855" s="27">
        <v>0</v>
      </c>
      <c r="X855" s="27" t="s">
        <v>40</v>
      </c>
    </row>
    <row r="856" spans="1:24">
      <c r="A856" s="27">
        <v>1</v>
      </c>
      <c r="B856" s="27">
        <v>10</v>
      </c>
      <c r="C856" s="27">
        <v>30</v>
      </c>
      <c r="D856" s="27">
        <v>2010</v>
      </c>
      <c r="E856" s="27">
        <v>2016</v>
      </c>
      <c r="F856" s="27">
        <v>8</v>
      </c>
      <c r="G856" s="27">
        <v>30</v>
      </c>
      <c r="H856" s="27">
        <v>0</v>
      </c>
      <c r="I856" s="27">
        <v>0</v>
      </c>
      <c r="J856" s="27">
        <v>0</v>
      </c>
      <c r="K856" s="27">
        <v>5</v>
      </c>
      <c r="L856" s="27">
        <v>6500</v>
      </c>
      <c r="M856" s="27">
        <v>7100</v>
      </c>
      <c r="N856" s="27">
        <v>1950</v>
      </c>
      <c r="O856" s="27">
        <v>2130</v>
      </c>
      <c r="P856" s="27" t="s">
        <v>13</v>
      </c>
      <c r="Q856" s="27">
        <v>1993</v>
      </c>
      <c r="R856" s="27">
        <v>1</v>
      </c>
      <c r="S856" s="27">
        <v>0</v>
      </c>
      <c r="T856" s="27">
        <v>-1.8E-3</v>
      </c>
      <c r="U856" s="27">
        <v>-1.2E-2</v>
      </c>
      <c r="V856" s="27">
        <v>0</v>
      </c>
      <c r="W856" s="27">
        <v>0</v>
      </c>
      <c r="X856" s="27" t="s">
        <v>40</v>
      </c>
    </row>
    <row r="857" spans="1:24">
      <c r="A857" s="27">
        <v>1</v>
      </c>
      <c r="B857" s="27">
        <v>10</v>
      </c>
      <c r="C857" s="27">
        <v>30</v>
      </c>
      <c r="D857" s="27">
        <v>2010</v>
      </c>
      <c r="E857" s="27">
        <v>2016</v>
      </c>
      <c r="F857" s="27">
        <v>9</v>
      </c>
      <c r="G857" s="27">
        <v>30</v>
      </c>
      <c r="H857" s="27">
        <v>0</v>
      </c>
      <c r="I857" s="27">
        <v>0</v>
      </c>
      <c r="J857" s="27">
        <v>0</v>
      </c>
      <c r="K857" s="27">
        <v>5</v>
      </c>
      <c r="L857" s="27">
        <v>6500</v>
      </c>
      <c r="M857" s="27">
        <v>7100</v>
      </c>
      <c r="N857" s="27">
        <v>1950</v>
      </c>
      <c r="O857" s="27">
        <v>2130</v>
      </c>
      <c r="P857" s="27" t="s">
        <v>13</v>
      </c>
      <c r="Q857" s="27">
        <v>1993</v>
      </c>
      <c r="R857" s="27">
        <v>1</v>
      </c>
      <c r="S857" s="27">
        <v>0</v>
      </c>
      <c r="T857" s="27">
        <v>-1.8E-3</v>
      </c>
      <c r="U857" s="27">
        <v>-1.2E-2</v>
      </c>
      <c r="V857" s="27">
        <v>0</v>
      </c>
      <c r="W857" s="27">
        <v>0</v>
      </c>
      <c r="X857" s="27" t="s">
        <v>40</v>
      </c>
    </row>
    <row r="858" spans="1:24">
      <c r="A858" s="27">
        <v>1</v>
      </c>
      <c r="B858" s="27">
        <v>10</v>
      </c>
      <c r="C858" s="27">
        <v>30</v>
      </c>
      <c r="D858" s="27">
        <v>2017</v>
      </c>
      <c r="E858" s="27">
        <v>2019</v>
      </c>
      <c r="F858" s="27">
        <v>1</v>
      </c>
      <c r="G858" s="27">
        <v>30</v>
      </c>
      <c r="H858" s="27">
        <v>0</v>
      </c>
      <c r="I858" s="27">
        <v>0</v>
      </c>
      <c r="J858" s="27">
        <v>0</v>
      </c>
      <c r="K858" s="27">
        <v>5</v>
      </c>
      <c r="L858" s="27">
        <v>6500</v>
      </c>
      <c r="M858" s="27">
        <v>7100</v>
      </c>
      <c r="N858" s="27">
        <v>0</v>
      </c>
      <c r="O858" s="27">
        <v>0</v>
      </c>
      <c r="P858" s="27" t="s">
        <v>13</v>
      </c>
      <c r="Q858" s="27">
        <v>1993</v>
      </c>
      <c r="R858" s="27">
        <v>1</v>
      </c>
      <c r="S858" s="27">
        <v>0</v>
      </c>
      <c r="T858" s="27">
        <v>-1.8E-3</v>
      </c>
      <c r="U858" s="27">
        <v>-1.2E-2</v>
      </c>
      <c r="V858" s="27">
        <v>0</v>
      </c>
      <c r="W858" s="27">
        <v>0</v>
      </c>
      <c r="X858" s="27" t="s">
        <v>40</v>
      </c>
    </row>
    <row r="859" spans="1:24">
      <c r="A859" s="27">
        <v>1</v>
      </c>
      <c r="B859" s="27">
        <v>10</v>
      </c>
      <c r="C859" s="27">
        <v>30</v>
      </c>
      <c r="D859" s="27">
        <v>2017</v>
      </c>
      <c r="E859" s="27">
        <v>2019</v>
      </c>
      <c r="F859" s="27">
        <v>2</v>
      </c>
      <c r="G859" s="27">
        <v>30</v>
      </c>
      <c r="H859" s="27">
        <v>0</v>
      </c>
      <c r="I859" s="27">
        <v>0</v>
      </c>
      <c r="J859" s="27">
        <v>0</v>
      </c>
      <c r="K859" s="27">
        <v>5</v>
      </c>
      <c r="L859" s="27">
        <v>6500</v>
      </c>
      <c r="M859" s="27">
        <v>7100</v>
      </c>
      <c r="N859" s="27">
        <v>0</v>
      </c>
      <c r="O859" s="27">
        <v>0</v>
      </c>
      <c r="P859" s="27" t="s">
        <v>13</v>
      </c>
      <c r="Q859" s="27">
        <v>1993</v>
      </c>
      <c r="R859" s="27">
        <v>1</v>
      </c>
      <c r="S859" s="27">
        <v>0</v>
      </c>
      <c r="T859" s="27">
        <v>-1.8E-3</v>
      </c>
      <c r="U859" s="27">
        <v>-1.2E-2</v>
      </c>
      <c r="V859" s="27">
        <v>0</v>
      </c>
      <c r="W859" s="27">
        <v>0</v>
      </c>
      <c r="X859" s="27" t="s">
        <v>40</v>
      </c>
    </row>
    <row r="860" spans="1:24">
      <c r="A860" s="27">
        <v>1</v>
      </c>
      <c r="B860" s="27">
        <v>10</v>
      </c>
      <c r="C860" s="27">
        <v>30</v>
      </c>
      <c r="D860" s="27">
        <v>2017</v>
      </c>
      <c r="E860" s="27">
        <v>2019</v>
      </c>
      <c r="F860" s="27">
        <v>3</v>
      </c>
      <c r="G860" s="27">
        <v>30</v>
      </c>
      <c r="H860" s="27">
        <v>0</v>
      </c>
      <c r="I860" s="27">
        <v>0</v>
      </c>
      <c r="J860" s="27">
        <v>0</v>
      </c>
      <c r="K860" s="27">
        <v>5</v>
      </c>
      <c r="L860" s="27">
        <v>6500</v>
      </c>
      <c r="M860" s="27">
        <v>7100</v>
      </c>
      <c r="N860" s="27">
        <v>0</v>
      </c>
      <c r="O860" s="27">
        <v>0</v>
      </c>
      <c r="P860" s="27" t="s">
        <v>13</v>
      </c>
      <c r="Q860" s="27">
        <v>1993</v>
      </c>
      <c r="R860" s="27">
        <v>1</v>
      </c>
      <c r="S860" s="27">
        <v>0</v>
      </c>
      <c r="T860" s="27">
        <v>-1.8E-3</v>
      </c>
      <c r="U860" s="27">
        <v>-1.2E-2</v>
      </c>
      <c r="V860" s="27">
        <v>0</v>
      </c>
      <c r="W860" s="27">
        <v>0</v>
      </c>
      <c r="X860" s="27" t="s">
        <v>40</v>
      </c>
    </row>
    <row r="861" spans="1:24">
      <c r="A861" s="27">
        <v>1</v>
      </c>
      <c r="B861" s="27">
        <v>10</v>
      </c>
      <c r="C861" s="27">
        <v>30</v>
      </c>
      <c r="D861" s="27">
        <v>2017</v>
      </c>
      <c r="E861" s="27">
        <v>2019</v>
      </c>
      <c r="F861" s="27">
        <v>4</v>
      </c>
      <c r="G861" s="27">
        <v>30</v>
      </c>
      <c r="H861" s="27">
        <v>0</v>
      </c>
      <c r="I861" s="27">
        <v>0</v>
      </c>
      <c r="J861" s="27">
        <v>0</v>
      </c>
      <c r="K861" s="27">
        <v>5</v>
      </c>
      <c r="L861" s="27">
        <v>6500</v>
      </c>
      <c r="M861" s="27">
        <v>7100</v>
      </c>
      <c r="N861" s="27">
        <v>0</v>
      </c>
      <c r="O861" s="27">
        <v>0</v>
      </c>
      <c r="P861" s="27" t="s">
        <v>13</v>
      </c>
      <c r="Q861" s="27">
        <v>1993</v>
      </c>
      <c r="R861" s="27">
        <v>1</v>
      </c>
      <c r="S861" s="27">
        <v>0</v>
      </c>
      <c r="T861" s="27">
        <v>-1.8E-3</v>
      </c>
      <c r="U861" s="27">
        <v>-1.2E-2</v>
      </c>
      <c r="V861" s="27">
        <v>0</v>
      </c>
      <c r="W861" s="27">
        <v>0</v>
      </c>
      <c r="X861" s="27" t="s">
        <v>40</v>
      </c>
    </row>
    <row r="862" spans="1:24">
      <c r="A862" s="27">
        <v>1</v>
      </c>
      <c r="B862" s="27">
        <v>10</v>
      </c>
      <c r="C862" s="27">
        <v>30</v>
      </c>
      <c r="D862" s="27">
        <v>2017</v>
      </c>
      <c r="E862" s="27">
        <v>2019</v>
      </c>
      <c r="F862" s="27">
        <v>5</v>
      </c>
      <c r="G862" s="27">
        <v>30</v>
      </c>
      <c r="H862" s="27">
        <v>0</v>
      </c>
      <c r="I862" s="27">
        <v>0</v>
      </c>
      <c r="J862" s="27">
        <v>0</v>
      </c>
      <c r="K862" s="27">
        <v>5</v>
      </c>
      <c r="L862" s="27">
        <v>6500</v>
      </c>
      <c r="M862" s="27">
        <v>7100</v>
      </c>
      <c r="N862" s="27">
        <v>0</v>
      </c>
      <c r="O862" s="27">
        <v>0</v>
      </c>
      <c r="P862" s="27" t="s">
        <v>13</v>
      </c>
      <c r="Q862" s="27">
        <v>1993</v>
      </c>
      <c r="R862" s="27">
        <v>1</v>
      </c>
      <c r="S862" s="27">
        <v>0</v>
      </c>
      <c r="T862" s="27">
        <v>-1.8E-3</v>
      </c>
      <c r="U862" s="27">
        <v>-1.2E-2</v>
      </c>
      <c r="V862" s="27">
        <v>0</v>
      </c>
      <c r="W862" s="27">
        <v>0</v>
      </c>
      <c r="X862" s="27" t="s">
        <v>40</v>
      </c>
    </row>
    <row r="863" spans="1:24">
      <c r="A863" s="27">
        <v>1</v>
      </c>
      <c r="B863" s="27">
        <v>10</v>
      </c>
      <c r="C863" s="27">
        <v>30</v>
      </c>
      <c r="D863" s="27">
        <v>2017</v>
      </c>
      <c r="E863" s="27">
        <v>2019</v>
      </c>
      <c r="F863" s="27">
        <v>6</v>
      </c>
      <c r="G863" s="27">
        <v>30</v>
      </c>
      <c r="H863" s="27">
        <v>0</v>
      </c>
      <c r="I863" s="27">
        <v>0</v>
      </c>
      <c r="J863" s="27">
        <v>0</v>
      </c>
      <c r="K863" s="27">
        <v>5</v>
      </c>
      <c r="L863" s="27">
        <v>6500</v>
      </c>
      <c r="M863" s="27">
        <v>7100</v>
      </c>
      <c r="N863" s="27">
        <v>0</v>
      </c>
      <c r="O863" s="27">
        <v>0</v>
      </c>
      <c r="P863" s="27" t="s">
        <v>13</v>
      </c>
      <c r="Q863" s="27">
        <v>1993</v>
      </c>
      <c r="R863" s="27">
        <v>1</v>
      </c>
      <c r="S863" s="27">
        <v>0</v>
      </c>
      <c r="T863" s="27">
        <v>-1.8E-3</v>
      </c>
      <c r="U863" s="27">
        <v>-1.2E-2</v>
      </c>
      <c r="V863" s="27">
        <v>0</v>
      </c>
      <c r="W863" s="27">
        <v>0</v>
      </c>
      <c r="X863" s="27" t="s">
        <v>40</v>
      </c>
    </row>
    <row r="864" spans="1:24">
      <c r="A864" s="27">
        <v>1</v>
      </c>
      <c r="B864" s="27">
        <v>10</v>
      </c>
      <c r="C864" s="27">
        <v>30</v>
      </c>
      <c r="D864" s="27">
        <v>2017</v>
      </c>
      <c r="E864" s="27">
        <v>2019</v>
      </c>
      <c r="F864" s="27">
        <v>7</v>
      </c>
      <c r="G864" s="27">
        <v>30</v>
      </c>
      <c r="H864" s="27">
        <v>0</v>
      </c>
      <c r="I864" s="27">
        <v>0</v>
      </c>
      <c r="J864" s="27">
        <v>0</v>
      </c>
      <c r="K864" s="27">
        <v>5</v>
      </c>
      <c r="L864" s="27">
        <v>6500</v>
      </c>
      <c r="M864" s="27">
        <v>7100</v>
      </c>
      <c r="N864" s="27">
        <v>0</v>
      </c>
      <c r="O864" s="27">
        <v>0</v>
      </c>
      <c r="P864" s="27" t="s">
        <v>13</v>
      </c>
      <c r="Q864" s="27">
        <v>1993</v>
      </c>
      <c r="R864" s="27">
        <v>1</v>
      </c>
      <c r="S864" s="27">
        <v>0</v>
      </c>
      <c r="T864" s="27">
        <v>-1.8E-3</v>
      </c>
      <c r="U864" s="27">
        <v>-1.2E-2</v>
      </c>
      <c r="V864" s="27">
        <v>0</v>
      </c>
      <c r="W864" s="27">
        <v>0</v>
      </c>
      <c r="X864" s="27" t="s">
        <v>40</v>
      </c>
    </row>
    <row r="865" spans="1:24">
      <c r="A865" s="27">
        <v>1</v>
      </c>
      <c r="B865" s="27">
        <v>10</v>
      </c>
      <c r="C865" s="27">
        <v>30</v>
      </c>
      <c r="D865" s="27">
        <v>2017</v>
      </c>
      <c r="E865" s="27">
        <v>2019</v>
      </c>
      <c r="F865" s="27">
        <v>8</v>
      </c>
      <c r="G865" s="27">
        <v>30</v>
      </c>
      <c r="H865" s="27">
        <v>0</v>
      </c>
      <c r="I865" s="27">
        <v>0</v>
      </c>
      <c r="J865" s="27">
        <v>0</v>
      </c>
      <c r="K865" s="27">
        <v>5</v>
      </c>
      <c r="L865" s="27">
        <v>6500</v>
      </c>
      <c r="M865" s="27">
        <v>7100</v>
      </c>
      <c r="N865" s="27">
        <v>0</v>
      </c>
      <c r="O865" s="27">
        <v>0</v>
      </c>
      <c r="P865" s="27" t="s">
        <v>13</v>
      </c>
      <c r="Q865" s="27">
        <v>1993</v>
      </c>
      <c r="R865" s="27">
        <v>1</v>
      </c>
      <c r="S865" s="27">
        <v>0</v>
      </c>
      <c r="T865" s="27">
        <v>-1.8E-3</v>
      </c>
      <c r="U865" s="27">
        <v>-1.2E-2</v>
      </c>
      <c r="V865" s="27">
        <v>0</v>
      </c>
      <c r="W865" s="27">
        <v>0</v>
      </c>
      <c r="X865" s="27" t="s">
        <v>40</v>
      </c>
    </row>
    <row r="866" spans="1:24">
      <c r="A866" s="27">
        <v>1</v>
      </c>
      <c r="B866" s="27">
        <v>10</v>
      </c>
      <c r="C866" s="27">
        <v>30</v>
      </c>
      <c r="D866" s="27">
        <v>2017</v>
      </c>
      <c r="E866" s="27">
        <v>2019</v>
      </c>
      <c r="F866" s="27">
        <v>9</v>
      </c>
      <c r="G866" s="27">
        <v>30</v>
      </c>
      <c r="H866" s="27">
        <v>0</v>
      </c>
      <c r="I866" s="27">
        <v>0</v>
      </c>
      <c r="J866" s="27">
        <v>0</v>
      </c>
      <c r="K866" s="27">
        <v>5</v>
      </c>
      <c r="L866" s="27">
        <v>6500</v>
      </c>
      <c r="M866" s="27">
        <v>7100</v>
      </c>
      <c r="N866" s="27">
        <v>0</v>
      </c>
      <c r="O866" s="27">
        <v>0</v>
      </c>
      <c r="P866" s="27" t="s">
        <v>13</v>
      </c>
      <c r="Q866" s="27">
        <v>1993</v>
      </c>
      <c r="R866" s="27">
        <v>1</v>
      </c>
      <c r="S866" s="27">
        <v>0</v>
      </c>
      <c r="T866" s="27">
        <v>-1.8E-3</v>
      </c>
      <c r="U866" s="27">
        <v>-1.2E-2</v>
      </c>
      <c r="V866" s="27">
        <v>0</v>
      </c>
      <c r="W866" s="27">
        <v>0</v>
      </c>
      <c r="X866" s="27" t="s">
        <v>40</v>
      </c>
    </row>
    <row r="867" spans="1:24">
      <c r="A867" s="27">
        <v>1</v>
      </c>
      <c r="B867" s="27">
        <v>10</v>
      </c>
      <c r="C867" s="27">
        <v>30</v>
      </c>
      <c r="D867" s="27">
        <v>2020</v>
      </c>
      <c r="E867" s="27">
        <v>2050</v>
      </c>
      <c r="F867" s="27">
        <v>1</v>
      </c>
      <c r="G867" s="27">
        <v>30</v>
      </c>
      <c r="H867" s="27">
        <v>0</v>
      </c>
      <c r="I867" s="27">
        <v>0</v>
      </c>
      <c r="J867" s="27">
        <v>0</v>
      </c>
      <c r="K867" s="27">
        <v>5</v>
      </c>
      <c r="L867" s="27">
        <v>6500</v>
      </c>
      <c r="M867" s="27">
        <v>7100</v>
      </c>
      <c r="N867" s="27">
        <v>0</v>
      </c>
      <c r="O867" s="27">
        <v>0</v>
      </c>
      <c r="P867" s="27" t="s">
        <v>13</v>
      </c>
      <c r="Q867" s="27">
        <v>1993</v>
      </c>
      <c r="R867" s="27">
        <v>1</v>
      </c>
      <c r="S867" s="27">
        <v>0</v>
      </c>
      <c r="T867" s="27">
        <v>-1.8E-3</v>
      </c>
      <c r="U867" s="27">
        <v>-1.2E-2</v>
      </c>
      <c r="V867" s="27">
        <v>0</v>
      </c>
      <c r="W867" s="27">
        <v>0</v>
      </c>
      <c r="X867" s="27" t="s">
        <v>40</v>
      </c>
    </row>
    <row r="868" spans="1:24">
      <c r="A868" s="27">
        <v>1</v>
      </c>
      <c r="B868" s="27">
        <v>10</v>
      </c>
      <c r="C868" s="27">
        <v>30</v>
      </c>
      <c r="D868" s="27">
        <v>2020</v>
      </c>
      <c r="E868" s="27">
        <v>2050</v>
      </c>
      <c r="F868" s="27">
        <v>2</v>
      </c>
      <c r="G868" s="27">
        <v>30</v>
      </c>
      <c r="H868" s="27">
        <v>0</v>
      </c>
      <c r="I868" s="27">
        <v>0</v>
      </c>
      <c r="J868" s="27">
        <v>0</v>
      </c>
      <c r="K868" s="27">
        <v>5</v>
      </c>
      <c r="L868" s="27">
        <v>6500</v>
      </c>
      <c r="M868" s="27">
        <v>7100</v>
      </c>
      <c r="N868" s="27">
        <v>0</v>
      </c>
      <c r="O868" s="27">
        <v>0</v>
      </c>
      <c r="P868" s="27" t="s">
        <v>13</v>
      </c>
      <c r="Q868" s="27">
        <v>1993</v>
      </c>
      <c r="R868" s="27">
        <v>1</v>
      </c>
      <c r="S868" s="27">
        <v>0</v>
      </c>
      <c r="T868" s="27">
        <v>-1.8E-3</v>
      </c>
      <c r="U868" s="27">
        <v>-1.2E-2</v>
      </c>
      <c r="V868" s="27">
        <v>0</v>
      </c>
      <c r="W868" s="27">
        <v>0</v>
      </c>
      <c r="X868" s="27" t="s">
        <v>40</v>
      </c>
    </row>
    <row r="869" spans="1:24">
      <c r="A869" s="27">
        <v>1</v>
      </c>
      <c r="B869" s="27">
        <v>10</v>
      </c>
      <c r="C869" s="27">
        <v>30</v>
      </c>
      <c r="D869" s="27">
        <v>2020</v>
      </c>
      <c r="E869" s="27">
        <v>2050</v>
      </c>
      <c r="F869" s="27">
        <v>3</v>
      </c>
      <c r="G869" s="27">
        <v>30</v>
      </c>
      <c r="H869" s="27">
        <v>0</v>
      </c>
      <c r="I869" s="27">
        <v>0</v>
      </c>
      <c r="J869" s="27">
        <v>0</v>
      </c>
      <c r="K869" s="27">
        <v>5</v>
      </c>
      <c r="L869" s="27">
        <v>6500</v>
      </c>
      <c r="M869" s="27">
        <v>7100</v>
      </c>
      <c r="N869" s="27">
        <v>0</v>
      </c>
      <c r="O869" s="27">
        <v>0</v>
      </c>
      <c r="P869" s="27" t="s">
        <v>13</v>
      </c>
      <c r="Q869" s="27">
        <v>1993</v>
      </c>
      <c r="R869" s="27">
        <v>1</v>
      </c>
      <c r="S869" s="27">
        <v>0</v>
      </c>
      <c r="T869" s="27">
        <v>-1.8E-3</v>
      </c>
      <c r="U869" s="27">
        <v>-1.2E-2</v>
      </c>
      <c r="V869" s="27">
        <v>0</v>
      </c>
      <c r="W869" s="27">
        <v>0</v>
      </c>
      <c r="X869" s="27" t="s">
        <v>40</v>
      </c>
    </row>
    <row r="870" spans="1:24">
      <c r="A870" s="27">
        <v>1</v>
      </c>
      <c r="B870" s="27">
        <v>10</v>
      </c>
      <c r="C870" s="27">
        <v>30</v>
      </c>
      <c r="D870" s="27">
        <v>2020</v>
      </c>
      <c r="E870" s="27">
        <v>2050</v>
      </c>
      <c r="F870" s="27">
        <v>4</v>
      </c>
      <c r="G870" s="27">
        <v>30</v>
      </c>
      <c r="H870" s="27">
        <v>0</v>
      </c>
      <c r="I870" s="27">
        <v>0</v>
      </c>
      <c r="J870" s="27">
        <v>0</v>
      </c>
      <c r="K870" s="27">
        <v>5</v>
      </c>
      <c r="L870" s="27">
        <v>6500</v>
      </c>
      <c r="M870" s="27">
        <v>7100</v>
      </c>
      <c r="N870" s="27">
        <v>0</v>
      </c>
      <c r="O870" s="27">
        <v>0</v>
      </c>
      <c r="P870" s="27" t="s">
        <v>13</v>
      </c>
      <c r="Q870" s="27">
        <v>1993</v>
      </c>
      <c r="R870" s="27">
        <v>1</v>
      </c>
      <c r="S870" s="27">
        <v>0</v>
      </c>
      <c r="T870" s="27">
        <v>-1.8E-3</v>
      </c>
      <c r="U870" s="27">
        <v>-1.2E-2</v>
      </c>
      <c r="V870" s="27">
        <v>0</v>
      </c>
      <c r="W870" s="27">
        <v>0</v>
      </c>
      <c r="X870" s="27" t="s">
        <v>40</v>
      </c>
    </row>
    <row r="871" spans="1:24">
      <c r="A871" s="27">
        <v>1</v>
      </c>
      <c r="B871" s="27">
        <v>10</v>
      </c>
      <c r="C871" s="27">
        <v>30</v>
      </c>
      <c r="D871" s="27">
        <v>2020</v>
      </c>
      <c r="E871" s="27">
        <v>2050</v>
      </c>
      <c r="F871" s="27">
        <v>5</v>
      </c>
      <c r="G871" s="27">
        <v>30</v>
      </c>
      <c r="H871" s="27">
        <v>0</v>
      </c>
      <c r="I871" s="27">
        <v>0</v>
      </c>
      <c r="J871" s="27">
        <v>0</v>
      </c>
      <c r="K871" s="27">
        <v>5</v>
      </c>
      <c r="L871" s="27">
        <v>6500</v>
      </c>
      <c r="M871" s="27">
        <v>7100</v>
      </c>
      <c r="N871" s="27">
        <v>0</v>
      </c>
      <c r="O871" s="27">
        <v>0</v>
      </c>
      <c r="P871" s="27" t="s">
        <v>13</v>
      </c>
      <c r="Q871" s="27">
        <v>1993</v>
      </c>
      <c r="R871" s="27">
        <v>1</v>
      </c>
      <c r="S871" s="27">
        <v>0</v>
      </c>
      <c r="T871" s="27">
        <v>-1.8E-3</v>
      </c>
      <c r="U871" s="27">
        <v>-1.2E-2</v>
      </c>
      <c r="V871" s="27">
        <v>0</v>
      </c>
      <c r="W871" s="27">
        <v>0</v>
      </c>
      <c r="X871" s="27" t="s">
        <v>40</v>
      </c>
    </row>
    <row r="872" spans="1:24">
      <c r="A872" s="27">
        <v>1</v>
      </c>
      <c r="B872" s="27">
        <v>10</v>
      </c>
      <c r="C872" s="27">
        <v>30</v>
      </c>
      <c r="D872" s="27">
        <v>2020</v>
      </c>
      <c r="E872" s="27">
        <v>2050</v>
      </c>
      <c r="F872" s="27">
        <v>6</v>
      </c>
      <c r="G872" s="27">
        <v>30</v>
      </c>
      <c r="H872" s="27">
        <v>0</v>
      </c>
      <c r="I872" s="27">
        <v>0</v>
      </c>
      <c r="J872" s="27">
        <v>0</v>
      </c>
      <c r="K872" s="27">
        <v>5</v>
      </c>
      <c r="L872" s="27">
        <v>6500</v>
      </c>
      <c r="M872" s="27">
        <v>7100</v>
      </c>
      <c r="N872" s="27">
        <v>0</v>
      </c>
      <c r="O872" s="27">
        <v>0</v>
      </c>
      <c r="P872" s="27" t="s">
        <v>13</v>
      </c>
      <c r="Q872" s="27">
        <v>1993</v>
      </c>
      <c r="R872" s="27">
        <v>1</v>
      </c>
      <c r="S872" s="27">
        <v>0</v>
      </c>
      <c r="T872" s="27">
        <v>-1.8E-3</v>
      </c>
      <c r="U872" s="27">
        <v>-1.2E-2</v>
      </c>
      <c r="V872" s="27">
        <v>0</v>
      </c>
      <c r="W872" s="27">
        <v>0</v>
      </c>
      <c r="X872" s="27" t="s">
        <v>40</v>
      </c>
    </row>
    <row r="873" spans="1:24">
      <c r="A873" s="27">
        <v>1</v>
      </c>
      <c r="B873" s="27">
        <v>10</v>
      </c>
      <c r="C873" s="27">
        <v>30</v>
      </c>
      <c r="D873" s="27">
        <v>2020</v>
      </c>
      <c r="E873" s="27">
        <v>2050</v>
      </c>
      <c r="F873" s="27">
        <v>7</v>
      </c>
      <c r="G873" s="27">
        <v>30</v>
      </c>
      <c r="H873" s="27">
        <v>0</v>
      </c>
      <c r="I873" s="27">
        <v>0</v>
      </c>
      <c r="J873" s="27">
        <v>0</v>
      </c>
      <c r="K873" s="27">
        <v>5</v>
      </c>
      <c r="L873" s="27">
        <v>6500</v>
      </c>
      <c r="M873" s="27">
        <v>7100</v>
      </c>
      <c r="N873" s="27">
        <v>0</v>
      </c>
      <c r="O873" s="27">
        <v>0</v>
      </c>
      <c r="P873" s="27" t="s">
        <v>13</v>
      </c>
      <c r="Q873" s="27">
        <v>1993</v>
      </c>
      <c r="R873" s="27">
        <v>1</v>
      </c>
      <c r="S873" s="27">
        <v>0</v>
      </c>
      <c r="T873" s="27">
        <v>-1.8E-3</v>
      </c>
      <c r="U873" s="27">
        <v>-1.2E-2</v>
      </c>
      <c r="V873" s="27">
        <v>0</v>
      </c>
      <c r="W873" s="27">
        <v>0</v>
      </c>
      <c r="X873" s="27" t="s">
        <v>40</v>
      </c>
    </row>
    <row r="874" spans="1:24">
      <c r="A874" s="27">
        <v>1</v>
      </c>
      <c r="B874" s="27">
        <v>10</v>
      </c>
      <c r="C874" s="27">
        <v>30</v>
      </c>
      <c r="D874" s="27">
        <v>2020</v>
      </c>
      <c r="E874" s="27">
        <v>2050</v>
      </c>
      <c r="F874" s="27">
        <v>8</v>
      </c>
      <c r="G874" s="27">
        <v>30</v>
      </c>
      <c r="H874" s="27">
        <v>0</v>
      </c>
      <c r="I874" s="27">
        <v>0</v>
      </c>
      <c r="J874" s="27">
        <v>0</v>
      </c>
      <c r="K874" s="27">
        <v>5</v>
      </c>
      <c r="L874" s="27">
        <v>6500</v>
      </c>
      <c r="M874" s="27">
        <v>7100</v>
      </c>
      <c r="N874" s="27">
        <v>0</v>
      </c>
      <c r="O874" s="27">
        <v>0</v>
      </c>
      <c r="P874" s="27" t="s">
        <v>13</v>
      </c>
      <c r="Q874" s="27">
        <v>1993</v>
      </c>
      <c r="R874" s="27">
        <v>1</v>
      </c>
      <c r="S874" s="27">
        <v>0</v>
      </c>
      <c r="T874" s="27">
        <v>-1.8E-3</v>
      </c>
      <c r="U874" s="27">
        <v>-1.2E-2</v>
      </c>
      <c r="V874" s="27">
        <v>0</v>
      </c>
      <c r="W874" s="27">
        <v>0</v>
      </c>
      <c r="X874" s="27" t="s">
        <v>40</v>
      </c>
    </row>
    <row r="875" spans="1:24">
      <c r="A875" s="27">
        <v>1</v>
      </c>
      <c r="B875" s="27">
        <v>10</v>
      </c>
      <c r="C875" s="27">
        <v>30</v>
      </c>
      <c r="D875" s="27">
        <v>2020</v>
      </c>
      <c r="E875" s="27">
        <v>2050</v>
      </c>
      <c r="F875" s="27">
        <v>9</v>
      </c>
      <c r="G875" s="27">
        <v>30</v>
      </c>
      <c r="H875" s="27">
        <v>0</v>
      </c>
      <c r="I875" s="27">
        <v>0</v>
      </c>
      <c r="J875" s="27">
        <v>0</v>
      </c>
      <c r="K875" s="27">
        <v>5</v>
      </c>
      <c r="L875" s="27">
        <v>6500</v>
      </c>
      <c r="M875" s="27">
        <v>7100</v>
      </c>
      <c r="N875" s="27">
        <v>0</v>
      </c>
      <c r="O875" s="27">
        <v>0</v>
      </c>
      <c r="P875" s="27" t="s">
        <v>13</v>
      </c>
      <c r="Q875" s="27">
        <v>1993</v>
      </c>
      <c r="R875" s="27">
        <v>1</v>
      </c>
      <c r="S875" s="27">
        <v>0</v>
      </c>
      <c r="T875" s="27">
        <v>-1.8E-3</v>
      </c>
      <c r="U875" s="27">
        <v>-1.2E-2</v>
      </c>
      <c r="V875" s="27">
        <v>0</v>
      </c>
      <c r="W875" s="27">
        <v>0</v>
      </c>
      <c r="X875" s="27" t="s">
        <v>40</v>
      </c>
    </row>
    <row r="876" spans="1:24">
      <c r="A876" s="27">
        <v>1</v>
      </c>
      <c r="B876" s="27">
        <v>11</v>
      </c>
      <c r="C876" s="27">
        <v>31</v>
      </c>
      <c r="D876" s="27">
        <v>2010</v>
      </c>
      <c r="E876" s="27">
        <v>2019</v>
      </c>
      <c r="F876" s="27">
        <v>1</v>
      </c>
      <c r="G876" s="27">
        <v>31</v>
      </c>
      <c r="H876" s="27">
        <v>0</v>
      </c>
      <c r="I876" s="27">
        <v>0</v>
      </c>
      <c r="J876" s="27">
        <v>0</v>
      </c>
      <c r="K876" s="27">
        <v>1.3</v>
      </c>
      <c r="L876" s="27">
        <v>4500</v>
      </c>
      <c r="M876" s="27">
        <v>5100</v>
      </c>
      <c r="N876" s="27">
        <v>0</v>
      </c>
      <c r="O876" s="27">
        <v>0</v>
      </c>
      <c r="P876" s="27" t="s">
        <v>13</v>
      </c>
      <c r="Q876" s="27">
        <v>1993</v>
      </c>
      <c r="R876" s="27">
        <v>1</v>
      </c>
      <c r="S876" s="27">
        <v>0</v>
      </c>
      <c r="T876" s="27">
        <v>-1.8E-3</v>
      </c>
      <c r="U876" s="27">
        <v>-1.2E-2</v>
      </c>
      <c r="V876" s="27">
        <v>0</v>
      </c>
      <c r="W876" s="27">
        <v>0</v>
      </c>
      <c r="X876" s="27" t="s">
        <v>41</v>
      </c>
    </row>
    <row r="877" spans="1:24">
      <c r="A877" s="27">
        <v>1</v>
      </c>
      <c r="B877" s="27">
        <v>11</v>
      </c>
      <c r="C877" s="27">
        <v>31</v>
      </c>
      <c r="D877" s="27">
        <v>2010</v>
      </c>
      <c r="E877" s="27">
        <v>2019</v>
      </c>
      <c r="F877" s="27">
        <v>2</v>
      </c>
      <c r="G877" s="27">
        <v>31</v>
      </c>
      <c r="H877" s="27">
        <v>0</v>
      </c>
      <c r="I877" s="27">
        <v>0</v>
      </c>
      <c r="J877" s="27">
        <v>0</v>
      </c>
      <c r="K877" s="27">
        <v>1.3</v>
      </c>
      <c r="L877" s="27">
        <v>4500</v>
      </c>
      <c r="M877" s="27">
        <v>5100</v>
      </c>
      <c r="N877" s="27">
        <v>0</v>
      </c>
      <c r="O877" s="27">
        <v>0</v>
      </c>
      <c r="P877" s="27" t="s">
        <v>13</v>
      </c>
      <c r="Q877" s="27">
        <v>1993</v>
      </c>
      <c r="R877" s="27">
        <v>1</v>
      </c>
      <c r="S877" s="27">
        <v>0</v>
      </c>
      <c r="T877" s="27">
        <v>-1.8E-3</v>
      </c>
      <c r="U877" s="27">
        <v>-1.2E-2</v>
      </c>
      <c r="V877" s="27">
        <v>0</v>
      </c>
      <c r="W877" s="27">
        <v>0</v>
      </c>
      <c r="X877" s="27" t="s">
        <v>41</v>
      </c>
    </row>
    <row r="878" spans="1:24">
      <c r="A878" s="27">
        <v>1</v>
      </c>
      <c r="B878" s="27">
        <v>11</v>
      </c>
      <c r="C878" s="27">
        <v>31</v>
      </c>
      <c r="D878" s="27">
        <v>2010</v>
      </c>
      <c r="E878" s="27">
        <v>2019</v>
      </c>
      <c r="F878" s="27">
        <v>3</v>
      </c>
      <c r="G878" s="27">
        <v>31</v>
      </c>
      <c r="H878" s="27">
        <v>0</v>
      </c>
      <c r="I878" s="27">
        <v>0</v>
      </c>
      <c r="J878" s="27">
        <v>0</v>
      </c>
      <c r="K878" s="27">
        <v>1.3</v>
      </c>
      <c r="L878" s="27">
        <v>4500</v>
      </c>
      <c r="M878" s="27">
        <v>5100</v>
      </c>
      <c r="N878" s="27">
        <v>0</v>
      </c>
      <c r="O878" s="27">
        <v>0</v>
      </c>
      <c r="P878" s="27" t="s">
        <v>13</v>
      </c>
      <c r="Q878" s="27">
        <v>1993</v>
      </c>
      <c r="R878" s="27">
        <v>1</v>
      </c>
      <c r="S878" s="27">
        <v>0</v>
      </c>
      <c r="T878" s="27">
        <v>-1.8E-3</v>
      </c>
      <c r="U878" s="27">
        <v>-1.2E-2</v>
      </c>
      <c r="V878" s="27">
        <v>0</v>
      </c>
      <c r="W878" s="27">
        <v>0</v>
      </c>
      <c r="X878" s="27" t="s">
        <v>41</v>
      </c>
    </row>
    <row r="879" spans="1:24">
      <c r="A879" s="27">
        <v>1</v>
      </c>
      <c r="B879" s="27">
        <v>11</v>
      </c>
      <c r="C879" s="27">
        <v>31</v>
      </c>
      <c r="D879" s="27">
        <v>2010</v>
      </c>
      <c r="E879" s="27">
        <v>2019</v>
      </c>
      <c r="F879" s="27">
        <v>4</v>
      </c>
      <c r="G879" s="27">
        <v>31</v>
      </c>
      <c r="H879" s="27">
        <v>0</v>
      </c>
      <c r="I879" s="27">
        <v>0</v>
      </c>
      <c r="J879" s="27">
        <v>0</v>
      </c>
      <c r="K879" s="27">
        <v>1.3</v>
      </c>
      <c r="L879" s="27">
        <v>4500</v>
      </c>
      <c r="M879" s="27">
        <v>5100</v>
      </c>
      <c r="N879" s="27">
        <v>0</v>
      </c>
      <c r="O879" s="27">
        <v>0</v>
      </c>
      <c r="P879" s="27" t="s">
        <v>13</v>
      </c>
      <c r="Q879" s="27">
        <v>1993</v>
      </c>
      <c r="R879" s="27">
        <v>1</v>
      </c>
      <c r="S879" s="27">
        <v>0</v>
      </c>
      <c r="T879" s="27">
        <v>-1.8E-3</v>
      </c>
      <c r="U879" s="27">
        <v>-1.2E-2</v>
      </c>
      <c r="V879" s="27">
        <v>0</v>
      </c>
      <c r="W879" s="27">
        <v>0</v>
      </c>
      <c r="X879" s="27" t="s">
        <v>41</v>
      </c>
    </row>
    <row r="880" spans="1:24">
      <c r="A880" s="27">
        <v>1</v>
      </c>
      <c r="B880" s="27">
        <v>11</v>
      </c>
      <c r="C880" s="27">
        <v>31</v>
      </c>
      <c r="D880" s="27">
        <v>2010</v>
      </c>
      <c r="E880" s="27">
        <v>2019</v>
      </c>
      <c r="F880" s="27">
        <v>5</v>
      </c>
      <c r="G880" s="27">
        <v>31</v>
      </c>
      <c r="H880" s="27">
        <v>0</v>
      </c>
      <c r="I880" s="27">
        <v>0</v>
      </c>
      <c r="J880" s="27">
        <v>0</v>
      </c>
      <c r="K880" s="27">
        <v>1.3</v>
      </c>
      <c r="L880" s="27">
        <v>4500</v>
      </c>
      <c r="M880" s="27">
        <v>5100</v>
      </c>
      <c r="N880" s="27">
        <v>0</v>
      </c>
      <c r="O880" s="27">
        <v>0</v>
      </c>
      <c r="P880" s="27" t="s">
        <v>13</v>
      </c>
      <c r="Q880" s="27">
        <v>1993</v>
      </c>
      <c r="R880" s="27">
        <v>1</v>
      </c>
      <c r="S880" s="27">
        <v>0</v>
      </c>
      <c r="T880" s="27">
        <v>-1.8E-3</v>
      </c>
      <c r="U880" s="27">
        <v>-1.2E-2</v>
      </c>
      <c r="V880" s="27">
        <v>0</v>
      </c>
      <c r="W880" s="27">
        <v>0</v>
      </c>
      <c r="X880" s="27" t="s">
        <v>41</v>
      </c>
    </row>
    <row r="881" spans="1:24">
      <c r="A881" s="27">
        <v>1</v>
      </c>
      <c r="B881" s="27">
        <v>11</v>
      </c>
      <c r="C881" s="27">
        <v>31</v>
      </c>
      <c r="D881" s="27">
        <v>2010</v>
      </c>
      <c r="E881" s="27">
        <v>2019</v>
      </c>
      <c r="F881" s="27">
        <v>6</v>
      </c>
      <c r="G881" s="27">
        <v>31</v>
      </c>
      <c r="H881" s="27">
        <v>0</v>
      </c>
      <c r="I881" s="27">
        <v>0</v>
      </c>
      <c r="J881" s="27">
        <v>0</v>
      </c>
      <c r="K881" s="27">
        <v>1.3</v>
      </c>
      <c r="L881" s="27">
        <v>4500</v>
      </c>
      <c r="M881" s="27">
        <v>5100</v>
      </c>
      <c r="N881" s="27">
        <v>0</v>
      </c>
      <c r="O881" s="27">
        <v>0</v>
      </c>
      <c r="P881" s="27" t="s">
        <v>13</v>
      </c>
      <c r="Q881" s="27">
        <v>1993</v>
      </c>
      <c r="R881" s="27">
        <v>1</v>
      </c>
      <c r="S881" s="27">
        <v>0</v>
      </c>
      <c r="T881" s="27">
        <v>-1.8E-3</v>
      </c>
      <c r="U881" s="27">
        <v>-1.2E-2</v>
      </c>
      <c r="V881" s="27">
        <v>0</v>
      </c>
      <c r="W881" s="27">
        <v>0</v>
      </c>
      <c r="X881" s="27" t="s">
        <v>41</v>
      </c>
    </row>
    <row r="882" spans="1:24">
      <c r="A882" s="27">
        <v>1</v>
      </c>
      <c r="B882" s="27">
        <v>11</v>
      </c>
      <c r="C882" s="27">
        <v>31</v>
      </c>
      <c r="D882" s="27">
        <v>2010</v>
      </c>
      <c r="E882" s="27">
        <v>2019</v>
      </c>
      <c r="F882" s="27">
        <v>7</v>
      </c>
      <c r="G882" s="27">
        <v>31</v>
      </c>
      <c r="H882" s="27">
        <v>0</v>
      </c>
      <c r="I882" s="27">
        <v>0</v>
      </c>
      <c r="J882" s="27">
        <v>0</v>
      </c>
      <c r="K882" s="27">
        <v>1.3</v>
      </c>
      <c r="L882" s="27">
        <v>4500</v>
      </c>
      <c r="M882" s="27">
        <v>5100</v>
      </c>
      <c r="N882" s="27">
        <v>0</v>
      </c>
      <c r="O882" s="27">
        <v>0</v>
      </c>
      <c r="P882" s="27" t="s">
        <v>13</v>
      </c>
      <c r="Q882" s="27">
        <v>1993</v>
      </c>
      <c r="R882" s="27">
        <v>1</v>
      </c>
      <c r="S882" s="27">
        <v>0</v>
      </c>
      <c r="T882" s="27">
        <v>-1.8E-3</v>
      </c>
      <c r="U882" s="27">
        <v>-1.2E-2</v>
      </c>
      <c r="V882" s="27">
        <v>0</v>
      </c>
      <c r="W882" s="27">
        <v>0</v>
      </c>
      <c r="X882" s="27" t="s">
        <v>41</v>
      </c>
    </row>
    <row r="883" spans="1:24">
      <c r="A883" s="27">
        <v>1</v>
      </c>
      <c r="B883" s="27">
        <v>11</v>
      </c>
      <c r="C883" s="27">
        <v>31</v>
      </c>
      <c r="D883" s="27">
        <v>2010</v>
      </c>
      <c r="E883" s="27">
        <v>2019</v>
      </c>
      <c r="F883" s="27">
        <v>8</v>
      </c>
      <c r="G883" s="27">
        <v>31</v>
      </c>
      <c r="H883" s="27">
        <v>0</v>
      </c>
      <c r="I883" s="27">
        <v>0</v>
      </c>
      <c r="J883" s="27">
        <v>0</v>
      </c>
      <c r="K883" s="27">
        <v>1.3</v>
      </c>
      <c r="L883" s="27">
        <v>4500</v>
      </c>
      <c r="M883" s="27">
        <v>5100</v>
      </c>
      <c r="N883" s="27">
        <v>0</v>
      </c>
      <c r="O883" s="27">
        <v>0</v>
      </c>
      <c r="P883" s="27" t="s">
        <v>13</v>
      </c>
      <c r="Q883" s="27">
        <v>1993</v>
      </c>
      <c r="R883" s="27">
        <v>1</v>
      </c>
      <c r="S883" s="27">
        <v>0</v>
      </c>
      <c r="T883" s="27">
        <v>-1.8E-3</v>
      </c>
      <c r="U883" s="27">
        <v>-1.2E-2</v>
      </c>
      <c r="V883" s="27">
        <v>0</v>
      </c>
      <c r="W883" s="27">
        <v>0</v>
      </c>
      <c r="X883" s="27" t="s">
        <v>41</v>
      </c>
    </row>
    <row r="884" spans="1:24">
      <c r="A884" s="27">
        <v>1</v>
      </c>
      <c r="B884" s="27">
        <v>11</v>
      </c>
      <c r="C884" s="27">
        <v>31</v>
      </c>
      <c r="D884" s="27">
        <v>2010</v>
      </c>
      <c r="E884" s="27">
        <v>2019</v>
      </c>
      <c r="F884" s="27">
        <v>9</v>
      </c>
      <c r="G884" s="27">
        <v>31</v>
      </c>
      <c r="H884" s="27">
        <v>0</v>
      </c>
      <c r="I884" s="27">
        <v>0</v>
      </c>
      <c r="J884" s="27">
        <v>0</v>
      </c>
      <c r="K884" s="27">
        <v>1.3</v>
      </c>
      <c r="L884" s="27">
        <v>4500</v>
      </c>
      <c r="M884" s="27">
        <v>5100</v>
      </c>
      <c r="N884" s="27">
        <v>0</v>
      </c>
      <c r="O884" s="27">
        <v>0</v>
      </c>
      <c r="P884" s="27" t="s">
        <v>13</v>
      </c>
      <c r="Q884" s="27">
        <v>1993</v>
      </c>
      <c r="R884" s="27">
        <v>1</v>
      </c>
      <c r="S884" s="27">
        <v>0</v>
      </c>
      <c r="T884" s="27">
        <v>-1.8E-3</v>
      </c>
      <c r="U884" s="27">
        <v>-1.2E-2</v>
      </c>
      <c r="V884" s="27">
        <v>0</v>
      </c>
      <c r="W884" s="27">
        <v>0</v>
      </c>
      <c r="X884" s="27" t="s">
        <v>41</v>
      </c>
    </row>
    <row r="885" spans="1:24">
      <c r="A885" s="27">
        <v>1</v>
      </c>
      <c r="B885" s="27">
        <v>11</v>
      </c>
      <c r="C885" s="27">
        <v>31</v>
      </c>
      <c r="D885" s="27">
        <v>2020</v>
      </c>
      <c r="E885" s="27">
        <v>2050</v>
      </c>
      <c r="F885" s="27">
        <v>1</v>
      </c>
      <c r="G885" s="27">
        <v>31</v>
      </c>
      <c r="H885" s="27">
        <v>0</v>
      </c>
      <c r="I885" s="27">
        <v>0</v>
      </c>
      <c r="J885" s="27">
        <v>0</v>
      </c>
      <c r="K885" s="27">
        <v>1.4</v>
      </c>
      <c r="L885" s="27">
        <v>4500</v>
      </c>
      <c r="M885" s="27">
        <v>5100</v>
      </c>
      <c r="N885" s="27">
        <v>0</v>
      </c>
      <c r="O885" s="27">
        <v>0</v>
      </c>
      <c r="P885" s="27" t="s">
        <v>13</v>
      </c>
      <c r="Q885" s="27">
        <v>1993</v>
      </c>
      <c r="R885" s="27">
        <v>1</v>
      </c>
      <c r="S885" s="27">
        <v>0</v>
      </c>
      <c r="T885" s="27">
        <v>-1.8E-3</v>
      </c>
      <c r="U885" s="27">
        <v>-1.2E-2</v>
      </c>
      <c r="V885" s="27">
        <v>0</v>
      </c>
      <c r="W885" s="27">
        <v>0</v>
      </c>
      <c r="X885" s="27" t="s">
        <v>41</v>
      </c>
    </row>
    <row r="886" spans="1:24">
      <c r="A886" s="27">
        <v>1</v>
      </c>
      <c r="B886" s="27">
        <v>11</v>
      </c>
      <c r="C886" s="27">
        <v>31</v>
      </c>
      <c r="D886" s="27">
        <v>2020</v>
      </c>
      <c r="E886" s="27">
        <v>2050</v>
      </c>
      <c r="F886" s="27">
        <v>2</v>
      </c>
      <c r="G886" s="27">
        <v>31</v>
      </c>
      <c r="H886" s="27">
        <v>0</v>
      </c>
      <c r="I886" s="27">
        <v>0</v>
      </c>
      <c r="J886" s="27">
        <v>0</v>
      </c>
      <c r="K886" s="27">
        <v>1.4</v>
      </c>
      <c r="L886" s="27">
        <v>4500</v>
      </c>
      <c r="M886" s="27">
        <v>5100</v>
      </c>
      <c r="N886" s="27">
        <v>0</v>
      </c>
      <c r="O886" s="27">
        <v>0</v>
      </c>
      <c r="P886" s="27" t="s">
        <v>13</v>
      </c>
      <c r="Q886" s="27">
        <v>1993</v>
      </c>
      <c r="R886" s="27">
        <v>1</v>
      </c>
      <c r="S886" s="27">
        <v>0</v>
      </c>
      <c r="T886" s="27">
        <v>-1.8E-3</v>
      </c>
      <c r="U886" s="27">
        <v>-1.2E-2</v>
      </c>
      <c r="V886" s="27">
        <v>0</v>
      </c>
      <c r="W886" s="27">
        <v>0</v>
      </c>
      <c r="X886" s="27" t="s">
        <v>41</v>
      </c>
    </row>
    <row r="887" spans="1:24">
      <c r="A887" s="27">
        <v>1</v>
      </c>
      <c r="B887" s="27">
        <v>11</v>
      </c>
      <c r="C887" s="27">
        <v>31</v>
      </c>
      <c r="D887" s="27">
        <v>2020</v>
      </c>
      <c r="E887" s="27">
        <v>2050</v>
      </c>
      <c r="F887" s="27">
        <v>3</v>
      </c>
      <c r="G887" s="27">
        <v>31</v>
      </c>
      <c r="H887" s="27">
        <v>0</v>
      </c>
      <c r="I887" s="27">
        <v>0</v>
      </c>
      <c r="J887" s="27">
        <v>0</v>
      </c>
      <c r="K887" s="27">
        <v>1.4</v>
      </c>
      <c r="L887" s="27">
        <v>4500</v>
      </c>
      <c r="M887" s="27">
        <v>5100</v>
      </c>
      <c r="N887" s="27">
        <v>0</v>
      </c>
      <c r="O887" s="27">
        <v>0</v>
      </c>
      <c r="P887" s="27" t="s">
        <v>13</v>
      </c>
      <c r="Q887" s="27">
        <v>1993</v>
      </c>
      <c r="R887" s="27">
        <v>1</v>
      </c>
      <c r="S887" s="27">
        <v>0</v>
      </c>
      <c r="T887" s="27">
        <v>-1.8E-3</v>
      </c>
      <c r="U887" s="27">
        <v>-1.2E-2</v>
      </c>
      <c r="V887" s="27">
        <v>0</v>
      </c>
      <c r="W887" s="27">
        <v>0</v>
      </c>
      <c r="X887" s="27" t="s">
        <v>41</v>
      </c>
    </row>
    <row r="888" spans="1:24">
      <c r="A888" s="27">
        <v>1</v>
      </c>
      <c r="B888" s="27">
        <v>11</v>
      </c>
      <c r="C888" s="27">
        <v>31</v>
      </c>
      <c r="D888" s="27">
        <v>2020</v>
      </c>
      <c r="E888" s="27">
        <v>2050</v>
      </c>
      <c r="F888" s="27">
        <v>4</v>
      </c>
      <c r="G888" s="27">
        <v>31</v>
      </c>
      <c r="H888" s="27">
        <v>0</v>
      </c>
      <c r="I888" s="27">
        <v>0</v>
      </c>
      <c r="J888" s="27">
        <v>0</v>
      </c>
      <c r="K888" s="27">
        <v>1.4</v>
      </c>
      <c r="L888" s="27">
        <v>4500</v>
      </c>
      <c r="M888" s="27">
        <v>5100</v>
      </c>
      <c r="N888" s="27">
        <v>0</v>
      </c>
      <c r="O888" s="27">
        <v>0</v>
      </c>
      <c r="P888" s="27" t="s">
        <v>13</v>
      </c>
      <c r="Q888" s="27">
        <v>1993</v>
      </c>
      <c r="R888" s="27">
        <v>1</v>
      </c>
      <c r="S888" s="27">
        <v>0</v>
      </c>
      <c r="T888" s="27">
        <v>-1.8E-3</v>
      </c>
      <c r="U888" s="27">
        <v>-1.2E-2</v>
      </c>
      <c r="V888" s="27">
        <v>0</v>
      </c>
      <c r="W888" s="27">
        <v>0</v>
      </c>
      <c r="X888" s="27" t="s">
        <v>41</v>
      </c>
    </row>
    <row r="889" spans="1:24">
      <c r="A889" s="27">
        <v>1</v>
      </c>
      <c r="B889" s="27">
        <v>11</v>
      </c>
      <c r="C889" s="27">
        <v>31</v>
      </c>
      <c r="D889" s="27">
        <v>2020</v>
      </c>
      <c r="E889" s="27">
        <v>2050</v>
      </c>
      <c r="F889" s="27">
        <v>5</v>
      </c>
      <c r="G889" s="27">
        <v>31</v>
      </c>
      <c r="H889" s="27">
        <v>0</v>
      </c>
      <c r="I889" s="27">
        <v>0</v>
      </c>
      <c r="J889" s="27">
        <v>0</v>
      </c>
      <c r="K889" s="27">
        <v>1.4</v>
      </c>
      <c r="L889" s="27">
        <v>4500</v>
      </c>
      <c r="M889" s="27">
        <v>5100</v>
      </c>
      <c r="N889" s="27">
        <v>0</v>
      </c>
      <c r="O889" s="27">
        <v>0</v>
      </c>
      <c r="P889" s="27" t="s">
        <v>13</v>
      </c>
      <c r="Q889" s="27">
        <v>1993</v>
      </c>
      <c r="R889" s="27">
        <v>1</v>
      </c>
      <c r="S889" s="27">
        <v>0</v>
      </c>
      <c r="T889" s="27">
        <v>-1.8E-3</v>
      </c>
      <c r="U889" s="27">
        <v>-1.2E-2</v>
      </c>
      <c r="V889" s="27">
        <v>0</v>
      </c>
      <c r="W889" s="27">
        <v>0</v>
      </c>
      <c r="X889" s="27" t="s">
        <v>41</v>
      </c>
    </row>
    <row r="890" spans="1:24">
      <c r="A890" s="27">
        <v>1</v>
      </c>
      <c r="B890" s="27">
        <v>11</v>
      </c>
      <c r="C890" s="27">
        <v>31</v>
      </c>
      <c r="D890" s="27">
        <v>2020</v>
      </c>
      <c r="E890" s="27">
        <v>2050</v>
      </c>
      <c r="F890" s="27">
        <v>6</v>
      </c>
      <c r="G890" s="27">
        <v>31</v>
      </c>
      <c r="H890" s="27">
        <v>0</v>
      </c>
      <c r="I890" s="27">
        <v>0</v>
      </c>
      <c r="J890" s="27">
        <v>0</v>
      </c>
      <c r="K890" s="27">
        <v>1.4</v>
      </c>
      <c r="L890" s="27">
        <v>4500</v>
      </c>
      <c r="M890" s="27">
        <v>5100</v>
      </c>
      <c r="N890" s="27">
        <v>0</v>
      </c>
      <c r="O890" s="27">
        <v>0</v>
      </c>
      <c r="P890" s="27" t="s">
        <v>13</v>
      </c>
      <c r="Q890" s="27">
        <v>1993</v>
      </c>
      <c r="R890" s="27">
        <v>1</v>
      </c>
      <c r="S890" s="27">
        <v>0</v>
      </c>
      <c r="T890" s="27">
        <v>-1.8E-3</v>
      </c>
      <c r="U890" s="27">
        <v>-1.2E-2</v>
      </c>
      <c r="V890" s="27">
        <v>0</v>
      </c>
      <c r="W890" s="27">
        <v>0</v>
      </c>
      <c r="X890" s="27" t="s">
        <v>41</v>
      </c>
    </row>
    <row r="891" spans="1:24">
      <c r="A891" s="27">
        <v>1</v>
      </c>
      <c r="B891" s="27">
        <v>11</v>
      </c>
      <c r="C891" s="27">
        <v>31</v>
      </c>
      <c r="D891" s="27">
        <v>2020</v>
      </c>
      <c r="E891" s="27">
        <v>2050</v>
      </c>
      <c r="F891" s="27">
        <v>7</v>
      </c>
      <c r="G891" s="27">
        <v>31</v>
      </c>
      <c r="H891" s="27">
        <v>0</v>
      </c>
      <c r="I891" s="27">
        <v>0</v>
      </c>
      <c r="J891" s="27">
        <v>0</v>
      </c>
      <c r="K891" s="27">
        <v>1.4</v>
      </c>
      <c r="L891" s="27">
        <v>4500</v>
      </c>
      <c r="M891" s="27">
        <v>5100</v>
      </c>
      <c r="N891" s="27">
        <v>0</v>
      </c>
      <c r="O891" s="27">
        <v>0</v>
      </c>
      <c r="P891" s="27" t="s">
        <v>13</v>
      </c>
      <c r="Q891" s="27">
        <v>1993</v>
      </c>
      <c r="R891" s="27">
        <v>1</v>
      </c>
      <c r="S891" s="27">
        <v>0</v>
      </c>
      <c r="T891" s="27">
        <v>-1.8E-3</v>
      </c>
      <c r="U891" s="27">
        <v>-1.2E-2</v>
      </c>
      <c r="V891" s="27">
        <v>0</v>
      </c>
      <c r="W891" s="27">
        <v>0</v>
      </c>
      <c r="X891" s="27" t="s">
        <v>41</v>
      </c>
    </row>
    <row r="892" spans="1:24">
      <c r="A892" s="27">
        <v>1</v>
      </c>
      <c r="B892" s="27">
        <v>11</v>
      </c>
      <c r="C892" s="27">
        <v>31</v>
      </c>
      <c r="D892" s="27">
        <v>2020</v>
      </c>
      <c r="E892" s="27">
        <v>2050</v>
      </c>
      <c r="F892" s="27">
        <v>8</v>
      </c>
      <c r="G892" s="27">
        <v>31</v>
      </c>
      <c r="H892" s="27">
        <v>0</v>
      </c>
      <c r="I892" s="27">
        <v>0</v>
      </c>
      <c r="J892" s="27">
        <v>0</v>
      </c>
      <c r="K892" s="27">
        <v>1.4</v>
      </c>
      <c r="L892" s="27">
        <v>4500</v>
      </c>
      <c r="M892" s="27">
        <v>5100</v>
      </c>
      <c r="N892" s="27">
        <v>0</v>
      </c>
      <c r="O892" s="27">
        <v>0</v>
      </c>
      <c r="P892" s="27" t="s">
        <v>13</v>
      </c>
      <c r="Q892" s="27">
        <v>1993</v>
      </c>
      <c r="R892" s="27">
        <v>1</v>
      </c>
      <c r="S892" s="27">
        <v>0</v>
      </c>
      <c r="T892" s="27">
        <v>-1.8E-3</v>
      </c>
      <c r="U892" s="27">
        <v>-1.2E-2</v>
      </c>
      <c r="V892" s="27">
        <v>0</v>
      </c>
      <c r="W892" s="27">
        <v>0</v>
      </c>
      <c r="X892" s="27" t="s">
        <v>41</v>
      </c>
    </row>
    <row r="893" spans="1:24">
      <c r="A893" s="27">
        <v>1</v>
      </c>
      <c r="B893" s="27">
        <v>11</v>
      </c>
      <c r="C893" s="27">
        <v>31</v>
      </c>
      <c r="D893" s="27">
        <v>2020</v>
      </c>
      <c r="E893" s="27">
        <v>2050</v>
      </c>
      <c r="F893" s="27">
        <v>9</v>
      </c>
      <c r="G893" s="27">
        <v>31</v>
      </c>
      <c r="H893" s="27">
        <v>0</v>
      </c>
      <c r="I893" s="27">
        <v>0</v>
      </c>
      <c r="J893" s="27">
        <v>0</v>
      </c>
      <c r="K893" s="27">
        <v>1.4</v>
      </c>
      <c r="L893" s="27">
        <v>4500</v>
      </c>
      <c r="M893" s="27">
        <v>5100</v>
      </c>
      <c r="N893" s="27">
        <v>0</v>
      </c>
      <c r="O893" s="27">
        <v>0</v>
      </c>
      <c r="P893" s="27" t="s">
        <v>13</v>
      </c>
      <c r="Q893" s="27">
        <v>1993</v>
      </c>
      <c r="R893" s="27">
        <v>1</v>
      </c>
      <c r="S893" s="27">
        <v>0</v>
      </c>
      <c r="T893" s="27">
        <v>-1.8E-3</v>
      </c>
      <c r="U893" s="27">
        <v>-1.2E-2</v>
      </c>
      <c r="V893" s="27">
        <v>0</v>
      </c>
      <c r="W893" s="27">
        <v>0</v>
      </c>
      <c r="X893" s="27" t="s">
        <v>41</v>
      </c>
    </row>
    <row r="894" spans="1:24">
      <c r="A894" s="27">
        <v>2</v>
      </c>
      <c r="B894" s="27">
        <v>1</v>
      </c>
      <c r="C894" s="27">
        <v>1</v>
      </c>
      <c r="D894" s="27">
        <v>2010</v>
      </c>
      <c r="E894" s="27">
        <v>2013</v>
      </c>
      <c r="F894" s="27">
        <v>1</v>
      </c>
      <c r="G894" s="27">
        <v>32</v>
      </c>
      <c r="H894" s="27">
        <v>-1</v>
      </c>
      <c r="I894" s="27">
        <v>0</v>
      </c>
      <c r="J894" s="27">
        <v>0</v>
      </c>
      <c r="K894" s="27">
        <v>2.87</v>
      </c>
      <c r="L894" s="27">
        <v>275</v>
      </c>
      <c r="M894" s="27">
        <v>275</v>
      </c>
      <c r="N894" s="27">
        <v>0</v>
      </c>
      <c r="O894" s="27">
        <v>0</v>
      </c>
      <c r="P894" s="27" t="s">
        <v>13</v>
      </c>
      <c r="Q894" s="27">
        <v>1993</v>
      </c>
      <c r="R894" s="27">
        <v>1</v>
      </c>
      <c r="S894" s="27">
        <v>0</v>
      </c>
      <c r="T894" s="27">
        <v>-5.0000000000000001E-3</v>
      </c>
      <c r="U894" s="27">
        <v>-1.2E-2</v>
      </c>
      <c r="V894" s="27">
        <v>0</v>
      </c>
      <c r="W894" s="27">
        <v>0</v>
      </c>
      <c r="X894" s="27" t="s">
        <v>42</v>
      </c>
    </row>
    <row r="895" spans="1:24">
      <c r="A895" s="27">
        <v>2</v>
      </c>
      <c r="B895" s="27">
        <v>1</v>
      </c>
      <c r="C895" s="27">
        <v>1</v>
      </c>
      <c r="D895" s="27">
        <v>2010</v>
      </c>
      <c r="E895" s="27">
        <v>2013</v>
      </c>
      <c r="F895" s="27">
        <v>2</v>
      </c>
      <c r="G895" s="27">
        <v>32</v>
      </c>
      <c r="H895" s="27">
        <v>-1</v>
      </c>
      <c r="I895" s="27">
        <v>0</v>
      </c>
      <c r="J895" s="27">
        <v>0</v>
      </c>
      <c r="K895" s="27">
        <v>2.87</v>
      </c>
      <c r="L895" s="27">
        <v>275</v>
      </c>
      <c r="M895" s="27">
        <v>275</v>
      </c>
      <c r="N895" s="27">
        <v>0</v>
      </c>
      <c r="O895" s="27">
        <v>0</v>
      </c>
      <c r="P895" s="27" t="s">
        <v>13</v>
      </c>
      <c r="Q895" s="27">
        <v>1993</v>
      </c>
      <c r="R895" s="27">
        <v>1</v>
      </c>
      <c r="S895" s="27">
        <v>0</v>
      </c>
      <c r="T895" s="27">
        <v>-5.0000000000000001E-3</v>
      </c>
      <c r="U895" s="27">
        <v>-1.2E-2</v>
      </c>
      <c r="V895" s="27">
        <v>0</v>
      </c>
      <c r="W895" s="27">
        <v>0</v>
      </c>
      <c r="X895" s="27" t="s">
        <v>42</v>
      </c>
    </row>
    <row r="896" spans="1:24">
      <c r="A896" s="27">
        <v>2</v>
      </c>
      <c r="B896" s="27">
        <v>1</v>
      </c>
      <c r="C896" s="27">
        <v>1</v>
      </c>
      <c r="D896" s="27">
        <v>2010</v>
      </c>
      <c r="E896" s="27">
        <v>2013</v>
      </c>
      <c r="F896" s="27">
        <v>3</v>
      </c>
      <c r="G896" s="27">
        <v>32</v>
      </c>
      <c r="H896" s="27">
        <v>-1</v>
      </c>
      <c r="I896" s="27">
        <v>0</v>
      </c>
      <c r="J896" s="27">
        <v>0</v>
      </c>
      <c r="K896" s="27">
        <v>2.87</v>
      </c>
      <c r="L896" s="27">
        <v>275</v>
      </c>
      <c r="M896" s="27">
        <v>275</v>
      </c>
      <c r="N896" s="27">
        <v>0</v>
      </c>
      <c r="O896" s="27">
        <v>0</v>
      </c>
      <c r="P896" s="27" t="s">
        <v>13</v>
      </c>
      <c r="Q896" s="27">
        <v>1993</v>
      </c>
      <c r="R896" s="27">
        <v>1</v>
      </c>
      <c r="S896" s="27">
        <v>0</v>
      </c>
      <c r="T896" s="27">
        <v>-5.0000000000000001E-3</v>
      </c>
      <c r="U896" s="27">
        <v>-1.2E-2</v>
      </c>
      <c r="V896" s="27">
        <v>0</v>
      </c>
      <c r="W896" s="27">
        <v>0</v>
      </c>
      <c r="X896" s="27" t="s">
        <v>42</v>
      </c>
    </row>
    <row r="897" spans="1:24">
      <c r="A897" s="27">
        <v>2</v>
      </c>
      <c r="B897" s="27">
        <v>1</v>
      </c>
      <c r="C897" s="27">
        <v>1</v>
      </c>
      <c r="D897" s="27">
        <v>2010</v>
      </c>
      <c r="E897" s="27">
        <v>2013</v>
      </c>
      <c r="F897" s="27">
        <v>4</v>
      </c>
      <c r="G897" s="27">
        <v>32</v>
      </c>
      <c r="H897" s="27">
        <v>-1</v>
      </c>
      <c r="I897" s="27">
        <v>0</v>
      </c>
      <c r="J897" s="27">
        <v>0</v>
      </c>
      <c r="K897" s="27">
        <v>2.87</v>
      </c>
      <c r="L897" s="27">
        <v>275</v>
      </c>
      <c r="M897" s="27">
        <v>275</v>
      </c>
      <c r="N897" s="27">
        <v>0</v>
      </c>
      <c r="O897" s="27">
        <v>0</v>
      </c>
      <c r="P897" s="27" t="s">
        <v>13</v>
      </c>
      <c r="Q897" s="27">
        <v>1993</v>
      </c>
      <c r="R897" s="27">
        <v>1</v>
      </c>
      <c r="S897" s="27">
        <v>0</v>
      </c>
      <c r="T897" s="27">
        <v>-5.0000000000000001E-3</v>
      </c>
      <c r="U897" s="27">
        <v>-1.2E-2</v>
      </c>
      <c r="V897" s="27">
        <v>0</v>
      </c>
      <c r="W897" s="27">
        <v>0</v>
      </c>
      <c r="X897" s="27" t="s">
        <v>42</v>
      </c>
    </row>
    <row r="898" spans="1:24">
      <c r="A898" s="27">
        <v>2</v>
      </c>
      <c r="B898" s="27">
        <v>1</v>
      </c>
      <c r="C898" s="27">
        <v>1</v>
      </c>
      <c r="D898" s="27">
        <v>2010</v>
      </c>
      <c r="E898" s="27">
        <v>2013</v>
      </c>
      <c r="F898" s="27">
        <v>5</v>
      </c>
      <c r="G898" s="27">
        <v>32</v>
      </c>
      <c r="H898" s="27">
        <v>-1</v>
      </c>
      <c r="I898" s="27">
        <v>0</v>
      </c>
      <c r="J898" s="27">
        <v>0</v>
      </c>
      <c r="K898" s="27">
        <v>2.87</v>
      </c>
      <c r="L898" s="27">
        <v>275</v>
      </c>
      <c r="M898" s="27">
        <v>275</v>
      </c>
      <c r="N898" s="27">
        <v>0</v>
      </c>
      <c r="O898" s="27">
        <v>0</v>
      </c>
      <c r="P898" s="27" t="s">
        <v>13</v>
      </c>
      <c r="Q898" s="27">
        <v>1993</v>
      </c>
      <c r="R898" s="27">
        <v>1</v>
      </c>
      <c r="S898" s="27">
        <v>0</v>
      </c>
      <c r="T898" s="27">
        <v>-5.0000000000000001E-3</v>
      </c>
      <c r="U898" s="27">
        <v>-1.2E-2</v>
      </c>
      <c r="V898" s="27">
        <v>0</v>
      </c>
      <c r="W898" s="27">
        <v>0</v>
      </c>
      <c r="X898" s="27" t="s">
        <v>42</v>
      </c>
    </row>
    <row r="899" spans="1:24">
      <c r="A899" s="27">
        <v>2</v>
      </c>
      <c r="B899" s="27">
        <v>1</v>
      </c>
      <c r="C899" s="27">
        <v>1</v>
      </c>
      <c r="D899" s="27">
        <v>2010</v>
      </c>
      <c r="E899" s="27">
        <v>2013</v>
      </c>
      <c r="F899" s="27">
        <v>6</v>
      </c>
      <c r="G899" s="27">
        <v>32</v>
      </c>
      <c r="H899" s="27">
        <v>-1</v>
      </c>
      <c r="I899" s="27">
        <v>0</v>
      </c>
      <c r="J899" s="27">
        <v>0</v>
      </c>
      <c r="K899" s="27">
        <v>2.87</v>
      </c>
      <c r="L899" s="27">
        <v>275</v>
      </c>
      <c r="M899" s="27">
        <v>275</v>
      </c>
      <c r="N899" s="27">
        <v>0</v>
      </c>
      <c r="O899" s="27">
        <v>0</v>
      </c>
      <c r="P899" s="27" t="s">
        <v>13</v>
      </c>
      <c r="Q899" s="27">
        <v>1993</v>
      </c>
      <c r="R899" s="27">
        <v>1</v>
      </c>
      <c r="S899" s="27">
        <v>0</v>
      </c>
      <c r="T899" s="27">
        <v>-5.0000000000000001E-3</v>
      </c>
      <c r="U899" s="27">
        <v>-1.2E-2</v>
      </c>
      <c r="V899" s="27">
        <v>0</v>
      </c>
      <c r="W899" s="27">
        <v>0</v>
      </c>
      <c r="X899" s="27" t="s">
        <v>42</v>
      </c>
    </row>
    <row r="900" spans="1:24">
      <c r="A900" s="27">
        <v>2</v>
      </c>
      <c r="B900" s="27">
        <v>1</v>
      </c>
      <c r="C900" s="27">
        <v>1</v>
      </c>
      <c r="D900" s="27">
        <v>2010</v>
      </c>
      <c r="E900" s="27">
        <v>2013</v>
      </c>
      <c r="F900" s="27">
        <v>7</v>
      </c>
      <c r="G900" s="27">
        <v>32</v>
      </c>
      <c r="H900" s="27">
        <v>-1</v>
      </c>
      <c r="I900" s="27">
        <v>0</v>
      </c>
      <c r="J900" s="27">
        <v>0</v>
      </c>
      <c r="K900" s="27">
        <v>2.87</v>
      </c>
      <c r="L900" s="27">
        <v>275</v>
      </c>
      <c r="M900" s="27">
        <v>275</v>
      </c>
      <c r="N900" s="27">
        <v>0</v>
      </c>
      <c r="O900" s="27">
        <v>0</v>
      </c>
      <c r="P900" s="27" t="s">
        <v>13</v>
      </c>
      <c r="Q900" s="27">
        <v>1993</v>
      </c>
      <c r="R900" s="27">
        <v>1</v>
      </c>
      <c r="S900" s="27">
        <v>0</v>
      </c>
      <c r="T900" s="27">
        <v>-5.0000000000000001E-3</v>
      </c>
      <c r="U900" s="27">
        <v>-1.2E-2</v>
      </c>
      <c r="V900" s="27">
        <v>0</v>
      </c>
      <c r="W900" s="27">
        <v>0</v>
      </c>
      <c r="X900" s="27" t="s">
        <v>42</v>
      </c>
    </row>
    <row r="901" spans="1:24">
      <c r="A901" s="27">
        <v>2</v>
      </c>
      <c r="B901" s="27">
        <v>1</v>
      </c>
      <c r="C901" s="27">
        <v>1</v>
      </c>
      <c r="D901" s="27">
        <v>2010</v>
      </c>
      <c r="E901" s="27">
        <v>2013</v>
      </c>
      <c r="F901" s="27">
        <v>8</v>
      </c>
      <c r="G901" s="27">
        <v>32</v>
      </c>
      <c r="H901" s="27">
        <v>-1</v>
      </c>
      <c r="I901" s="27">
        <v>0</v>
      </c>
      <c r="J901" s="27">
        <v>0</v>
      </c>
      <c r="K901" s="27">
        <v>2.87</v>
      </c>
      <c r="L901" s="27">
        <v>275</v>
      </c>
      <c r="M901" s="27">
        <v>275</v>
      </c>
      <c r="N901" s="27">
        <v>0</v>
      </c>
      <c r="O901" s="27">
        <v>0</v>
      </c>
      <c r="P901" s="27" t="s">
        <v>13</v>
      </c>
      <c r="Q901" s="27">
        <v>1993</v>
      </c>
      <c r="R901" s="27">
        <v>1</v>
      </c>
      <c r="S901" s="27">
        <v>0</v>
      </c>
      <c r="T901" s="27">
        <v>-5.0000000000000001E-3</v>
      </c>
      <c r="U901" s="27">
        <v>-1.2E-2</v>
      </c>
      <c r="V901" s="27">
        <v>0</v>
      </c>
      <c r="W901" s="27">
        <v>0</v>
      </c>
      <c r="X901" s="27" t="s">
        <v>42</v>
      </c>
    </row>
    <row r="902" spans="1:24">
      <c r="A902" s="27">
        <v>2</v>
      </c>
      <c r="B902" s="27">
        <v>1</v>
      </c>
      <c r="C902" s="27">
        <v>1</v>
      </c>
      <c r="D902" s="27">
        <v>2010</v>
      </c>
      <c r="E902" s="27">
        <v>2013</v>
      </c>
      <c r="F902" s="27">
        <v>9</v>
      </c>
      <c r="G902" s="27">
        <v>32</v>
      </c>
      <c r="H902" s="27">
        <v>-1</v>
      </c>
      <c r="I902" s="27">
        <v>0</v>
      </c>
      <c r="J902" s="27">
        <v>0</v>
      </c>
      <c r="K902" s="27">
        <v>2.87</v>
      </c>
      <c r="L902" s="27">
        <v>275</v>
      </c>
      <c r="M902" s="27">
        <v>275</v>
      </c>
      <c r="N902" s="27">
        <v>0</v>
      </c>
      <c r="O902" s="27">
        <v>0</v>
      </c>
      <c r="P902" s="27" t="s">
        <v>13</v>
      </c>
      <c r="Q902" s="27">
        <v>1993</v>
      </c>
      <c r="R902" s="27">
        <v>1</v>
      </c>
      <c r="S902" s="27">
        <v>0</v>
      </c>
      <c r="T902" s="27">
        <v>-5.0000000000000001E-3</v>
      </c>
      <c r="U902" s="27">
        <v>-1.2E-2</v>
      </c>
      <c r="V902" s="27">
        <v>0</v>
      </c>
      <c r="W902" s="27">
        <v>0</v>
      </c>
      <c r="X902" s="27" t="s">
        <v>42</v>
      </c>
    </row>
    <row r="903" spans="1:24">
      <c r="A903" s="27">
        <v>2</v>
      </c>
      <c r="B903" s="27">
        <v>1</v>
      </c>
      <c r="C903" s="27">
        <v>1</v>
      </c>
      <c r="D903" s="27">
        <v>2014</v>
      </c>
      <c r="E903" s="27">
        <v>2050</v>
      </c>
      <c r="F903" s="27">
        <v>1</v>
      </c>
      <c r="G903" s="27">
        <v>32</v>
      </c>
      <c r="H903" s="27">
        <v>-1</v>
      </c>
      <c r="I903" s="27">
        <v>0</v>
      </c>
      <c r="J903" s="27">
        <v>0</v>
      </c>
      <c r="K903" s="27">
        <v>3.22</v>
      </c>
      <c r="L903" s="27">
        <v>295</v>
      </c>
      <c r="M903" s="27">
        <v>295</v>
      </c>
      <c r="N903" s="27">
        <v>0</v>
      </c>
      <c r="O903" s="27">
        <v>0</v>
      </c>
      <c r="P903" s="27" t="s">
        <v>13</v>
      </c>
      <c r="Q903" s="27">
        <v>1993</v>
      </c>
      <c r="R903" s="27">
        <v>1</v>
      </c>
      <c r="S903" s="27">
        <v>0</v>
      </c>
      <c r="T903" s="27">
        <v>-1</v>
      </c>
      <c r="U903" s="27">
        <v>-1</v>
      </c>
      <c r="V903" s="27">
        <v>0</v>
      </c>
      <c r="W903" s="27">
        <v>0</v>
      </c>
      <c r="X903" s="27" t="s">
        <v>42</v>
      </c>
    </row>
    <row r="904" spans="1:24">
      <c r="A904" s="27">
        <v>2</v>
      </c>
      <c r="B904" s="27">
        <v>1</v>
      </c>
      <c r="C904" s="27">
        <v>1</v>
      </c>
      <c r="D904" s="27">
        <v>2014</v>
      </c>
      <c r="E904" s="27">
        <v>2050</v>
      </c>
      <c r="F904" s="27">
        <v>2</v>
      </c>
      <c r="G904" s="27">
        <v>32</v>
      </c>
      <c r="H904" s="27">
        <v>-1</v>
      </c>
      <c r="I904" s="27">
        <v>0</v>
      </c>
      <c r="J904" s="27">
        <v>0</v>
      </c>
      <c r="K904" s="27">
        <v>3.22</v>
      </c>
      <c r="L904" s="27">
        <v>295</v>
      </c>
      <c r="M904" s="27">
        <v>295</v>
      </c>
      <c r="N904" s="27">
        <v>0</v>
      </c>
      <c r="O904" s="27">
        <v>0</v>
      </c>
      <c r="P904" s="27" t="s">
        <v>13</v>
      </c>
      <c r="Q904" s="27">
        <v>1993</v>
      </c>
      <c r="R904" s="27">
        <v>1</v>
      </c>
      <c r="S904" s="27">
        <v>0</v>
      </c>
      <c r="T904" s="27">
        <v>-1</v>
      </c>
      <c r="U904" s="27">
        <v>-1</v>
      </c>
      <c r="V904" s="27">
        <v>0</v>
      </c>
      <c r="W904" s="27">
        <v>0</v>
      </c>
      <c r="X904" s="27" t="s">
        <v>42</v>
      </c>
    </row>
    <row r="905" spans="1:24">
      <c r="A905" s="27">
        <v>2</v>
      </c>
      <c r="B905" s="27">
        <v>1</v>
      </c>
      <c r="C905" s="27">
        <v>1</v>
      </c>
      <c r="D905" s="27">
        <v>2014</v>
      </c>
      <c r="E905" s="27">
        <v>2050</v>
      </c>
      <c r="F905" s="27">
        <v>3</v>
      </c>
      <c r="G905" s="27">
        <v>32</v>
      </c>
      <c r="H905" s="27">
        <v>-1</v>
      </c>
      <c r="I905" s="27">
        <v>0</v>
      </c>
      <c r="J905" s="27">
        <v>0</v>
      </c>
      <c r="K905" s="27">
        <v>3.22</v>
      </c>
      <c r="L905" s="27">
        <v>295</v>
      </c>
      <c r="M905" s="27">
        <v>295</v>
      </c>
      <c r="N905" s="27">
        <v>0</v>
      </c>
      <c r="O905" s="27">
        <v>0</v>
      </c>
      <c r="P905" s="27" t="s">
        <v>13</v>
      </c>
      <c r="Q905" s="27">
        <v>1993</v>
      </c>
      <c r="R905" s="27">
        <v>1</v>
      </c>
      <c r="S905" s="27">
        <v>0</v>
      </c>
      <c r="T905" s="27">
        <v>-1</v>
      </c>
      <c r="U905" s="27">
        <v>-1</v>
      </c>
      <c r="V905" s="27">
        <v>0</v>
      </c>
      <c r="W905" s="27">
        <v>0</v>
      </c>
      <c r="X905" s="27" t="s">
        <v>42</v>
      </c>
    </row>
    <row r="906" spans="1:24">
      <c r="A906" s="27">
        <v>2</v>
      </c>
      <c r="B906" s="27">
        <v>1</v>
      </c>
      <c r="C906" s="27">
        <v>1</v>
      </c>
      <c r="D906" s="27">
        <v>2014</v>
      </c>
      <c r="E906" s="27">
        <v>2050</v>
      </c>
      <c r="F906" s="27">
        <v>4</v>
      </c>
      <c r="G906" s="27">
        <v>32</v>
      </c>
      <c r="H906" s="27">
        <v>-1</v>
      </c>
      <c r="I906" s="27">
        <v>0</v>
      </c>
      <c r="J906" s="27">
        <v>0</v>
      </c>
      <c r="K906" s="27">
        <v>3.22</v>
      </c>
      <c r="L906" s="27">
        <v>295</v>
      </c>
      <c r="M906" s="27">
        <v>295</v>
      </c>
      <c r="N906" s="27">
        <v>0</v>
      </c>
      <c r="O906" s="27">
        <v>0</v>
      </c>
      <c r="P906" s="27" t="s">
        <v>13</v>
      </c>
      <c r="Q906" s="27">
        <v>1993</v>
      </c>
      <c r="R906" s="27">
        <v>1</v>
      </c>
      <c r="S906" s="27">
        <v>0</v>
      </c>
      <c r="T906" s="27">
        <v>-1</v>
      </c>
      <c r="U906" s="27">
        <v>-1</v>
      </c>
      <c r="V906" s="27">
        <v>0</v>
      </c>
      <c r="W906" s="27">
        <v>0</v>
      </c>
      <c r="X906" s="27" t="s">
        <v>42</v>
      </c>
    </row>
    <row r="907" spans="1:24">
      <c r="A907" s="27">
        <v>2</v>
      </c>
      <c r="B907" s="27">
        <v>1</v>
      </c>
      <c r="C907" s="27">
        <v>1</v>
      </c>
      <c r="D907" s="27">
        <v>2014</v>
      </c>
      <c r="E907" s="27">
        <v>2050</v>
      </c>
      <c r="F907" s="27">
        <v>5</v>
      </c>
      <c r="G907" s="27">
        <v>32</v>
      </c>
      <c r="H907" s="27">
        <v>-1</v>
      </c>
      <c r="I907" s="27">
        <v>0</v>
      </c>
      <c r="J907" s="27">
        <v>0</v>
      </c>
      <c r="K907" s="27">
        <v>3.22</v>
      </c>
      <c r="L907" s="27">
        <v>295</v>
      </c>
      <c r="M907" s="27">
        <v>295</v>
      </c>
      <c r="N907" s="27">
        <v>0</v>
      </c>
      <c r="O907" s="27">
        <v>0</v>
      </c>
      <c r="P907" s="27" t="s">
        <v>13</v>
      </c>
      <c r="Q907" s="27">
        <v>1993</v>
      </c>
      <c r="R907" s="27">
        <v>1</v>
      </c>
      <c r="S907" s="27">
        <v>0</v>
      </c>
      <c r="T907" s="27">
        <v>-1</v>
      </c>
      <c r="U907" s="27">
        <v>-1</v>
      </c>
      <c r="V907" s="27">
        <v>0</v>
      </c>
      <c r="W907" s="27">
        <v>0</v>
      </c>
      <c r="X907" s="27" t="s">
        <v>42</v>
      </c>
    </row>
    <row r="908" spans="1:24">
      <c r="A908" s="27">
        <v>2</v>
      </c>
      <c r="B908" s="27">
        <v>1</v>
      </c>
      <c r="C908" s="27">
        <v>1</v>
      </c>
      <c r="D908" s="27">
        <v>2014</v>
      </c>
      <c r="E908" s="27">
        <v>2050</v>
      </c>
      <c r="F908" s="27">
        <v>6</v>
      </c>
      <c r="G908" s="27">
        <v>32</v>
      </c>
      <c r="H908" s="27">
        <v>-1</v>
      </c>
      <c r="I908" s="27">
        <v>0</v>
      </c>
      <c r="J908" s="27">
        <v>0</v>
      </c>
      <c r="K908" s="27">
        <v>3.22</v>
      </c>
      <c r="L908" s="27">
        <v>295</v>
      </c>
      <c r="M908" s="27">
        <v>295</v>
      </c>
      <c r="N908" s="27">
        <v>0</v>
      </c>
      <c r="O908" s="27">
        <v>0</v>
      </c>
      <c r="P908" s="27" t="s">
        <v>13</v>
      </c>
      <c r="Q908" s="27">
        <v>1993</v>
      </c>
      <c r="R908" s="27">
        <v>1</v>
      </c>
      <c r="S908" s="27">
        <v>0</v>
      </c>
      <c r="T908" s="27">
        <v>-1</v>
      </c>
      <c r="U908" s="27">
        <v>-1</v>
      </c>
      <c r="V908" s="27">
        <v>0</v>
      </c>
      <c r="W908" s="27">
        <v>0</v>
      </c>
      <c r="X908" s="27" t="s">
        <v>42</v>
      </c>
    </row>
    <row r="909" spans="1:24">
      <c r="A909" s="27">
        <v>2</v>
      </c>
      <c r="B909" s="27">
        <v>1</v>
      </c>
      <c r="C909" s="27">
        <v>1</v>
      </c>
      <c r="D909" s="27">
        <v>2014</v>
      </c>
      <c r="E909" s="27">
        <v>2050</v>
      </c>
      <c r="F909" s="27">
        <v>7</v>
      </c>
      <c r="G909" s="27">
        <v>32</v>
      </c>
      <c r="H909" s="27">
        <v>-1</v>
      </c>
      <c r="I909" s="27">
        <v>0</v>
      </c>
      <c r="J909" s="27">
        <v>0</v>
      </c>
      <c r="K909" s="27">
        <v>3.22</v>
      </c>
      <c r="L909" s="27">
        <v>295</v>
      </c>
      <c r="M909" s="27">
        <v>295</v>
      </c>
      <c r="N909" s="27">
        <v>0</v>
      </c>
      <c r="O909" s="27">
        <v>0</v>
      </c>
      <c r="P909" s="27" t="s">
        <v>13</v>
      </c>
      <c r="Q909" s="27">
        <v>1993</v>
      </c>
      <c r="R909" s="27">
        <v>1</v>
      </c>
      <c r="S909" s="27">
        <v>0</v>
      </c>
      <c r="T909" s="27">
        <v>-1</v>
      </c>
      <c r="U909" s="27">
        <v>-1</v>
      </c>
      <c r="V909" s="27">
        <v>0</v>
      </c>
      <c r="W909" s="27">
        <v>0</v>
      </c>
      <c r="X909" s="27" t="s">
        <v>42</v>
      </c>
    </row>
    <row r="910" spans="1:24">
      <c r="A910" s="27">
        <v>2</v>
      </c>
      <c r="B910" s="27">
        <v>1</v>
      </c>
      <c r="C910" s="27">
        <v>1</v>
      </c>
      <c r="D910" s="27">
        <v>2014</v>
      </c>
      <c r="E910" s="27">
        <v>2050</v>
      </c>
      <c r="F910" s="27">
        <v>8</v>
      </c>
      <c r="G910" s="27">
        <v>32</v>
      </c>
      <c r="H910" s="27">
        <v>-1</v>
      </c>
      <c r="I910" s="27">
        <v>0</v>
      </c>
      <c r="J910" s="27">
        <v>0</v>
      </c>
      <c r="K910" s="27">
        <v>3.22</v>
      </c>
      <c r="L910" s="27">
        <v>295</v>
      </c>
      <c r="M910" s="27">
        <v>295</v>
      </c>
      <c r="N910" s="27">
        <v>0</v>
      </c>
      <c r="O910" s="27">
        <v>0</v>
      </c>
      <c r="P910" s="27" t="s">
        <v>13</v>
      </c>
      <c r="Q910" s="27">
        <v>1993</v>
      </c>
      <c r="R910" s="27">
        <v>1</v>
      </c>
      <c r="S910" s="27">
        <v>0</v>
      </c>
      <c r="T910" s="27">
        <v>-1</v>
      </c>
      <c r="U910" s="27">
        <v>-1</v>
      </c>
      <c r="V910" s="27">
        <v>0</v>
      </c>
      <c r="W910" s="27">
        <v>0</v>
      </c>
      <c r="X910" s="27" t="s">
        <v>42</v>
      </c>
    </row>
    <row r="911" spans="1:24">
      <c r="A911" s="27">
        <v>2</v>
      </c>
      <c r="B911" s="27">
        <v>1</v>
      </c>
      <c r="C911" s="27">
        <v>1</v>
      </c>
      <c r="D911" s="27">
        <v>2014</v>
      </c>
      <c r="E911" s="27">
        <v>2050</v>
      </c>
      <c r="F911" s="27">
        <v>9</v>
      </c>
      <c r="G911" s="27">
        <v>32</v>
      </c>
      <c r="H911" s="27">
        <v>-1</v>
      </c>
      <c r="I911" s="27">
        <v>0</v>
      </c>
      <c r="J911" s="27">
        <v>0</v>
      </c>
      <c r="K911" s="27">
        <v>3.22</v>
      </c>
      <c r="L911" s="27">
        <v>295</v>
      </c>
      <c r="M911" s="27">
        <v>295</v>
      </c>
      <c r="N911" s="27">
        <v>0</v>
      </c>
      <c r="O911" s="27">
        <v>0</v>
      </c>
      <c r="P911" s="27" t="s">
        <v>13</v>
      </c>
      <c r="Q911" s="27">
        <v>1993</v>
      </c>
      <c r="R911" s="27">
        <v>1</v>
      </c>
      <c r="S911" s="27">
        <v>0</v>
      </c>
      <c r="T911" s="27">
        <v>-1</v>
      </c>
      <c r="U911" s="27">
        <v>-1</v>
      </c>
      <c r="V911" s="27">
        <v>0</v>
      </c>
      <c r="W911" s="27">
        <v>0</v>
      </c>
      <c r="X911" s="27" t="s">
        <v>42</v>
      </c>
    </row>
    <row r="912" spans="1:24">
      <c r="A912" s="27">
        <v>2</v>
      </c>
      <c r="B912" s="27">
        <v>1</v>
      </c>
      <c r="C912" s="27">
        <v>2</v>
      </c>
      <c r="D912" s="27">
        <v>2010</v>
      </c>
      <c r="E912" s="27">
        <v>2013</v>
      </c>
      <c r="F912" s="27">
        <v>1</v>
      </c>
      <c r="G912" s="27">
        <v>33</v>
      </c>
      <c r="H912" s="27">
        <v>-1</v>
      </c>
      <c r="I912" s="27">
        <v>0</v>
      </c>
      <c r="J912" s="27">
        <v>0</v>
      </c>
      <c r="K912" s="27">
        <v>3.17</v>
      </c>
      <c r="L912" s="27">
        <v>290</v>
      </c>
      <c r="M912" s="27">
        <v>290</v>
      </c>
      <c r="N912" s="27">
        <v>0</v>
      </c>
      <c r="O912" s="27">
        <v>0</v>
      </c>
      <c r="P912" s="27" t="s">
        <v>13</v>
      </c>
      <c r="Q912" s="27">
        <v>1993</v>
      </c>
      <c r="R912" s="27">
        <v>1</v>
      </c>
      <c r="S912" s="27">
        <v>0</v>
      </c>
      <c r="T912" s="27">
        <v>-5.0000000000000001E-3</v>
      </c>
      <c r="U912" s="27">
        <v>-1.2E-2</v>
      </c>
      <c r="V912" s="27">
        <v>0</v>
      </c>
      <c r="W912" s="27">
        <v>0</v>
      </c>
      <c r="X912" s="27" t="s">
        <v>43</v>
      </c>
    </row>
    <row r="913" spans="1:24">
      <c r="A913" s="27">
        <v>2</v>
      </c>
      <c r="B913" s="27">
        <v>1</v>
      </c>
      <c r="C913" s="27">
        <v>2</v>
      </c>
      <c r="D913" s="27">
        <v>2010</v>
      </c>
      <c r="E913" s="27">
        <v>2013</v>
      </c>
      <c r="F913" s="27">
        <v>2</v>
      </c>
      <c r="G913" s="27">
        <v>33</v>
      </c>
      <c r="H913" s="27">
        <v>-1</v>
      </c>
      <c r="I913" s="27">
        <v>0</v>
      </c>
      <c r="J913" s="27">
        <v>0</v>
      </c>
      <c r="K913" s="27">
        <v>3.17</v>
      </c>
      <c r="L913" s="27">
        <v>290</v>
      </c>
      <c r="M913" s="27">
        <v>290</v>
      </c>
      <c r="N913" s="27">
        <v>0</v>
      </c>
      <c r="O913" s="27">
        <v>0</v>
      </c>
      <c r="P913" s="27" t="s">
        <v>13</v>
      </c>
      <c r="Q913" s="27">
        <v>1993</v>
      </c>
      <c r="R913" s="27">
        <v>1</v>
      </c>
      <c r="S913" s="27">
        <v>0</v>
      </c>
      <c r="T913" s="27">
        <v>-5.0000000000000001E-3</v>
      </c>
      <c r="U913" s="27">
        <v>-1.2E-2</v>
      </c>
      <c r="V913" s="27">
        <v>0</v>
      </c>
      <c r="W913" s="27">
        <v>0</v>
      </c>
      <c r="X913" s="27" t="s">
        <v>43</v>
      </c>
    </row>
    <row r="914" spans="1:24">
      <c r="A914" s="27">
        <v>2</v>
      </c>
      <c r="B914" s="27">
        <v>1</v>
      </c>
      <c r="C914" s="27">
        <v>2</v>
      </c>
      <c r="D914" s="27">
        <v>2010</v>
      </c>
      <c r="E914" s="27">
        <v>2013</v>
      </c>
      <c r="F914" s="27">
        <v>3</v>
      </c>
      <c r="G914" s="27">
        <v>33</v>
      </c>
      <c r="H914" s="27">
        <v>-1</v>
      </c>
      <c r="I914" s="27">
        <v>0</v>
      </c>
      <c r="J914" s="27">
        <v>0</v>
      </c>
      <c r="K914" s="27">
        <v>3.17</v>
      </c>
      <c r="L914" s="27">
        <v>290</v>
      </c>
      <c r="M914" s="27">
        <v>290</v>
      </c>
      <c r="N914" s="27">
        <v>0</v>
      </c>
      <c r="O914" s="27">
        <v>0</v>
      </c>
      <c r="P914" s="27" t="s">
        <v>13</v>
      </c>
      <c r="Q914" s="27">
        <v>1993</v>
      </c>
      <c r="R914" s="27">
        <v>1</v>
      </c>
      <c r="S914" s="27">
        <v>0</v>
      </c>
      <c r="T914" s="27">
        <v>-5.0000000000000001E-3</v>
      </c>
      <c r="U914" s="27">
        <v>-1.2E-2</v>
      </c>
      <c r="V914" s="27">
        <v>0</v>
      </c>
      <c r="W914" s="27">
        <v>0</v>
      </c>
      <c r="X914" s="27" t="s">
        <v>43</v>
      </c>
    </row>
    <row r="915" spans="1:24">
      <c r="A915" s="27">
        <v>2</v>
      </c>
      <c r="B915" s="27">
        <v>1</v>
      </c>
      <c r="C915" s="27">
        <v>2</v>
      </c>
      <c r="D915" s="27">
        <v>2010</v>
      </c>
      <c r="E915" s="27">
        <v>2013</v>
      </c>
      <c r="F915" s="27">
        <v>4</v>
      </c>
      <c r="G915" s="27">
        <v>33</v>
      </c>
      <c r="H915" s="27">
        <v>-1</v>
      </c>
      <c r="I915" s="27">
        <v>0</v>
      </c>
      <c r="J915" s="27">
        <v>0</v>
      </c>
      <c r="K915" s="27">
        <v>3.17</v>
      </c>
      <c r="L915" s="27">
        <v>290</v>
      </c>
      <c r="M915" s="27">
        <v>290</v>
      </c>
      <c r="N915" s="27">
        <v>0</v>
      </c>
      <c r="O915" s="27">
        <v>0</v>
      </c>
      <c r="P915" s="27" t="s">
        <v>13</v>
      </c>
      <c r="Q915" s="27">
        <v>1993</v>
      </c>
      <c r="R915" s="27">
        <v>1</v>
      </c>
      <c r="S915" s="27">
        <v>0</v>
      </c>
      <c r="T915" s="27">
        <v>-5.0000000000000001E-3</v>
      </c>
      <c r="U915" s="27">
        <v>-1.2E-2</v>
      </c>
      <c r="V915" s="27">
        <v>0</v>
      </c>
      <c r="W915" s="27">
        <v>0</v>
      </c>
      <c r="X915" s="27" t="s">
        <v>43</v>
      </c>
    </row>
    <row r="916" spans="1:24">
      <c r="A916" s="27">
        <v>2</v>
      </c>
      <c r="B916" s="27">
        <v>1</v>
      </c>
      <c r="C916" s="27">
        <v>2</v>
      </c>
      <c r="D916" s="27">
        <v>2010</v>
      </c>
      <c r="E916" s="27">
        <v>2013</v>
      </c>
      <c r="F916" s="27">
        <v>5</v>
      </c>
      <c r="G916" s="27">
        <v>33</v>
      </c>
      <c r="H916" s="27">
        <v>-1</v>
      </c>
      <c r="I916" s="27">
        <v>0</v>
      </c>
      <c r="J916" s="27">
        <v>0</v>
      </c>
      <c r="K916" s="27">
        <v>3.17</v>
      </c>
      <c r="L916" s="27">
        <v>290</v>
      </c>
      <c r="M916" s="27">
        <v>290</v>
      </c>
      <c r="N916" s="27">
        <v>0</v>
      </c>
      <c r="O916" s="27">
        <v>0</v>
      </c>
      <c r="P916" s="27" t="s">
        <v>13</v>
      </c>
      <c r="Q916" s="27">
        <v>1993</v>
      </c>
      <c r="R916" s="27">
        <v>1</v>
      </c>
      <c r="S916" s="27">
        <v>0</v>
      </c>
      <c r="T916" s="27">
        <v>-5.0000000000000001E-3</v>
      </c>
      <c r="U916" s="27">
        <v>-1.2E-2</v>
      </c>
      <c r="V916" s="27">
        <v>0</v>
      </c>
      <c r="W916" s="27">
        <v>0</v>
      </c>
      <c r="X916" s="27" t="s">
        <v>43</v>
      </c>
    </row>
    <row r="917" spans="1:24">
      <c r="A917" s="27">
        <v>2</v>
      </c>
      <c r="B917" s="27">
        <v>1</v>
      </c>
      <c r="C917" s="27">
        <v>2</v>
      </c>
      <c r="D917" s="27">
        <v>2010</v>
      </c>
      <c r="E917" s="27">
        <v>2013</v>
      </c>
      <c r="F917" s="27">
        <v>6</v>
      </c>
      <c r="G917" s="27">
        <v>33</v>
      </c>
      <c r="H917" s="27">
        <v>-1</v>
      </c>
      <c r="I917" s="27">
        <v>0</v>
      </c>
      <c r="J917" s="27">
        <v>0</v>
      </c>
      <c r="K917" s="27">
        <v>3.17</v>
      </c>
      <c r="L917" s="27">
        <v>290</v>
      </c>
      <c r="M917" s="27">
        <v>290</v>
      </c>
      <c r="N917" s="27">
        <v>0</v>
      </c>
      <c r="O917" s="27">
        <v>0</v>
      </c>
      <c r="P917" s="27" t="s">
        <v>13</v>
      </c>
      <c r="Q917" s="27">
        <v>1993</v>
      </c>
      <c r="R917" s="27">
        <v>1</v>
      </c>
      <c r="S917" s="27">
        <v>0</v>
      </c>
      <c r="T917" s="27">
        <v>-5.0000000000000001E-3</v>
      </c>
      <c r="U917" s="27">
        <v>-1.2E-2</v>
      </c>
      <c r="V917" s="27">
        <v>0</v>
      </c>
      <c r="W917" s="27">
        <v>0</v>
      </c>
      <c r="X917" s="27" t="s">
        <v>43</v>
      </c>
    </row>
    <row r="918" spans="1:24">
      <c r="A918" s="27">
        <v>2</v>
      </c>
      <c r="B918" s="27">
        <v>1</v>
      </c>
      <c r="C918" s="27">
        <v>2</v>
      </c>
      <c r="D918" s="27">
        <v>2010</v>
      </c>
      <c r="E918" s="27">
        <v>2013</v>
      </c>
      <c r="F918" s="27">
        <v>7</v>
      </c>
      <c r="G918" s="27">
        <v>33</v>
      </c>
      <c r="H918" s="27">
        <v>-1</v>
      </c>
      <c r="I918" s="27">
        <v>0</v>
      </c>
      <c r="J918" s="27">
        <v>0</v>
      </c>
      <c r="K918" s="27">
        <v>3.17</v>
      </c>
      <c r="L918" s="27">
        <v>290</v>
      </c>
      <c r="M918" s="27">
        <v>290</v>
      </c>
      <c r="N918" s="27">
        <v>0</v>
      </c>
      <c r="O918" s="27">
        <v>0</v>
      </c>
      <c r="P918" s="27" t="s">
        <v>13</v>
      </c>
      <c r="Q918" s="27">
        <v>1993</v>
      </c>
      <c r="R918" s="27">
        <v>1</v>
      </c>
      <c r="S918" s="27">
        <v>0</v>
      </c>
      <c r="T918" s="27">
        <v>-5.0000000000000001E-3</v>
      </c>
      <c r="U918" s="27">
        <v>-1.2E-2</v>
      </c>
      <c r="V918" s="27">
        <v>0</v>
      </c>
      <c r="W918" s="27">
        <v>0</v>
      </c>
      <c r="X918" s="27" t="s">
        <v>43</v>
      </c>
    </row>
    <row r="919" spans="1:24">
      <c r="A919" s="27">
        <v>2</v>
      </c>
      <c r="B919" s="27">
        <v>1</v>
      </c>
      <c r="C919" s="27">
        <v>2</v>
      </c>
      <c r="D919" s="27">
        <v>2010</v>
      </c>
      <c r="E919" s="27">
        <v>2013</v>
      </c>
      <c r="F919" s="27">
        <v>8</v>
      </c>
      <c r="G919" s="27">
        <v>33</v>
      </c>
      <c r="H919" s="27">
        <v>-1</v>
      </c>
      <c r="I919" s="27">
        <v>0</v>
      </c>
      <c r="J919" s="27">
        <v>0</v>
      </c>
      <c r="K919" s="27">
        <v>3.17</v>
      </c>
      <c r="L919" s="27">
        <v>290</v>
      </c>
      <c r="M919" s="27">
        <v>290</v>
      </c>
      <c r="N919" s="27">
        <v>0</v>
      </c>
      <c r="O919" s="27">
        <v>0</v>
      </c>
      <c r="P919" s="27" t="s">
        <v>13</v>
      </c>
      <c r="Q919" s="27">
        <v>1993</v>
      </c>
      <c r="R919" s="27">
        <v>1</v>
      </c>
      <c r="S919" s="27">
        <v>0</v>
      </c>
      <c r="T919" s="27">
        <v>-5.0000000000000001E-3</v>
      </c>
      <c r="U919" s="27">
        <v>-1.2E-2</v>
      </c>
      <c r="V919" s="27">
        <v>0</v>
      </c>
      <c r="W919" s="27">
        <v>0</v>
      </c>
      <c r="X919" s="27" t="s">
        <v>43</v>
      </c>
    </row>
    <row r="920" spans="1:24">
      <c r="A920" s="27">
        <v>2</v>
      </c>
      <c r="B920" s="27">
        <v>1</v>
      </c>
      <c r="C920" s="27">
        <v>2</v>
      </c>
      <c r="D920" s="27">
        <v>2010</v>
      </c>
      <c r="E920" s="27">
        <v>2013</v>
      </c>
      <c r="F920" s="27">
        <v>9</v>
      </c>
      <c r="G920" s="27">
        <v>33</v>
      </c>
      <c r="H920" s="27">
        <v>-1</v>
      </c>
      <c r="I920" s="27">
        <v>0</v>
      </c>
      <c r="J920" s="27">
        <v>0</v>
      </c>
      <c r="K920" s="27">
        <v>3.17</v>
      </c>
      <c r="L920" s="27">
        <v>290</v>
      </c>
      <c r="M920" s="27">
        <v>290</v>
      </c>
      <c r="N920" s="27">
        <v>0</v>
      </c>
      <c r="O920" s="27">
        <v>0</v>
      </c>
      <c r="P920" s="27" t="s">
        <v>13</v>
      </c>
      <c r="Q920" s="27">
        <v>1993</v>
      </c>
      <c r="R920" s="27">
        <v>1</v>
      </c>
      <c r="S920" s="27">
        <v>0</v>
      </c>
      <c r="T920" s="27">
        <v>-5.0000000000000001E-3</v>
      </c>
      <c r="U920" s="27">
        <v>-1.2E-2</v>
      </c>
      <c r="V920" s="27">
        <v>0</v>
      </c>
      <c r="W920" s="27">
        <v>0</v>
      </c>
      <c r="X920" s="27" t="s">
        <v>43</v>
      </c>
    </row>
    <row r="921" spans="1:24">
      <c r="A921" s="27">
        <v>2</v>
      </c>
      <c r="B921" s="27">
        <v>1</v>
      </c>
      <c r="C921" s="27">
        <v>2</v>
      </c>
      <c r="D921" s="27">
        <v>2014</v>
      </c>
      <c r="E921" s="27">
        <v>2029</v>
      </c>
      <c r="F921" s="27">
        <v>1</v>
      </c>
      <c r="G921" s="27">
        <v>33</v>
      </c>
      <c r="H921" s="27">
        <v>-1</v>
      </c>
      <c r="I921" s="27">
        <v>0</v>
      </c>
      <c r="J921" s="27">
        <v>0</v>
      </c>
      <c r="K921" s="27">
        <v>3.22</v>
      </c>
      <c r="L921" s="27">
        <v>295</v>
      </c>
      <c r="M921" s="27">
        <v>295</v>
      </c>
      <c r="N921" s="27">
        <v>0</v>
      </c>
      <c r="O921" s="27">
        <v>0</v>
      </c>
      <c r="P921" s="27" t="s">
        <v>13</v>
      </c>
      <c r="Q921" s="27">
        <v>1993</v>
      </c>
      <c r="R921" s="27">
        <v>1</v>
      </c>
      <c r="S921" s="27">
        <v>0</v>
      </c>
      <c r="T921" s="27">
        <v>-5.0000000000000001E-3</v>
      </c>
      <c r="U921" s="27">
        <v>-1.2E-2</v>
      </c>
      <c r="V921" s="27">
        <v>0</v>
      </c>
      <c r="W921" s="27">
        <v>0</v>
      </c>
      <c r="X921" s="27" t="s">
        <v>43</v>
      </c>
    </row>
    <row r="922" spans="1:24">
      <c r="A922" s="27">
        <v>2</v>
      </c>
      <c r="B922" s="27">
        <v>1</v>
      </c>
      <c r="C922" s="27">
        <v>2</v>
      </c>
      <c r="D922" s="27">
        <v>2014</v>
      </c>
      <c r="E922" s="27">
        <v>2029</v>
      </c>
      <c r="F922" s="27">
        <v>2</v>
      </c>
      <c r="G922" s="27">
        <v>33</v>
      </c>
      <c r="H922" s="27">
        <v>-1</v>
      </c>
      <c r="I922" s="27">
        <v>0</v>
      </c>
      <c r="J922" s="27">
        <v>0</v>
      </c>
      <c r="K922" s="27">
        <v>3.22</v>
      </c>
      <c r="L922" s="27">
        <v>295</v>
      </c>
      <c r="M922" s="27">
        <v>295</v>
      </c>
      <c r="N922" s="27">
        <v>0</v>
      </c>
      <c r="O922" s="27">
        <v>0</v>
      </c>
      <c r="P922" s="27" t="s">
        <v>13</v>
      </c>
      <c r="Q922" s="27">
        <v>1993</v>
      </c>
      <c r="R922" s="27">
        <v>1</v>
      </c>
      <c r="S922" s="27">
        <v>0</v>
      </c>
      <c r="T922" s="27">
        <v>-5.0000000000000001E-3</v>
      </c>
      <c r="U922" s="27">
        <v>-1.2E-2</v>
      </c>
      <c r="V922" s="27">
        <v>0</v>
      </c>
      <c r="W922" s="27">
        <v>0</v>
      </c>
      <c r="X922" s="27" t="s">
        <v>43</v>
      </c>
    </row>
    <row r="923" spans="1:24">
      <c r="A923" s="27">
        <v>2</v>
      </c>
      <c r="B923" s="27">
        <v>1</v>
      </c>
      <c r="C923" s="27">
        <v>2</v>
      </c>
      <c r="D923" s="27">
        <v>2014</v>
      </c>
      <c r="E923" s="27">
        <v>2029</v>
      </c>
      <c r="F923" s="27">
        <v>3</v>
      </c>
      <c r="G923" s="27">
        <v>33</v>
      </c>
      <c r="H923" s="27">
        <v>-1</v>
      </c>
      <c r="I923" s="27">
        <v>0</v>
      </c>
      <c r="J923" s="27">
        <v>0</v>
      </c>
      <c r="K923" s="27">
        <v>3.22</v>
      </c>
      <c r="L923" s="27">
        <v>295</v>
      </c>
      <c r="M923" s="27">
        <v>295</v>
      </c>
      <c r="N923" s="27">
        <v>0</v>
      </c>
      <c r="O923" s="27">
        <v>0</v>
      </c>
      <c r="P923" s="27" t="s">
        <v>13</v>
      </c>
      <c r="Q923" s="27">
        <v>1993</v>
      </c>
      <c r="R923" s="27">
        <v>1</v>
      </c>
      <c r="S923" s="27">
        <v>0</v>
      </c>
      <c r="T923" s="27">
        <v>-5.0000000000000001E-3</v>
      </c>
      <c r="U923" s="27">
        <v>-1.2E-2</v>
      </c>
      <c r="V923" s="27">
        <v>0</v>
      </c>
      <c r="W923" s="27">
        <v>0</v>
      </c>
      <c r="X923" s="27" t="s">
        <v>43</v>
      </c>
    </row>
    <row r="924" spans="1:24">
      <c r="A924" s="27">
        <v>2</v>
      </c>
      <c r="B924" s="27">
        <v>1</v>
      </c>
      <c r="C924" s="27">
        <v>2</v>
      </c>
      <c r="D924" s="27">
        <v>2014</v>
      </c>
      <c r="E924" s="27">
        <v>2029</v>
      </c>
      <c r="F924" s="27">
        <v>4</v>
      </c>
      <c r="G924" s="27">
        <v>33</v>
      </c>
      <c r="H924" s="27">
        <v>-1</v>
      </c>
      <c r="I924" s="27">
        <v>0</v>
      </c>
      <c r="J924" s="27">
        <v>0</v>
      </c>
      <c r="K924" s="27">
        <v>3.22</v>
      </c>
      <c r="L924" s="27">
        <v>295</v>
      </c>
      <c r="M924" s="27">
        <v>295</v>
      </c>
      <c r="N924" s="27">
        <v>0</v>
      </c>
      <c r="O924" s="27">
        <v>0</v>
      </c>
      <c r="P924" s="27" t="s">
        <v>13</v>
      </c>
      <c r="Q924" s="27">
        <v>1993</v>
      </c>
      <c r="R924" s="27">
        <v>1</v>
      </c>
      <c r="S924" s="27">
        <v>0</v>
      </c>
      <c r="T924" s="27">
        <v>-5.0000000000000001E-3</v>
      </c>
      <c r="U924" s="27">
        <v>-1.2E-2</v>
      </c>
      <c r="V924" s="27">
        <v>0</v>
      </c>
      <c r="W924" s="27">
        <v>0</v>
      </c>
      <c r="X924" s="27" t="s">
        <v>43</v>
      </c>
    </row>
    <row r="925" spans="1:24">
      <c r="A925" s="27">
        <v>2</v>
      </c>
      <c r="B925" s="27">
        <v>1</v>
      </c>
      <c r="C925" s="27">
        <v>2</v>
      </c>
      <c r="D925" s="27">
        <v>2014</v>
      </c>
      <c r="E925" s="27">
        <v>2029</v>
      </c>
      <c r="F925" s="27">
        <v>5</v>
      </c>
      <c r="G925" s="27">
        <v>33</v>
      </c>
      <c r="H925" s="27">
        <v>-1</v>
      </c>
      <c r="I925" s="27">
        <v>0</v>
      </c>
      <c r="J925" s="27">
        <v>0</v>
      </c>
      <c r="K925" s="27">
        <v>3.22</v>
      </c>
      <c r="L925" s="27">
        <v>295</v>
      </c>
      <c r="M925" s="27">
        <v>295</v>
      </c>
      <c r="N925" s="27">
        <v>0</v>
      </c>
      <c r="O925" s="27">
        <v>0</v>
      </c>
      <c r="P925" s="27" t="s">
        <v>13</v>
      </c>
      <c r="Q925" s="27">
        <v>1993</v>
      </c>
      <c r="R925" s="27">
        <v>1</v>
      </c>
      <c r="S925" s="27">
        <v>0</v>
      </c>
      <c r="T925" s="27">
        <v>-5.0000000000000001E-3</v>
      </c>
      <c r="U925" s="27">
        <v>-1.2E-2</v>
      </c>
      <c r="V925" s="27">
        <v>0</v>
      </c>
      <c r="W925" s="27">
        <v>0</v>
      </c>
      <c r="X925" s="27" t="s">
        <v>43</v>
      </c>
    </row>
    <row r="926" spans="1:24">
      <c r="A926" s="27">
        <v>2</v>
      </c>
      <c r="B926" s="27">
        <v>1</v>
      </c>
      <c r="C926" s="27">
        <v>2</v>
      </c>
      <c r="D926" s="27">
        <v>2014</v>
      </c>
      <c r="E926" s="27">
        <v>2029</v>
      </c>
      <c r="F926" s="27">
        <v>6</v>
      </c>
      <c r="G926" s="27">
        <v>33</v>
      </c>
      <c r="H926" s="27">
        <v>-1</v>
      </c>
      <c r="I926" s="27">
        <v>0</v>
      </c>
      <c r="J926" s="27">
        <v>0</v>
      </c>
      <c r="K926" s="27">
        <v>3.22</v>
      </c>
      <c r="L926" s="27">
        <v>295</v>
      </c>
      <c r="M926" s="27">
        <v>295</v>
      </c>
      <c r="N926" s="27">
        <v>0</v>
      </c>
      <c r="O926" s="27">
        <v>0</v>
      </c>
      <c r="P926" s="27" t="s">
        <v>13</v>
      </c>
      <c r="Q926" s="27">
        <v>1993</v>
      </c>
      <c r="R926" s="27">
        <v>1</v>
      </c>
      <c r="S926" s="27">
        <v>0</v>
      </c>
      <c r="T926" s="27">
        <v>-5.0000000000000001E-3</v>
      </c>
      <c r="U926" s="27">
        <v>-1.2E-2</v>
      </c>
      <c r="V926" s="27">
        <v>0</v>
      </c>
      <c r="W926" s="27">
        <v>0</v>
      </c>
      <c r="X926" s="27" t="s">
        <v>43</v>
      </c>
    </row>
    <row r="927" spans="1:24">
      <c r="A927" s="27">
        <v>2</v>
      </c>
      <c r="B927" s="27">
        <v>1</v>
      </c>
      <c r="C927" s="27">
        <v>2</v>
      </c>
      <c r="D927" s="27">
        <v>2014</v>
      </c>
      <c r="E927" s="27">
        <v>2029</v>
      </c>
      <c r="F927" s="27">
        <v>7</v>
      </c>
      <c r="G927" s="27">
        <v>33</v>
      </c>
      <c r="H927" s="27">
        <v>-1</v>
      </c>
      <c r="I927" s="27">
        <v>0</v>
      </c>
      <c r="J927" s="27">
        <v>0</v>
      </c>
      <c r="K927" s="27">
        <v>3.22</v>
      </c>
      <c r="L927" s="27">
        <v>295</v>
      </c>
      <c r="M927" s="27">
        <v>295</v>
      </c>
      <c r="N927" s="27">
        <v>0</v>
      </c>
      <c r="O927" s="27">
        <v>0</v>
      </c>
      <c r="P927" s="27" t="s">
        <v>13</v>
      </c>
      <c r="Q927" s="27">
        <v>1993</v>
      </c>
      <c r="R927" s="27">
        <v>1</v>
      </c>
      <c r="S927" s="27">
        <v>0</v>
      </c>
      <c r="T927" s="27">
        <v>-5.0000000000000001E-3</v>
      </c>
      <c r="U927" s="27">
        <v>-1.2E-2</v>
      </c>
      <c r="V927" s="27">
        <v>0</v>
      </c>
      <c r="W927" s="27">
        <v>0</v>
      </c>
      <c r="X927" s="27" t="s">
        <v>43</v>
      </c>
    </row>
    <row r="928" spans="1:24">
      <c r="A928" s="27">
        <v>2</v>
      </c>
      <c r="B928" s="27">
        <v>1</v>
      </c>
      <c r="C928" s="27">
        <v>2</v>
      </c>
      <c r="D928" s="27">
        <v>2014</v>
      </c>
      <c r="E928" s="27">
        <v>2029</v>
      </c>
      <c r="F928" s="27">
        <v>8</v>
      </c>
      <c r="G928" s="27">
        <v>33</v>
      </c>
      <c r="H928" s="27">
        <v>-1</v>
      </c>
      <c r="I928" s="27">
        <v>0</v>
      </c>
      <c r="J928" s="27">
        <v>0</v>
      </c>
      <c r="K928" s="27">
        <v>3.22</v>
      </c>
      <c r="L928" s="27">
        <v>295</v>
      </c>
      <c r="M928" s="27">
        <v>295</v>
      </c>
      <c r="N928" s="27">
        <v>0</v>
      </c>
      <c r="O928" s="27">
        <v>0</v>
      </c>
      <c r="P928" s="27" t="s">
        <v>13</v>
      </c>
      <c r="Q928" s="27">
        <v>1993</v>
      </c>
      <c r="R928" s="27">
        <v>1</v>
      </c>
      <c r="S928" s="27">
        <v>0</v>
      </c>
      <c r="T928" s="27">
        <v>-5.0000000000000001E-3</v>
      </c>
      <c r="U928" s="27">
        <v>-1.2E-2</v>
      </c>
      <c r="V928" s="27">
        <v>0</v>
      </c>
      <c r="W928" s="27">
        <v>0</v>
      </c>
      <c r="X928" s="27" t="s">
        <v>43</v>
      </c>
    </row>
    <row r="929" spans="1:24">
      <c r="A929" s="27">
        <v>2</v>
      </c>
      <c r="B929" s="27">
        <v>1</v>
      </c>
      <c r="C929" s="27">
        <v>2</v>
      </c>
      <c r="D929" s="27">
        <v>2014</v>
      </c>
      <c r="E929" s="27">
        <v>2029</v>
      </c>
      <c r="F929" s="27">
        <v>9</v>
      </c>
      <c r="G929" s="27">
        <v>33</v>
      </c>
      <c r="H929" s="27">
        <v>-1</v>
      </c>
      <c r="I929" s="27">
        <v>0</v>
      </c>
      <c r="J929" s="27">
        <v>0</v>
      </c>
      <c r="K929" s="27">
        <v>3.22</v>
      </c>
      <c r="L929" s="27">
        <v>295</v>
      </c>
      <c r="M929" s="27">
        <v>295</v>
      </c>
      <c r="N929" s="27">
        <v>0</v>
      </c>
      <c r="O929" s="27">
        <v>0</v>
      </c>
      <c r="P929" s="27" t="s">
        <v>13</v>
      </c>
      <c r="Q929" s="27">
        <v>1993</v>
      </c>
      <c r="R929" s="27">
        <v>1</v>
      </c>
      <c r="S929" s="27">
        <v>0</v>
      </c>
      <c r="T929" s="27">
        <v>-5.0000000000000001E-3</v>
      </c>
      <c r="U929" s="27">
        <v>-1.2E-2</v>
      </c>
      <c r="V929" s="27">
        <v>0</v>
      </c>
      <c r="W929" s="27">
        <v>0</v>
      </c>
      <c r="X929" s="27" t="s">
        <v>43</v>
      </c>
    </row>
    <row r="930" spans="1:24">
      <c r="A930" s="27">
        <v>2</v>
      </c>
      <c r="B930" s="27">
        <v>1</v>
      </c>
      <c r="C930" s="27">
        <v>2</v>
      </c>
      <c r="D930" s="27">
        <v>2030</v>
      </c>
      <c r="E930" s="27">
        <v>2050</v>
      </c>
      <c r="F930" s="27">
        <v>1</v>
      </c>
      <c r="G930" s="27">
        <v>33</v>
      </c>
      <c r="H930" s="27">
        <v>-1</v>
      </c>
      <c r="I930" s="27">
        <v>0</v>
      </c>
      <c r="J930" s="27">
        <v>0</v>
      </c>
      <c r="K930" s="27">
        <v>3.28</v>
      </c>
      <c r="L930" s="27">
        <v>295</v>
      </c>
      <c r="M930" s="27">
        <v>295</v>
      </c>
      <c r="N930" s="27">
        <v>0</v>
      </c>
      <c r="O930" s="27">
        <v>0</v>
      </c>
      <c r="P930" s="27" t="s">
        <v>13</v>
      </c>
      <c r="Q930" s="27">
        <v>1993</v>
      </c>
      <c r="R930" s="27">
        <v>1</v>
      </c>
      <c r="S930" s="27">
        <v>0</v>
      </c>
      <c r="T930" s="27">
        <v>-5.0000000000000001E-3</v>
      </c>
      <c r="U930" s="27">
        <v>-1.2E-2</v>
      </c>
      <c r="V930" s="27">
        <v>0</v>
      </c>
      <c r="W930" s="27">
        <v>0</v>
      </c>
      <c r="X930" s="27" t="s">
        <v>43</v>
      </c>
    </row>
    <row r="931" spans="1:24">
      <c r="A931" s="27">
        <v>2</v>
      </c>
      <c r="B931" s="27">
        <v>1</v>
      </c>
      <c r="C931" s="27">
        <v>2</v>
      </c>
      <c r="D931" s="27">
        <v>2030</v>
      </c>
      <c r="E931" s="27">
        <v>2050</v>
      </c>
      <c r="F931" s="27">
        <v>2</v>
      </c>
      <c r="G931" s="27">
        <v>33</v>
      </c>
      <c r="H931" s="27">
        <v>-1</v>
      </c>
      <c r="I931" s="27">
        <v>0</v>
      </c>
      <c r="J931" s="27">
        <v>0</v>
      </c>
      <c r="K931" s="27">
        <v>3.28</v>
      </c>
      <c r="L931" s="27">
        <v>295</v>
      </c>
      <c r="M931" s="27">
        <v>295</v>
      </c>
      <c r="N931" s="27">
        <v>0</v>
      </c>
      <c r="O931" s="27">
        <v>0</v>
      </c>
      <c r="P931" s="27" t="s">
        <v>13</v>
      </c>
      <c r="Q931" s="27">
        <v>1993</v>
      </c>
      <c r="R931" s="27">
        <v>1</v>
      </c>
      <c r="S931" s="27">
        <v>0</v>
      </c>
      <c r="T931" s="27">
        <v>-5.0000000000000001E-3</v>
      </c>
      <c r="U931" s="27">
        <v>-1.2E-2</v>
      </c>
      <c r="V931" s="27">
        <v>0</v>
      </c>
      <c r="W931" s="27">
        <v>0</v>
      </c>
      <c r="X931" s="27" t="s">
        <v>43</v>
      </c>
    </row>
    <row r="932" spans="1:24">
      <c r="A932" s="27">
        <v>2</v>
      </c>
      <c r="B932" s="27">
        <v>1</v>
      </c>
      <c r="C932" s="27">
        <v>2</v>
      </c>
      <c r="D932" s="27">
        <v>2030</v>
      </c>
      <c r="E932" s="27">
        <v>2050</v>
      </c>
      <c r="F932" s="27">
        <v>3</v>
      </c>
      <c r="G932" s="27">
        <v>33</v>
      </c>
      <c r="H932" s="27">
        <v>-1</v>
      </c>
      <c r="I932" s="27">
        <v>0</v>
      </c>
      <c r="J932" s="27">
        <v>0</v>
      </c>
      <c r="K932" s="27">
        <v>3.28</v>
      </c>
      <c r="L932" s="27">
        <v>295</v>
      </c>
      <c r="M932" s="27">
        <v>295</v>
      </c>
      <c r="N932" s="27">
        <v>0</v>
      </c>
      <c r="O932" s="27">
        <v>0</v>
      </c>
      <c r="P932" s="27" t="s">
        <v>13</v>
      </c>
      <c r="Q932" s="27">
        <v>1993</v>
      </c>
      <c r="R932" s="27">
        <v>1</v>
      </c>
      <c r="S932" s="27">
        <v>0</v>
      </c>
      <c r="T932" s="27">
        <v>-5.0000000000000001E-3</v>
      </c>
      <c r="U932" s="27">
        <v>-1.2E-2</v>
      </c>
      <c r="V932" s="27">
        <v>0</v>
      </c>
      <c r="W932" s="27">
        <v>0</v>
      </c>
      <c r="X932" s="27" t="s">
        <v>43</v>
      </c>
    </row>
    <row r="933" spans="1:24">
      <c r="A933" s="27">
        <v>2</v>
      </c>
      <c r="B933" s="27">
        <v>1</v>
      </c>
      <c r="C933" s="27">
        <v>2</v>
      </c>
      <c r="D933" s="27">
        <v>2030</v>
      </c>
      <c r="E933" s="27">
        <v>2050</v>
      </c>
      <c r="F933" s="27">
        <v>4</v>
      </c>
      <c r="G933" s="27">
        <v>33</v>
      </c>
      <c r="H933" s="27">
        <v>-1</v>
      </c>
      <c r="I933" s="27">
        <v>0</v>
      </c>
      <c r="J933" s="27">
        <v>0</v>
      </c>
      <c r="K933" s="27">
        <v>3.28</v>
      </c>
      <c r="L933" s="27">
        <v>295</v>
      </c>
      <c r="M933" s="27">
        <v>295</v>
      </c>
      <c r="N933" s="27">
        <v>0</v>
      </c>
      <c r="O933" s="27">
        <v>0</v>
      </c>
      <c r="P933" s="27" t="s">
        <v>13</v>
      </c>
      <c r="Q933" s="27">
        <v>1993</v>
      </c>
      <c r="R933" s="27">
        <v>1</v>
      </c>
      <c r="S933" s="27">
        <v>0</v>
      </c>
      <c r="T933" s="27">
        <v>-5.0000000000000001E-3</v>
      </c>
      <c r="U933" s="27">
        <v>-1.2E-2</v>
      </c>
      <c r="V933" s="27">
        <v>0</v>
      </c>
      <c r="W933" s="27">
        <v>0</v>
      </c>
      <c r="X933" s="27" t="s">
        <v>43</v>
      </c>
    </row>
    <row r="934" spans="1:24">
      <c r="A934" s="27">
        <v>2</v>
      </c>
      <c r="B934" s="27">
        <v>1</v>
      </c>
      <c r="C934" s="27">
        <v>2</v>
      </c>
      <c r="D934" s="27">
        <v>2030</v>
      </c>
      <c r="E934" s="27">
        <v>2050</v>
      </c>
      <c r="F934" s="27">
        <v>5</v>
      </c>
      <c r="G934" s="27">
        <v>33</v>
      </c>
      <c r="H934" s="27">
        <v>-1</v>
      </c>
      <c r="I934" s="27">
        <v>0</v>
      </c>
      <c r="J934" s="27">
        <v>0</v>
      </c>
      <c r="K934" s="27">
        <v>3.28</v>
      </c>
      <c r="L934" s="27">
        <v>295</v>
      </c>
      <c r="M934" s="27">
        <v>295</v>
      </c>
      <c r="N934" s="27">
        <v>0</v>
      </c>
      <c r="O934" s="27">
        <v>0</v>
      </c>
      <c r="P934" s="27" t="s">
        <v>13</v>
      </c>
      <c r="Q934" s="27">
        <v>1993</v>
      </c>
      <c r="R934" s="27">
        <v>1</v>
      </c>
      <c r="S934" s="27">
        <v>0</v>
      </c>
      <c r="T934" s="27">
        <v>-5.0000000000000001E-3</v>
      </c>
      <c r="U934" s="27">
        <v>-1.2E-2</v>
      </c>
      <c r="V934" s="27">
        <v>0</v>
      </c>
      <c r="W934" s="27">
        <v>0</v>
      </c>
      <c r="X934" s="27" t="s">
        <v>43</v>
      </c>
    </row>
    <row r="935" spans="1:24">
      <c r="A935" s="27">
        <v>2</v>
      </c>
      <c r="B935" s="27">
        <v>1</v>
      </c>
      <c r="C935" s="27">
        <v>2</v>
      </c>
      <c r="D935" s="27">
        <v>2030</v>
      </c>
      <c r="E935" s="27">
        <v>2050</v>
      </c>
      <c r="F935" s="27">
        <v>6</v>
      </c>
      <c r="G935" s="27">
        <v>33</v>
      </c>
      <c r="H935" s="27">
        <v>-1</v>
      </c>
      <c r="I935" s="27">
        <v>0</v>
      </c>
      <c r="J935" s="27">
        <v>0</v>
      </c>
      <c r="K935" s="27">
        <v>3.28</v>
      </c>
      <c r="L935" s="27">
        <v>295</v>
      </c>
      <c r="M935" s="27">
        <v>295</v>
      </c>
      <c r="N935" s="27">
        <v>0</v>
      </c>
      <c r="O935" s="27">
        <v>0</v>
      </c>
      <c r="P935" s="27" t="s">
        <v>13</v>
      </c>
      <c r="Q935" s="27">
        <v>1993</v>
      </c>
      <c r="R935" s="27">
        <v>1</v>
      </c>
      <c r="S935" s="27">
        <v>0</v>
      </c>
      <c r="T935" s="27">
        <v>-5.0000000000000001E-3</v>
      </c>
      <c r="U935" s="27">
        <v>-1.2E-2</v>
      </c>
      <c r="V935" s="27">
        <v>0</v>
      </c>
      <c r="W935" s="27">
        <v>0</v>
      </c>
      <c r="X935" s="27" t="s">
        <v>43</v>
      </c>
    </row>
    <row r="936" spans="1:24">
      <c r="A936" s="27">
        <v>2</v>
      </c>
      <c r="B936" s="27">
        <v>1</v>
      </c>
      <c r="C936" s="27">
        <v>2</v>
      </c>
      <c r="D936" s="27">
        <v>2030</v>
      </c>
      <c r="E936" s="27">
        <v>2050</v>
      </c>
      <c r="F936" s="27">
        <v>7</v>
      </c>
      <c r="G936" s="27">
        <v>33</v>
      </c>
      <c r="H936" s="27">
        <v>-1</v>
      </c>
      <c r="I936" s="27">
        <v>0</v>
      </c>
      <c r="J936" s="27">
        <v>0</v>
      </c>
      <c r="K936" s="27">
        <v>3.28</v>
      </c>
      <c r="L936" s="27">
        <v>295</v>
      </c>
      <c r="M936" s="27">
        <v>295</v>
      </c>
      <c r="N936" s="27">
        <v>0</v>
      </c>
      <c r="O936" s="27">
        <v>0</v>
      </c>
      <c r="P936" s="27" t="s">
        <v>13</v>
      </c>
      <c r="Q936" s="27">
        <v>1993</v>
      </c>
      <c r="R936" s="27">
        <v>1</v>
      </c>
      <c r="S936" s="27">
        <v>0</v>
      </c>
      <c r="T936" s="27">
        <v>-5.0000000000000001E-3</v>
      </c>
      <c r="U936" s="27">
        <v>-1.2E-2</v>
      </c>
      <c r="V936" s="27">
        <v>0</v>
      </c>
      <c r="W936" s="27">
        <v>0</v>
      </c>
      <c r="X936" s="27" t="s">
        <v>43</v>
      </c>
    </row>
    <row r="937" spans="1:24">
      <c r="A937" s="27">
        <v>2</v>
      </c>
      <c r="B937" s="27">
        <v>1</v>
      </c>
      <c r="C937" s="27">
        <v>2</v>
      </c>
      <c r="D937" s="27">
        <v>2030</v>
      </c>
      <c r="E937" s="27">
        <v>2050</v>
      </c>
      <c r="F937" s="27">
        <v>8</v>
      </c>
      <c r="G937" s="27">
        <v>33</v>
      </c>
      <c r="H937" s="27">
        <v>-1</v>
      </c>
      <c r="I937" s="27">
        <v>0</v>
      </c>
      <c r="J937" s="27">
        <v>0</v>
      </c>
      <c r="K937" s="27">
        <v>3.28</v>
      </c>
      <c r="L937" s="27">
        <v>295</v>
      </c>
      <c r="M937" s="27">
        <v>295</v>
      </c>
      <c r="N937" s="27">
        <v>0</v>
      </c>
      <c r="O937" s="27">
        <v>0</v>
      </c>
      <c r="P937" s="27" t="s">
        <v>13</v>
      </c>
      <c r="Q937" s="27">
        <v>1993</v>
      </c>
      <c r="R937" s="27">
        <v>1</v>
      </c>
      <c r="S937" s="27">
        <v>0</v>
      </c>
      <c r="T937" s="27">
        <v>-5.0000000000000001E-3</v>
      </c>
      <c r="U937" s="27">
        <v>-1.2E-2</v>
      </c>
      <c r="V937" s="27">
        <v>0</v>
      </c>
      <c r="W937" s="27">
        <v>0</v>
      </c>
      <c r="X937" s="27" t="s">
        <v>43</v>
      </c>
    </row>
    <row r="938" spans="1:24">
      <c r="A938" s="27">
        <v>2</v>
      </c>
      <c r="B938" s="27">
        <v>1</v>
      </c>
      <c r="C938" s="27">
        <v>2</v>
      </c>
      <c r="D938" s="27">
        <v>2030</v>
      </c>
      <c r="E938" s="27">
        <v>2050</v>
      </c>
      <c r="F938" s="27">
        <v>9</v>
      </c>
      <c r="G938" s="27">
        <v>33</v>
      </c>
      <c r="H938" s="27">
        <v>-1</v>
      </c>
      <c r="I938" s="27">
        <v>0</v>
      </c>
      <c r="J938" s="27">
        <v>0</v>
      </c>
      <c r="K938" s="27">
        <v>3.28</v>
      </c>
      <c r="L938" s="27">
        <v>295</v>
      </c>
      <c r="M938" s="27">
        <v>295</v>
      </c>
      <c r="N938" s="27">
        <v>0</v>
      </c>
      <c r="O938" s="27">
        <v>0</v>
      </c>
      <c r="P938" s="27" t="s">
        <v>13</v>
      </c>
      <c r="Q938" s="27">
        <v>1993</v>
      </c>
      <c r="R938" s="27">
        <v>1</v>
      </c>
      <c r="S938" s="27">
        <v>0</v>
      </c>
      <c r="T938" s="27">
        <v>-5.0000000000000001E-3</v>
      </c>
      <c r="U938" s="27">
        <v>-1.2E-2</v>
      </c>
      <c r="V938" s="27">
        <v>0</v>
      </c>
      <c r="W938" s="27">
        <v>0</v>
      </c>
      <c r="X938" s="27" t="s">
        <v>43</v>
      </c>
    </row>
    <row r="939" spans="1:24">
      <c r="A939" s="27">
        <v>2</v>
      </c>
      <c r="B939" s="27">
        <v>1</v>
      </c>
      <c r="C939" s="27">
        <v>3</v>
      </c>
      <c r="D939" s="27">
        <v>2010</v>
      </c>
      <c r="E939" s="27">
        <v>2019</v>
      </c>
      <c r="F939" s="27">
        <v>1</v>
      </c>
      <c r="G939" s="27">
        <v>34</v>
      </c>
      <c r="H939" s="27">
        <v>-1</v>
      </c>
      <c r="I939" s="27">
        <v>0</v>
      </c>
      <c r="J939" s="27">
        <v>0</v>
      </c>
      <c r="K939" s="27">
        <v>3.52</v>
      </c>
      <c r="L939" s="27">
        <v>455</v>
      </c>
      <c r="M939" s="27">
        <v>455</v>
      </c>
      <c r="N939" s="27">
        <v>0</v>
      </c>
      <c r="O939" s="27">
        <v>0</v>
      </c>
      <c r="P939" s="27" t="s">
        <v>13</v>
      </c>
      <c r="Q939" s="27">
        <v>1993</v>
      </c>
      <c r="R939" s="27">
        <v>1</v>
      </c>
      <c r="S939" s="27">
        <v>0</v>
      </c>
      <c r="T939" s="27">
        <v>-5.0000000000000001E-3</v>
      </c>
      <c r="U939" s="27">
        <v>-1.2E-2</v>
      </c>
      <c r="V939" s="27">
        <v>0</v>
      </c>
      <c r="W939" s="27">
        <v>0</v>
      </c>
      <c r="X939" s="27" t="s">
        <v>44</v>
      </c>
    </row>
    <row r="940" spans="1:24">
      <c r="A940" s="27">
        <v>2</v>
      </c>
      <c r="B940" s="27">
        <v>1</v>
      </c>
      <c r="C940" s="27">
        <v>3</v>
      </c>
      <c r="D940" s="27">
        <v>2010</v>
      </c>
      <c r="E940" s="27">
        <v>2019</v>
      </c>
      <c r="F940" s="27">
        <v>2</v>
      </c>
      <c r="G940" s="27">
        <v>34</v>
      </c>
      <c r="H940" s="27">
        <v>-1</v>
      </c>
      <c r="I940" s="27">
        <v>0</v>
      </c>
      <c r="J940" s="27">
        <v>0</v>
      </c>
      <c r="K940" s="27">
        <v>3.52</v>
      </c>
      <c r="L940" s="27">
        <v>455</v>
      </c>
      <c r="M940" s="27">
        <v>455</v>
      </c>
      <c r="N940" s="27">
        <v>0</v>
      </c>
      <c r="O940" s="27">
        <v>0</v>
      </c>
      <c r="P940" s="27" t="s">
        <v>13</v>
      </c>
      <c r="Q940" s="27">
        <v>1993</v>
      </c>
      <c r="R940" s="27">
        <v>1</v>
      </c>
      <c r="S940" s="27">
        <v>0</v>
      </c>
      <c r="T940" s="27">
        <v>-5.0000000000000001E-3</v>
      </c>
      <c r="U940" s="27">
        <v>-1.2E-2</v>
      </c>
      <c r="V940" s="27">
        <v>0</v>
      </c>
      <c r="W940" s="27">
        <v>0</v>
      </c>
      <c r="X940" s="27" t="s">
        <v>44</v>
      </c>
    </row>
    <row r="941" spans="1:24">
      <c r="A941" s="27">
        <v>2</v>
      </c>
      <c r="B941" s="27">
        <v>1</v>
      </c>
      <c r="C941" s="27">
        <v>3</v>
      </c>
      <c r="D941" s="27">
        <v>2010</v>
      </c>
      <c r="E941" s="27">
        <v>2019</v>
      </c>
      <c r="F941" s="27">
        <v>3</v>
      </c>
      <c r="G941" s="27">
        <v>34</v>
      </c>
      <c r="H941" s="27">
        <v>-1</v>
      </c>
      <c r="I941" s="27">
        <v>0</v>
      </c>
      <c r="J941" s="27">
        <v>0</v>
      </c>
      <c r="K941" s="27">
        <v>3.52</v>
      </c>
      <c r="L941" s="27">
        <v>455</v>
      </c>
      <c r="M941" s="27">
        <v>455</v>
      </c>
      <c r="N941" s="27">
        <v>0</v>
      </c>
      <c r="O941" s="27">
        <v>0</v>
      </c>
      <c r="P941" s="27" t="s">
        <v>13</v>
      </c>
      <c r="Q941" s="27">
        <v>1993</v>
      </c>
      <c r="R941" s="27">
        <v>1</v>
      </c>
      <c r="S941" s="27">
        <v>0</v>
      </c>
      <c r="T941" s="27">
        <v>-5.0000000000000001E-3</v>
      </c>
      <c r="U941" s="27">
        <v>-1.2E-2</v>
      </c>
      <c r="V941" s="27">
        <v>0</v>
      </c>
      <c r="W941" s="27">
        <v>0</v>
      </c>
      <c r="X941" s="27" t="s">
        <v>44</v>
      </c>
    </row>
    <row r="942" spans="1:24">
      <c r="A942" s="27">
        <v>2</v>
      </c>
      <c r="B942" s="27">
        <v>1</v>
      </c>
      <c r="C942" s="27">
        <v>3</v>
      </c>
      <c r="D942" s="27">
        <v>2010</v>
      </c>
      <c r="E942" s="27">
        <v>2019</v>
      </c>
      <c r="F942" s="27">
        <v>4</v>
      </c>
      <c r="G942" s="27">
        <v>34</v>
      </c>
      <c r="H942" s="27">
        <v>-1</v>
      </c>
      <c r="I942" s="27">
        <v>0</v>
      </c>
      <c r="J942" s="27">
        <v>0</v>
      </c>
      <c r="K942" s="27">
        <v>3.52</v>
      </c>
      <c r="L942" s="27">
        <v>455</v>
      </c>
      <c r="M942" s="27">
        <v>455</v>
      </c>
      <c r="N942" s="27">
        <v>0</v>
      </c>
      <c r="O942" s="27">
        <v>0</v>
      </c>
      <c r="P942" s="27" t="s">
        <v>13</v>
      </c>
      <c r="Q942" s="27">
        <v>1993</v>
      </c>
      <c r="R942" s="27">
        <v>1</v>
      </c>
      <c r="S942" s="27">
        <v>0</v>
      </c>
      <c r="T942" s="27">
        <v>-5.0000000000000001E-3</v>
      </c>
      <c r="U942" s="27">
        <v>-1.2E-2</v>
      </c>
      <c r="V942" s="27">
        <v>0</v>
      </c>
      <c r="W942" s="27">
        <v>0</v>
      </c>
      <c r="X942" s="27" t="s">
        <v>44</v>
      </c>
    </row>
    <row r="943" spans="1:24">
      <c r="A943" s="27">
        <v>2</v>
      </c>
      <c r="B943" s="27">
        <v>1</v>
      </c>
      <c r="C943" s="27">
        <v>3</v>
      </c>
      <c r="D943" s="27">
        <v>2010</v>
      </c>
      <c r="E943" s="27">
        <v>2019</v>
      </c>
      <c r="F943" s="27">
        <v>5</v>
      </c>
      <c r="G943" s="27">
        <v>34</v>
      </c>
      <c r="H943" s="27">
        <v>-1</v>
      </c>
      <c r="I943" s="27">
        <v>0</v>
      </c>
      <c r="J943" s="27">
        <v>0</v>
      </c>
      <c r="K943" s="27">
        <v>3.52</v>
      </c>
      <c r="L943" s="27">
        <v>455</v>
      </c>
      <c r="M943" s="27">
        <v>455</v>
      </c>
      <c r="N943" s="27">
        <v>0</v>
      </c>
      <c r="O943" s="27">
        <v>0</v>
      </c>
      <c r="P943" s="27" t="s">
        <v>13</v>
      </c>
      <c r="Q943" s="27">
        <v>1993</v>
      </c>
      <c r="R943" s="27">
        <v>1</v>
      </c>
      <c r="S943" s="27">
        <v>0</v>
      </c>
      <c r="T943" s="27">
        <v>-5.0000000000000001E-3</v>
      </c>
      <c r="U943" s="27">
        <v>-1.2E-2</v>
      </c>
      <c r="V943" s="27">
        <v>0</v>
      </c>
      <c r="W943" s="27">
        <v>0</v>
      </c>
      <c r="X943" s="27" t="s">
        <v>44</v>
      </c>
    </row>
    <row r="944" spans="1:24">
      <c r="A944" s="27">
        <v>2</v>
      </c>
      <c r="B944" s="27">
        <v>1</v>
      </c>
      <c r="C944" s="27">
        <v>3</v>
      </c>
      <c r="D944" s="27">
        <v>2010</v>
      </c>
      <c r="E944" s="27">
        <v>2019</v>
      </c>
      <c r="F944" s="27">
        <v>6</v>
      </c>
      <c r="G944" s="27">
        <v>34</v>
      </c>
      <c r="H944" s="27">
        <v>-1</v>
      </c>
      <c r="I944" s="27">
        <v>0</v>
      </c>
      <c r="J944" s="27">
        <v>0</v>
      </c>
      <c r="K944" s="27">
        <v>3.52</v>
      </c>
      <c r="L944" s="27">
        <v>455</v>
      </c>
      <c r="M944" s="27">
        <v>455</v>
      </c>
      <c r="N944" s="27">
        <v>0</v>
      </c>
      <c r="O944" s="27">
        <v>0</v>
      </c>
      <c r="P944" s="27" t="s">
        <v>13</v>
      </c>
      <c r="Q944" s="27">
        <v>1993</v>
      </c>
      <c r="R944" s="27">
        <v>1</v>
      </c>
      <c r="S944" s="27">
        <v>0</v>
      </c>
      <c r="T944" s="27">
        <v>-5.0000000000000001E-3</v>
      </c>
      <c r="U944" s="27">
        <v>-1.2E-2</v>
      </c>
      <c r="V944" s="27">
        <v>0</v>
      </c>
      <c r="W944" s="27">
        <v>0</v>
      </c>
      <c r="X944" s="27" t="s">
        <v>44</v>
      </c>
    </row>
    <row r="945" spans="1:24">
      <c r="A945" s="27">
        <v>2</v>
      </c>
      <c r="B945" s="27">
        <v>1</v>
      </c>
      <c r="C945" s="27">
        <v>3</v>
      </c>
      <c r="D945" s="27">
        <v>2010</v>
      </c>
      <c r="E945" s="27">
        <v>2019</v>
      </c>
      <c r="F945" s="27">
        <v>7</v>
      </c>
      <c r="G945" s="27">
        <v>34</v>
      </c>
      <c r="H945" s="27">
        <v>-1</v>
      </c>
      <c r="I945" s="27">
        <v>0</v>
      </c>
      <c r="J945" s="27">
        <v>0</v>
      </c>
      <c r="K945" s="27">
        <v>3.52</v>
      </c>
      <c r="L945" s="27">
        <v>455</v>
      </c>
      <c r="M945" s="27">
        <v>455</v>
      </c>
      <c r="N945" s="27">
        <v>0</v>
      </c>
      <c r="O945" s="27">
        <v>0</v>
      </c>
      <c r="P945" s="27" t="s">
        <v>13</v>
      </c>
      <c r="Q945" s="27">
        <v>1993</v>
      </c>
      <c r="R945" s="27">
        <v>1</v>
      </c>
      <c r="S945" s="27">
        <v>0</v>
      </c>
      <c r="T945" s="27">
        <v>-5.0000000000000001E-3</v>
      </c>
      <c r="U945" s="27">
        <v>-1.2E-2</v>
      </c>
      <c r="V945" s="27">
        <v>0</v>
      </c>
      <c r="W945" s="27">
        <v>0</v>
      </c>
      <c r="X945" s="27" t="s">
        <v>44</v>
      </c>
    </row>
    <row r="946" spans="1:24">
      <c r="A946" s="27">
        <v>2</v>
      </c>
      <c r="B946" s="27">
        <v>1</v>
      </c>
      <c r="C946" s="27">
        <v>3</v>
      </c>
      <c r="D946" s="27">
        <v>2010</v>
      </c>
      <c r="E946" s="27">
        <v>2019</v>
      </c>
      <c r="F946" s="27">
        <v>8</v>
      </c>
      <c r="G946" s="27">
        <v>34</v>
      </c>
      <c r="H946" s="27">
        <v>-1</v>
      </c>
      <c r="I946" s="27">
        <v>0</v>
      </c>
      <c r="J946" s="27">
        <v>0</v>
      </c>
      <c r="K946" s="27">
        <v>3.52</v>
      </c>
      <c r="L946" s="27">
        <v>455</v>
      </c>
      <c r="M946" s="27">
        <v>455</v>
      </c>
      <c r="N946" s="27">
        <v>0</v>
      </c>
      <c r="O946" s="27">
        <v>0</v>
      </c>
      <c r="P946" s="27" t="s">
        <v>13</v>
      </c>
      <c r="Q946" s="27">
        <v>1993</v>
      </c>
      <c r="R946" s="27">
        <v>1</v>
      </c>
      <c r="S946" s="27">
        <v>0</v>
      </c>
      <c r="T946" s="27">
        <v>-5.0000000000000001E-3</v>
      </c>
      <c r="U946" s="27">
        <v>-1.2E-2</v>
      </c>
      <c r="V946" s="27">
        <v>0</v>
      </c>
      <c r="W946" s="27">
        <v>0</v>
      </c>
      <c r="X946" s="27" t="s">
        <v>44</v>
      </c>
    </row>
    <row r="947" spans="1:24">
      <c r="A947" s="27">
        <v>2</v>
      </c>
      <c r="B947" s="27">
        <v>1</v>
      </c>
      <c r="C947" s="27">
        <v>3</v>
      </c>
      <c r="D947" s="27">
        <v>2010</v>
      </c>
      <c r="E947" s="27">
        <v>2019</v>
      </c>
      <c r="F947" s="27">
        <v>9</v>
      </c>
      <c r="G947" s="27">
        <v>34</v>
      </c>
      <c r="H947" s="27">
        <v>-1</v>
      </c>
      <c r="I947" s="27">
        <v>0</v>
      </c>
      <c r="J947" s="27">
        <v>0</v>
      </c>
      <c r="K947" s="27">
        <v>3.52</v>
      </c>
      <c r="L947" s="27">
        <v>455</v>
      </c>
      <c r="M947" s="27">
        <v>455</v>
      </c>
      <c r="N947" s="27">
        <v>0</v>
      </c>
      <c r="O947" s="27">
        <v>0</v>
      </c>
      <c r="P947" s="27" t="s">
        <v>13</v>
      </c>
      <c r="Q947" s="27">
        <v>1993</v>
      </c>
      <c r="R947" s="27">
        <v>1</v>
      </c>
      <c r="S947" s="27">
        <v>0</v>
      </c>
      <c r="T947" s="27">
        <v>-5.0000000000000001E-3</v>
      </c>
      <c r="U947" s="27">
        <v>-1.2E-2</v>
      </c>
      <c r="V947" s="27">
        <v>0</v>
      </c>
      <c r="W947" s="27">
        <v>0</v>
      </c>
      <c r="X947" s="27" t="s">
        <v>44</v>
      </c>
    </row>
    <row r="948" spans="1:24">
      <c r="A948" s="27">
        <v>2</v>
      </c>
      <c r="B948" s="27">
        <v>1</v>
      </c>
      <c r="C948" s="27">
        <v>3</v>
      </c>
      <c r="D948" s="27">
        <v>2020</v>
      </c>
      <c r="E948" s="27">
        <v>2050</v>
      </c>
      <c r="F948" s="27">
        <v>1</v>
      </c>
      <c r="G948" s="27">
        <v>34</v>
      </c>
      <c r="H948" s="27">
        <v>-1</v>
      </c>
      <c r="I948" s="27">
        <v>0</v>
      </c>
      <c r="J948" s="27">
        <v>0</v>
      </c>
      <c r="K948" s="27">
        <v>3.81</v>
      </c>
      <c r="L948" s="27">
        <v>515</v>
      </c>
      <c r="M948" s="27">
        <v>515</v>
      </c>
      <c r="N948" s="27">
        <v>0</v>
      </c>
      <c r="O948" s="27">
        <v>0</v>
      </c>
      <c r="P948" s="27" t="s">
        <v>13</v>
      </c>
      <c r="Q948" s="27">
        <v>1993</v>
      </c>
      <c r="R948" s="27">
        <v>1</v>
      </c>
      <c r="S948" s="27">
        <v>0</v>
      </c>
      <c r="T948" s="27">
        <v>-5.0000000000000001E-3</v>
      </c>
      <c r="U948" s="27">
        <v>-1.2E-2</v>
      </c>
      <c r="V948" s="27">
        <v>0</v>
      </c>
      <c r="W948" s="27">
        <v>0</v>
      </c>
      <c r="X948" s="27" t="s">
        <v>44</v>
      </c>
    </row>
    <row r="949" spans="1:24">
      <c r="A949" s="27">
        <v>2</v>
      </c>
      <c r="B949" s="27">
        <v>1</v>
      </c>
      <c r="C949" s="27">
        <v>3</v>
      </c>
      <c r="D949" s="27">
        <v>2020</v>
      </c>
      <c r="E949" s="27">
        <v>2050</v>
      </c>
      <c r="F949" s="27">
        <v>2</v>
      </c>
      <c r="G949" s="27">
        <v>34</v>
      </c>
      <c r="H949" s="27">
        <v>-1</v>
      </c>
      <c r="I949" s="27">
        <v>0</v>
      </c>
      <c r="J949" s="27">
        <v>0</v>
      </c>
      <c r="K949" s="27">
        <v>3.81</v>
      </c>
      <c r="L949" s="27">
        <v>515</v>
      </c>
      <c r="M949" s="27">
        <v>515</v>
      </c>
      <c r="N949" s="27">
        <v>0</v>
      </c>
      <c r="O949" s="27">
        <v>0</v>
      </c>
      <c r="P949" s="27" t="s">
        <v>13</v>
      </c>
      <c r="Q949" s="27">
        <v>1993</v>
      </c>
      <c r="R949" s="27">
        <v>1</v>
      </c>
      <c r="S949" s="27">
        <v>0</v>
      </c>
      <c r="T949" s="27">
        <v>-5.0000000000000001E-3</v>
      </c>
      <c r="U949" s="27">
        <v>-1.2E-2</v>
      </c>
      <c r="V949" s="27">
        <v>0</v>
      </c>
      <c r="W949" s="27">
        <v>0</v>
      </c>
      <c r="X949" s="27" t="s">
        <v>44</v>
      </c>
    </row>
    <row r="950" spans="1:24">
      <c r="A950" s="27">
        <v>2</v>
      </c>
      <c r="B950" s="27">
        <v>1</v>
      </c>
      <c r="C950" s="27">
        <v>3</v>
      </c>
      <c r="D950" s="27">
        <v>2020</v>
      </c>
      <c r="E950" s="27">
        <v>2050</v>
      </c>
      <c r="F950" s="27">
        <v>3</v>
      </c>
      <c r="G950" s="27">
        <v>34</v>
      </c>
      <c r="H950" s="27">
        <v>-1</v>
      </c>
      <c r="I950" s="27">
        <v>0</v>
      </c>
      <c r="J950" s="27">
        <v>0</v>
      </c>
      <c r="K950" s="27">
        <v>3.81</v>
      </c>
      <c r="L950" s="27">
        <v>515</v>
      </c>
      <c r="M950" s="27">
        <v>515</v>
      </c>
      <c r="N950" s="27">
        <v>0</v>
      </c>
      <c r="O950" s="27">
        <v>0</v>
      </c>
      <c r="P950" s="27" t="s">
        <v>13</v>
      </c>
      <c r="Q950" s="27">
        <v>1993</v>
      </c>
      <c r="R950" s="27">
        <v>1</v>
      </c>
      <c r="S950" s="27">
        <v>0</v>
      </c>
      <c r="T950" s="27">
        <v>-5.0000000000000001E-3</v>
      </c>
      <c r="U950" s="27">
        <v>-1.2E-2</v>
      </c>
      <c r="V950" s="27">
        <v>0</v>
      </c>
      <c r="W950" s="27">
        <v>0</v>
      </c>
      <c r="X950" s="27" t="s">
        <v>44</v>
      </c>
    </row>
    <row r="951" spans="1:24">
      <c r="A951" s="27">
        <v>2</v>
      </c>
      <c r="B951" s="27">
        <v>1</v>
      </c>
      <c r="C951" s="27">
        <v>3</v>
      </c>
      <c r="D951" s="27">
        <v>2020</v>
      </c>
      <c r="E951" s="27">
        <v>2050</v>
      </c>
      <c r="F951" s="27">
        <v>4</v>
      </c>
      <c r="G951" s="27">
        <v>34</v>
      </c>
      <c r="H951" s="27">
        <v>-1</v>
      </c>
      <c r="I951" s="27">
        <v>0</v>
      </c>
      <c r="J951" s="27">
        <v>0</v>
      </c>
      <c r="K951" s="27">
        <v>3.81</v>
      </c>
      <c r="L951" s="27">
        <v>515</v>
      </c>
      <c r="M951" s="27">
        <v>515</v>
      </c>
      <c r="N951" s="27">
        <v>0</v>
      </c>
      <c r="O951" s="27">
        <v>0</v>
      </c>
      <c r="P951" s="27" t="s">
        <v>13</v>
      </c>
      <c r="Q951" s="27">
        <v>1993</v>
      </c>
      <c r="R951" s="27">
        <v>1</v>
      </c>
      <c r="S951" s="27">
        <v>0</v>
      </c>
      <c r="T951" s="27">
        <v>-5.0000000000000001E-3</v>
      </c>
      <c r="U951" s="27">
        <v>-1.2E-2</v>
      </c>
      <c r="V951" s="27">
        <v>0</v>
      </c>
      <c r="W951" s="27">
        <v>0</v>
      </c>
      <c r="X951" s="27" t="s">
        <v>44</v>
      </c>
    </row>
    <row r="952" spans="1:24">
      <c r="A952" s="27">
        <v>2</v>
      </c>
      <c r="B952" s="27">
        <v>1</v>
      </c>
      <c r="C952" s="27">
        <v>3</v>
      </c>
      <c r="D952" s="27">
        <v>2020</v>
      </c>
      <c r="E952" s="27">
        <v>2050</v>
      </c>
      <c r="F952" s="27">
        <v>5</v>
      </c>
      <c r="G952" s="27">
        <v>34</v>
      </c>
      <c r="H952" s="27">
        <v>-1</v>
      </c>
      <c r="I952" s="27">
        <v>0</v>
      </c>
      <c r="J952" s="27">
        <v>0</v>
      </c>
      <c r="K952" s="27">
        <v>3.81</v>
      </c>
      <c r="L952" s="27">
        <v>515</v>
      </c>
      <c r="M952" s="27">
        <v>515</v>
      </c>
      <c r="N952" s="27">
        <v>0</v>
      </c>
      <c r="O952" s="27">
        <v>0</v>
      </c>
      <c r="P952" s="27" t="s">
        <v>13</v>
      </c>
      <c r="Q952" s="27">
        <v>1993</v>
      </c>
      <c r="R952" s="27">
        <v>1</v>
      </c>
      <c r="S952" s="27">
        <v>0</v>
      </c>
      <c r="T952" s="27">
        <v>-5.0000000000000001E-3</v>
      </c>
      <c r="U952" s="27">
        <v>-1.2E-2</v>
      </c>
      <c r="V952" s="27">
        <v>0</v>
      </c>
      <c r="W952" s="27">
        <v>0</v>
      </c>
      <c r="X952" s="27" t="s">
        <v>44</v>
      </c>
    </row>
    <row r="953" spans="1:24">
      <c r="A953" s="27">
        <v>2</v>
      </c>
      <c r="B953" s="27">
        <v>1</v>
      </c>
      <c r="C953" s="27">
        <v>3</v>
      </c>
      <c r="D953" s="27">
        <v>2020</v>
      </c>
      <c r="E953" s="27">
        <v>2050</v>
      </c>
      <c r="F953" s="27">
        <v>6</v>
      </c>
      <c r="G953" s="27">
        <v>34</v>
      </c>
      <c r="H953" s="27">
        <v>-1</v>
      </c>
      <c r="I953" s="27">
        <v>0</v>
      </c>
      <c r="J953" s="27">
        <v>0</v>
      </c>
      <c r="K953" s="27">
        <v>3.81</v>
      </c>
      <c r="L953" s="27">
        <v>515</v>
      </c>
      <c r="M953" s="27">
        <v>515</v>
      </c>
      <c r="N953" s="27">
        <v>0</v>
      </c>
      <c r="O953" s="27">
        <v>0</v>
      </c>
      <c r="P953" s="27" t="s">
        <v>13</v>
      </c>
      <c r="Q953" s="27">
        <v>1993</v>
      </c>
      <c r="R953" s="27">
        <v>1</v>
      </c>
      <c r="S953" s="27">
        <v>0</v>
      </c>
      <c r="T953" s="27">
        <v>-5.0000000000000001E-3</v>
      </c>
      <c r="U953" s="27">
        <v>-1.2E-2</v>
      </c>
      <c r="V953" s="27">
        <v>0</v>
      </c>
      <c r="W953" s="27">
        <v>0</v>
      </c>
      <c r="X953" s="27" t="s">
        <v>44</v>
      </c>
    </row>
    <row r="954" spans="1:24">
      <c r="A954" s="27">
        <v>2</v>
      </c>
      <c r="B954" s="27">
        <v>1</v>
      </c>
      <c r="C954" s="27">
        <v>3</v>
      </c>
      <c r="D954" s="27">
        <v>2020</v>
      </c>
      <c r="E954" s="27">
        <v>2050</v>
      </c>
      <c r="F954" s="27">
        <v>7</v>
      </c>
      <c r="G954" s="27">
        <v>34</v>
      </c>
      <c r="H954" s="27">
        <v>-1</v>
      </c>
      <c r="I954" s="27">
        <v>0</v>
      </c>
      <c r="J954" s="27">
        <v>0</v>
      </c>
      <c r="K954" s="27">
        <v>3.81</v>
      </c>
      <c r="L954" s="27">
        <v>515</v>
      </c>
      <c r="M954" s="27">
        <v>515</v>
      </c>
      <c r="N954" s="27">
        <v>0</v>
      </c>
      <c r="O954" s="27">
        <v>0</v>
      </c>
      <c r="P954" s="27" t="s">
        <v>13</v>
      </c>
      <c r="Q954" s="27">
        <v>1993</v>
      </c>
      <c r="R954" s="27">
        <v>1</v>
      </c>
      <c r="S954" s="27">
        <v>0</v>
      </c>
      <c r="T954" s="27">
        <v>-5.0000000000000001E-3</v>
      </c>
      <c r="U954" s="27">
        <v>-1.2E-2</v>
      </c>
      <c r="V954" s="27">
        <v>0</v>
      </c>
      <c r="W954" s="27">
        <v>0</v>
      </c>
      <c r="X954" s="27" t="s">
        <v>44</v>
      </c>
    </row>
    <row r="955" spans="1:24">
      <c r="A955" s="27">
        <v>2</v>
      </c>
      <c r="B955" s="27">
        <v>1</v>
      </c>
      <c r="C955" s="27">
        <v>3</v>
      </c>
      <c r="D955" s="27">
        <v>2020</v>
      </c>
      <c r="E955" s="27">
        <v>2050</v>
      </c>
      <c r="F955" s="27">
        <v>8</v>
      </c>
      <c r="G955" s="27">
        <v>34</v>
      </c>
      <c r="H955" s="27">
        <v>-1</v>
      </c>
      <c r="I955" s="27">
        <v>0</v>
      </c>
      <c r="J955" s="27">
        <v>0</v>
      </c>
      <c r="K955" s="27">
        <v>3.81</v>
      </c>
      <c r="L955" s="27">
        <v>515</v>
      </c>
      <c r="M955" s="27">
        <v>515</v>
      </c>
      <c r="N955" s="27">
        <v>0</v>
      </c>
      <c r="O955" s="27">
        <v>0</v>
      </c>
      <c r="P955" s="27" t="s">
        <v>13</v>
      </c>
      <c r="Q955" s="27">
        <v>1993</v>
      </c>
      <c r="R955" s="27">
        <v>1</v>
      </c>
      <c r="S955" s="27">
        <v>0</v>
      </c>
      <c r="T955" s="27">
        <v>-5.0000000000000001E-3</v>
      </c>
      <c r="U955" s="27">
        <v>-1.2E-2</v>
      </c>
      <c r="V955" s="27">
        <v>0</v>
      </c>
      <c r="W955" s="27">
        <v>0</v>
      </c>
      <c r="X955" s="27" t="s">
        <v>44</v>
      </c>
    </row>
    <row r="956" spans="1:24">
      <c r="A956" s="27">
        <v>2</v>
      </c>
      <c r="B956" s="27">
        <v>1</v>
      </c>
      <c r="C956" s="27">
        <v>3</v>
      </c>
      <c r="D956" s="27">
        <v>2020</v>
      </c>
      <c r="E956" s="27">
        <v>2050</v>
      </c>
      <c r="F956" s="27">
        <v>9</v>
      </c>
      <c r="G956" s="27">
        <v>34</v>
      </c>
      <c r="H956" s="27">
        <v>-1</v>
      </c>
      <c r="I956" s="27">
        <v>0</v>
      </c>
      <c r="J956" s="27">
        <v>0</v>
      </c>
      <c r="K956" s="27">
        <v>3.81</v>
      </c>
      <c r="L956" s="27">
        <v>515</v>
      </c>
      <c r="M956" s="27">
        <v>515</v>
      </c>
      <c r="N956" s="27">
        <v>0</v>
      </c>
      <c r="O956" s="27">
        <v>0</v>
      </c>
      <c r="P956" s="27" t="s">
        <v>13</v>
      </c>
      <c r="Q956" s="27">
        <v>1993</v>
      </c>
      <c r="R956" s="27">
        <v>1</v>
      </c>
      <c r="S956" s="27">
        <v>0</v>
      </c>
      <c r="T956" s="27">
        <v>-5.0000000000000001E-3</v>
      </c>
      <c r="U956" s="27">
        <v>-1.2E-2</v>
      </c>
      <c r="V956" s="27">
        <v>0</v>
      </c>
      <c r="W956" s="27">
        <v>0</v>
      </c>
      <c r="X956" s="27" t="s">
        <v>44</v>
      </c>
    </row>
    <row r="957" spans="1:24">
      <c r="A957" s="27">
        <v>2</v>
      </c>
      <c r="B957" s="27">
        <v>2</v>
      </c>
      <c r="C957" s="27">
        <v>4</v>
      </c>
      <c r="D957" s="27">
        <v>2010</v>
      </c>
      <c r="E957" s="27">
        <v>2050</v>
      </c>
      <c r="F957" s="27">
        <v>1</v>
      </c>
      <c r="G957" s="27">
        <v>35</v>
      </c>
      <c r="H957" s="27">
        <v>0</v>
      </c>
      <c r="I957" s="27">
        <v>0</v>
      </c>
      <c r="J957" s="27">
        <v>0</v>
      </c>
      <c r="K957" s="27">
        <v>4.0199999999999996</v>
      </c>
      <c r="L957" s="27">
        <v>3200</v>
      </c>
      <c r="M957" s="27">
        <v>2880</v>
      </c>
      <c r="N957" s="27">
        <v>0</v>
      </c>
      <c r="O957" s="27">
        <v>0</v>
      </c>
      <c r="P957" s="27" t="s">
        <v>13</v>
      </c>
      <c r="Q957" s="27">
        <v>1993</v>
      </c>
      <c r="R957" s="27">
        <v>1</v>
      </c>
      <c r="S957" s="27">
        <v>0</v>
      </c>
      <c r="T957" s="27">
        <v>-3.0000000000000001E-3</v>
      </c>
      <c r="U957" s="27">
        <v>-1.2E-2</v>
      </c>
      <c r="V957" s="27">
        <v>0</v>
      </c>
      <c r="W957" s="27">
        <v>0</v>
      </c>
      <c r="X957" s="27" t="s">
        <v>45</v>
      </c>
    </row>
    <row r="958" spans="1:24">
      <c r="A958" s="27">
        <v>2</v>
      </c>
      <c r="B958" s="27">
        <v>2</v>
      </c>
      <c r="C958" s="27">
        <v>4</v>
      </c>
      <c r="D958" s="27">
        <v>2010</v>
      </c>
      <c r="E958" s="27">
        <v>2050</v>
      </c>
      <c r="F958" s="27">
        <v>2</v>
      </c>
      <c r="G958" s="27">
        <v>35</v>
      </c>
      <c r="H958" s="27">
        <v>0</v>
      </c>
      <c r="I958" s="27">
        <v>0</v>
      </c>
      <c r="J958" s="27">
        <v>0</v>
      </c>
      <c r="K958" s="27">
        <v>4.0199999999999996</v>
      </c>
      <c r="L958" s="27">
        <v>3200</v>
      </c>
      <c r="M958" s="27">
        <v>2880</v>
      </c>
      <c r="N958" s="27">
        <v>0</v>
      </c>
      <c r="O958" s="27">
        <v>0</v>
      </c>
      <c r="P958" s="27" t="s">
        <v>13</v>
      </c>
      <c r="Q958" s="27">
        <v>1993</v>
      </c>
      <c r="R958" s="27">
        <v>1</v>
      </c>
      <c r="S958" s="27">
        <v>0</v>
      </c>
      <c r="T958" s="27">
        <v>-3.0000000000000001E-3</v>
      </c>
      <c r="U958" s="27">
        <v>-1.2E-2</v>
      </c>
      <c r="V958" s="27">
        <v>0</v>
      </c>
      <c r="W958" s="27">
        <v>0</v>
      </c>
      <c r="X958" s="27" t="s">
        <v>45</v>
      </c>
    </row>
    <row r="959" spans="1:24">
      <c r="A959" s="27">
        <v>2</v>
      </c>
      <c r="B959" s="27">
        <v>2</v>
      </c>
      <c r="C959" s="27">
        <v>4</v>
      </c>
      <c r="D959" s="27">
        <v>2010</v>
      </c>
      <c r="E959" s="27">
        <v>2050</v>
      </c>
      <c r="F959" s="27">
        <v>3</v>
      </c>
      <c r="G959" s="27">
        <v>35</v>
      </c>
      <c r="H959" s="27">
        <v>0</v>
      </c>
      <c r="I959" s="27">
        <v>0</v>
      </c>
      <c r="J959" s="27">
        <v>0</v>
      </c>
      <c r="K959" s="27">
        <v>4.0199999999999996</v>
      </c>
      <c r="L959" s="27">
        <v>3200</v>
      </c>
      <c r="M959" s="27">
        <v>2880</v>
      </c>
      <c r="N959" s="27">
        <v>0</v>
      </c>
      <c r="O959" s="27">
        <v>0</v>
      </c>
      <c r="P959" s="27" t="s">
        <v>13</v>
      </c>
      <c r="Q959" s="27">
        <v>1993</v>
      </c>
      <c r="R959" s="27">
        <v>1</v>
      </c>
      <c r="S959" s="27">
        <v>0</v>
      </c>
      <c r="T959" s="27">
        <v>-3.0000000000000001E-3</v>
      </c>
      <c r="U959" s="27">
        <v>-1.2E-2</v>
      </c>
      <c r="V959" s="27">
        <v>0</v>
      </c>
      <c r="W959" s="27">
        <v>0</v>
      </c>
      <c r="X959" s="27" t="s">
        <v>45</v>
      </c>
    </row>
    <row r="960" spans="1:24">
      <c r="A960" s="27">
        <v>2</v>
      </c>
      <c r="B960" s="27">
        <v>2</v>
      </c>
      <c r="C960" s="27">
        <v>4</v>
      </c>
      <c r="D960" s="27">
        <v>2010</v>
      </c>
      <c r="E960" s="27">
        <v>2050</v>
      </c>
      <c r="F960" s="27">
        <v>4</v>
      </c>
      <c r="G960" s="27">
        <v>35</v>
      </c>
      <c r="H960" s="27">
        <v>0</v>
      </c>
      <c r="I960" s="27">
        <v>0</v>
      </c>
      <c r="J960" s="27">
        <v>0</v>
      </c>
      <c r="K960" s="27">
        <v>4.0199999999999996</v>
      </c>
      <c r="L960" s="27">
        <v>3200</v>
      </c>
      <c r="M960" s="27">
        <v>2880</v>
      </c>
      <c r="N960" s="27">
        <v>0</v>
      </c>
      <c r="O960" s="27">
        <v>0</v>
      </c>
      <c r="P960" s="27" t="s">
        <v>13</v>
      </c>
      <c r="Q960" s="27">
        <v>1993</v>
      </c>
      <c r="R960" s="27">
        <v>1</v>
      </c>
      <c r="S960" s="27">
        <v>0</v>
      </c>
      <c r="T960" s="27">
        <v>-3.0000000000000001E-3</v>
      </c>
      <c r="U960" s="27">
        <v>-1.2E-2</v>
      </c>
      <c r="V960" s="27">
        <v>0</v>
      </c>
      <c r="W960" s="27">
        <v>0</v>
      </c>
      <c r="X960" s="27" t="s">
        <v>45</v>
      </c>
    </row>
    <row r="961" spans="1:24">
      <c r="A961" s="27">
        <v>2</v>
      </c>
      <c r="B961" s="27">
        <v>2</v>
      </c>
      <c r="C961" s="27">
        <v>4</v>
      </c>
      <c r="D961" s="27">
        <v>2010</v>
      </c>
      <c r="E961" s="27">
        <v>2014</v>
      </c>
      <c r="F961" s="27">
        <v>5</v>
      </c>
      <c r="G961" s="27">
        <v>35</v>
      </c>
      <c r="H961" s="27">
        <v>0</v>
      </c>
      <c r="I961" s="27">
        <v>0</v>
      </c>
      <c r="J961" s="27">
        <v>0</v>
      </c>
      <c r="K961" s="27">
        <v>4.0199999999999996</v>
      </c>
      <c r="L961" s="27">
        <v>3200</v>
      </c>
      <c r="M961" s="27">
        <v>2880</v>
      </c>
      <c r="N961" s="27">
        <v>0</v>
      </c>
      <c r="O961" s="27">
        <v>0</v>
      </c>
      <c r="P961" s="27" t="s">
        <v>13</v>
      </c>
      <c r="Q961" s="27">
        <v>1993</v>
      </c>
      <c r="R961" s="27">
        <v>1</v>
      </c>
      <c r="S961" s="27">
        <v>0</v>
      </c>
      <c r="T961" s="27">
        <v>-3.0000000000000001E-3</v>
      </c>
      <c r="U961" s="27">
        <v>-1.2E-2</v>
      </c>
      <c r="V961" s="27">
        <v>0</v>
      </c>
      <c r="W961" s="27">
        <v>0</v>
      </c>
      <c r="X961" s="27" t="s">
        <v>45</v>
      </c>
    </row>
    <row r="962" spans="1:24">
      <c r="A962" s="27">
        <v>2</v>
      </c>
      <c r="B962" s="27">
        <v>2</v>
      </c>
      <c r="C962" s="27">
        <v>4</v>
      </c>
      <c r="D962" s="27">
        <v>2010</v>
      </c>
      <c r="E962" s="27">
        <v>2014</v>
      </c>
      <c r="F962" s="27">
        <v>6</v>
      </c>
      <c r="G962" s="27">
        <v>35</v>
      </c>
      <c r="H962" s="27">
        <v>0</v>
      </c>
      <c r="I962" s="27">
        <v>0</v>
      </c>
      <c r="J962" s="27">
        <v>0</v>
      </c>
      <c r="K962" s="27">
        <v>4.0199999999999996</v>
      </c>
      <c r="L962" s="27">
        <v>3200</v>
      </c>
      <c r="M962" s="27">
        <v>2880</v>
      </c>
      <c r="N962" s="27">
        <v>0</v>
      </c>
      <c r="O962" s="27">
        <v>0</v>
      </c>
      <c r="P962" s="27" t="s">
        <v>13</v>
      </c>
      <c r="Q962" s="27">
        <v>1993</v>
      </c>
      <c r="R962" s="27">
        <v>1</v>
      </c>
      <c r="S962" s="27">
        <v>0</v>
      </c>
      <c r="T962" s="27">
        <v>-3.0000000000000001E-3</v>
      </c>
      <c r="U962" s="27">
        <v>-1.2E-2</v>
      </c>
      <c r="V962" s="27">
        <v>0</v>
      </c>
      <c r="W962" s="27">
        <v>0</v>
      </c>
      <c r="X962" s="27" t="s">
        <v>45</v>
      </c>
    </row>
    <row r="963" spans="1:24">
      <c r="A963" s="27">
        <v>2</v>
      </c>
      <c r="B963" s="27">
        <v>2</v>
      </c>
      <c r="C963" s="27">
        <v>4</v>
      </c>
      <c r="D963" s="27">
        <v>2010</v>
      </c>
      <c r="E963" s="27">
        <v>2014</v>
      </c>
      <c r="F963" s="27">
        <v>7</v>
      </c>
      <c r="G963" s="27">
        <v>35</v>
      </c>
      <c r="H963" s="27">
        <v>0</v>
      </c>
      <c r="I963" s="27">
        <v>0</v>
      </c>
      <c r="J963" s="27">
        <v>0</v>
      </c>
      <c r="K963" s="27">
        <v>4.0199999999999996</v>
      </c>
      <c r="L963" s="27">
        <v>3200</v>
      </c>
      <c r="M963" s="27">
        <v>2880</v>
      </c>
      <c r="N963" s="27">
        <v>0</v>
      </c>
      <c r="O963" s="27">
        <v>0</v>
      </c>
      <c r="P963" s="27" t="s">
        <v>13</v>
      </c>
      <c r="Q963" s="27">
        <v>1993</v>
      </c>
      <c r="R963" s="27">
        <v>1</v>
      </c>
      <c r="S963" s="27">
        <v>0</v>
      </c>
      <c r="T963" s="27">
        <v>-3.0000000000000001E-3</v>
      </c>
      <c r="U963" s="27">
        <v>-1.2E-2</v>
      </c>
      <c r="V963" s="27">
        <v>0</v>
      </c>
      <c r="W963" s="27">
        <v>0</v>
      </c>
      <c r="X963" s="27" t="s">
        <v>45</v>
      </c>
    </row>
    <row r="964" spans="1:24">
      <c r="A964" s="27">
        <v>2</v>
      </c>
      <c r="B964" s="27">
        <v>2</v>
      </c>
      <c r="C964" s="27">
        <v>4</v>
      </c>
      <c r="D964" s="27">
        <v>2010</v>
      </c>
      <c r="E964" s="27">
        <v>2050</v>
      </c>
      <c r="F964" s="27">
        <v>8</v>
      </c>
      <c r="G964" s="27">
        <v>35</v>
      </c>
      <c r="H964" s="27">
        <v>0</v>
      </c>
      <c r="I964" s="27">
        <v>0</v>
      </c>
      <c r="J964" s="27">
        <v>0</v>
      </c>
      <c r="K964" s="27">
        <v>4.0199999999999996</v>
      </c>
      <c r="L964" s="27">
        <v>3200</v>
      </c>
      <c r="M964" s="27">
        <v>2880</v>
      </c>
      <c r="N964" s="27">
        <v>0</v>
      </c>
      <c r="O964" s="27">
        <v>0</v>
      </c>
      <c r="P964" s="27" t="s">
        <v>13</v>
      </c>
      <c r="Q964" s="27">
        <v>1993</v>
      </c>
      <c r="R964" s="27">
        <v>1</v>
      </c>
      <c r="S964" s="27">
        <v>0</v>
      </c>
      <c r="T964" s="27">
        <v>-3.0000000000000001E-3</v>
      </c>
      <c r="U964" s="27">
        <v>-1.2E-2</v>
      </c>
      <c r="V964" s="27">
        <v>0</v>
      </c>
      <c r="W964" s="27">
        <v>0</v>
      </c>
      <c r="X964" s="27" t="s">
        <v>45</v>
      </c>
    </row>
    <row r="965" spans="1:24">
      <c r="A965" s="27">
        <v>2</v>
      </c>
      <c r="B965" s="27">
        <v>2</v>
      </c>
      <c r="C965" s="27">
        <v>4</v>
      </c>
      <c r="D965" s="27">
        <v>2010</v>
      </c>
      <c r="E965" s="27">
        <v>2014</v>
      </c>
      <c r="F965" s="27">
        <v>9</v>
      </c>
      <c r="G965" s="27">
        <v>35</v>
      </c>
      <c r="H965" s="27">
        <v>0</v>
      </c>
      <c r="I965" s="27">
        <v>0</v>
      </c>
      <c r="J965" s="27">
        <v>0</v>
      </c>
      <c r="K965" s="27">
        <v>4.0199999999999996</v>
      </c>
      <c r="L965" s="27">
        <v>3200</v>
      </c>
      <c r="M965" s="27">
        <v>2880</v>
      </c>
      <c r="N965" s="27">
        <v>0</v>
      </c>
      <c r="O965" s="27">
        <v>0</v>
      </c>
      <c r="P965" s="27" t="s">
        <v>13</v>
      </c>
      <c r="Q965" s="27">
        <v>1993</v>
      </c>
      <c r="R965" s="27">
        <v>1</v>
      </c>
      <c r="S965" s="27">
        <v>0</v>
      </c>
      <c r="T965" s="27">
        <v>-3.0000000000000001E-3</v>
      </c>
      <c r="U965" s="27">
        <v>-1.2E-2</v>
      </c>
      <c r="V965" s="27">
        <v>0</v>
      </c>
      <c r="W965" s="27">
        <v>0</v>
      </c>
      <c r="X965" s="27" t="s">
        <v>45</v>
      </c>
    </row>
    <row r="966" spans="1:24">
      <c r="A966" s="27">
        <v>2</v>
      </c>
      <c r="B966" s="27">
        <v>2</v>
      </c>
      <c r="C966" s="27">
        <v>4</v>
      </c>
      <c r="D966" s="27">
        <v>2015</v>
      </c>
      <c r="E966" s="27">
        <v>2050</v>
      </c>
      <c r="F966" s="27">
        <v>5</v>
      </c>
      <c r="G966" s="27">
        <v>35</v>
      </c>
      <c r="H966" s="27">
        <v>0</v>
      </c>
      <c r="I966" s="27">
        <v>0</v>
      </c>
      <c r="J966" s="27">
        <v>0</v>
      </c>
      <c r="K966" s="27">
        <v>4.0999999999999996</v>
      </c>
      <c r="L966" s="27">
        <v>3550</v>
      </c>
      <c r="M966" s="27">
        <v>3230</v>
      </c>
      <c r="N966" s="27">
        <v>0</v>
      </c>
      <c r="O966" s="27">
        <v>0</v>
      </c>
      <c r="P966" s="27" t="s">
        <v>13</v>
      </c>
      <c r="Q966" s="27">
        <v>1993</v>
      </c>
      <c r="R966" s="27">
        <v>1</v>
      </c>
      <c r="S966" s="27">
        <v>0</v>
      </c>
      <c r="T966" s="27">
        <v>-1</v>
      </c>
      <c r="U966" s="27">
        <v>-1</v>
      </c>
      <c r="V966" s="27">
        <v>0</v>
      </c>
      <c r="W966" s="27">
        <v>0</v>
      </c>
      <c r="X966" s="27" t="s">
        <v>45</v>
      </c>
    </row>
    <row r="967" spans="1:24">
      <c r="A967" s="27">
        <v>2</v>
      </c>
      <c r="B967" s="27">
        <v>2</v>
      </c>
      <c r="C967" s="27">
        <v>4</v>
      </c>
      <c r="D967" s="27">
        <v>2015</v>
      </c>
      <c r="E967" s="27">
        <v>2050</v>
      </c>
      <c r="F967" s="27">
        <v>6</v>
      </c>
      <c r="G967" s="27">
        <v>35</v>
      </c>
      <c r="H967" s="27">
        <v>0</v>
      </c>
      <c r="I967" s="27">
        <v>0</v>
      </c>
      <c r="J967" s="27">
        <v>0</v>
      </c>
      <c r="K967" s="27">
        <v>4.0999999999999996</v>
      </c>
      <c r="L967" s="27">
        <v>3550</v>
      </c>
      <c r="M967" s="27">
        <v>3230</v>
      </c>
      <c r="N967" s="27">
        <v>0</v>
      </c>
      <c r="O967" s="27">
        <v>0</v>
      </c>
      <c r="P967" s="27" t="s">
        <v>13</v>
      </c>
      <c r="Q967" s="27">
        <v>1993</v>
      </c>
      <c r="R967" s="27">
        <v>1</v>
      </c>
      <c r="S967" s="27">
        <v>0</v>
      </c>
      <c r="T967" s="27">
        <v>-1</v>
      </c>
      <c r="U967" s="27">
        <v>-1</v>
      </c>
      <c r="V967" s="27">
        <v>0</v>
      </c>
      <c r="W967" s="27">
        <v>0</v>
      </c>
      <c r="X967" s="27" t="s">
        <v>45</v>
      </c>
    </row>
    <row r="968" spans="1:24">
      <c r="A968" s="27">
        <v>2</v>
      </c>
      <c r="B968" s="27">
        <v>2</v>
      </c>
      <c r="C968" s="27">
        <v>4</v>
      </c>
      <c r="D968" s="27">
        <v>2015</v>
      </c>
      <c r="E968" s="27">
        <v>2050</v>
      </c>
      <c r="F968" s="27">
        <v>7</v>
      </c>
      <c r="G968" s="27">
        <v>35</v>
      </c>
      <c r="H968" s="27">
        <v>0</v>
      </c>
      <c r="I968" s="27">
        <v>0</v>
      </c>
      <c r="J968" s="27">
        <v>0</v>
      </c>
      <c r="K968" s="27">
        <v>4.0999999999999996</v>
      </c>
      <c r="L968" s="27">
        <v>3550</v>
      </c>
      <c r="M968" s="27">
        <v>3230</v>
      </c>
      <c r="N968" s="27">
        <v>0</v>
      </c>
      <c r="O968" s="27">
        <v>0</v>
      </c>
      <c r="P968" s="27" t="s">
        <v>13</v>
      </c>
      <c r="Q968" s="27">
        <v>1993</v>
      </c>
      <c r="R968" s="27">
        <v>1</v>
      </c>
      <c r="S968" s="27">
        <v>0</v>
      </c>
      <c r="T968" s="27">
        <v>-1</v>
      </c>
      <c r="U968" s="27">
        <v>-1</v>
      </c>
      <c r="V968" s="27">
        <v>0</v>
      </c>
      <c r="W968" s="27">
        <v>0</v>
      </c>
      <c r="X968" s="27" t="s">
        <v>45</v>
      </c>
    </row>
    <row r="969" spans="1:24">
      <c r="A969" s="27">
        <v>2</v>
      </c>
      <c r="B969" s="27">
        <v>2</v>
      </c>
      <c r="C969" s="27">
        <v>4</v>
      </c>
      <c r="D969" s="27">
        <v>2015</v>
      </c>
      <c r="E969" s="27">
        <v>2050</v>
      </c>
      <c r="F969" s="27">
        <v>9</v>
      </c>
      <c r="G969" s="27">
        <v>35</v>
      </c>
      <c r="H969" s="27">
        <v>0</v>
      </c>
      <c r="I969" s="27">
        <v>0</v>
      </c>
      <c r="J969" s="27">
        <v>0</v>
      </c>
      <c r="K969" s="27">
        <v>4.0999999999999996</v>
      </c>
      <c r="L969" s="27">
        <v>3550</v>
      </c>
      <c r="M969" s="27">
        <v>3230</v>
      </c>
      <c r="N969" s="27">
        <v>0</v>
      </c>
      <c r="O969" s="27">
        <v>0</v>
      </c>
      <c r="P969" s="27" t="s">
        <v>13</v>
      </c>
      <c r="Q969" s="27">
        <v>1993</v>
      </c>
      <c r="R969" s="27">
        <v>1</v>
      </c>
      <c r="S969" s="27">
        <v>0</v>
      </c>
      <c r="T969" s="27">
        <v>-1</v>
      </c>
      <c r="U969" s="27">
        <v>-1</v>
      </c>
      <c r="V969" s="27">
        <v>0</v>
      </c>
      <c r="W969" s="27">
        <v>0</v>
      </c>
      <c r="X969" s="27" t="s">
        <v>45</v>
      </c>
    </row>
    <row r="970" spans="1:24">
      <c r="A970" s="27">
        <v>2</v>
      </c>
      <c r="B970" s="27">
        <v>2</v>
      </c>
      <c r="C970" s="27">
        <v>5</v>
      </c>
      <c r="D970" s="27">
        <v>2010</v>
      </c>
      <c r="E970" s="27">
        <v>2019</v>
      </c>
      <c r="F970" s="27">
        <v>1</v>
      </c>
      <c r="G970" s="27">
        <v>36</v>
      </c>
      <c r="H970" s="27">
        <v>0</v>
      </c>
      <c r="I970" s="27">
        <v>0</v>
      </c>
      <c r="J970" s="27">
        <v>0</v>
      </c>
      <c r="K970" s="27">
        <v>4.0199999999999996</v>
      </c>
      <c r="L970" s="27">
        <v>3200</v>
      </c>
      <c r="M970" s="27">
        <v>2880</v>
      </c>
      <c r="N970" s="27">
        <v>0</v>
      </c>
      <c r="O970" s="27">
        <v>0</v>
      </c>
      <c r="P970" s="27" t="s">
        <v>13</v>
      </c>
      <c r="Q970" s="27">
        <v>1993</v>
      </c>
      <c r="R970" s="27">
        <v>1</v>
      </c>
      <c r="S970" s="27">
        <v>0</v>
      </c>
      <c r="T970" s="27">
        <v>-1</v>
      </c>
      <c r="U970" s="27">
        <v>-1</v>
      </c>
      <c r="V970" s="27">
        <v>0</v>
      </c>
      <c r="W970" s="27">
        <v>0</v>
      </c>
      <c r="X970" s="27" t="s">
        <v>46</v>
      </c>
    </row>
    <row r="971" spans="1:24">
      <c r="A971" s="27">
        <v>2</v>
      </c>
      <c r="B971" s="27">
        <v>2</v>
      </c>
      <c r="C971" s="27">
        <v>5</v>
      </c>
      <c r="D971" s="27">
        <v>2010</v>
      </c>
      <c r="E971" s="27">
        <v>2019</v>
      </c>
      <c r="F971" s="27">
        <v>2</v>
      </c>
      <c r="G971" s="27">
        <v>36</v>
      </c>
      <c r="H971" s="27">
        <v>0</v>
      </c>
      <c r="I971" s="27">
        <v>0</v>
      </c>
      <c r="J971" s="27">
        <v>0</v>
      </c>
      <c r="K971" s="27">
        <v>4.0199999999999996</v>
      </c>
      <c r="L971" s="27">
        <v>3200</v>
      </c>
      <c r="M971" s="27">
        <v>2880</v>
      </c>
      <c r="N971" s="27">
        <v>0</v>
      </c>
      <c r="O971" s="27">
        <v>0</v>
      </c>
      <c r="P971" s="27" t="s">
        <v>13</v>
      </c>
      <c r="Q971" s="27">
        <v>1993</v>
      </c>
      <c r="R971" s="27">
        <v>1</v>
      </c>
      <c r="S971" s="27">
        <v>0</v>
      </c>
      <c r="T971" s="27">
        <v>-1</v>
      </c>
      <c r="U971" s="27">
        <v>-1</v>
      </c>
      <c r="V971" s="27">
        <v>0</v>
      </c>
      <c r="W971" s="27">
        <v>0</v>
      </c>
      <c r="X971" s="27" t="s">
        <v>46</v>
      </c>
    </row>
    <row r="972" spans="1:24">
      <c r="A972" s="27">
        <v>2</v>
      </c>
      <c r="B972" s="27">
        <v>2</v>
      </c>
      <c r="C972" s="27">
        <v>5</v>
      </c>
      <c r="D972" s="27">
        <v>2010</v>
      </c>
      <c r="E972" s="27">
        <v>2019</v>
      </c>
      <c r="F972" s="27">
        <v>3</v>
      </c>
      <c r="G972" s="27">
        <v>36</v>
      </c>
      <c r="H972" s="27">
        <v>0</v>
      </c>
      <c r="I972" s="27">
        <v>0</v>
      </c>
      <c r="J972" s="27">
        <v>0</v>
      </c>
      <c r="K972" s="27">
        <v>4.0199999999999996</v>
      </c>
      <c r="L972" s="27">
        <v>3200</v>
      </c>
      <c r="M972" s="27">
        <v>2880</v>
      </c>
      <c r="N972" s="27">
        <v>0</v>
      </c>
      <c r="O972" s="27">
        <v>0</v>
      </c>
      <c r="P972" s="27" t="s">
        <v>13</v>
      </c>
      <c r="Q972" s="27">
        <v>1993</v>
      </c>
      <c r="R972" s="27">
        <v>1</v>
      </c>
      <c r="S972" s="27">
        <v>0</v>
      </c>
      <c r="T972" s="27">
        <v>-1</v>
      </c>
      <c r="U972" s="27">
        <v>-1</v>
      </c>
      <c r="V972" s="27">
        <v>0</v>
      </c>
      <c r="W972" s="27">
        <v>0</v>
      </c>
      <c r="X972" s="27" t="s">
        <v>46</v>
      </c>
    </row>
    <row r="973" spans="1:24">
      <c r="A973" s="27">
        <v>2</v>
      </c>
      <c r="B973" s="27">
        <v>2</v>
      </c>
      <c r="C973" s="27">
        <v>5</v>
      </c>
      <c r="D973" s="27">
        <v>2010</v>
      </c>
      <c r="E973" s="27">
        <v>2019</v>
      </c>
      <c r="F973" s="27">
        <v>4</v>
      </c>
      <c r="G973" s="27">
        <v>36</v>
      </c>
      <c r="H973" s="27">
        <v>0</v>
      </c>
      <c r="I973" s="27">
        <v>0</v>
      </c>
      <c r="J973" s="27">
        <v>0</v>
      </c>
      <c r="K973" s="27">
        <v>4.0199999999999996</v>
      </c>
      <c r="L973" s="27">
        <v>3200</v>
      </c>
      <c r="M973" s="27">
        <v>2880</v>
      </c>
      <c r="N973" s="27">
        <v>0</v>
      </c>
      <c r="O973" s="27">
        <v>0</v>
      </c>
      <c r="P973" s="27" t="s">
        <v>13</v>
      </c>
      <c r="Q973" s="27">
        <v>1993</v>
      </c>
      <c r="R973" s="27">
        <v>1</v>
      </c>
      <c r="S973" s="27">
        <v>0</v>
      </c>
      <c r="T973" s="27">
        <v>-1</v>
      </c>
      <c r="U973" s="27">
        <v>-1</v>
      </c>
      <c r="V973" s="27">
        <v>0</v>
      </c>
      <c r="W973" s="27">
        <v>0</v>
      </c>
      <c r="X973" s="27" t="s">
        <v>46</v>
      </c>
    </row>
    <row r="974" spans="1:24">
      <c r="A974" s="27">
        <v>2</v>
      </c>
      <c r="B974" s="27">
        <v>2</v>
      </c>
      <c r="C974" s="27">
        <v>5</v>
      </c>
      <c r="D974" s="27">
        <v>2010</v>
      </c>
      <c r="E974" s="27">
        <v>2050</v>
      </c>
      <c r="F974" s="27">
        <v>5</v>
      </c>
      <c r="G974" s="27">
        <v>36</v>
      </c>
      <c r="H974" s="27">
        <v>0</v>
      </c>
      <c r="I974" s="27">
        <v>0</v>
      </c>
      <c r="J974" s="27">
        <v>0</v>
      </c>
      <c r="K974" s="27">
        <v>4.25</v>
      </c>
      <c r="L974" s="27">
        <v>3200</v>
      </c>
      <c r="M974" s="27">
        <v>2880</v>
      </c>
      <c r="N974" s="27">
        <v>0</v>
      </c>
      <c r="O974" s="27">
        <v>0</v>
      </c>
      <c r="P974" s="27" t="s">
        <v>13</v>
      </c>
      <c r="Q974" s="27">
        <v>1993</v>
      </c>
      <c r="R974" s="27">
        <v>1</v>
      </c>
      <c r="S974" s="27">
        <v>0</v>
      </c>
      <c r="T974" s="27">
        <v>-3.0000000000000001E-3</v>
      </c>
      <c r="U974" s="27">
        <v>-1.2E-2</v>
      </c>
      <c r="V974" s="27">
        <v>0</v>
      </c>
      <c r="W974" s="27">
        <v>0</v>
      </c>
      <c r="X974" s="27" t="s">
        <v>46</v>
      </c>
    </row>
    <row r="975" spans="1:24">
      <c r="A975" s="27">
        <v>2</v>
      </c>
      <c r="B975" s="27">
        <v>2</v>
      </c>
      <c r="C975" s="27">
        <v>5</v>
      </c>
      <c r="D975" s="27">
        <v>2010</v>
      </c>
      <c r="E975" s="27">
        <v>2050</v>
      </c>
      <c r="F975" s="27">
        <v>6</v>
      </c>
      <c r="G975" s="27">
        <v>36</v>
      </c>
      <c r="H975" s="27">
        <v>0</v>
      </c>
      <c r="I975" s="27">
        <v>0</v>
      </c>
      <c r="J975" s="27">
        <v>0</v>
      </c>
      <c r="K975" s="27">
        <v>4.25</v>
      </c>
      <c r="L975" s="27">
        <v>3200</v>
      </c>
      <c r="M975" s="27">
        <v>2880</v>
      </c>
      <c r="N975" s="27">
        <v>0</v>
      </c>
      <c r="O975" s="27">
        <v>0</v>
      </c>
      <c r="P975" s="27" t="s">
        <v>13</v>
      </c>
      <c r="Q975" s="27">
        <v>1993</v>
      </c>
      <c r="R975" s="27">
        <v>1</v>
      </c>
      <c r="S975" s="27">
        <v>0</v>
      </c>
      <c r="T975" s="27">
        <v>-3.0000000000000001E-3</v>
      </c>
      <c r="U975" s="27">
        <v>-1.2E-2</v>
      </c>
      <c r="V975" s="27">
        <v>0</v>
      </c>
      <c r="W975" s="27">
        <v>0</v>
      </c>
      <c r="X975" s="27" t="s">
        <v>46</v>
      </c>
    </row>
    <row r="976" spans="1:24">
      <c r="A976" s="27">
        <v>2</v>
      </c>
      <c r="B976" s="27">
        <v>2</v>
      </c>
      <c r="C976" s="27">
        <v>5</v>
      </c>
      <c r="D976" s="27">
        <v>2010</v>
      </c>
      <c r="E976" s="27">
        <v>2050</v>
      </c>
      <c r="F976" s="27">
        <v>7</v>
      </c>
      <c r="G976" s="27">
        <v>36</v>
      </c>
      <c r="H976" s="27">
        <v>0</v>
      </c>
      <c r="I976" s="27">
        <v>0</v>
      </c>
      <c r="J976" s="27">
        <v>0</v>
      </c>
      <c r="K976" s="27">
        <v>4.25</v>
      </c>
      <c r="L976" s="27">
        <v>3200</v>
      </c>
      <c r="M976" s="27">
        <v>2880</v>
      </c>
      <c r="N976" s="27">
        <v>0</v>
      </c>
      <c r="O976" s="27">
        <v>0</v>
      </c>
      <c r="P976" s="27" t="s">
        <v>13</v>
      </c>
      <c r="Q976" s="27">
        <v>1993</v>
      </c>
      <c r="R976" s="27">
        <v>1</v>
      </c>
      <c r="S976" s="27">
        <v>0</v>
      </c>
      <c r="T976" s="27">
        <v>-3.0000000000000001E-3</v>
      </c>
      <c r="U976" s="27">
        <v>-1.2E-2</v>
      </c>
      <c r="V976" s="27">
        <v>0</v>
      </c>
      <c r="W976" s="27">
        <v>0</v>
      </c>
      <c r="X976" s="27" t="s">
        <v>46</v>
      </c>
    </row>
    <row r="977" spans="1:24">
      <c r="A977" s="27">
        <v>2</v>
      </c>
      <c r="B977" s="27">
        <v>2</v>
      </c>
      <c r="C977" s="27">
        <v>5</v>
      </c>
      <c r="D977" s="27">
        <v>2010</v>
      </c>
      <c r="E977" s="27">
        <v>2019</v>
      </c>
      <c r="F977" s="27">
        <v>8</v>
      </c>
      <c r="G977" s="27">
        <v>36</v>
      </c>
      <c r="H977" s="27">
        <v>0</v>
      </c>
      <c r="I977" s="27">
        <v>0</v>
      </c>
      <c r="J977" s="27">
        <v>0</v>
      </c>
      <c r="K977" s="27">
        <v>4.0199999999999996</v>
      </c>
      <c r="L977" s="27">
        <v>3200</v>
      </c>
      <c r="M977" s="27">
        <v>2880</v>
      </c>
      <c r="N977" s="27">
        <v>0</v>
      </c>
      <c r="O977" s="27">
        <v>0</v>
      </c>
      <c r="P977" s="27" t="s">
        <v>13</v>
      </c>
      <c r="Q977" s="27">
        <v>1993</v>
      </c>
      <c r="R977" s="27">
        <v>1</v>
      </c>
      <c r="S977" s="27">
        <v>0</v>
      </c>
      <c r="T977" s="27">
        <v>-1</v>
      </c>
      <c r="U977" s="27">
        <v>-1</v>
      </c>
      <c r="V977" s="27">
        <v>0</v>
      </c>
      <c r="W977" s="27">
        <v>0</v>
      </c>
      <c r="X977" s="27" t="s">
        <v>46</v>
      </c>
    </row>
    <row r="978" spans="1:24">
      <c r="A978" s="27">
        <v>2</v>
      </c>
      <c r="B978" s="27">
        <v>2</v>
      </c>
      <c r="C978" s="27">
        <v>5</v>
      </c>
      <c r="D978" s="27">
        <v>2010</v>
      </c>
      <c r="E978" s="27">
        <v>2050</v>
      </c>
      <c r="F978" s="27">
        <v>9</v>
      </c>
      <c r="G978" s="27">
        <v>36</v>
      </c>
      <c r="H978" s="27">
        <v>0</v>
      </c>
      <c r="I978" s="27">
        <v>0</v>
      </c>
      <c r="J978" s="27">
        <v>0</v>
      </c>
      <c r="K978" s="27">
        <v>4.25</v>
      </c>
      <c r="L978" s="27">
        <v>3200</v>
      </c>
      <c r="M978" s="27">
        <v>2880</v>
      </c>
      <c r="N978" s="27">
        <v>0</v>
      </c>
      <c r="O978" s="27">
        <v>0</v>
      </c>
      <c r="P978" s="27" t="s">
        <v>13</v>
      </c>
      <c r="Q978" s="27">
        <v>1993</v>
      </c>
      <c r="R978" s="27">
        <v>1</v>
      </c>
      <c r="S978" s="27">
        <v>0</v>
      </c>
      <c r="T978" s="27">
        <v>-3.0000000000000001E-3</v>
      </c>
      <c r="U978" s="27">
        <v>-1.2E-2</v>
      </c>
      <c r="V978" s="27">
        <v>0</v>
      </c>
      <c r="W978" s="27">
        <v>0</v>
      </c>
      <c r="X978" s="27" t="s">
        <v>46</v>
      </c>
    </row>
    <row r="979" spans="1:24">
      <c r="A979" s="27">
        <v>2</v>
      </c>
      <c r="B979" s="27">
        <v>2</v>
      </c>
      <c r="C979" s="27">
        <v>5</v>
      </c>
      <c r="D979" s="27">
        <v>2020</v>
      </c>
      <c r="E979" s="27">
        <v>2050</v>
      </c>
      <c r="F979" s="27">
        <v>1</v>
      </c>
      <c r="G979" s="27">
        <v>36</v>
      </c>
      <c r="H979" s="27">
        <v>0</v>
      </c>
      <c r="I979" s="27">
        <v>0</v>
      </c>
      <c r="J979" s="27">
        <v>0</v>
      </c>
      <c r="K979" s="27">
        <v>4.0999999999999996</v>
      </c>
      <c r="L979" s="27">
        <v>3550</v>
      </c>
      <c r="M979" s="27">
        <v>3230</v>
      </c>
      <c r="N979" s="27">
        <v>0</v>
      </c>
      <c r="O979" s="27">
        <v>0</v>
      </c>
      <c r="P979" s="27" t="s">
        <v>13</v>
      </c>
      <c r="Q979" s="27">
        <v>1993</v>
      </c>
      <c r="R979" s="27">
        <v>1</v>
      </c>
      <c r="S979" s="27">
        <v>0</v>
      </c>
      <c r="T979" s="27">
        <v>-3.0000000000000001E-3</v>
      </c>
      <c r="U979" s="27">
        <v>-1.2E-2</v>
      </c>
      <c r="V979" s="27">
        <v>0</v>
      </c>
      <c r="W979" s="27">
        <v>0</v>
      </c>
      <c r="X979" s="27" t="s">
        <v>46</v>
      </c>
    </row>
    <row r="980" spans="1:24">
      <c r="A980" s="27">
        <v>2</v>
      </c>
      <c r="B980" s="27">
        <v>2</v>
      </c>
      <c r="C980" s="27">
        <v>5</v>
      </c>
      <c r="D980" s="27">
        <v>2020</v>
      </c>
      <c r="E980" s="27">
        <v>2050</v>
      </c>
      <c r="F980" s="27">
        <v>2</v>
      </c>
      <c r="G980" s="27">
        <v>36</v>
      </c>
      <c r="H980" s="27">
        <v>0</v>
      </c>
      <c r="I980" s="27">
        <v>0</v>
      </c>
      <c r="J980" s="27">
        <v>0</v>
      </c>
      <c r="K980" s="27">
        <v>4.0999999999999996</v>
      </c>
      <c r="L980" s="27">
        <v>3550</v>
      </c>
      <c r="M980" s="27">
        <v>3230</v>
      </c>
      <c r="N980" s="27">
        <v>0</v>
      </c>
      <c r="O980" s="27">
        <v>0</v>
      </c>
      <c r="P980" s="27" t="s">
        <v>13</v>
      </c>
      <c r="Q980" s="27">
        <v>1993</v>
      </c>
      <c r="R980" s="27">
        <v>1</v>
      </c>
      <c r="S980" s="27">
        <v>0</v>
      </c>
      <c r="T980" s="27">
        <v>-3.0000000000000001E-3</v>
      </c>
      <c r="U980" s="27">
        <v>-1.2E-2</v>
      </c>
      <c r="V980" s="27">
        <v>0</v>
      </c>
      <c r="W980" s="27">
        <v>0</v>
      </c>
      <c r="X980" s="27" t="s">
        <v>46</v>
      </c>
    </row>
    <row r="981" spans="1:24">
      <c r="A981" s="27">
        <v>2</v>
      </c>
      <c r="B981" s="27">
        <v>2</v>
      </c>
      <c r="C981" s="27">
        <v>5</v>
      </c>
      <c r="D981" s="27">
        <v>2020</v>
      </c>
      <c r="E981" s="27">
        <v>2050</v>
      </c>
      <c r="F981" s="27">
        <v>3</v>
      </c>
      <c r="G981" s="27">
        <v>36</v>
      </c>
      <c r="H981" s="27">
        <v>0</v>
      </c>
      <c r="I981" s="27">
        <v>0</v>
      </c>
      <c r="J981" s="27">
        <v>0</v>
      </c>
      <c r="K981" s="27">
        <v>4.0999999999999996</v>
      </c>
      <c r="L981" s="27">
        <v>3550</v>
      </c>
      <c r="M981" s="27">
        <v>3230</v>
      </c>
      <c r="N981" s="27">
        <v>0</v>
      </c>
      <c r="O981" s="27">
        <v>0</v>
      </c>
      <c r="P981" s="27" t="s">
        <v>13</v>
      </c>
      <c r="Q981" s="27">
        <v>1993</v>
      </c>
      <c r="R981" s="27">
        <v>1</v>
      </c>
      <c r="S981" s="27">
        <v>0</v>
      </c>
      <c r="T981" s="27">
        <v>-3.0000000000000001E-3</v>
      </c>
      <c r="U981" s="27">
        <v>-1.2E-2</v>
      </c>
      <c r="V981" s="27">
        <v>0</v>
      </c>
      <c r="W981" s="27">
        <v>0</v>
      </c>
      <c r="X981" s="27" t="s">
        <v>46</v>
      </c>
    </row>
    <row r="982" spans="1:24">
      <c r="A982" s="27">
        <v>2</v>
      </c>
      <c r="B982" s="27">
        <v>2</v>
      </c>
      <c r="C982" s="27">
        <v>5</v>
      </c>
      <c r="D982" s="27">
        <v>2020</v>
      </c>
      <c r="E982" s="27">
        <v>2050</v>
      </c>
      <c r="F982" s="27">
        <v>4</v>
      </c>
      <c r="G982" s="27">
        <v>36</v>
      </c>
      <c r="H982" s="27">
        <v>0</v>
      </c>
      <c r="I982" s="27">
        <v>0</v>
      </c>
      <c r="J982" s="27">
        <v>0</v>
      </c>
      <c r="K982" s="27">
        <v>4.0999999999999996</v>
      </c>
      <c r="L982" s="27">
        <v>3550</v>
      </c>
      <c r="M982" s="27">
        <v>3230</v>
      </c>
      <c r="N982" s="27">
        <v>0</v>
      </c>
      <c r="O982" s="27">
        <v>0</v>
      </c>
      <c r="P982" s="27" t="s">
        <v>13</v>
      </c>
      <c r="Q982" s="27">
        <v>1993</v>
      </c>
      <c r="R982" s="27">
        <v>1</v>
      </c>
      <c r="S982" s="27">
        <v>0</v>
      </c>
      <c r="T982" s="27">
        <v>-3.0000000000000001E-3</v>
      </c>
      <c r="U982" s="27">
        <v>-1.2E-2</v>
      </c>
      <c r="V982" s="27">
        <v>0</v>
      </c>
      <c r="W982" s="27">
        <v>0</v>
      </c>
      <c r="X982" s="27" t="s">
        <v>46</v>
      </c>
    </row>
    <row r="983" spans="1:24">
      <c r="A983" s="27">
        <v>2</v>
      </c>
      <c r="B983" s="27">
        <v>2</v>
      </c>
      <c r="C983" s="27">
        <v>5</v>
      </c>
      <c r="D983" s="27">
        <v>2020</v>
      </c>
      <c r="E983" s="27">
        <v>2050</v>
      </c>
      <c r="F983" s="27">
        <v>8</v>
      </c>
      <c r="G983" s="27">
        <v>36</v>
      </c>
      <c r="H983" s="27">
        <v>0</v>
      </c>
      <c r="I983" s="27">
        <v>0</v>
      </c>
      <c r="J983" s="27">
        <v>0</v>
      </c>
      <c r="K983" s="27">
        <v>4.0999999999999996</v>
      </c>
      <c r="L983" s="27">
        <v>3550</v>
      </c>
      <c r="M983" s="27">
        <v>3230</v>
      </c>
      <c r="N983" s="27">
        <v>0</v>
      </c>
      <c r="O983" s="27">
        <v>0</v>
      </c>
      <c r="P983" s="27" t="s">
        <v>13</v>
      </c>
      <c r="Q983" s="27">
        <v>1993</v>
      </c>
      <c r="R983" s="27">
        <v>1</v>
      </c>
      <c r="S983" s="27">
        <v>0</v>
      </c>
      <c r="T983" s="27">
        <v>-3.0000000000000001E-3</v>
      </c>
      <c r="U983" s="27">
        <v>-1.2E-2</v>
      </c>
      <c r="V983" s="27">
        <v>0</v>
      </c>
      <c r="W983" s="27">
        <v>0</v>
      </c>
      <c r="X983" s="27" t="s">
        <v>46</v>
      </c>
    </row>
    <row r="984" spans="1:24">
      <c r="A984" s="27">
        <v>2</v>
      </c>
      <c r="B984" s="27">
        <v>2</v>
      </c>
      <c r="C984" s="27">
        <v>6</v>
      </c>
      <c r="D984" s="27">
        <v>2010</v>
      </c>
      <c r="E984" s="27">
        <v>2010</v>
      </c>
      <c r="F984" s="27">
        <v>1</v>
      </c>
      <c r="G984" s="27">
        <v>37</v>
      </c>
      <c r="H984" s="27">
        <v>0</v>
      </c>
      <c r="I984" s="27">
        <v>0</v>
      </c>
      <c r="J984" s="27">
        <v>0</v>
      </c>
      <c r="K984" s="27">
        <v>4.6900000000000004</v>
      </c>
      <c r="L984" s="27">
        <v>3850</v>
      </c>
      <c r="M984" s="27">
        <v>3310</v>
      </c>
      <c r="N984" s="27">
        <v>1155</v>
      </c>
      <c r="O984" s="27">
        <v>693</v>
      </c>
      <c r="P984" s="27" t="s">
        <v>13</v>
      </c>
      <c r="Q984" s="27">
        <v>1993</v>
      </c>
      <c r="R984" s="27">
        <v>1</v>
      </c>
      <c r="S984" s="27">
        <v>0</v>
      </c>
      <c r="T984" s="27">
        <v>-3.0000000000000001E-3</v>
      </c>
      <c r="U984" s="27">
        <v>-1.2E-2</v>
      </c>
      <c r="V984" s="27">
        <v>0</v>
      </c>
      <c r="W984" s="27">
        <v>0</v>
      </c>
      <c r="X984" s="27" t="s">
        <v>47</v>
      </c>
    </row>
    <row r="985" spans="1:24">
      <c r="A985" s="27">
        <v>2</v>
      </c>
      <c r="B985" s="27">
        <v>2</v>
      </c>
      <c r="C985" s="27">
        <v>6</v>
      </c>
      <c r="D985" s="27">
        <v>2010</v>
      </c>
      <c r="E985" s="27">
        <v>2010</v>
      </c>
      <c r="F985" s="27">
        <v>2</v>
      </c>
      <c r="G985" s="27">
        <v>37</v>
      </c>
      <c r="H985" s="27">
        <v>0</v>
      </c>
      <c r="I985" s="27">
        <v>0</v>
      </c>
      <c r="J985" s="27">
        <v>0</v>
      </c>
      <c r="K985" s="27">
        <v>4.6900000000000004</v>
      </c>
      <c r="L985" s="27">
        <v>3850</v>
      </c>
      <c r="M985" s="27">
        <v>3310</v>
      </c>
      <c r="N985" s="27">
        <v>1155</v>
      </c>
      <c r="O985" s="27">
        <v>693</v>
      </c>
      <c r="P985" s="27" t="s">
        <v>13</v>
      </c>
      <c r="Q985" s="27">
        <v>1993</v>
      </c>
      <c r="R985" s="27">
        <v>1</v>
      </c>
      <c r="S985" s="27">
        <v>0</v>
      </c>
      <c r="T985" s="27">
        <v>-3.0000000000000001E-3</v>
      </c>
      <c r="U985" s="27">
        <v>-1.2E-2</v>
      </c>
      <c r="V985" s="27">
        <v>0</v>
      </c>
      <c r="W985" s="27">
        <v>0</v>
      </c>
      <c r="X985" s="27" t="s">
        <v>47</v>
      </c>
    </row>
    <row r="986" spans="1:24">
      <c r="A986" s="27">
        <v>2</v>
      </c>
      <c r="B986" s="27">
        <v>2</v>
      </c>
      <c r="C986" s="27">
        <v>6</v>
      </c>
      <c r="D986" s="27">
        <v>2010</v>
      </c>
      <c r="E986" s="27">
        <v>2010</v>
      </c>
      <c r="F986" s="27">
        <v>3</v>
      </c>
      <c r="G986" s="27">
        <v>37</v>
      </c>
      <c r="H986" s="27">
        <v>0</v>
      </c>
      <c r="I986" s="27">
        <v>0</v>
      </c>
      <c r="J986" s="27">
        <v>0</v>
      </c>
      <c r="K986" s="27">
        <v>4.6900000000000004</v>
      </c>
      <c r="L986" s="27">
        <v>3850</v>
      </c>
      <c r="M986" s="27">
        <v>3310</v>
      </c>
      <c r="N986" s="27">
        <v>1155</v>
      </c>
      <c r="O986" s="27">
        <v>693</v>
      </c>
      <c r="P986" s="27" t="s">
        <v>13</v>
      </c>
      <c r="Q986" s="27">
        <v>1993</v>
      </c>
      <c r="R986" s="27">
        <v>1</v>
      </c>
      <c r="S986" s="27">
        <v>0</v>
      </c>
      <c r="T986" s="27">
        <v>-3.0000000000000001E-3</v>
      </c>
      <c r="U986" s="27">
        <v>-1.2E-2</v>
      </c>
      <c r="V986" s="27">
        <v>0</v>
      </c>
      <c r="W986" s="27">
        <v>0</v>
      </c>
      <c r="X986" s="27" t="s">
        <v>47</v>
      </c>
    </row>
    <row r="987" spans="1:24">
      <c r="A987" s="27">
        <v>2</v>
      </c>
      <c r="B987" s="27">
        <v>2</v>
      </c>
      <c r="C987" s="27">
        <v>6</v>
      </c>
      <c r="D987" s="27">
        <v>2010</v>
      </c>
      <c r="E987" s="27">
        <v>2010</v>
      </c>
      <c r="F987" s="27">
        <v>4</v>
      </c>
      <c r="G987" s="27">
        <v>37</v>
      </c>
      <c r="H987" s="27">
        <v>0</v>
      </c>
      <c r="I987" s="27">
        <v>0</v>
      </c>
      <c r="J987" s="27">
        <v>0</v>
      </c>
      <c r="K987" s="27">
        <v>4.6900000000000004</v>
      </c>
      <c r="L987" s="27">
        <v>3850</v>
      </c>
      <c r="M987" s="27">
        <v>3310</v>
      </c>
      <c r="N987" s="27">
        <v>1155</v>
      </c>
      <c r="O987" s="27">
        <v>693</v>
      </c>
      <c r="P987" s="27" t="s">
        <v>13</v>
      </c>
      <c r="Q987" s="27">
        <v>1993</v>
      </c>
      <c r="R987" s="27">
        <v>1</v>
      </c>
      <c r="S987" s="27">
        <v>0</v>
      </c>
      <c r="T987" s="27">
        <v>-3.0000000000000001E-3</v>
      </c>
      <c r="U987" s="27">
        <v>-1.2E-2</v>
      </c>
      <c r="V987" s="27">
        <v>0</v>
      </c>
      <c r="W987" s="27">
        <v>0</v>
      </c>
      <c r="X987" s="27" t="s">
        <v>47</v>
      </c>
    </row>
    <row r="988" spans="1:24">
      <c r="A988" s="27">
        <v>2</v>
      </c>
      <c r="B988" s="27">
        <v>2</v>
      </c>
      <c r="C988" s="27">
        <v>6</v>
      </c>
      <c r="D988" s="27">
        <v>2010</v>
      </c>
      <c r="E988" s="27">
        <v>2010</v>
      </c>
      <c r="F988" s="27">
        <v>5</v>
      </c>
      <c r="G988" s="27">
        <v>37</v>
      </c>
      <c r="H988" s="27">
        <v>0</v>
      </c>
      <c r="I988" s="27">
        <v>0</v>
      </c>
      <c r="J988" s="27">
        <v>0</v>
      </c>
      <c r="K988" s="27">
        <v>4.6900000000000004</v>
      </c>
      <c r="L988" s="27">
        <v>3850</v>
      </c>
      <c r="M988" s="27">
        <v>3310</v>
      </c>
      <c r="N988" s="27">
        <v>1155</v>
      </c>
      <c r="O988" s="27">
        <v>693</v>
      </c>
      <c r="P988" s="27" t="s">
        <v>13</v>
      </c>
      <c r="Q988" s="27">
        <v>1993</v>
      </c>
      <c r="R988" s="27">
        <v>1</v>
      </c>
      <c r="S988" s="27">
        <v>0</v>
      </c>
      <c r="T988" s="27">
        <v>-3.0000000000000001E-3</v>
      </c>
      <c r="U988" s="27">
        <v>-1.2E-2</v>
      </c>
      <c r="V988" s="27">
        <v>0</v>
      </c>
      <c r="W988" s="27">
        <v>0</v>
      </c>
      <c r="X988" s="27" t="s">
        <v>47</v>
      </c>
    </row>
    <row r="989" spans="1:24">
      <c r="A989" s="27">
        <v>2</v>
      </c>
      <c r="B989" s="27">
        <v>2</v>
      </c>
      <c r="C989" s="27">
        <v>6</v>
      </c>
      <c r="D989" s="27">
        <v>2010</v>
      </c>
      <c r="E989" s="27">
        <v>2010</v>
      </c>
      <c r="F989" s="27">
        <v>6</v>
      </c>
      <c r="G989" s="27">
        <v>37</v>
      </c>
      <c r="H989" s="27">
        <v>0</v>
      </c>
      <c r="I989" s="27">
        <v>0</v>
      </c>
      <c r="J989" s="27">
        <v>0</v>
      </c>
      <c r="K989" s="27">
        <v>4.6900000000000004</v>
      </c>
      <c r="L989" s="27">
        <v>3850</v>
      </c>
      <c r="M989" s="27">
        <v>3310</v>
      </c>
      <c r="N989" s="27">
        <v>1155</v>
      </c>
      <c r="O989" s="27">
        <v>693</v>
      </c>
      <c r="P989" s="27" t="s">
        <v>13</v>
      </c>
      <c r="Q989" s="27">
        <v>1993</v>
      </c>
      <c r="R989" s="27">
        <v>1</v>
      </c>
      <c r="S989" s="27">
        <v>0</v>
      </c>
      <c r="T989" s="27">
        <v>-3.0000000000000001E-3</v>
      </c>
      <c r="U989" s="27">
        <v>-1.2E-2</v>
      </c>
      <c r="V989" s="27">
        <v>0</v>
      </c>
      <c r="W989" s="27">
        <v>0</v>
      </c>
      <c r="X989" s="27" t="s">
        <v>47</v>
      </c>
    </row>
    <row r="990" spans="1:24">
      <c r="A990" s="27">
        <v>2</v>
      </c>
      <c r="B990" s="27">
        <v>2</v>
      </c>
      <c r="C990" s="27">
        <v>6</v>
      </c>
      <c r="D990" s="27">
        <v>2010</v>
      </c>
      <c r="E990" s="27">
        <v>2010</v>
      </c>
      <c r="F990" s="27">
        <v>7</v>
      </c>
      <c r="G990" s="27">
        <v>37</v>
      </c>
      <c r="H990" s="27">
        <v>0</v>
      </c>
      <c r="I990" s="27">
        <v>0</v>
      </c>
      <c r="J990" s="27">
        <v>0</v>
      </c>
      <c r="K990" s="27">
        <v>4.6900000000000004</v>
      </c>
      <c r="L990" s="27">
        <v>3850</v>
      </c>
      <c r="M990" s="27">
        <v>3310</v>
      </c>
      <c r="N990" s="27">
        <v>1155</v>
      </c>
      <c r="O990" s="27">
        <v>693</v>
      </c>
      <c r="P990" s="27" t="s">
        <v>13</v>
      </c>
      <c r="Q990" s="27">
        <v>1993</v>
      </c>
      <c r="R990" s="27">
        <v>1</v>
      </c>
      <c r="S990" s="27">
        <v>0</v>
      </c>
      <c r="T990" s="27">
        <v>-3.0000000000000001E-3</v>
      </c>
      <c r="U990" s="27">
        <v>-1.2E-2</v>
      </c>
      <c r="V990" s="27">
        <v>0</v>
      </c>
      <c r="W990" s="27">
        <v>0</v>
      </c>
      <c r="X990" s="27" t="s">
        <v>47</v>
      </c>
    </row>
    <row r="991" spans="1:24">
      <c r="A991" s="27">
        <v>2</v>
      </c>
      <c r="B991" s="27">
        <v>2</v>
      </c>
      <c r="C991" s="27">
        <v>6</v>
      </c>
      <c r="D991" s="27">
        <v>2010</v>
      </c>
      <c r="E991" s="27">
        <v>2010</v>
      </c>
      <c r="F991" s="27">
        <v>8</v>
      </c>
      <c r="G991" s="27">
        <v>37</v>
      </c>
      <c r="H991" s="27">
        <v>0</v>
      </c>
      <c r="I991" s="27">
        <v>0</v>
      </c>
      <c r="J991" s="27">
        <v>0</v>
      </c>
      <c r="K991" s="27">
        <v>4.6900000000000004</v>
      </c>
      <c r="L991" s="27">
        <v>3850</v>
      </c>
      <c r="M991" s="27">
        <v>3310</v>
      </c>
      <c r="N991" s="27">
        <v>1155</v>
      </c>
      <c r="O991" s="27">
        <v>693</v>
      </c>
      <c r="P991" s="27" t="s">
        <v>13</v>
      </c>
      <c r="Q991" s="27">
        <v>1993</v>
      </c>
      <c r="R991" s="27">
        <v>1</v>
      </c>
      <c r="S991" s="27">
        <v>0</v>
      </c>
      <c r="T991" s="27">
        <v>-3.0000000000000001E-3</v>
      </c>
      <c r="U991" s="27">
        <v>-1.2E-2</v>
      </c>
      <c r="V991" s="27">
        <v>0</v>
      </c>
      <c r="W991" s="27">
        <v>0</v>
      </c>
      <c r="X991" s="27" t="s">
        <v>47</v>
      </c>
    </row>
    <row r="992" spans="1:24">
      <c r="A992" s="27">
        <v>2</v>
      </c>
      <c r="B992" s="27">
        <v>2</v>
      </c>
      <c r="C992" s="27">
        <v>6</v>
      </c>
      <c r="D992" s="27">
        <v>2010</v>
      </c>
      <c r="E992" s="27">
        <v>2010</v>
      </c>
      <c r="F992" s="27">
        <v>9</v>
      </c>
      <c r="G992" s="27">
        <v>37</v>
      </c>
      <c r="H992" s="27">
        <v>0</v>
      </c>
      <c r="I992" s="27">
        <v>0</v>
      </c>
      <c r="J992" s="27">
        <v>0</v>
      </c>
      <c r="K992" s="27">
        <v>4.6900000000000004</v>
      </c>
      <c r="L992" s="27">
        <v>3850</v>
      </c>
      <c r="M992" s="27">
        <v>3310</v>
      </c>
      <c r="N992" s="27">
        <v>1155</v>
      </c>
      <c r="O992" s="27">
        <v>693</v>
      </c>
      <c r="P992" s="27" t="s">
        <v>13</v>
      </c>
      <c r="Q992" s="27">
        <v>1993</v>
      </c>
      <c r="R992" s="27">
        <v>1</v>
      </c>
      <c r="S992" s="27">
        <v>0</v>
      </c>
      <c r="T992" s="27">
        <v>-3.0000000000000001E-3</v>
      </c>
      <c r="U992" s="27">
        <v>-1.2E-2</v>
      </c>
      <c r="V992" s="27">
        <v>0</v>
      </c>
      <c r="W992" s="27">
        <v>0</v>
      </c>
      <c r="X992" s="27" t="s">
        <v>47</v>
      </c>
    </row>
    <row r="993" spans="1:24">
      <c r="A993" s="27">
        <v>2</v>
      </c>
      <c r="B993" s="27">
        <v>2</v>
      </c>
      <c r="C993" s="27">
        <v>6</v>
      </c>
      <c r="D993" s="27">
        <v>2011</v>
      </c>
      <c r="E993" s="27">
        <v>2011</v>
      </c>
      <c r="F993" s="27">
        <v>1</v>
      </c>
      <c r="G993" s="27">
        <v>37</v>
      </c>
      <c r="H993" s="27">
        <v>0</v>
      </c>
      <c r="I993" s="27">
        <v>0</v>
      </c>
      <c r="J993" s="27">
        <v>0</v>
      </c>
      <c r="K993" s="27">
        <v>4.6900000000000004</v>
      </c>
      <c r="L993" s="27">
        <v>3850</v>
      </c>
      <c r="M993" s="27">
        <v>3310</v>
      </c>
      <c r="N993" s="27">
        <v>300</v>
      </c>
      <c r="O993" s="27">
        <v>180</v>
      </c>
      <c r="P993" s="27" t="s">
        <v>13</v>
      </c>
      <c r="Q993" s="27">
        <v>1993</v>
      </c>
      <c r="R993" s="27">
        <v>1</v>
      </c>
      <c r="S993" s="27">
        <v>0</v>
      </c>
      <c r="T993" s="27">
        <v>-3.0000000000000001E-3</v>
      </c>
      <c r="U993" s="27">
        <v>-1.2E-2</v>
      </c>
      <c r="V993" s="27">
        <v>0</v>
      </c>
      <c r="W993" s="27">
        <v>0</v>
      </c>
      <c r="X993" s="27" t="s">
        <v>47</v>
      </c>
    </row>
    <row r="994" spans="1:24">
      <c r="A994" s="27">
        <v>2</v>
      </c>
      <c r="B994" s="27">
        <v>2</v>
      </c>
      <c r="C994" s="27">
        <v>6</v>
      </c>
      <c r="D994" s="27">
        <v>2011</v>
      </c>
      <c r="E994" s="27">
        <v>2011</v>
      </c>
      <c r="F994" s="27">
        <v>2</v>
      </c>
      <c r="G994" s="27">
        <v>37</v>
      </c>
      <c r="H994" s="27">
        <v>0</v>
      </c>
      <c r="I994" s="27">
        <v>0</v>
      </c>
      <c r="J994" s="27">
        <v>0</v>
      </c>
      <c r="K994" s="27">
        <v>4.6900000000000004</v>
      </c>
      <c r="L994" s="27">
        <v>3850</v>
      </c>
      <c r="M994" s="27">
        <v>3310</v>
      </c>
      <c r="N994" s="27">
        <v>300</v>
      </c>
      <c r="O994" s="27">
        <v>180</v>
      </c>
      <c r="P994" s="27" t="s">
        <v>13</v>
      </c>
      <c r="Q994" s="27">
        <v>1993</v>
      </c>
      <c r="R994" s="27">
        <v>1</v>
      </c>
      <c r="S994" s="27">
        <v>0</v>
      </c>
      <c r="T994" s="27">
        <v>-3.0000000000000001E-3</v>
      </c>
      <c r="U994" s="27">
        <v>-1.2E-2</v>
      </c>
      <c r="V994" s="27">
        <v>0</v>
      </c>
      <c r="W994" s="27">
        <v>0</v>
      </c>
      <c r="X994" s="27" t="s">
        <v>47</v>
      </c>
    </row>
    <row r="995" spans="1:24">
      <c r="A995" s="27">
        <v>2</v>
      </c>
      <c r="B995" s="27">
        <v>2</v>
      </c>
      <c r="C995" s="27">
        <v>6</v>
      </c>
      <c r="D995" s="27">
        <v>2011</v>
      </c>
      <c r="E995" s="27">
        <v>2011</v>
      </c>
      <c r="F995" s="27">
        <v>3</v>
      </c>
      <c r="G995" s="27">
        <v>37</v>
      </c>
      <c r="H995" s="27">
        <v>0</v>
      </c>
      <c r="I995" s="27">
        <v>0</v>
      </c>
      <c r="J995" s="27">
        <v>0</v>
      </c>
      <c r="K995" s="27">
        <v>4.6900000000000004</v>
      </c>
      <c r="L995" s="27">
        <v>3850</v>
      </c>
      <c r="M995" s="27">
        <v>3310</v>
      </c>
      <c r="N995" s="27">
        <v>300</v>
      </c>
      <c r="O995" s="27">
        <v>180</v>
      </c>
      <c r="P995" s="27" t="s">
        <v>13</v>
      </c>
      <c r="Q995" s="27">
        <v>1993</v>
      </c>
      <c r="R995" s="27">
        <v>1</v>
      </c>
      <c r="S995" s="27">
        <v>0</v>
      </c>
      <c r="T995" s="27">
        <v>-3.0000000000000001E-3</v>
      </c>
      <c r="U995" s="27">
        <v>-1.2E-2</v>
      </c>
      <c r="V995" s="27">
        <v>0</v>
      </c>
      <c r="W995" s="27">
        <v>0</v>
      </c>
      <c r="X995" s="27" t="s">
        <v>47</v>
      </c>
    </row>
    <row r="996" spans="1:24">
      <c r="A996" s="27">
        <v>2</v>
      </c>
      <c r="B996" s="27">
        <v>2</v>
      </c>
      <c r="C996" s="27">
        <v>6</v>
      </c>
      <c r="D996" s="27">
        <v>2011</v>
      </c>
      <c r="E996" s="27">
        <v>2011</v>
      </c>
      <c r="F996" s="27">
        <v>4</v>
      </c>
      <c r="G996" s="27">
        <v>37</v>
      </c>
      <c r="H996" s="27">
        <v>0</v>
      </c>
      <c r="I996" s="27">
        <v>0</v>
      </c>
      <c r="J996" s="27">
        <v>0</v>
      </c>
      <c r="K996" s="27">
        <v>4.6900000000000004</v>
      </c>
      <c r="L996" s="27">
        <v>3850</v>
      </c>
      <c r="M996" s="27">
        <v>3310</v>
      </c>
      <c r="N996" s="27">
        <v>300</v>
      </c>
      <c r="O996" s="27">
        <v>180</v>
      </c>
      <c r="P996" s="27" t="s">
        <v>13</v>
      </c>
      <c r="Q996" s="27">
        <v>1993</v>
      </c>
      <c r="R996" s="27">
        <v>1</v>
      </c>
      <c r="S996" s="27">
        <v>0</v>
      </c>
      <c r="T996" s="27">
        <v>-3.0000000000000001E-3</v>
      </c>
      <c r="U996" s="27">
        <v>-1.2E-2</v>
      </c>
      <c r="V996" s="27">
        <v>0</v>
      </c>
      <c r="W996" s="27">
        <v>0</v>
      </c>
      <c r="X996" s="27" t="s">
        <v>47</v>
      </c>
    </row>
    <row r="997" spans="1:24">
      <c r="A997" s="27">
        <v>2</v>
      </c>
      <c r="B997" s="27">
        <v>2</v>
      </c>
      <c r="C997" s="27">
        <v>6</v>
      </c>
      <c r="D997" s="27">
        <v>2011</v>
      </c>
      <c r="E997" s="27">
        <v>2011</v>
      </c>
      <c r="F997" s="27">
        <v>5</v>
      </c>
      <c r="G997" s="27">
        <v>37</v>
      </c>
      <c r="H997" s="27">
        <v>0</v>
      </c>
      <c r="I997" s="27">
        <v>0</v>
      </c>
      <c r="J997" s="27">
        <v>0</v>
      </c>
      <c r="K997" s="27">
        <v>4.6900000000000004</v>
      </c>
      <c r="L997" s="27">
        <v>3850</v>
      </c>
      <c r="M997" s="27">
        <v>3310</v>
      </c>
      <c r="N997" s="27">
        <v>300</v>
      </c>
      <c r="O997" s="27">
        <v>180</v>
      </c>
      <c r="P997" s="27" t="s">
        <v>13</v>
      </c>
      <c r="Q997" s="27">
        <v>1993</v>
      </c>
      <c r="R997" s="27">
        <v>1</v>
      </c>
      <c r="S997" s="27">
        <v>0</v>
      </c>
      <c r="T997" s="27">
        <v>-3.0000000000000001E-3</v>
      </c>
      <c r="U997" s="27">
        <v>-1.2E-2</v>
      </c>
      <c r="V997" s="27">
        <v>0</v>
      </c>
      <c r="W997" s="27">
        <v>0</v>
      </c>
      <c r="X997" s="27" t="s">
        <v>47</v>
      </c>
    </row>
    <row r="998" spans="1:24">
      <c r="A998" s="27">
        <v>2</v>
      </c>
      <c r="B998" s="27">
        <v>2</v>
      </c>
      <c r="C998" s="27">
        <v>6</v>
      </c>
      <c r="D998" s="27">
        <v>2011</v>
      </c>
      <c r="E998" s="27">
        <v>2011</v>
      </c>
      <c r="F998" s="27">
        <v>6</v>
      </c>
      <c r="G998" s="27">
        <v>37</v>
      </c>
      <c r="H998" s="27">
        <v>0</v>
      </c>
      <c r="I998" s="27">
        <v>0</v>
      </c>
      <c r="J998" s="27">
        <v>0</v>
      </c>
      <c r="K998" s="27">
        <v>4.6900000000000004</v>
      </c>
      <c r="L998" s="27">
        <v>3850</v>
      </c>
      <c r="M998" s="27">
        <v>3310</v>
      </c>
      <c r="N998" s="27">
        <v>300</v>
      </c>
      <c r="O998" s="27">
        <v>180</v>
      </c>
      <c r="P998" s="27" t="s">
        <v>13</v>
      </c>
      <c r="Q998" s="27">
        <v>1993</v>
      </c>
      <c r="R998" s="27">
        <v>1</v>
      </c>
      <c r="S998" s="27">
        <v>0</v>
      </c>
      <c r="T998" s="27">
        <v>-3.0000000000000001E-3</v>
      </c>
      <c r="U998" s="27">
        <v>-1.2E-2</v>
      </c>
      <c r="V998" s="27">
        <v>0</v>
      </c>
      <c r="W998" s="27">
        <v>0</v>
      </c>
      <c r="X998" s="27" t="s">
        <v>47</v>
      </c>
    </row>
    <row r="999" spans="1:24">
      <c r="A999" s="27">
        <v>2</v>
      </c>
      <c r="B999" s="27">
        <v>2</v>
      </c>
      <c r="C999" s="27">
        <v>6</v>
      </c>
      <c r="D999" s="27">
        <v>2011</v>
      </c>
      <c r="E999" s="27">
        <v>2011</v>
      </c>
      <c r="F999" s="27">
        <v>7</v>
      </c>
      <c r="G999" s="27">
        <v>37</v>
      </c>
      <c r="H999" s="27">
        <v>0</v>
      </c>
      <c r="I999" s="27">
        <v>0</v>
      </c>
      <c r="J999" s="27">
        <v>0</v>
      </c>
      <c r="K999" s="27">
        <v>4.6900000000000004</v>
      </c>
      <c r="L999" s="27">
        <v>3850</v>
      </c>
      <c r="M999" s="27">
        <v>3310</v>
      </c>
      <c r="N999" s="27">
        <v>300</v>
      </c>
      <c r="O999" s="27">
        <v>180</v>
      </c>
      <c r="P999" s="27" t="s">
        <v>13</v>
      </c>
      <c r="Q999" s="27">
        <v>1993</v>
      </c>
      <c r="R999" s="27">
        <v>1</v>
      </c>
      <c r="S999" s="27">
        <v>0</v>
      </c>
      <c r="T999" s="27">
        <v>-3.0000000000000001E-3</v>
      </c>
      <c r="U999" s="27">
        <v>-1.2E-2</v>
      </c>
      <c r="V999" s="27">
        <v>0</v>
      </c>
      <c r="W999" s="27">
        <v>0</v>
      </c>
      <c r="X999" s="27" t="s">
        <v>47</v>
      </c>
    </row>
    <row r="1000" spans="1:24">
      <c r="A1000" s="27">
        <v>2</v>
      </c>
      <c r="B1000" s="27">
        <v>2</v>
      </c>
      <c r="C1000" s="27">
        <v>6</v>
      </c>
      <c r="D1000" s="27">
        <v>2011</v>
      </c>
      <c r="E1000" s="27">
        <v>2011</v>
      </c>
      <c r="F1000" s="27">
        <v>8</v>
      </c>
      <c r="G1000" s="27">
        <v>37</v>
      </c>
      <c r="H1000" s="27">
        <v>0</v>
      </c>
      <c r="I1000" s="27">
        <v>0</v>
      </c>
      <c r="J1000" s="27">
        <v>0</v>
      </c>
      <c r="K1000" s="27">
        <v>4.6900000000000004</v>
      </c>
      <c r="L1000" s="27">
        <v>3850</v>
      </c>
      <c r="M1000" s="27">
        <v>3310</v>
      </c>
      <c r="N1000" s="27">
        <v>300</v>
      </c>
      <c r="O1000" s="27">
        <v>180</v>
      </c>
      <c r="P1000" s="27" t="s">
        <v>13</v>
      </c>
      <c r="Q1000" s="27">
        <v>1993</v>
      </c>
      <c r="R1000" s="27">
        <v>1</v>
      </c>
      <c r="S1000" s="27">
        <v>0</v>
      </c>
      <c r="T1000" s="27">
        <v>-3.0000000000000001E-3</v>
      </c>
      <c r="U1000" s="27">
        <v>-1.2E-2</v>
      </c>
      <c r="V1000" s="27">
        <v>0</v>
      </c>
      <c r="W1000" s="27">
        <v>0</v>
      </c>
      <c r="X1000" s="27" t="s">
        <v>47</v>
      </c>
    </row>
    <row r="1001" spans="1:24">
      <c r="A1001" s="27">
        <v>2</v>
      </c>
      <c r="B1001" s="27">
        <v>2</v>
      </c>
      <c r="C1001" s="27">
        <v>6</v>
      </c>
      <c r="D1001" s="27">
        <v>2011</v>
      </c>
      <c r="E1001" s="27">
        <v>2011</v>
      </c>
      <c r="F1001" s="27">
        <v>9</v>
      </c>
      <c r="G1001" s="27">
        <v>37</v>
      </c>
      <c r="H1001" s="27">
        <v>0</v>
      </c>
      <c r="I1001" s="27">
        <v>0</v>
      </c>
      <c r="J1001" s="27">
        <v>0</v>
      </c>
      <c r="K1001" s="27">
        <v>4.6900000000000004</v>
      </c>
      <c r="L1001" s="27">
        <v>3850</v>
      </c>
      <c r="M1001" s="27">
        <v>3310</v>
      </c>
      <c r="N1001" s="27">
        <v>300</v>
      </c>
      <c r="O1001" s="27">
        <v>180</v>
      </c>
      <c r="P1001" s="27" t="s">
        <v>13</v>
      </c>
      <c r="Q1001" s="27">
        <v>1993</v>
      </c>
      <c r="R1001" s="27">
        <v>1</v>
      </c>
      <c r="S1001" s="27">
        <v>0</v>
      </c>
      <c r="T1001" s="27">
        <v>-3.0000000000000001E-3</v>
      </c>
      <c r="U1001" s="27">
        <v>-1.2E-2</v>
      </c>
      <c r="V1001" s="27">
        <v>0</v>
      </c>
      <c r="W1001" s="27">
        <v>0</v>
      </c>
      <c r="X1001" s="27" t="s">
        <v>47</v>
      </c>
    </row>
    <row r="1002" spans="1:24">
      <c r="A1002" s="27">
        <v>2</v>
      </c>
      <c r="B1002" s="27">
        <v>2</v>
      </c>
      <c r="C1002" s="27">
        <v>6</v>
      </c>
      <c r="D1002" s="27">
        <v>2012</v>
      </c>
      <c r="E1002" s="27">
        <v>2012</v>
      </c>
      <c r="F1002" s="27">
        <v>1</v>
      </c>
      <c r="G1002" s="27">
        <v>37</v>
      </c>
      <c r="H1002" s="27">
        <v>0</v>
      </c>
      <c r="I1002" s="27">
        <v>0</v>
      </c>
      <c r="J1002" s="27">
        <v>0</v>
      </c>
      <c r="K1002" s="27">
        <v>4.6900000000000004</v>
      </c>
      <c r="L1002" s="27">
        <v>3850</v>
      </c>
      <c r="M1002" s="27">
        <v>3310</v>
      </c>
      <c r="N1002" s="27">
        <v>0</v>
      </c>
      <c r="O1002" s="27">
        <v>0</v>
      </c>
      <c r="P1002" s="27" t="s">
        <v>13</v>
      </c>
      <c r="Q1002" s="27">
        <v>1993</v>
      </c>
      <c r="R1002" s="27">
        <v>1</v>
      </c>
      <c r="S1002" s="27">
        <v>0</v>
      </c>
      <c r="T1002" s="27">
        <v>-3.0000000000000001E-3</v>
      </c>
      <c r="U1002" s="27">
        <v>-1.2E-2</v>
      </c>
      <c r="V1002" s="27">
        <v>0</v>
      </c>
      <c r="W1002" s="27">
        <v>0</v>
      </c>
      <c r="X1002" s="27" t="s">
        <v>47</v>
      </c>
    </row>
    <row r="1003" spans="1:24">
      <c r="A1003" s="27">
        <v>2</v>
      </c>
      <c r="B1003" s="27">
        <v>2</v>
      </c>
      <c r="C1003" s="27">
        <v>6</v>
      </c>
      <c r="D1003" s="27">
        <v>2012</v>
      </c>
      <c r="E1003" s="27">
        <v>2012</v>
      </c>
      <c r="F1003" s="27">
        <v>2</v>
      </c>
      <c r="G1003" s="27">
        <v>37</v>
      </c>
      <c r="H1003" s="27">
        <v>0</v>
      </c>
      <c r="I1003" s="27">
        <v>0</v>
      </c>
      <c r="J1003" s="27">
        <v>0</v>
      </c>
      <c r="K1003" s="27">
        <v>4.6900000000000004</v>
      </c>
      <c r="L1003" s="27">
        <v>3850</v>
      </c>
      <c r="M1003" s="27">
        <v>3310</v>
      </c>
      <c r="N1003" s="27">
        <v>0</v>
      </c>
      <c r="O1003" s="27">
        <v>0</v>
      </c>
      <c r="P1003" s="27" t="s">
        <v>13</v>
      </c>
      <c r="Q1003" s="27">
        <v>1993</v>
      </c>
      <c r="R1003" s="27">
        <v>1</v>
      </c>
      <c r="S1003" s="27">
        <v>0</v>
      </c>
      <c r="T1003" s="27">
        <v>-3.0000000000000001E-3</v>
      </c>
      <c r="U1003" s="27">
        <v>-1.2E-2</v>
      </c>
      <c r="V1003" s="27">
        <v>0</v>
      </c>
      <c r="W1003" s="27">
        <v>0</v>
      </c>
      <c r="X1003" s="27" t="s">
        <v>47</v>
      </c>
    </row>
    <row r="1004" spans="1:24">
      <c r="A1004" s="27">
        <v>2</v>
      </c>
      <c r="B1004" s="27">
        <v>2</v>
      </c>
      <c r="C1004" s="27">
        <v>6</v>
      </c>
      <c r="D1004" s="27">
        <v>2012</v>
      </c>
      <c r="E1004" s="27">
        <v>2012</v>
      </c>
      <c r="F1004" s="27">
        <v>3</v>
      </c>
      <c r="G1004" s="27">
        <v>37</v>
      </c>
      <c r="H1004" s="27">
        <v>0</v>
      </c>
      <c r="I1004" s="27">
        <v>0</v>
      </c>
      <c r="J1004" s="27">
        <v>0</v>
      </c>
      <c r="K1004" s="27">
        <v>4.6900000000000004</v>
      </c>
      <c r="L1004" s="27">
        <v>3850</v>
      </c>
      <c r="M1004" s="27">
        <v>3310</v>
      </c>
      <c r="N1004" s="27">
        <v>0</v>
      </c>
      <c r="O1004" s="27">
        <v>0</v>
      </c>
      <c r="P1004" s="27" t="s">
        <v>13</v>
      </c>
      <c r="Q1004" s="27">
        <v>1993</v>
      </c>
      <c r="R1004" s="27">
        <v>1</v>
      </c>
      <c r="S1004" s="27">
        <v>0</v>
      </c>
      <c r="T1004" s="27">
        <v>-3.0000000000000001E-3</v>
      </c>
      <c r="U1004" s="27">
        <v>-1.2E-2</v>
      </c>
      <c r="V1004" s="27">
        <v>0</v>
      </c>
      <c r="W1004" s="27">
        <v>0</v>
      </c>
      <c r="X1004" s="27" t="s">
        <v>47</v>
      </c>
    </row>
    <row r="1005" spans="1:24">
      <c r="A1005" s="27">
        <v>2</v>
      </c>
      <c r="B1005" s="27">
        <v>2</v>
      </c>
      <c r="C1005" s="27">
        <v>6</v>
      </c>
      <c r="D1005" s="27">
        <v>2012</v>
      </c>
      <c r="E1005" s="27">
        <v>2012</v>
      </c>
      <c r="F1005" s="27">
        <v>4</v>
      </c>
      <c r="G1005" s="27">
        <v>37</v>
      </c>
      <c r="H1005" s="27">
        <v>0</v>
      </c>
      <c r="I1005" s="27">
        <v>0</v>
      </c>
      <c r="J1005" s="27">
        <v>0</v>
      </c>
      <c r="K1005" s="27">
        <v>4.6900000000000004</v>
      </c>
      <c r="L1005" s="27">
        <v>3850</v>
      </c>
      <c r="M1005" s="27">
        <v>3310</v>
      </c>
      <c r="N1005" s="27">
        <v>0</v>
      </c>
      <c r="O1005" s="27">
        <v>0</v>
      </c>
      <c r="P1005" s="27" t="s">
        <v>13</v>
      </c>
      <c r="Q1005" s="27">
        <v>1993</v>
      </c>
      <c r="R1005" s="27">
        <v>1</v>
      </c>
      <c r="S1005" s="27">
        <v>0</v>
      </c>
      <c r="T1005" s="27">
        <v>-3.0000000000000001E-3</v>
      </c>
      <c r="U1005" s="27">
        <v>-1.2E-2</v>
      </c>
      <c r="V1005" s="27">
        <v>0</v>
      </c>
      <c r="W1005" s="27">
        <v>0</v>
      </c>
      <c r="X1005" s="27" t="s">
        <v>47</v>
      </c>
    </row>
    <row r="1006" spans="1:24">
      <c r="A1006" s="27">
        <v>2</v>
      </c>
      <c r="B1006" s="27">
        <v>2</v>
      </c>
      <c r="C1006" s="27">
        <v>6</v>
      </c>
      <c r="D1006" s="27">
        <v>2012</v>
      </c>
      <c r="E1006" s="27">
        <v>2012</v>
      </c>
      <c r="F1006" s="27">
        <v>5</v>
      </c>
      <c r="G1006" s="27">
        <v>37</v>
      </c>
      <c r="H1006" s="27">
        <v>0</v>
      </c>
      <c r="I1006" s="27">
        <v>0</v>
      </c>
      <c r="J1006" s="27">
        <v>0</v>
      </c>
      <c r="K1006" s="27">
        <v>4.6900000000000004</v>
      </c>
      <c r="L1006" s="27">
        <v>3850</v>
      </c>
      <c r="M1006" s="27">
        <v>3310</v>
      </c>
      <c r="N1006" s="27">
        <v>0</v>
      </c>
      <c r="O1006" s="27">
        <v>0</v>
      </c>
      <c r="P1006" s="27" t="s">
        <v>13</v>
      </c>
      <c r="Q1006" s="27">
        <v>1993</v>
      </c>
      <c r="R1006" s="27">
        <v>1</v>
      </c>
      <c r="S1006" s="27">
        <v>0</v>
      </c>
      <c r="T1006" s="27">
        <v>-3.0000000000000001E-3</v>
      </c>
      <c r="U1006" s="27">
        <v>-1.2E-2</v>
      </c>
      <c r="V1006" s="27">
        <v>0</v>
      </c>
      <c r="W1006" s="27">
        <v>0</v>
      </c>
      <c r="X1006" s="27" t="s">
        <v>47</v>
      </c>
    </row>
    <row r="1007" spans="1:24">
      <c r="A1007" s="27">
        <v>2</v>
      </c>
      <c r="B1007" s="27">
        <v>2</v>
      </c>
      <c r="C1007" s="27">
        <v>6</v>
      </c>
      <c r="D1007" s="27">
        <v>2012</v>
      </c>
      <c r="E1007" s="27">
        <v>2012</v>
      </c>
      <c r="F1007" s="27">
        <v>6</v>
      </c>
      <c r="G1007" s="27">
        <v>37</v>
      </c>
      <c r="H1007" s="27">
        <v>0</v>
      </c>
      <c r="I1007" s="27">
        <v>0</v>
      </c>
      <c r="J1007" s="27">
        <v>0</v>
      </c>
      <c r="K1007" s="27">
        <v>4.6900000000000004</v>
      </c>
      <c r="L1007" s="27">
        <v>3850</v>
      </c>
      <c r="M1007" s="27">
        <v>3310</v>
      </c>
      <c r="N1007" s="27">
        <v>0</v>
      </c>
      <c r="O1007" s="27">
        <v>0</v>
      </c>
      <c r="P1007" s="27" t="s">
        <v>13</v>
      </c>
      <c r="Q1007" s="27">
        <v>1993</v>
      </c>
      <c r="R1007" s="27">
        <v>1</v>
      </c>
      <c r="S1007" s="27">
        <v>0</v>
      </c>
      <c r="T1007" s="27">
        <v>-3.0000000000000001E-3</v>
      </c>
      <c r="U1007" s="27">
        <v>-1.2E-2</v>
      </c>
      <c r="V1007" s="27">
        <v>0</v>
      </c>
      <c r="W1007" s="27">
        <v>0</v>
      </c>
      <c r="X1007" s="27" t="s">
        <v>47</v>
      </c>
    </row>
    <row r="1008" spans="1:24">
      <c r="A1008" s="27">
        <v>2</v>
      </c>
      <c r="B1008" s="27">
        <v>2</v>
      </c>
      <c r="C1008" s="27">
        <v>6</v>
      </c>
      <c r="D1008" s="27">
        <v>2012</v>
      </c>
      <c r="E1008" s="27">
        <v>2012</v>
      </c>
      <c r="F1008" s="27">
        <v>7</v>
      </c>
      <c r="G1008" s="27">
        <v>37</v>
      </c>
      <c r="H1008" s="27">
        <v>0</v>
      </c>
      <c r="I1008" s="27">
        <v>0</v>
      </c>
      <c r="J1008" s="27">
        <v>0</v>
      </c>
      <c r="K1008" s="27">
        <v>4.6900000000000004</v>
      </c>
      <c r="L1008" s="27">
        <v>3850</v>
      </c>
      <c r="M1008" s="27">
        <v>3310</v>
      </c>
      <c r="N1008" s="27">
        <v>0</v>
      </c>
      <c r="O1008" s="27">
        <v>0</v>
      </c>
      <c r="P1008" s="27" t="s">
        <v>13</v>
      </c>
      <c r="Q1008" s="27">
        <v>1993</v>
      </c>
      <c r="R1008" s="27">
        <v>1</v>
      </c>
      <c r="S1008" s="27">
        <v>0</v>
      </c>
      <c r="T1008" s="27">
        <v>-3.0000000000000001E-3</v>
      </c>
      <c r="U1008" s="27">
        <v>-1.2E-2</v>
      </c>
      <c r="V1008" s="27">
        <v>0</v>
      </c>
      <c r="W1008" s="27">
        <v>0</v>
      </c>
      <c r="X1008" s="27" t="s">
        <v>47</v>
      </c>
    </row>
    <row r="1009" spans="1:24">
      <c r="A1009" s="27">
        <v>2</v>
      </c>
      <c r="B1009" s="27">
        <v>2</v>
      </c>
      <c r="C1009" s="27">
        <v>6</v>
      </c>
      <c r="D1009" s="27">
        <v>2012</v>
      </c>
      <c r="E1009" s="27">
        <v>2012</v>
      </c>
      <c r="F1009" s="27">
        <v>8</v>
      </c>
      <c r="G1009" s="27">
        <v>37</v>
      </c>
      <c r="H1009" s="27">
        <v>0</v>
      </c>
      <c r="I1009" s="27">
        <v>0</v>
      </c>
      <c r="J1009" s="27">
        <v>0</v>
      </c>
      <c r="K1009" s="27">
        <v>4.6900000000000004</v>
      </c>
      <c r="L1009" s="27">
        <v>3850</v>
      </c>
      <c r="M1009" s="27">
        <v>3310</v>
      </c>
      <c r="N1009" s="27">
        <v>0</v>
      </c>
      <c r="O1009" s="27">
        <v>0</v>
      </c>
      <c r="P1009" s="27" t="s">
        <v>13</v>
      </c>
      <c r="Q1009" s="27">
        <v>1993</v>
      </c>
      <c r="R1009" s="27">
        <v>1</v>
      </c>
      <c r="S1009" s="27">
        <v>0</v>
      </c>
      <c r="T1009" s="27">
        <v>-3.0000000000000001E-3</v>
      </c>
      <c r="U1009" s="27">
        <v>-1.2E-2</v>
      </c>
      <c r="V1009" s="27">
        <v>0</v>
      </c>
      <c r="W1009" s="27">
        <v>0</v>
      </c>
      <c r="X1009" s="27" t="s">
        <v>47</v>
      </c>
    </row>
    <row r="1010" spans="1:24">
      <c r="A1010" s="27">
        <v>2</v>
      </c>
      <c r="B1010" s="27">
        <v>2</v>
      </c>
      <c r="C1010" s="27">
        <v>6</v>
      </c>
      <c r="D1010" s="27">
        <v>2012</v>
      </c>
      <c r="E1010" s="27">
        <v>2012</v>
      </c>
      <c r="F1010" s="27">
        <v>9</v>
      </c>
      <c r="G1010" s="27">
        <v>37</v>
      </c>
      <c r="H1010" s="27">
        <v>0</v>
      </c>
      <c r="I1010" s="27">
        <v>0</v>
      </c>
      <c r="J1010" s="27">
        <v>0</v>
      </c>
      <c r="K1010" s="27">
        <v>4.6900000000000004</v>
      </c>
      <c r="L1010" s="27">
        <v>3850</v>
      </c>
      <c r="M1010" s="27">
        <v>3310</v>
      </c>
      <c r="N1010" s="27">
        <v>0</v>
      </c>
      <c r="O1010" s="27">
        <v>0</v>
      </c>
      <c r="P1010" s="27" t="s">
        <v>13</v>
      </c>
      <c r="Q1010" s="27">
        <v>1993</v>
      </c>
      <c r="R1010" s="27">
        <v>1</v>
      </c>
      <c r="S1010" s="27">
        <v>0</v>
      </c>
      <c r="T1010" s="27">
        <v>-3.0000000000000001E-3</v>
      </c>
      <c r="U1010" s="27">
        <v>-1.2E-2</v>
      </c>
      <c r="V1010" s="27">
        <v>0</v>
      </c>
      <c r="W1010" s="27">
        <v>0</v>
      </c>
      <c r="X1010" s="27" t="s">
        <v>47</v>
      </c>
    </row>
    <row r="1011" spans="1:24">
      <c r="A1011" s="27">
        <v>2</v>
      </c>
      <c r="B1011" s="27">
        <v>2</v>
      </c>
      <c r="C1011" s="27">
        <v>6</v>
      </c>
      <c r="D1011" s="27">
        <v>2013</v>
      </c>
      <c r="E1011" s="27">
        <v>2013</v>
      </c>
      <c r="F1011" s="27">
        <v>1</v>
      </c>
      <c r="G1011" s="27">
        <v>37</v>
      </c>
      <c r="H1011" s="27">
        <v>0</v>
      </c>
      <c r="I1011" s="27">
        <v>0</v>
      </c>
      <c r="J1011" s="27">
        <v>0</v>
      </c>
      <c r="K1011" s="27">
        <v>4.6900000000000004</v>
      </c>
      <c r="L1011" s="27">
        <v>3850</v>
      </c>
      <c r="M1011" s="27">
        <v>3310</v>
      </c>
      <c r="N1011" s="27">
        <v>300</v>
      </c>
      <c r="O1011" s="27">
        <v>180</v>
      </c>
      <c r="P1011" s="27" t="s">
        <v>13</v>
      </c>
      <c r="Q1011" s="27">
        <v>1993</v>
      </c>
      <c r="R1011" s="27">
        <v>1</v>
      </c>
      <c r="S1011" s="27">
        <v>0</v>
      </c>
      <c r="T1011" s="27">
        <v>-3.0000000000000001E-3</v>
      </c>
      <c r="U1011" s="27">
        <v>-1.2E-2</v>
      </c>
      <c r="V1011" s="27">
        <v>0</v>
      </c>
      <c r="W1011" s="27">
        <v>0</v>
      </c>
      <c r="X1011" s="27" t="s">
        <v>47</v>
      </c>
    </row>
    <row r="1012" spans="1:24">
      <c r="A1012" s="27">
        <v>2</v>
      </c>
      <c r="B1012" s="27">
        <v>2</v>
      </c>
      <c r="C1012" s="27">
        <v>6</v>
      </c>
      <c r="D1012" s="27">
        <v>2013</v>
      </c>
      <c r="E1012" s="27">
        <v>2013</v>
      </c>
      <c r="F1012" s="27">
        <v>2</v>
      </c>
      <c r="G1012" s="27">
        <v>37</v>
      </c>
      <c r="H1012" s="27">
        <v>0</v>
      </c>
      <c r="I1012" s="27">
        <v>0</v>
      </c>
      <c r="J1012" s="27">
        <v>0</v>
      </c>
      <c r="K1012" s="27">
        <v>4.6900000000000004</v>
      </c>
      <c r="L1012" s="27">
        <v>3850</v>
      </c>
      <c r="M1012" s="27">
        <v>3310</v>
      </c>
      <c r="N1012" s="27">
        <v>300</v>
      </c>
      <c r="O1012" s="27">
        <v>180</v>
      </c>
      <c r="P1012" s="27" t="s">
        <v>13</v>
      </c>
      <c r="Q1012" s="27">
        <v>1993</v>
      </c>
      <c r="R1012" s="27">
        <v>1</v>
      </c>
      <c r="S1012" s="27">
        <v>0</v>
      </c>
      <c r="T1012" s="27">
        <v>-3.0000000000000001E-3</v>
      </c>
      <c r="U1012" s="27">
        <v>-1.2E-2</v>
      </c>
      <c r="V1012" s="27">
        <v>0</v>
      </c>
      <c r="W1012" s="27">
        <v>0</v>
      </c>
      <c r="X1012" s="27" t="s">
        <v>47</v>
      </c>
    </row>
    <row r="1013" spans="1:24">
      <c r="A1013" s="27">
        <v>2</v>
      </c>
      <c r="B1013" s="27">
        <v>2</v>
      </c>
      <c r="C1013" s="27">
        <v>6</v>
      </c>
      <c r="D1013" s="27">
        <v>2013</v>
      </c>
      <c r="E1013" s="27">
        <v>2013</v>
      </c>
      <c r="F1013" s="27">
        <v>3</v>
      </c>
      <c r="G1013" s="27">
        <v>37</v>
      </c>
      <c r="H1013" s="27">
        <v>0</v>
      </c>
      <c r="I1013" s="27">
        <v>0</v>
      </c>
      <c r="J1013" s="27">
        <v>0</v>
      </c>
      <c r="K1013" s="27">
        <v>4.6900000000000004</v>
      </c>
      <c r="L1013" s="27">
        <v>3850</v>
      </c>
      <c r="M1013" s="27">
        <v>3310</v>
      </c>
      <c r="N1013" s="27">
        <v>300</v>
      </c>
      <c r="O1013" s="27">
        <v>180</v>
      </c>
      <c r="P1013" s="27" t="s">
        <v>13</v>
      </c>
      <c r="Q1013" s="27">
        <v>1993</v>
      </c>
      <c r="R1013" s="27">
        <v>1</v>
      </c>
      <c r="S1013" s="27">
        <v>0</v>
      </c>
      <c r="T1013" s="27">
        <v>-3.0000000000000001E-3</v>
      </c>
      <c r="U1013" s="27">
        <v>-1.2E-2</v>
      </c>
      <c r="V1013" s="27">
        <v>0</v>
      </c>
      <c r="W1013" s="27">
        <v>0</v>
      </c>
      <c r="X1013" s="27" t="s">
        <v>47</v>
      </c>
    </row>
    <row r="1014" spans="1:24">
      <c r="A1014" s="27">
        <v>2</v>
      </c>
      <c r="B1014" s="27">
        <v>2</v>
      </c>
      <c r="C1014" s="27">
        <v>6</v>
      </c>
      <c r="D1014" s="27">
        <v>2013</v>
      </c>
      <c r="E1014" s="27">
        <v>2013</v>
      </c>
      <c r="F1014" s="27">
        <v>4</v>
      </c>
      <c r="G1014" s="27">
        <v>37</v>
      </c>
      <c r="H1014" s="27">
        <v>0</v>
      </c>
      <c r="I1014" s="27">
        <v>0</v>
      </c>
      <c r="J1014" s="27">
        <v>0</v>
      </c>
      <c r="K1014" s="27">
        <v>4.6900000000000004</v>
      </c>
      <c r="L1014" s="27">
        <v>3850</v>
      </c>
      <c r="M1014" s="27">
        <v>3310</v>
      </c>
      <c r="N1014" s="27">
        <v>300</v>
      </c>
      <c r="O1014" s="27">
        <v>180</v>
      </c>
      <c r="P1014" s="27" t="s">
        <v>13</v>
      </c>
      <c r="Q1014" s="27">
        <v>1993</v>
      </c>
      <c r="R1014" s="27">
        <v>1</v>
      </c>
      <c r="S1014" s="27">
        <v>0</v>
      </c>
      <c r="T1014" s="27">
        <v>-3.0000000000000001E-3</v>
      </c>
      <c r="U1014" s="27">
        <v>-1.2E-2</v>
      </c>
      <c r="V1014" s="27">
        <v>0</v>
      </c>
      <c r="W1014" s="27">
        <v>0</v>
      </c>
      <c r="X1014" s="27" t="s">
        <v>47</v>
      </c>
    </row>
    <row r="1015" spans="1:24">
      <c r="A1015" s="27">
        <v>2</v>
      </c>
      <c r="B1015" s="27">
        <v>2</v>
      </c>
      <c r="C1015" s="27">
        <v>6</v>
      </c>
      <c r="D1015" s="27">
        <v>2013</v>
      </c>
      <c r="E1015" s="27">
        <v>2013</v>
      </c>
      <c r="F1015" s="27">
        <v>5</v>
      </c>
      <c r="G1015" s="27">
        <v>37</v>
      </c>
      <c r="H1015" s="27">
        <v>0</v>
      </c>
      <c r="I1015" s="27">
        <v>0</v>
      </c>
      <c r="J1015" s="27">
        <v>0</v>
      </c>
      <c r="K1015" s="27">
        <v>4.6900000000000004</v>
      </c>
      <c r="L1015" s="27">
        <v>3850</v>
      </c>
      <c r="M1015" s="27">
        <v>3310</v>
      </c>
      <c r="N1015" s="27">
        <v>300</v>
      </c>
      <c r="O1015" s="27">
        <v>180</v>
      </c>
      <c r="P1015" s="27" t="s">
        <v>13</v>
      </c>
      <c r="Q1015" s="27">
        <v>1993</v>
      </c>
      <c r="R1015" s="27">
        <v>1</v>
      </c>
      <c r="S1015" s="27">
        <v>0</v>
      </c>
      <c r="T1015" s="27">
        <v>-3.0000000000000001E-3</v>
      </c>
      <c r="U1015" s="27">
        <v>-1.2E-2</v>
      </c>
      <c r="V1015" s="27">
        <v>0</v>
      </c>
      <c r="W1015" s="27">
        <v>0</v>
      </c>
      <c r="X1015" s="27" t="s">
        <v>47</v>
      </c>
    </row>
    <row r="1016" spans="1:24">
      <c r="A1016" s="27">
        <v>2</v>
      </c>
      <c r="B1016" s="27">
        <v>2</v>
      </c>
      <c r="C1016" s="27">
        <v>6</v>
      </c>
      <c r="D1016" s="27">
        <v>2013</v>
      </c>
      <c r="E1016" s="27">
        <v>2013</v>
      </c>
      <c r="F1016" s="27">
        <v>6</v>
      </c>
      <c r="G1016" s="27">
        <v>37</v>
      </c>
      <c r="H1016" s="27">
        <v>0</v>
      </c>
      <c r="I1016" s="27">
        <v>0</v>
      </c>
      <c r="J1016" s="27">
        <v>0</v>
      </c>
      <c r="K1016" s="27">
        <v>4.6900000000000004</v>
      </c>
      <c r="L1016" s="27">
        <v>3850</v>
      </c>
      <c r="M1016" s="27">
        <v>3310</v>
      </c>
      <c r="N1016" s="27">
        <v>300</v>
      </c>
      <c r="O1016" s="27">
        <v>180</v>
      </c>
      <c r="P1016" s="27" t="s">
        <v>13</v>
      </c>
      <c r="Q1016" s="27">
        <v>1993</v>
      </c>
      <c r="R1016" s="27">
        <v>1</v>
      </c>
      <c r="S1016" s="27">
        <v>0</v>
      </c>
      <c r="T1016" s="27">
        <v>-3.0000000000000001E-3</v>
      </c>
      <c r="U1016" s="27">
        <v>-1.2E-2</v>
      </c>
      <c r="V1016" s="27">
        <v>0</v>
      </c>
      <c r="W1016" s="27">
        <v>0</v>
      </c>
      <c r="X1016" s="27" t="s">
        <v>47</v>
      </c>
    </row>
    <row r="1017" spans="1:24">
      <c r="A1017" s="27">
        <v>2</v>
      </c>
      <c r="B1017" s="27">
        <v>2</v>
      </c>
      <c r="C1017" s="27">
        <v>6</v>
      </c>
      <c r="D1017" s="27">
        <v>2013</v>
      </c>
      <c r="E1017" s="27">
        <v>2013</v>
      </c>
      <c r="F1017" s="27">
        <v>7</v>
      </c>
      <c r="G1017" s="27">
        <v>37</v>
      </c>
      <c r="H1017" s="27">
        <v>0</v>
      </c>
      <c r="I1017" s="27">
        <v>0</v>
      </c>
      <c r="J1017" s="27">
        <v>0</v>
      </c>
      <c r="K1017" s="27">
        <v>4.6900000000000004</v>
      </c>
      <c r="L1017" s="27">
        <v>3850</v>
      </c>
      <c r="M1017" s="27">
        <v>3310</v>
      </c>
      <c r="N1017" s="27">
        <v>300</v>
      </c>
      <c r="O1017" s="27">
        <v>180</v>
      </c>
      <c r="P1017" s="27" t="s">
        <v>13</v>
      </c>
      <c r="Q1017" s="27">
        <v>1993</v>
      </c>
      <c r="R1017" s="27">
        <v>1</v>
      </c>
      <c r="S1017" s="27">
        <v>0</v>
      </c>
      <c r="T1017" s="27">
        <v>-3.0000000000000001E-3</v>
      </c>
      <c r="U1017" s="27">
        <v>-1.2E-2</v>
      </c>
      <c r="V1017" s="27">
        <v>0</v>
      </c>
      <c r="W1017" s="27">
        <v>0</v>
      </c>
      <c r="X1017" s="27" t="s">
        <v>47</v>
      </c>
    </row>
    <row r="1018" spans="1:24">
      <c r="A1018" s="27">
        <v>2</v>
      </c>
      <c r="B1018" s="27">
        <v>2</v>
      </c>
      <c r="C1018" s="27">
        <v>6</v>
      </c>
      <c r="D1018" s="27">
        <v>2013</v>
      </c>
      <c r="E1018" s="27">
        <v>2013</v>
      </c>
      <c r="F1018" s="27">
        <v>8</v>
      </c>
      <c r="G1018" s="27">
        <v>37</v>
      </c>
      <c r="H1018" s="27">
        <v>0</v>
      </c>
      <c r="I1018" s="27">
        <v>0</v>
      </c>
      <c r="J1018" s="27">
        <v>0</v>
      </c>
      <c r="K1018" s="27">
        <v>4.6900000000000004</v>
      </c>
      <c r="L1018" s="27">
        <v>3850</v>
      </c>
      <c r="M1018" s="27">
        <v>3310</v>
      </c>
      <c r="N1018" s="27">
        <v>300</v>
      </c>
      <c r="O1018" s="27">
        <v>180</v>
      </c>
      <c r="P1018" s="27" t="s">
        <v>13</v>
      </c>
      <c r="Q1018" s="27">
        <v>1993</v>
      </c>
      <c r="R1018" s="27">
        <v>1</v>
      </c>
      <c r="S1018" s="27">
        <v>0</v>
      </c>
      <c r="T1018" s="27">
        <v>-3.0000000000000001E-3</v>
      </c>
      <c r="U1018" s="27">
        <v>-1.2E-2</v>
      </c>
      <c r="V1018" s="27">
        <v>0</v>
      </c>
      <c r="W1018" s="27">
        <v>0</v>
      </c>
      <c r="X1018" s="27" t="s">
        <v>47</v>
      </c>
    </row>
    <row r="1019" spans="1:24">
      <c r="A1019" s="27">
        <v>2</v>
      </c>
      <c r="B1019" s="27">
        <v>2</v>
      </c>
      <c r="C1019" s="27">
        <v>6</v>
      </c>
      <c r="D1019" s="27">
        <v>2013</v>
      </c>
      <c r="E1019" s="27">
        <v>2013</v>
      </c>
      <c r="F1019" s="27">
        <v>9</v>
      </c>
      <c r="G1019" s="27">
        <v>37</v>
      </c>
      <c r="H1019" s="27">
        <v>0</v>
      </c>
      <c r="I1019" s="27">
        <v>0</v>
      </c>
      <c r="J1019" s="27">
        <v>0</v>
      </c>
      <c r="K1019" s="27">
        <v>4.6900000000000004</v>
      </c>
      <c r="L1019" s="27">
        <v>3850</v>
      </c>
      <c r="M1019" s="27">
        <v>3310</v>
      </c>
      <c r="N1019" s="27">
        <v>300</v>
      </c>
      <c r="O1019" s="27">
        <v>180</v>
      </c>
      <c r="P1019" s="27" t="s">
        <v>13</v>
      </c>
      <c r="Q1019" s="27">
        <v>1993</v>
      </c>
      <c r="R1019" s="27">
        <v>1</v>
      </c>
      <c r="S1019" s="27">
        <v>0</v>
      </c>
      <c r="T1019" s="27">
        <v>-3.0000000000000001E-3</v>
      </c>
      <c r="U1019" s="27">
        <v>-1.2E-2</v>
      </c>
      <c r="V1019" s="27">
        <v>0</v>
      </c>
      <c r="W1019" s="27">
        <v>0</v>
      </c>
      <c r="X1019" s="27" t="s">
        <v>47</v>
      </c>
    </row>
    <row r="1020" spans="1:24">
      <c r="A1020" s="27">
        <v>2</v>
      </c>
      <c r="B1020" s="27">
        <v>2</v>
      </c>
      <c r="C1020" s="27">
        <v>6</v>
      </c>
      <c r="D1020" s="27">
        <v>2014</v>
      </c>
      <c r="E1020" s="27">
        <v>2019</v>
      </c>
      <c r="F1020" s="27">
        <v>1</v>
      </c>
      <c r="G1020" s="27">
        <v>37</v>
      </c>
      <c r="H1020" s="27">
        <v>0</v>
      </c>
      <c r="I1020" s="27">
        <v>0</v>
      </c>
      <c r="J1020" s="27">
        <v>0</v>
      </c>
      <c r="K1020" s="27">
        <v>4.6900000000000004</v>
      </c>
      <c r="L1020" s="27">
        <v>3850</v>
      </c>
      <c r="M1020" s="27">
        <v>3310</v>
      </c>
      <c r="N1020" s="27">
        <v>0</v>
      </c>
      <c r="O1020" s="27">
        <v>0</v>
      </c>
      <c r="P1020" s="27" t="s">
        <v>13</v>
      </c>
      <c r="Q1020" s="27">
        <v>1993</v>
      </c>
      <c r="R1020" s="27">
        <v>1</v>
      </c>
      <c r="S1020" s="27">
        <v>0</v>
      </c>
      <c r="T1020" s="27">
        <v>-3.0000000000000001E-3</v>
      </c>
      <c r="U1020" s="27">
        <v>-1.2E-2</v>
      </c>
      <c r="V1020" s="27">
        <v>0</v>
      </c>
      <c r="W1020" s="27">
        <v>0</v>
      </c>
      <c r="X1020" s="27" t="s">
        <v>47</v>
      </c>
    </row>
    <row r="1021" spans="1:24">
      <c r="A1021" s="27">
        <v>2</v>
      </c>
      <c r="B1021" s="27">
        <v>2</v>
      </c>
      <c r="C1021" s="27">
        <v>6</v>
      </c>
      <c r="D1021" s="27">
        <v>2014</v>
      </c>
      <c r="E1021" s="27">
        <v>2019</v>
      </c>
      <c r="F1021" s="27">
        <v>2</v>
      </c>
      <c r="G1021" s="27">
        <v>37</v>
      </c>
      <c r="H1021" s="27">
        <v>0</v>
      </c>
      <c r="I1021" s="27">
        <v>0</v>
      </c>
      <c r="J1021" s="27">
        <v>0</v>
      </c>
      <c r="K1021" s="27">
        <v>4.6900000000000004</v>
      </c>
      <c r="L1021" s="27">
        <v>3850</v>
      </c>
      <c r="M1021" s="27">
        <v>3310</v>
      </c>
      <c r="N1021" s="27">
        <v>0</v>
      </c>
      <c r="O1021" s="27">
        <v>0</v>
      </c>
      <c r="P1021" s="27" t="s">
        <v>13</v>
      </c>
      <c r="Q1021" s="27">
        <v>1993</v>
      </c>
      <c r="R1021" s="27">
        <v>1</v>
      </c>
      <c r="S1021" s="27">
        <v>0</v>
      </c>
      <c r="T1021" s="27">
        <v>-3.0000000000000001E-3</v>
      </c>
      <c r="U1021" s="27">
        <v>-1.2E-2</v>
      </c>
      <c r="V1021" s="27">
        <v>0</v>
      </c>
      <c r="W1021" s="27">
        <v>0</v>
      </c>
      <c r="X1021" s="27" t="s">
        <v>47</v>
      </c>
    </row>
    <row r="1022" spans="1:24">
      <c r="A1022" s="27">
        <v>2</v>
      </c>
      <c r="B1022" s="27">
        <v>2</v>
      </c>
      <c r="C1022" s="27">
        <v>6</v>
      </c>
      <c r="D1022" s="27">
        <v>2014</v>
      </c>
      <c r="E1022" s="27">
        <v>2019</v>
      </c>
      <c r="F1022" s="27">
        <v>3</v>
      </c>
      <c r="G1022" s="27">
        <v>37</v>
      </c>
      <c r="H1022" s="27">
        <v>0</v>
      </c>
      <c r="I1022" s="27">
        <v>0</v>
      </c>
      <c r="J1022" s="27">
        <v>0</v>
      </c>
      <c r="K1022" s="27">
        <v>4.6900000000000004</v>
      </c>
      <c r="L1022" s="27">
        <v>3850</v>
      </c>
      <c r="M1022" s="27">
        <v>3310</v>
      </c>
      <c r="N1022" s="27">
        <v>0</v>
      </c>
      <c r="O1022" s="27">
        <v>0</v>
      </c>
      <c r="P1022" s="27" t="s">
        <v>13</v>
      </c>
      <c r="Q1022" s="27">
        <v>1993</v>
      </c>
      <c r="R1022" s="27">
        <v>1</v>
      </c>
      <c r="S1022" s="27">
        <v>0</v>
      </c>
      <c r="T1022" s="27">
        <v>-3.0000000000000001E-3</v>
      </c>
      <c r="U1022" s="27">
        <v>-1.2E-2</v>
      </c>
      <c r="V1022" s="27">
        <v>0</v>
      </c>
      <c r="W1022" s="27">
        <v>0</v>
      </c>
      <c r="X1022" s="27" t="s">
        <v>47</v>
      </c>
    </row>
    <row r="1023" spans="1:24">
      <c r="A1023" s="27">
        <v>2</v>
      </c>
      <c r="B1023" s="27">
        <v>2</v>
      </c>
      <c r="C1023" s="27">
        <v>6</v>
      </c>
      <c r="D1023" s="27">
        <v>2014</v>
      </c>
      <c r="E1023" s="27">
        <v>2019</v>
      </c>
      <c r="F1023" s="27">
        <v>4</v>
      </c>
      <c r="G1023" s="27">
        <v>37</v>
      </c>
      <c r="H1023" s="27">
        <v>0</v>
      </c>
      <c r="I1023" s="27">
        <v>0</v>
      </c>
      <c r="J1023" s="27">
        <v>0</v>
      </c>
      <c r="K1023" s="27">
        <v>4.6900000000000004</v>
      </c>
      <c r="L1023" s="27">
        <v>3850</v>
      </c>
      <c r="M1023" s="27">
        <v>3310</v>
      </c>
      <c r="N1023" s="27">
        <v>0</v>
      </c>
      <c r="O1023" s="27">
        <v>0</v>
      </c>
      <c r="P1023" s="27" t="s">
        <v>13</v>
      </c>
      <c r="Q1023" s="27">
        <v>1993</v>
      </c>
      <c r="R1023" s="27">
        <v>1</v>
      </c>
      <c r="S1023" s="27">
        <v>0</v>
      </c>
      <c r="T1023" s="27">
        <v>-3.0000000000000001E-3</v>
      </c>
      <c r="U1023" s="27">
        <v>-1.2E-2</v>
      </c>
      <c r="V1023" s="27">
        <v>0</v>
      </c>
      <c r="W1023" s="27">
        <v>0</v>
      </c>
      <c r="X1023" s="27" t="s">
        <v>47</v>
      </c>
    </row>
    <row r="1024" spans="1:24">
      <c r="A1024" s="27">
        <v>2</v>
      </c>
      <c r="B1024" s="27">
        <v>2</v>
      </c>
      <c r="C1024" s="27">
        <v>6</v>
      </c>
      <c r="D1024" s="27">
        <v>2014</v>
      </c>
      <c r="E1024" s="27">
        <v>2019</v>
      </c>
      <c r="F1024" s="27">
        <v>5</v>
      </c>
      <c r="G1024" s="27">
        <v>37</v>
      </c>
      <c r="H1024" s="27">
        <v>0</v>
      </c>
      <c r="I1024" s="27">
        <v>0</v>
      </c>
      <c r="J1024" s="27">
        <v>0</v>
      </c>
      <c r="K1024" s="27">
        <v>4.6900000000000004</v>
      </c>
      <c r="L1024" s="27">
        <v>3850</v>
      </c>
      <c r="M1024" s="27">
        <v>3310</v>
      </c>
      <c r="N1024" s="27">
        <v>0</v>
      </c>
      <c r="O1024" s="27">
        <v>0</v>
      </c>
      <c r="P1024" s="27" t="s">
        <v>13</v>
      </c>
      <c r="Q1024" s="27">
        <v>1993</v>
      </c>
      <c r="R1024" s="27">
        <v>1</v>
      </c>
      <c r="S1024" s="27">
        <v>0</v>
      </c>
      <c r="T1024" s="27">
        <v>-3.0000000000000001E-3</v>
      </c>
      <c r="U1024" s="27">
        <v>-1.2E-2</v>
      </c>
      <c r="V1024" s="27">
        <v>0</v>
      </c>
      <c r="W1024" s="27">
        <v>0</v>
      </c>
      <c r="X1024" s="27" t="s">
        <v>47</v>
      </c>
    </row>
    <row r="1025" spans="1:24">
      <c r="A1025" s="27">
        <v>2</v>
      </c>
      <c r="B1025" s="27">
        <v>2</v>
      </c>
      <c r="C1025" s="27">
        <v>6</v>
      </c>
      <c r="D1025" s="27">
        <v>2014</v>
      </c>
      <c r="E1025" s="27">
        <v>2019</v>
      </c>
      <c r="F1025" s="27">
        <v>6</v>
      </c>
      <c r="G1025" s="27">
        <v>37</v>
      </c>
      <c r="H1025" s="27">
        <v>0</v>
      </c>
      <c r="I1025" s="27">
        <v>0</v>
      </c>
      <c r="J1025" s="27">
        <v>0</v>
      </c>
      <c r="K1025" s="27">
        <v>4.6900000000000004</v>
      </c>
      <c r="L1025" s="27">
        <v>3850</v>
      </c>
      <c r="M1025" s="27">
        <v>3310</v>
      </c>
      <c r="N1025" s="27">
        <v>0</v>
      </c>
      <c r="O1025" s="27">
        <v>0</v>
      </c>
      <c r="P1025" s="27" t="s">
        <v>13</v>
      </c>
      <c r="Q1025" s="27">
        <v>1993</v>
      </c>
      <c r="R1025" s="27">
        <v>1</v>
      </c>
      <c r="S1025" s="27">
        <v>0</v>
      </c>
      <c r="T1025" s="27">
        <v>-3.0000000000000001E-3</v>
      </c>
      <c r="U1025" s="27">
        <v>-1.2E-2</v>
      </c>
      <c r="V1025" s="27">
        <v>0</v>
      </c>
      <c r="W1025" s="27">
        <v>0</v>
      </c>
      <c r="X1025" s="27" t="s">
        <v>47</v>
      </c>
    </row>
    <row r="1026" spans="1:24">
      <c r="A1026" s="27">
        <v>2</v>
      </c>
      <c r="B1026" s="27">
        <v>2</v>
      </c>
      <c r="C1026" s="27">
        <v>6</v>
      </c>
      <c r="D1026" s="27">
        <v>2014</v>
      </c>
      <c r="E1026" s="27">
        <v>2019</v>
      </c>
      <c r="F1026" s="27">
        <v>7</v>
      </c>
      <c r="G1026" s="27">
        <v>37</v>
      </c>
      <c r="H1026" s="27">
        <v>0</v>
      </c>
      <c r="I1026" s="27">
        <v>0</v>
      </c>
      <c r="J1026" s="27">
        <v>0</v>
      </c>
      <c r="K1026" s="27">
        <v>4.6900000000000004</v>
      </c>
      <c r="L1026" s="27">
        <v>3850</v>
      </c>
      <c r="M1026" s="27">
        <v>3310</v>
      </c>
      <c r="N1026" s="27">
        <v>0</v>
      </c>
      <c r="O1026" s="27">
        <v>0</v>
      </c>
      <c r="P1026" s="27" t="s">
        <v>13</v>
      </c>
      <c r="Q1026" s="27">
        <v>1993</v>
      </c>
      <c r="R1026" s="27">
        <v>1</v>
      </c>
      <c r="S1026" s="27">
        <v>0</v>
      </c>
      <c r="T1026" s="27">
        <v>-3.0000000000000001E-3</v>
      </c>
      <c r="U1026" s="27">
        <v>-1.2E-2</v>
      </c>
      <c r="V1026" s="27">
        <v>0</v>
      </c>
      <c r="W1026" s="27">
        <v>0</v>
      </c>
      <c r="X1026" s="27" t="s">
        <v>47</v>
      </c>
    </row>
    <row r="1027" spans="1:24">
      <c r="A1027" s="27">
        <v>2</v>
      </c>
      <c r="B1027" s="27">
        <v>2</v>
      </c>
      <c r="C1027" s="27">
        <v>6</v>
      </c>
      <c r="D1027" s="27">
        <v>2014</v>
      </c>
      <c r="E1027" s="27">
        <v>2019</v>
      </c>
      <c r="F1027" s="27">
        <v>8</v>
      </c>
      <c r="G1027" s="27">
        <v>37</v>
      </c>
      <c r="H1027" s="27">
        <v>0</v>
      </c>
      <c r="I1027" s="27">
        <v>0</v>
      </c>
      <c r="J1027" s="27">
        <v>0</v>
      </c>
      <c r="K1027" s="27">
        <v>4.6900000000000004</v>
      </c>
      <c r="L1027" s="27">
        <v>3850</v>
      </c>
      <c r="M1027" s="27">
        <v>3310</v>
      </c>
      <c r="N1027" s="27">
        <v>0</v>
      </c>
      <c r="O1027" s="27">
        <v>0</v>
      </c>
      <c r="P1027" s="27" t="s">
        <v>13</v>
      </c>
      <c r="Q1027" s="27">
        <v>1993</v>
      </c>
      <c r="R1027" s="27">
        <v>1</v>
      </c>
      <c r="S1027" s="27">
        <v>0</v>
      </c>
      <c r="T1027" s="27">
        <v>-3.0000000000000001E-3</v>
      </c>
      <c r="U1027" s="27">
        <v>-1.2E-2</v>
      </c>
      <c r="V1027" s="27">
        <v>0</v>
      </c>
      <c r="W1027" s="27">
        <v>0</v>
      </c>
      <c r="X1027" s="27" t="s">
        <v>47</v>
      </c>
    </row>
    <row r="1028" spans="1:24">
      <c r="A1028" s="27">
        <v>2</v>
      </c>
      <c r="B1028" s="27">
        <v>2</v>
      </c>
      <c r="C1028" s="27">
        <v>6</v>
      </c>
      <c r="D1028" s="27">
        <v>2014</v>
      </c>
      <c r="E1028" s="27">
        <v>2019</v>
      </c>
      <c r="F1028" s="27">
        <v>9</v>
      </c>
      <c r="G1028" s="27">
        <v>37</v>
      </c>
      <c r="H1028" s="27">
        <v>0</v>
      </c>
      <c r="I1028" s="27">
        <v>0</v>
      </c>
      <c r="J1028" s="27">
        <v>0</v>
      </c>
      <c r="K1028" s="27">
        <v>4.6900000000000004</v>
      </c>
      <c r="L1028" s="27">
        <v>3850</v>
      </c>
      <c r="M1028" s="27">
        <v>3310</v>
      </c>
      <c r="N1028" s="27">
        <v>0</v>
      </c>
      <c r="O1028" s="27">
        <v>0</v>
      </c>
      <c r="P1028" s="27" t="s">
        <v>13</v>
      </c>
      <c r="Q1028" s="27">
        <v>1993</v>
      </c>
      <c r="R1028" s="27">
        <v>1</v>
      </c>
      <c r="S1028" s="27">
        <v>0</v>
      </c>
      <c r="T1028" s="27">
        <v>-3.0000000000000001E-3</v>
      </c>
      <c r="U1028" s="27">
        <v>-1.2E-2</v>
      </c>
      <c r="V1028" s="27">
        <v>0</v>
      </c>
      <c r="W1028" s="27">
        <v>0</v>
      </c>
      <c r="X1028" s="27" t="s">
        <v>47</v>
      </c>
    </row>
    <row r="1029" spans="1:24">
      <c r="A1029" s="27">
        <v>2</v>
      </c>
      <c r="B1029" s="27">
        <v>2</v>
      </c>
      <c r="C1029" s="27">
        <v>6</v>
      </c>
      <c r="D1029" s="27">
        <v>2020</v>
      </c>
      <c r="E1029" s="27">
        <v>2050</v>
      </c>
      <c r="F1029" s="27">
        <v>1</v>
      </c>
      <c r="G1029" s="27">
        <v>37</v>
      </c>
      <c r="H1029" s="27">
        <v>0</v>
      </c>
      <c r="I1029" s="27">
        <v>0</v>
      </c>
      <c r="J1029" s="27">
        <v>0</v>
      </c>
      <c r="K1029" s="27">
        <v>4.6900000000000004</v>
      </c>
      <c r="L1029" s="27">
        <v>3700</v>
      </c>
      <c r="M1029" s="27">
        <v>3220</v>
      </c>
      <c r="N1029" s="27">
        <v>0</v>
      </c>
      <c r="O1029" s="27">
        <v>0</v>
      </c>
      <c r="P1029" s="27" t="s">
        <v>13</v>
      </c>
      <c r="Q1029" s="27">
        <v>1993</v>
      </c>
      <c r="R1029" s="27">
        <v>1</v>
      </c>
      <c r="S1029" s="27">
        <v>0</v>
      </c>
      <c r="T1029" s="27">
        <v>-3.0000000000000001E-3</v>
      </c>
      <c r="U1029" s="27">
        <v>-1.2E-2</v>
      </c>
      <c r="V1029" s="27">
        <v>0</v>
      </c>
      <c r="W1029" s="27">
        <v>0</v>
      </c>
      <c r="X1029" s="27" t="s">
        <v>47</v>
      </c>
    </row>
    <row r="1030" spans="1:24">
      <c r="A1030" s="27">
        <v>2</v>
      </c>
      <c r="B1030" s="27">
        <v>2</v>
      </c>
      <c r="C1030" s="27">
        <v>6</v>
      </c>
      <c r="D1030" s="27">
        <v>2020</v>
      </c>
      <c r="E1030" s="27">
        <v>2050</v>
      </c>
      <c r="F1030" s="27">
        <v>2</v>
      </c>
      <c r="G1030" s="27">
        <v>37</v>
      </c>
      <c r="H1030" s="27">
        <v>0</v>
      </c>
      <c r="I1030" s="27">
        <v>0</v>
      </c>
      <c r="J1030" s="27">
        <v>0</v>
      </c>
      <c r="K1030" s="27">
        <v>4.6900000000000004</v>
      </c>
      <c r="L1030" s="27">
        <v>3700</v>
      </c>
      <c r="M1030" s="27">
        <v>3220</v>
      </c>
      <c r="N1030" s="27">
        <v>0</v>
      </c>
      <c r="O1030" s="27">
        <v>0</v>
      </c>
      <c r="P1030" s="27" t="s">
        <v>13</v>
      </c>
      <c r="Q1030" s="27">
        <v>1993</v>
      </c>
      <c r="R1030" s="27">
        <v>1</v>
      </c>
      <c r="S1030" s="27">
        <v>0</v>
      </c>
      <c r="T1030" s="27">
        <v>-3.0000000000000001E-3</v>
      </c>
      <c r="U1030" s="27">
        <v>-1.2E-2</v>
      </c>
      <c r="V1030" s="27">
        <v>0</v>
      </c>
      <c r="W1030" s="27">
        <v>0</v>
      </c>
      <c r="X1030" s="27" t="s">
        <v>47</v>
      </c>
    </row>
    <row r="1031" spans="1:24">
      <c r="A1031" s="27">
        <v>2</v>
      </c>
      <c r="B1031" s="27">
        <v>2</v>
      </c>
      <c r="C1031" s="27">
        <v>6</v>
      </c>
      <c r="D1031" s="27">
        <v>2020</v>
      </c>
      <c r="E1031" s="27">
        <v>2050</v>
      </c>
      <c r="F1031" s="27">
        <v>3</v>
      </c>
      <c r="G1031" s="27">
        <v>37</v>
      </c>
      <c r="H1031" s="27">
        <v>0</v>
      </c>
      <c r="I1031" s="27">
        <v>0</v>
      </c>
      <c r="J1031" s="27">
        <v>0</v>
      </c>
      <c r="K1031" s="27">
        <v>4.6900000000000004</v>
      </c>
      <c r="L1031" s="27">
        <v>3700</v>
      </c>
      <c r="M1031" s="27">
        <v>3220</v>
      </c>
      <c r="N1031" s="27">
        <v>0</v>
      </c>
      <c r="O1031" s="27">
        <v>0</v>
      </c>
      <c r="P1031" s="27" t="s">
        <v>13</v>
      </c>
      <c r="Q1031" s="27">
        <v>1993</v>
      </c>
      <c r="R1031" s="27">
        <v>1</v>
      </c>
      <c r="S1031" s="27">
        <v>0</v>
      </c>
      <c r="T1031" s="27">
        <v>-3.0000000000000001E-3</v>
      </c>
      <c r="U1031" s="27">
        <v>-1.2E-2</v>
      </c>
      <c r="V1031" s="27">
        <v>0</v>
      </c>
      <c r="W1031" s="27">
        <v>0</v>
      </c>
      <c r="X1031" s="27" t="s">
        <v>47</v>
      </c>
    </row>
    <row r="1032" spans="1:24">
      <c r="A1032" s="27">
        <v>2</v>
      </c>
      <c r="B1032" s="27">
        <v>2</v>
      </c>
      <c r="C1032" s="27">
        <v>6</v>
      </c>
      <c r="D1032" s="27">
        <v>2020</v>
      </c>
      <c r="E1032" s="27">
        <v>2050</v>
      </c>
      <c r="F1032" s="27">
        <v>4</v>
      </c>
      <c r="G1032" s="27">
        <v>37</v>
      </c>
      <c r="H1032" s="27">
        <v>0</v>
      </c>
      <c r="I1032" s="27">
        <v>0</v>
      </c>
      <c r="J1032" s="27">
        <v>0</v>
      </c>
      <c r="K1032" s="27">
        <v>4.6900000000000004</v>
      </c>
      <c r="L1032" s="27">
        <v>3700</v>
      </c>
      <c r="M1032" s="27">
        <v>3220</v>
      </c>
      <c r="N1032" s="27">
        <v>0</v>
      </c>
      <c r="O1032" s="27">
        <v>0</v>
      </c>
      <c r="P1032" s="27" t="s">
        <v>13</v>
      </c>
      <c r="Q1032" s="27">
        <v>1993</v>
      </c>
      <c r="R1032" s="27">
        <v>1</v>
      </c>
      <c r="S1032" s="27">
        <v>0</v>
      </c>
      <c r="T1032" s="27">
        <v>-3.0000000000000001E-3</v>
      </c>
      <c r="U1032" s="27">
        <v>-1.2E-2</v>
      </c>
      <c r="V1032" s="27">
        <v>0</v>
      </c>
      <c r="W1032" s="27">
        <v>0</v>
      </c>
      <c r="X1032" s="27" t="s">
        <v>47</v>
      </c>
    </row>
    <row r="1033" spans="1:24">
      <c r="A1033" s="27">
        <v>2</v>
      </c>
      <c r="B1033" s="27">
        <v>2</v>
      </c>
      <c r="C1033" s="27">
        <v>6</v>
      </c>
      <c r="D1033" s="27">
        <v>2020</v>
      </c>
      <c r="E1033" s="27">
        <v>2050</v>
      </c>
      <c r="F1033" s="27">
        <v>5</v>
      </c>
      <c r="G1033" s="27">
        <v>37</v>
      </c>
      <c r="H1033" s="27">
        <v>0</v>
      </c>
      <c r="I1033" s="27">
        <v>0</v>
      </c>
      <c r="J1033" s="27">
        <v>0</v>
      </c>
      <c r="K1033" s="27">
        <v>4.6900000000000004</v>
      </c>
      <c r="L1033" s="27">
        <v>3700</v>
      </c>
      <c r="M1033" s="27">
        <v>3220</v>
      </c>
      <c r="N1033" s="27">
        <v>0</v>
      </c>
      <c r="O1033" s="27">
        <v>0</v>
      </c>
      <c r="P1033" s="27" t="s">
        <v>13</v>
      </c>
      <c r="Q1033" s="27">
        <v>1993</v>
      </c>
      <c r="R1033" s="27">
        <v>1</v>
      </c>
      <c r="S1033" s="27">
        <v>0</v>
      </c>
      <c r="T1033" s="27">
        <v>-3.0000000000000001E-3</v>
      </c>
      <c r="U1033" s="27">
        <v>-1.2E-2</v>
      </c>
      <c r="V1033" s="27">
        <v>0</v>
      </c>
      <c r="W1033" s="27">
        <v>0</v>
      </c>
      <c r="X1033" s="27" t="s">
        <v>47</v>
      </c>
    </row>
    <row r="1034" spans="1:24">
      <c r="A1034" s="27">
        <v>2</v>
      </c>
      <c r="B1034" s="27">
        <v>2</v>
      </c>
      <c r="C1034" s="27">
        <v>6</v>
      </c>
      <c r="D1034" s="27">
        <v>2020</v>
      </c>
      <c r="E1034" s="27">
        <v>2050</v>
      </c>
      <c r="F1034" s="27">
        <v>6</v>
      </c>
      <c r="G1034" s="27">
        <v>37</v>
      </c>
      <c r="H1034" s="27">
        <v>0</v>
      </c>
      <c r="I1034" s="27">
        <v>0</v>
      </c>
      <c r="J1034" s="27">
        <v>0</v>
      </c>
      <c r="K1034" s="27">
        <v>4.6900000000000004</v>
      </c>
      <c r="L1034" s="27">
        <v>3700</v>
      </c>
      <c r="M1034" s="27">
        <v>3220</v>
      </c>
      <c r="N1034" s="27">
        <v>0</v>
      </c>
      <c r="O1034" s="27">
        <v>0</v>
      </c>
      <c r="P1034" s="27" t="s">
        <v>13</v>
      </c>
      <c r="Q1034" s="27">
        <v>1993</v>
      </c>
      <c r="R1034" s="27">
        <v>1</v>
      </c>
      <c r="S1034" s="27">
        <v>0</v>
      </c>
      <c r="T1034" s="27">
        <v>-3.0000000000000001E-3</v>
      </c>
      <c r="U1034" s="27">
        <v>-1.2E-2</v>
      </c>
      <c r="V1034" s="27">
        <v>0</v>
      </c>
      <c r="W1034" s="27">
        <v>0</v>
      </c>
      <c r="X1034" s="27" t="s">
        <v>47</v>
      </c>
    </row>
    <row r="1035" spans="1:24">
      <c r="A1035" s="27">
        <v>2</v>
      </c>
      <c r="B1035" s="27">
        <v>2</v>
      </c>
      <c r="C1035" s="27">
        <v>6</v>
      </c>
      <c r="D1035" s="27">
        <v>2020</v>
      </c>
      <c r="E1035" s="27">
        <v>2050</v>
      </c>
      <c r="F1035" s="27">
        <v>7</v>
      </c>
      <c r="G1035" s="27">
        <v>37</v>
      </c>
      <c r="H1035" s="27">
        <v>0</v>
      </c>
      <c r="I1035" s="27">
        <v>0</v>
      </c>
      <c r="J1035" s="27">
        <v>0</v>
      </c>
      <c r="K1035" s="27">
        <v>4.6900000000000004</v>
      </c>
      <c r="L1035" s="27">
        <v>3700</v>
      </c>
      <c r="M1035" s="27">
        <v>3220</v>
      </c>
      <c r="N1035" s="27">
        <v>0</v>
      </c>
      <c r="O1035" s="27">
        <v>0</v>
      </c>
      <c r="P1035" s="27" t="s">
        <v>13</v>
      </c>
      <c r="Q1035" s="27">
        <v>1993</v>
      </c>
      <c r="R1035" s="27">
        <v>1</v>
      </c>
      <c r="S1035" s="27">
        <v>0</v>
      </c>
      <c r="T1035" s="27">
        <v>-3.0000000000000001E-3</v>
      </c>
      <c r="U1035" s="27">
        <v>-1.2E-2</v>
      </c>
      <c r="V1035" s="27">
        <v>0</v>
      </c>
      <c r="W1035" s="27">
        <v>0</v>
      </c>
      <c r="X1035" s="27" t="s">
        <v>47</v>
      </c>
    </row>
    <row r="1036" spans="1:24">
      <c r="A1036" s="27">
        <v>2</v>
      </c>
      <c r="B1036" s="27">
        <v>2</v>
      </c>
      <c r="C1036" s="27">
        <v>6</v>
      </c>
      <c r="D1036" s="27">
        <v>2020</v>
      </c>
      <c r="E1036" s="27">
        <v>2050</v>
      </c>
      <c r="F1036" s="27">
        <v>8</v>
      </c>
      <c r="G1036" s="27">
        <v>37</v>
      </c>
      <c r="H1036" s="27">
        <v>0</v>
      </c>
      <c r="I1036" s="27">
        <v>0</v>
      </c>
      <c r="J1036" s="27">
        <v>0</v>
      </c>
      <c r="K1036" s="27">
        <v>4.6900000000000004</v>
      </c>
      <c r="L1036" s="27">
        <v>3700</v>
      </c>
      <c r="M1036" s="27">
        <v>3220</v>
      </c>
      <c r="N1036" s="27">
        <v>0</v>
      </c>
      <c r="O1036" s="27">
        <v>0</v>
      </c>
      <c r="P1036" s="27" t="s">
        <v>13</v>
      </c>
      <c r="Q1036" s="27">
        <v>1993</v>
      </c>
      <c r="R1036" s="27">
        <v>1</v>
      </c>
      <c r="S1036" s="27">
        <v>0</v>
      </c>
      <c r="T1036" s="27">
        <v>-3.0000000000000001E-3</v>
      </c>
      <c r="U1036" s="27">
        <v>-1.2E-2</v>
      </c>
      <c r="V1036" s="27">
        <v>0</v>
      </c>
      <c r="W1036" s="27">
        <v>0</v>
      </c>
      <c r="X1036" s="27" t="s">
        <v>47</v>
      </c>
    </row>
    <row r="1037" spans="1:24">
      <c r="A1037" s="27">
        <v>2</v>
      </c>
      <c r="B1037" s="27">
        <v>2</v>
      </c>
      <c r="C1037" s="27">
        <v>6</v>
      </c>
      <c r="D1037" s="27">
        <v>2020</v>
      </c>
      <c r="E1037" s="27">
        <v>2050</v>
      </c>
      <c r="F1037" s="27">
        <v>9</v>
      </c>
      <c r="G1037" s="27">
        <v>37</v>
      </c>
      <c r="H1037" s="27">
        <v>0</v>
      </c>
      <c r="I1037" s="27">
        <v>0</v>
      </c>
      <c r="J1037" s="27">
        <v>0</v>
      </c>
      <c r="K1037" s="27">
        <v>4.6900000000000004</v>
      </c>
      <c r="L1037" s="27">
        <v>3700</v>
      </c>
      <c r="M1037" s="27">
        <v>3220</v>
      </c>
      <c r="N1037" s="27">
        <v>0</v>
      </c>
      <c r="O1037" s="27">
        <v>0</v>
      </c>
      <c r="P1037" s="27" t="s">
        <v>13</v>
      </c>
      <c r="Q1037" s="27">
        <v>1993</v>
      </c>
      <c r="R1037" s="27">
        <v>1</v>
      </c>
      <c r="S1037" s="27">
        <v>0</v>
      </c>
      <c r="T1037" s="27">
        <v>-3.0000000000000001E-3</v>
      </c>
      <c r="U1037" s="27">
        <v>-1.2E-2</v>
      </c>
      <c r="V1037" s="27">
        <v>0</v>
      </c>
      <c r="W1037" s="27">
        <v>0</v>
      </c>
      <c r="X1037" s="27" t="s">
        <v>47</v>
      </c>
    </row>
    <row r="1038" spans="1:24">
      <c r="A1038" s="27">
        <v>2</v>
      </c>
      <c r="B1038" s="27">
        <v>2</v>
      </c>
      <c r="C1038" s="27">
        <v>7</v>
      </c>
      <c r="D1038" s="27">
        <v>2010</v>
      </c>
      <c r="E1038" s="27">
        <v>2010</v>
      </c>
      <c r="F1038" s="27">
        <v>1</v>
      </c>
      <c r="G1038" s="27">
        <v>38</v>
      </c>
      <c r="H1038" s="27">
        <v>0</v>
      </c>
      <c r="I1038" s="27">
        <v>0</v>
      </c>
      <c r="J1038" s="27">
        <v>0</v>
      </c>
      <c r="K1038" s="27">
        <v>6.15</v>
      </c>
      <c r="L1038" s="27">
        <v>4500</v>
      </c>
      <c r="M1038" s="27">
        <v>4300</v>
      </c>
      <c r="N1038" s="27">
        <v>0</v>
      </c>
      <c r="O1038" s="27">
        <v>0</v>
      </c>
      <c r="P1038" s="27" t="s">
        <v>13</v>
      </c>
      <c r="Q1038" s="27">
        <v>1993</v>
      </c>
      <c r="R1038" s="27">
        <v>1</v>
      </c>
      <c r="S1038" s="27">
        <v>0</v>
      </c>
      <c r="T1038" s="27">
        <v>-3.0000000000000001E-3</v>
      </c>
      <c r="U1038" s="27">
        <v>-1.2E-2</v>
      </c>
      <c r="V1038" s="27">
        <v>0</v>
      </c>
      <c r="W1038" s="27">
        <v>0</v>
      </c>
      <c r="X1038" s="27" t="s">
        <v>48</v>
      </c>
    </row>
    <row r="1039" spans="1:24">
      <c r="A1039" s="27">
        <v>2</v>
      </c>
      <c r="B1039" s="27">
        <v>2</v>
      </c>
      <c r="C1039" s="27">
        <v>7</v>
      </c>
      <c r="D1039" s="27">
        <v>2010</v>
      </c>
      <c r="E1039" s="27">
        <v>2010</v>
      </c>
      <c r="F1039" s="27">
        <v>2</v>
      </c>
      <c r="G1039" s="27">
        <v>38</v>
      </c>
      <c r="H1039" s="27">
        <v>0</v>
      </c>
      <c r="I1039" s="27">
        <v>0</v>
      </c>
      <c r="J1039" s="27">
        <v>0</v>
      </c>
      <c r="K1039" s="27">
        <v>6.15</v>
      </c>
      <c r="L1039" s="27">
        <v>4500</v>
      </c>
      <c r="M1039" s="27">
        <v>4300</v>
      </c>
      <c r="N1039" s="27">
        <v>0</v>
      </c>
      <c r="O1039" s="27">
        <v>0</v>
      </c>
      <c r="P1039" s="27" t="s">
        <v>13</v>
      </c>
      <c r="Q1039" s="27">
        <v>1993</v>
      </c>
      <c r="R1039" s="27">
        <v>1</v>
      </c>
      <c r="S1039" s="27">
        <v>0</v>
      </c>
      <c r="T1039" s="27">
        <v>-3.0000000000000001E-3</v>
      </c>
      <c r="U1039" s="27">
        <v>-1.2E-2</v>
      </c>
      <c r="V1039" s="27">
        <v>0</v>
      </c>
      <c r="W1039" s="27">
        <v>0</v>
      </c>
      <c r="X1039" s="27" t="s">
        <v>48</v>
      </c>
    </row>
    <row r="1040" spans="1:24">
      <c r="A1040" s="27">
        <v>2</v>
      </c>
      <c r="B1040" s="27">
        <v>2</v>
      </c>
      <c r="C1040" s="27">
        <v>7</v>
      </c>
      <c r="D1040" s="27">
        <v>2010</v>
      </c>
      <c r="E1040" s="27">
        <v>2010</v>
      </c>
      <c r="F1040" s="27">
        <v>3</v>
      </c>
      <c r="G1040" s="27">
        <v>38</v>
      </c>
      <c r="H1040" s="27">
        <v>0</v>
      </c>
      <c r="I1040" s="27">
        <v>0</v>
      </c>
      <c r="J1040" s="27">
        <v>0</v>
      </c>
      <c r="K1040" s="27">
        <v>6.15</v>
      </c>
      <c r="L1040" s="27">
        <v>4500</v>
      </c>
      <c r="M1040" s="27">
        <v>4300</v>
      </c>
      <c r="N1040" s="27">
        <v>0</v>
      </c>
      <c r="O1040" s="27">
        <v>0</v>
      </c>
      <c r="P1040" s="27" t="s">
        <v>13</v>
      </c>
      <c r="Q1040" s="27">
        <v>1993</v>
      </c>
      <c r="R1040" s="27">
        <v>1</v>
      </c>
      <c r="S1040" s="27">
        <v>0</v>
      </c>
      <c r="T1040" s="27">
        <v>-3.0000000000000001E-3</v>
      </c>
      <c r="U1040" s="27">
        <v>-1.2E-2</v>
      </c>
      <c r="V1040" s="27">
        <v>0</v>
      </c>
      <c r="W1040" s="27">
        <v>0</v>
      </c>
      <c r="X1040" s="27" t="s">
        <v>48</v>
      </c>
    </row>
    <row r="1041" spans="1:24">
      <c r="A1041" s="27">
        <v>2</v>
      </c>
      <c r="B1041" s="27">
        <v>2</v>
      </c>
      <c r="C1041" s="27">
        <v>7</v>
      </c>
      <c r="D1041" s="27">
        <v>2010</v>
      </c>
      <c r="E1041" s="27">
        <v>2010</v>
      </c>
      <c r="F1041" s="27">
        <v>4</v>
      </c>
      <c r="G1041" s="27">
        <v>38</v>
      </c>
      <c r="H1041" s="27">
        <v>0</v>
      </c>
      <c r="I1041" s="27">
        <v>0</v>
      </c>
      <c r="J1041" s="27">
        <v>0</v>
      </c>
      <c r="K1041" s="27">
        <v>6.15</v>
      </c>
      <c r="L1041" s="27">
        <v>4500</v>
      </c>
      <c r="M1041" s="27">
        <v>4300</v>
      </c>
      <c r="N1041" s="27">
        <v>0</v>
      </c>
      <c r="O1041" s="27">
        <v>0</v>
      </c>
      <c r="P1041" s="27" t="s">
        <v>13</v>
      </c>
      <c r="Q1041" s="27">
        <v>1993</v>
      </c>
      <c r="R1041" s="27">
        <v>1</v>
      </c>
      <c r="S1041" s="27">
        <v>0</v>
      </c>
      <c r="T1041" s="27">
        <v>-3.0000000000000001E-3</v>
      </c>
      <c r="U1041" s="27">
        <v>-1.2E-2</v>
      </c>
      <c r="V1041" s="27">
        <v>0</v>
      </c>
      <c r="W1041" s="27">
        <v>0</v>
      </c>
      <c r="X1041" s="27" t="s">
        <v>48</v>
      </c>
    </row>
    <row r="1042" spans="1:24">
      <c r="A1042" s="27">
        <v>2</v>
      </c>
      <c r="B1042" s="27">
        <v>2</v>
      </c>
      <c r="C1042" s="27">
        <v>7</v>
      </c>
      <c r="D1042" s="27">
        <v>2010</v>
      </c>
      <c r="E1042" s="27">
        <v>2010</v>
      </c>
      <c r="F1042" s="27">
        <v>5</v>
      </c>
      <c r="G1042" s="27">
        <v>38</v>
      </c>
      <c r="H1042" s="27">
        <v>0</v>
      </c>
      <c r="I1042" s="27">
        <v>0</v>
      </c>
      <c r="J1042" s="27">
        <v>0</v>
      </c>
      <c r="K1042" s="27">
        <v>6.15</v>
      </c>
      <c r="L1042" s="27">
        <v>4500</v>
      </c>
      <c r="M1042" s="27">
        <v>4300</v>
      </c>
      <c r="N1042" s="27">
        <v>0</v>
      </c>
      <c r="O1042" s="27">
        <v>0</v>
      </c>
      <c r="P1042" s="27" t="s">
        <v>13</v>
      </c>
      <c r="Q1042" s="27">
        <v>1993</v>
      </c>
      <c r="R1042" s="27">
        <v>1</v>
      </c>
      <c r="S1042" s="27">
        <v>0</v>
      </c>
      <c r="T1042" s="27">
        <v>-3.0000000000000001E-3</v>
      </c>
      <c r="U1042" s="27">
        <v>-1.2E-2</v>
      </c>
      <c r="V1042" s="27">
        <v>0</v>
      </c>
      <c r="W1042" s="27">
        <v>0</v>
      </c>
      <c r="X1042" s="27" t="s">
        <v>48</v>
      </c>
    </row>
    <row r="1043" spans="1:24">
      <c r="A1043" s="27">
        <v>2</v>
      </c>
      <c r="B1043" s="27">
        <v>2</v>
      </c>
      <c r="C1043" s="27">
        <v>7</v>
      </c>
      <c r="D1043" s="27">
        <v>2010</v>
      </c>
      <c r="E1043" s="27">
        <v>2010</v>
      </c>
      <c r="F1043" s="27">
        <v>6</v>
      </c>
      <c r="G1043" s="27">
        <v>38</v>
      </c>
      <c r="H1043" s="27">
        <v>0</v>
      </c>
      <c r="I1043" s="27">
        <v>0</v>
      </c>
      <c r="J1043" s="27">
        <v>0</v>
      </c>
      <c r="K1043" s="27">
        <v>6.15</v>
      </c>
      <c r="L1043" s="27">
        <v>4500</v>
      </c>
      <c r="M1043" s="27">
        <v>4300</v>
      </c>
      <c r="N1043" s="27">
        <v>0</v>
      </c>
      <c r="O1043" s="27">
        <v>0</v>
      </c>
      <c r="P1043" s="27" t="s">
        <v>13</v>
      </c>
      <c r="Q1043" s="27">
        <v>1993</v>
      </c>
      <c r="R1043" s="27">
        <v>1</v>
      </c>
      <c r="S1043" s="27">
        <v>0</v>
      </c>
      <c r="T1043" s="27">
        <v>-3.0000000000000001E-3</v>
      </c>
      <c r="U1043" s="27">
        <v>-1.2E-2</v>
      </c>
      <c r="V1043" s="27">
        <v>0</v>
      </c>
      <c r="W1043" s="27">
        <v>0</v>
      </c>
      <c r="X1043" s="27" t="s">
        <v>48</v>
      </c>
    </row>
    <row r="1044" spans="1:24">
      <c r="A1044" s="27">
        <v>2</v>
      </c>
      <c r="B1044" s="27">
        <v>2</v>
      </c>
      <c r="C1044" s="27">
        <v>7</v>
      </c>
      <c r="D1044" s="27">
        <v>2010</v>
      </c>
      <c r="E1044" s="27">
        <v>2010</v>
      </c>
      <c r="F1044" s="27">
        <v>7</v>
      </c>
      <c r="G1044" s="27">
        <v>38</v>
      </c>
      <c r="H1044" s="27">
        <v>0</v>
      </c>
      <c r="I1044" s="27">
        <v>0</v>
      </c>
      <c r="J1044" s="27">
        <v>0</v>
      </c>
      <c r="K1044" s="27">
        <v>6.15</v>
      </c>
      <c r="L1044" s="27">
        <v>4500</v>
      </c>
      <c r="M1044" s="27">
        <v>4300</v>
      </c>
      <c r="N1044" s="27">
        <v>0</v>
      </c>
      <c r="O1044" s="27">
        <v>0</v>
      </c>
      <c r="P1044" s="27" t="s">
        <v>13</v>
      </c>
      <c r="Q1044" s="27">
        <v>1993</v>
      </c>
      <c r="R1044" s="27">
        <v>1</v>
      </c>
      <c r="S1044" s="27">
        <v>0</v>
      </c>
      <c r="T1044" s="27">
        <v>-3.0000000000000001E-3</v>
      </c>
      <c r="U1044" s="27">
        <v>-1.2E-2</v>
      </c>
      <c r="V1044" s="27">
        <v>0</v>
      </c>
      <c r="W1044" s="27">
        <v>0</v>
      </c>
      <c r="X1044" s="27" t="s">
        <v>48</v>
      </c>
    </row>
    <row r="1045" spans="1:24">
      <c r="A1045" s="27">
        <v>2</v>
      </c>
      <c r="B1045" s="27">
        <v>2</v>
      </c>
      <c r="C1045" s="27">
        <v>7</v>
      </c>
      <c r="D1045" s="27">
        <v>2010</v>
      </c>
      <c r="E1045" s="27">
        <v>2010</v>
      </c>
      <c r="F1045" s="27">
        <v>8</v>
      </c>
      <c r="G1045" s="27">
        <v>38</v>
      </c>
      <c r="H1045" s="27">
        <v>0</v>
      </c>
      <c r="I1045" s="27">
        <v>0</v>
      </c>
      <c r="J1045" s="27">
        <v>0</v>
      </c>
      <c r="K1045" s="27">
        <v>6.15</v>
      </c>
      <c r="L1045" s="27">
        <v>4500</v>
      </c>
      <c r="M1045" s="27">
        <v>4300</v>
      </c>
      <c r="N1045" s="27">
        <v>0</v>
      </c>
      <c r="O1045" s="27">
        <v>0</v>
      </c>
      <c r="P1045" s="27" t="s">
        <v>13</v>
      </c>
      <c r="Q1045" s="27">
        <v>1993</v>
      </c>
      <c r="R1045" s="27">
        <v>1</v>
      </c>
      <c r="S1045" s="27">
        <v>0</v>
      </c>
      <c r="T1045" s="27">
        <v>-3.0000000000000001E-3</v>
      </c>
      <c r="U1045" s="27">
        <v>-1.2E-2</v>
      </c>
      <c r="V1045" s="27">
        <v>0</v>
      </c>
      <c r="W1045" s="27">
        <v>0</v>
      </c>
      <c r="X1045" s="27" t="s">
        <v>48</v>
      </c>
    </row>
    <row r="1046" spans="1:24">
      <c r="A1046" s="27">
        <v>2</v>
      </c>
      <c r="B1046" s="27">
        <v>2</v>
      </c>
      <c r="C1046" s="27">
        <v>7</v>
      </c>
      <c r="D1046" s="27">
        <v>2010</v>
      </c>
      <c r="E1046" s="27">
        <v>2010</v>
      </c>
      <c r="F1046" s="27">
        <v>9</v>
      </c>
      <c r="G1046" s="27">
        <v>38</v>
      </c>
      <c r="H1046" s="27">
        <v>0</v>
      </c>
      <c r="I1046" s="27">
        <v>0</v>
      </c>
      <c r="J1046" s="27">
        <v>0</v>
      </c>
      <c r="K1046" s="27">
        <v>6.15</v>
      </c>
      <c r="L1046" s="27">
        <v>4500</v>
      </c>
      <c r="M1046" s="27">
        <v>4300</v>
      </c>
      <c r="N1046" s="27">
        <v>0</v>
      </c>
      <c r="O1046" s="27">
        <v>0</v>
      </c>
      <c r="P1046" s="27" t="s">
        <v>13</v>
      </c>
      <c r="Q1046" s="27">
        <v>1993</v>
      </c>
      <c r="R1046" s="27">
        <v>1</v>
      </c>
      <c r="S1046" s="27">
        <v>0</v>
      </c>
      <c r="T1046" s="27">
        <v>-3.0000000000000001E-3</v>
      </c>
      <c r="U1046" s="27">
        <v>-1.2E-2</v>
      </c>
      <c r="V1046" s="27">
        <v>0</v>
      </c>
      <c r="W1046" s="27">
        <v>0</v>
      </c>
      <c r="X1046" s="27" t="s">
        <v>48</v>
      </c>
    </row>
    <row r="1047" spans="1:24">
      <c r="A1047" s="27">
        <v>2</v>
      </c>
      <c r="B1047" s="27">
        <v>2</v>
      </c>
      <c r="C1047" s="27">
        <v>7</v>
      </c>
      <c r="D1047" s="27">
        <v>2011</v>
      </c>
      <c r="E1047" s="27">
        <v>2011</v>
      </c>
      <c r="F1047" s="27">
        <v>1</v>
      </c>
      <c r="G1047" s="27">
        <v>38</v>
      </c>
      <c r="H1047" s="27">
        <v>0</v>
      </c>
      <c r="I1047" s="27">
        <v>0</v>
      </c>
      <c r="J1047" s="27">
        <v>0</v>
      </c>
      <c r="K1047" s="27">
        <v>7.03</v>
      </c>
      <c r="L1047" s="27">
        <v>6000</v>
      </c>
      <c r="M1047" s="27">
        <v>5200</v>
      </c>
      <c r="N1047" s="27">
        <v>300</v>
      </c>
      <c r="O1047" s="27">
        <v>180</v>
      </c>
      <c r="P1047" s="27" t="s">
        <v>13</v>
      </c>
      <c r="Q1047" s="27">
        <v>1993</v>
      </c>
      <c r="R1047" s="27">
        <v>1</v>
      </c>
      <c r="S1047" s="27">
        <v>0</v>
      </c>
      <c r="T1047" s="27">
        <v>-3.0000000000000001E-3</v>
      </c>
      <c r="U1047" s="27">
        <v>-1.2E-2</v>
      </c>
      <c r="V1047" s="27">
        <v>0</v>
      </c>
      <c r="W1047" s="27">
        <v>0</v>
      </c>
      <c r="X1047" s="27" t="s">
        <v>48</v>
      </c>
    </row>
    <row r="1048" spans="1:24">
      <c r="A1048" s="27">
        <v>2</v>
      </c>
      <c r="B1048" s="27">
        <v>2</v>
      </c>
      <c r="C1048" s="27">
        <v>7</v>
      </c>
      <c r="D1048" s="27">
        <v>2011</v>
      </c>
      <c r="E1048" s="27">
        <v>2011</v>
      </c>
      <c r="F1048" s="27">
        <v>2</v>
      </c>
      <c r="G1048" s="27">
        <v>38</v>
      </c>
      <c r="H1048" s="27">
        <v>0</v>
      </c>
      <c r="I1048" s="27">
        <v>0</v>
      </c>
      <c r="J1048" s="27">
        <v>0</v>
      </c>
      <c r="K1048" s="27">
        <v>7.03</v>
      </c>
      <c r="L1048" s="27">
        <v>6000</v>
      </c>
      <c r="M1048" s="27">
        <v>5200</v>
      </c>
      <c r="N1048" s="27">
        <v>300</v>
      </c>
      <c r="O1048" s="27">
        <v>180</v>
      </c>
      <c r="P1048" s="27" t="s">
        <v>13</v>
      </c>
      <c r="Q1048" s="27">
        <v>1993</v>
      </c>
      <c r="R1048" s="27">
        <v>1</v>
      </c>
      <c r="S1048" s="27">
        <v>0</v>
      </c>
      <c r="T1048" s="27">
        <v>-3.0000000000000001E-3</v>
      </c>
      <c r="U1048" s="27">
        <v>-1.2E-2</v>
      </c>
      <c r="V1048" s="27">
        <v>0</v>
      </c>
      <c r="W1048" s="27">
        <v>0</v>
      </c>
      <c r="X1048" s="27" t="s">
        <v>48</v>
      </c>
    </row>
    <row r="1049" spans="1:24">
      <c r="A1049" s="27">
        <v>2</v>
      </c>
      <c r="B1049" s="27">
        <v>2</v>
      </c>
      <c r="C1049" s="27">
        <v>7</v>
      </c>
      <c r="D1049" s="27">
        <v>2011</v>
      </c>
      <c r="E1049" s="27">
        <v>2011</v>
      </c>
      <c r="F1049" s="27">
        <v>3</v>
      </c>
      <c r="G1049" s="27">
        <v>38</v>
      </c>
      <c r="H1049" s="27">
        <v>0</v>
      </c>
      <c r="I1049" s="27">
        <v>0</v>
      </c>
      <c r="J1049" s="27">
        <v>0</v>
      </c>
      <c r="K1049" s="27">
        <v>7.03</v>
      </c>
      <c r="L1049" s="27">
        <v>6000</v>
      </c>
      <c r="M1049" s="27">
        <v>5200</v>
      </c>
      <c r="N1049" s="27">
        <v>300</v>
      </c>
      <c r="O1049" s="27">
        <v>180</v>
      </c>
      <c r="P1049" s="27" t="s">
        <v>13</v>
      </c>
      <c r="Q1049" s="27">
        <v>1993</v>
      </c>
      <c r="R1049" s="27">
        <v>1</v>
      </c>
      <c r="S1049" s="27">
        <v>0</v>
      </c>
      <c r="T1049" s="27">
        <v>-3.0000000000000001E-3</v>
      </c>
      <c r="U1049" s="27">
        <v>-1.2E-2</v>
      </c>
      <c r="V1049" s="27">
        <v>0</v>
      </c>
      <c r="W1049" s="27">
        <v>0</v>
      </c>
      <c r="X1049" s="27" t="s">
        <v>48</v>
      </c>
    </row>
    <row r="1050" spans="1:24">
      <c r="A1050" s="27">
        <v>2</v>
      </c>
      <c r="B1050" s="27">
        <v>2</v>
      </c>
      <c r="C1050" s="27">
        <v>7</v>
      </c>
      <c r="D1050" s="27">
        <v>2011</v>
      </c>
      <c r="E1050" s="27">
        <v>2011</v>
      </c>
      <c r="F1050" s="27">
        <v>4</v>
      </c>
      <c r="G1050" s="27">
        <v>38</v>
      </c>
      <c r="H1050" s="27">
        <v>0</v>
      </c>
      <c r="I1050" s="27">
        <v>0</v>
      </c>
      <c r="J1050" s="27">
        <v>0</v>
      </c>
      <c r="K1050" s="27">
        <v>7.03</v>
      </c>
      <c r="L1050" s="27">
        <v>6000</v>
      </c>
      <c r="M1050" s="27">
        <v>5200</v>
      </c>
      <c r="N1050" s="27">
        <v>300</v>
      </c>
      <c r="O1050" s="27">
        <v>180</v>
      </c>
      <c r="P1050" s="27" t="s">
        <v>13</v>
      </c>
      <c r="Q1050" s="27">
        <v>1993</v>
      </c>
      <c r="R1050" s="27">
        <v>1</v>
      </c>
      <c r="S1050" s="27">
        <v>0</v>
      </c>
      <c r="T1050" s="27">
        <v>-3.0000000000000001E-3</v>
      </c>
      <c r="U1050" s="27">
        <v>-1.2E-2</v>
      </c>
      <c r="V1050" s="27">
        <v>0</v>
      </c>
      <c r="W1050" s="27">
        <v>0</v>
      </c>
      <c r="X1050" s="27" t="s">
        <v>48</v>
      </c>
    </row>
    <row r="1051" spans="1:24">
      <c r="A1051" s="27">
        <v>2</v>
      </c>
      <c r="B1051" s="27">
        <v>2</v>
      </c>
      <c r="C1051" s="27">
        <v>7</v>
      </c>
      <c r="D1051" s="27">
        <v>2011</v>
      </c>
      <c r="E1051" s="27">
        <v>2011</v>
      </c>
      <c r="F1051" s="27">
        <v>5</v>
      </c>
      <c r="G1051" s="27">
        <v>38</v>
      </c>
      <c r="H1051" s="27">
        <v>0</v>
      </c>
      <c r="I1051" s="27">
        <v>0</v>
      </c>
      <c r="J1051" s="27">
        <v>0</v>
      </c>
      <c r="K1051" s="27">
        <v>7.03</v>
      </c>
      <c r="L1051" s="27">
        <v>6000</v>
      </c>
      <c r="M1051" s="27">
        <v>5200</v>
      </c>
      <c r="N1051" s="27">
        <v>300</v>
      </c>
      <c r="O1051" s="27">
        <v>180</v>
      </c>
      <c r="P1051" s="27" t="s">
        <v>13</v>
      </c>
      <c r="Q1051" s="27">
        <v>1993</v>
      </c>
      <c r="R1051" s="27">
        <v>1</v>
      </c>
      <c r="S1051" s="27">
        <v>0</v>
      </c>
      <c r="T1051" s="27">
        <v>-3.0000000000000001E-3</v>
      </c>
      <c r="U1051" s="27">
        <v>-1.2E-2</v>
      </c>
      <c r="V1051" s="27">
        <v>0</v>
      </c>
      <c r="W1051" s="27">
        <v>0</v>
      </c>
      <c r="X1051" s="27" t="s">
        <v>48</v>
      </c>
    </row>
    <row r="1052" spans="1:24">
      <c r="A1052" s="27">
        <v>2</v>
      </c>
      <c r="B1052" s="27">
        <v>2</v>
      </c>
      <c r="C1052" s="27">
        <v>7</v>
      </c>
      <c r="D1052" s="27">
        <v>2011</v>
      </c>
      <c r="E1052" s="27">
        <v>2011</v>
      </c>
      <c r="F1052" s="27">
        <v>6</v>
      </c>
      <c r="G1052" s="27">
        <v>38</v>
      </c>
      <c r="H1052" s="27">
        <v>0</v>
      </c>
      <c r="I1052" s="27">
        <v>0</v>
      </c>
      <c r="J1052" s="27">
        <v>0</v>
      </c>
      <c r="K1052" s="27">
        <v>7.03</v>
      </c>
      <c r="L1052" s="27">
        <v>6000</v>
      </c>
      <c r="M1052" s="27">
        <v>5200</v>
      </c>
      <c r="N1052" s="27">
        <v>300</v>
      </c>
      <c r="O1052" s="27">
        <v>180</v>
      </c>
      <c r="P1052" s="27" t="s">
        <v>13</v>
      </c>
      <c r="Q1052" s="27">
        <v>1993</v>
      </c>
      <c r="R1052" s="27">
        <v>1</v>
      </c>
      <c r="S1052" s="27">
        <v>0</v>
      </c>
      <c r="T1052" s="27">
        <v>-3.0000000000000001E-3</v>
      </c>
      <c r="U1052" s="27">
        <v>-1.2E-2</v>
      </c>
      <c r="V1052" s="27">
        <v>0</v>
      </c>
      <c r="W1052" s="27">
        <v>0</v>
      </c>
      <c r="X1052" s="27" t="s">
        <v>48</v>
      </c>
    </row>
    <row r="1053" spans="1:24">
      <c r="A1053" s="27">
        <v>2</v>
      </c>
      <c r="B1053" s="27">
        <v>2</v>
      </c>
      <c r="C1053" s="27">
        <v>7</v>
      </c>
      <c r="D1053" s="27">
        <v>2011</v>
      </c>
      <c r="E1053" s="27">
        <v>2011</v>
      </c>
      <c r="F1053" s="27">
        <v>7</v>
      </c>
      <c r="G1053" s="27">
        <v>38</v>
      </c>
      <c r="H1053" s="27">
        <v>0</v>
      </c>
      <c r="I1053" s="27">
        <v>0</v>
      </c>
      <c r="J1053" s="27">
        <v>0</v>
      </c>
      <c r="K1053" s="27">
        <v>7.03</v>
      </c>
      <c r="L1053" s="27">
        <v>6000</v>
      </c>
      <c r="M1053" s="27">
        <v>5200</v>
      </c>
      <c r="N1053" s="27">
        <v>300</v>
      </c>
      <c r="O1053" s="27">
        <v>180</v>
      </c>
      <c r="P1053" s="27" t="s">
        <v>13</v>
      </c>
      <c r="Q1053" s="27">
        <v>1993</v>
      </c>
      <c r="R1053" s="27">
        <v>1</v>
      </c>
      <c r="S1053" s="27">
        <v>0</v>
      </c>
      <c r="T1053" s="27">
        <v>-3.0000000000000001E-3</v>
      </c>
      <c r="U1053" s="27">
        <v>-1.2E-2</v>
      </c>
      <c r="V1053" s="27">
        <v>0</v>
      </c>
      <c r="W1053" s="27">
        <v>0</v>
      </c>
      <c r="X1053" s="27" t="s">
        <v>48</v>
      </c>
    </row>
    <row r="1054" spans="1:24">
      <c r="A1054" s="27">
        <v>2</v>
      </c>
      <c r="B1054" s="27">
        <v>2</v>
      </c>
      <c r="C1054" s="27">
        <v>7</v>
      </c>
      <c r="D1054" s="27">
        <v>2011</v>
      </c>
      <c r="E1054" s="27">
        <v>2011</v>
      </c>
      <c r="F1054" s="27">
        <v>8</v>
      </c>
      <c r="G1054" s="27">
        <v>38</v>
      </c>
      <c r="H1054" s="27">
        <v>0</v>
      </c>
      <c r="I1054" s="27">
        <v>0</v>
      </c>
      <c r="J1054" s="27">
        <v>0</v>
      </c>
      <c r="K1054" s="27">
        <v>7.03</v>
      </c>
      <c r="L1054" s="27">
        <v>6000</v>
      </c>
      <c r="M1054" s="27">
        <v>5200</v>
      </c>
      <c r="N1054" s="27">
        <v>300</v>
      </c>
      <c r="O1054" s="27">
        <v>180</v>
      </c>
      <c r="P1054" s="27" t="s">
        <v>13</v>
      </c>
      <c r="Q1054" s="27">
        <v>1993</v>
      </c>
      <c r="R1054" s="27">
        <v>1</v>
      </c>
      <c r="S1054" s="27">
        <v>0</v>
      </c>
      <c r="T1054" s="27">
        <v>-3.0000000000000001E-3</v>
      </c>
      <c r="U1054" s="27">
        <v>-1.2E-2</v>
      </c>
      <c r="V1054" s="27">
        <v>0</v>
      </c>
      <c r="W1054" s="27">
        <v>0</v>
      </c>
      <c r="X1054" s="27" t="s">
        <v>48</v>
      </c>
    </row>
    <row r="1055" spans="1:24">
      <c r="A1055" s="27">
        <v>2</v>
      </c>
      <c r="B1055" s="27">
        <v>2</v>
      </c>
      <c r="C1055" s="27">
        <v>7</v>
      </c>
      <c r="D1055" s="27">
        <v>2011</v>
      </c>
      <c r="E1055" s="27">
        <v>2011</v>
      </c>
      <c r="F1055" s="27">
        <v>9</v>
      </c>
      <c r="G1055" s="27">
        <v>38</v>
      </c>
      <c r="H1055" s="27">
        <v>0</v>
      </c>
      <c r="I1055" s="27">
        <v>0</v>
      </c>
      <c r="J1055" s="27">
        <v>0</v>
      </c>
      <c r="K1055" s="27">
        <v>7.03</v>
      </c>
      <c r="L1055" s="27">
        <v>6000</v>
      </c>
      <c r="M1055" s="27">
        <v>5200</v>
      </c>
      <c r="N1055" s="27">
        <v>300</v>
      </c>
      <c r="O1055" s="27">
        <v>180</v>
      </c>
      <c r="P1055" s="27" t="s">
        <v>13</v>
      </c>
      <c r="Q1055" s="27">
        <v>1993</v>
      </c>
      <c r="R1055" s="27">
        <v>1</v>
      </c>
      <c r="S1055" s="27">
        <v>0</v>
      </c>
      <c r="T1055" s="27">
        <v>-3.0000000000000001E-3</v>
      </c>
      <c r="U1055" s="27">
        <v>-1.2E-2</v>
      </c>
      <c r="V1055" s="27">
        <v>0</v>
      </c>
      <c r="W1055" s="27">
        <v>0</v>
      </c>
      <c r="X1055" s="27" t="s">
        <v>48</v>
      </c>
    </row>
    <row r="1056" spans="1:24">
      <c r="A1056" s="27">
        <v>2</v>
      </c>
      <c r="B1056" s="27">
        <v>2</v>
      </c>
      <c r="C1056" s="27">
        <v>7</v>
      </c>
      <c r="D1056" s="27">
        <v>2012</v>
      </c>
      <c r="E1056" s="27">
        <v>2012</v>
      </c>
      <c r="F1056" s="27">
        <v>1</v>
      </c>
      <c r="G1056" s="27">
        <v>38</v>
      </c>
      <c r="H1056" s="27">
        <v>0</v>
      </c>
      <c r="I1056" s="27">
        <v>0</v>
      </c>
      <c r="J1056" s="27">
        <v>0</v>
      </c>
      <c r="K1056" s="27">
        <v>7.03</v>
      </c>
      <c r="L1056" s="27">
        <v>6000</v>
      </c>
      <c r="M1056" s="27">
        <v>5200</v>
      </c>
      <c r="N1056" s="27">
        <v>0</v>
      </c>
      <c r="O1056" s="27">
        <v>0</v>
      </c>
      <c r="P1056" s="27" t="s">
        <v>13</v>
      </c>
      <c r="Q1056" s="27">
        <v>1993</v>
      </c>
      <c r="R1056" s="27">
        <v>1</v>
      </c>
      <c r="S1056" s="27">
        <v>0</v>
      </c>
      <c r="T1056" s="27">
        <v>-3.0000000000000001E-3</v>
      </c>
      <c r="U1056" s="27">
        <v>-1.2E-2</v>
      </c>
      <c r="V1056" s="27">
        <v>0</v>
      </c>
      <c r="W1056" s="27">
        <v>0</v>
      </c>
      <c r="X1056" s="27" t="s">
        <v>48</v>
      </c>
    </row>
    <row r="1057" spans="1:24">
      <c r="A1057" s="27">
        <v>2</v>
      </c>
      <c r="B1057" s="27">
        <v>2</v>
      </c>
      <c r="C1057" s="27">
        <v>7</v>
      </c>
      <c r="D1057" s="27">
        <v>2012</v>
      </c>
      <c r="E1057" s="27">
        <v>2012</v>
      </c>
      <c r="F1057" s="27">
        <v>2</v>
      </c>
      <c r="G1057" s="27">
        <v>38</v>
      </c>
      <c r="H1057" s="27">
        <v>0</v>
      </c>
      <c r="I1057" s="27">
        <v>0</v>
      </c>
      <c r="J1057" s="27">
        <v>0</v>
      </c>
      <c r="K1057" s="27">
        <v>7.03</v>
      </c>
      <c r="L1057" s="27">
        <v>6000</v>
      </c>
      <c r="M1057" s="27">
        <v>5200</v>
      </c>
      <c r="N1057" s="27">
        <v>0</v>
      </c>
      <c r="O1057" s="27">
        <v>0</v>
      </c>
      <c r="P1057" s="27" t="s">
        <v>13</v>
      </c>
      <c r="Q1057" s="27">
        <v>1993</v>
      </c>
      <c r="R1057" s="27">
        <v>1</v>
      </c>
      <c r="S1057" s="27">
        <v>0</v>
      </c>
      <c r="T1057" s="27">
        <v>-3.0000000000000001E-3</v>
      </c>
      <c r="U1057" s="27">
        <v>-1.2E-2</v>
      </c>
      <c r="V1057" s="27">
        <v>0</v>
      </c>
      <c r="W1057" s="27">
        <v>0</v>
      </c>
      <c r="X1057" s="27" t="s">
        <v>48</v>
      </c>
    </row>
    <row r="1058" spans="1:24">
      <c r="A1058" s="27">
        <v>2</v>
      </c>
      <c r="B1058" s="27">
        <v>2</v>
      </c>
      <c r="C1058" s="27">
        <v>7</v>
      </c>
      <c r="D1058" s="27">
        <v>2012</v>
      </c>
      <c r="E1058" s="27">
        <v>2012</v>
      </c>
      <c r="F1058" s="27">
        <v>3</v>
      </c>
      <c r="G1058" s="27">
        <v>38</v>
      </c>
      <c r="H1058" s="27">
        <v>0</v>
      </c>
      <c r="I1058" s="27">
        <v>0</v>
      </c>
      <c r="J1058" s="27">
        <v>0</v>
      </c>
      <c r="K1058" s="27">
        <v>7.03</v>
      </c>
      <c r="L1058" s="27">
        <v>6000</v>
      </c>
      <c r="M1058" s="27">
        <v>5200</v>
      </c>
      <c r="N1058" s="27">
        <v>0</v>
      </c>
      <c r="O1058" s="27">
        <v>0</v>
      </c>
      <c r="P1058" s="27" t="s">
        <v>13</v>
      </c>
      <c r="Q1058" s="27">
        <v>1993</v>
      </c>
      <c r="R1058" s="27">
        <v>1</v>
      </c>
      <c r="S1058" s="27">
        <v>0</v>
      </c>
      <c r="T1058" s="27">
        <v>-3.0000000000000001E-3</v>
      </c>
      <c r="U1058" s="27">
        <v>-1.2E-2</v>
      </c>
      <c r="V1058" s="27">
        <v>0</v>
      </c>
      <c r="W1058" s="27">
        <v>0</v>
      </c>
      <c r="X1058" s="27" t="s">
        <v>48</v>
      </c>
    </row>
    <row r="1059" spans="1:24">
      <c r="A1059" s="27">
        <v>2</v>
      </c>
      <c r="B1059" s="27">
        <v>2</v>
      </c>
      <c r="C1059" s="27">
        <v>7</v>
      </c>
      <c r="D1059" s="27">
        <v>2012</v>
      </c>
      <c r="E1059" s="27">
        <v>2012</v>
      </c>
      <c r="F1059" s="27">
        <v>4</v>
      </c>
      <c r="G1059" s="27">
        <v>38</v>
      </c>
      <c r="H1059" s="27">
        <v>0</v>
      </c>
      <c r="I1059" s="27">
        <v>0</v>
      </c>
      <c r="J1059" s="27">
        <v>0</v>
      </c>
      <c r="K1059" s="27">
        <v>7.03</v>
      </c>
      <c r="L1059" s="27">
        <v>6000</v>
      </c>
      <c r="M1059" s="27">
        <v>5200</v>
      </c>
      <c r="N1059" s="27">
        <v>0</v>
      </c>
      <c r="O1059" s="27">
        <v>0</v>
      </c>
      <c r="P1059" s="27" t="s">
        <v>13</v>
      </c>
      <c r="Q1059" s="27">
        <v>1993</v>
      </c>
      <c r="R1059" s="27">
        <v>1</v>
      </c>
      <c r="S1059" s="27">
        <v>0</v>
      </c>
      <c r="T1059" s="27">
        <v>-3.0000000000000001E-3</v>
      </c>
      <c r="U1059" s="27">
        <v>-1.2E-2</v>
      </c>
      <c r="V1059" s="27">
        <v>0</v>
      </c>
      <c r="W1059" s="27">
        <v>0</v>
      </c>
      <c r="X1059" s="27" t="s">
        <v>48</v>
      </c>
    </row>
    <row r="1060" spans="1:24">
      <c r="A1060" s="27">
        <v>2</v>
      </c>
      <c r="B1060" s="27">
        <v>2</v>
      </c>
      <c r="C1060" s="27">
        <v>7</v>
      </c>
      <c r="D1060" s="27">
        <v>2012</v>
      </c>
      <c r="E1060" s="27">
        <v>2012</v>
      </c>
      <c r="F1060" s="27">
        <v>5</v>
      </c>
      <c r="G1060" s="27">
        <v>38</v>
      </c>
      <c r="H1060" s="27">
        <v>0</v>
      </c>
      <c r="I1060" s="27">
        <v>0</v>
      </c>
      <c r="J1060" s="27">
        <v>0</v>
      </c>
      <c r="K1060" s="27">
        <v>7.03</v>
      </c>
      <c r="L1060" s="27">
        <v>6000</v>
      </c>
      <c r="M1060" s="27">
        <v>5200</v>
      </c>
      <c r="N1060" s="27">
        <v>0</v>
      </c>
      <c r="O1060" s="27">
        <v>0</v>
      </c>
      <c r="P1060" s="27" t="s">
        <v>13</v>
      </c>
      <c r="Q1060" s="27">
        <v>1993</v>
      </c>
      <c r="R1060" s="27">
        <v>1</v>
      </c>
      <c r="S1060" s="27">
        <v>0</v>
      </c>
      <c r="T1060" s="27">
        <v>-3.0000000000000001E-3</v>
      </c>
      <c r="U1060" s="27">
        <v>-1.2E-2</v>
      </c>
      <c r="V1060" s="27">
        <v>0</v>
      </c>
      <c r="W1060" s="27">
        <v>0</v>
      </c>
      <c r="X1060" s="27" t="s">
        <v>48</v>
      </c>
    </row>
    <row r="1061" spans="1:24">
      <c r="A1061" s="27">
        <v>2</v>
      </c>
      <c r="B1061" s="27">
        <v>2</v>
      </c>
      <c r="C1061" s="27">
        <v>7</v>
      </c>
      <c r="D1061" s="27">
        <v>2012</v>
      </c>
      <c r="E1061" s="27">
        <v>2012</v>
      </c>
      <c r="F1061" s="27">
        <v>6</v>
      </c>
      <c r="G1061" s="27">
        <v>38</v>
      </c>
      <c r="H1061" s="27">
        <v>0</v>
      </c>
      <c r="I1061" s="27">
        <v>0</v>
      </c>
      <c r="J1061" s="27">
        <v>0</v>
      </c>
      <c r="K1061" s="27">
        <v>7.03</v>
      </c>
      <c r="L1061" s="27">
        <v>6000</v>
      </c>
      <c r="M1061" s="27">
        <v>5200</v>
      </c>
      <c r="N1061" s="27">
        <v>0</v>
      </c>
      <c r="O1061" s="27">
        <v>0</v>
      </c>
      <c r="P1061" s="27" t="s">
        <v>13</v>
      </c>
      <c r="Q1061" s="27">
        <v>1993</v>
      </c>
      <c r="R1061" s="27">
        <v>1</v>
      </c>
      <c r="S1061" s="27">
        <v>0</v>
      </c>
      <c r="T1061" s="27">
        <v>-3.0000000000000001E-3</v>
      </c>
      <c r="U1061" s="27">
        <v>-1.2E-2</v>
      </c>
      <c r="V1061" s="27">
        <v>0</v>
      </c>
      <c r="W1061" s="27">
        <v>0</v>
      </c>
      <c r="X1061" s="27" t="s">
        <v>48</v>
      </c>
    </row>
    <row r="1062" spans="1:24">
      <c r="A1062" s="27">
        <v>2</v>
      </c>
      <c r="B1062" s="27">
        <v>2</v>
      </c>
      <c r="C1062" s="27">
        <v>7</v>
      </c>
      <c r="D1062" s="27">
        <v>2012</v>
      </c>
      <c r="E1062" s="27">
        <v>2012</v>
      </c>
      <c r="F1062" s="27">
        <v>7</v>
      </c>
      <c r="G1062" s="27">
        <v>38</v>
      </c>
      <c r="H1062" s="27">
        <v>0</v>
      </c>
      <c r="I1062" s="27">
        <v>0</v>
      </c>
      <c r="J1062" s="27">
        <v>0</v>
      </c>
      <c r="K1062" s="27">
        <v>7.03</v>
      </c>
      <c r="L1062" s="27">
        <v>6000</v>
      </c>
      <c r="M1062" s="27">
        <v>5200</v>
      </c>
      <c r="N1062" s="27">
        <v>0</v>
      </c>
      <c r="O1062" s="27">
        <v>0</v>
      </c>
      <c r="P1062" s="27" t="s">
        <v>13</v>
      </c>
      <c r="Q1062" s="27">
        <v>1993</v>
      </c>
      <c r="R1062" s="27">
        <v>1</v>
      </c>
      <c r="S1062" s="27">
        <v>0</v>
      </c>
      <c r="T1062" s="27">
        <v>-3.0000000000000001E-3</v>
      </c>
      <c r="U1062" s="27">
        <v>-1.2E-2</v>
      </c>
      <c r="V1062" s="27">
        <v>0</v>
      </c>
      <c r="W1062" s="27">
        <v>0</v>
      </c>
      <c r="X1062" s="27" t="s">
        <v>48</v>
      </c>
    </row>
    <row r="1063" spans="1:24">
      <c r="A1063" s="27">
        <v>2</v>
      </c>
      <c r="B1063" s="27">
        <v>2</v>
      </c>
      <c r="C1063" s="27">
        <v>7</v>
      </c>
      <c r="D1063" s="27">
        <v>2012</v>
      </c>
      <c r="E1063" s="27">
        <v>2012</v>
      </c>
      <c r="F1063" s="27">
        <v>8</v>
      </c>
      <c r="G1063" s="27">
        <v>38</v>
      </c>
      <c r="H1063" s="27">
        <v>0</v>
      </c>
      <c r="I1063" s="27">
        <v>0</v>
      </c>
      <c r="J1063" s="27">
        <v>0</v>
      </c>
      <c r="K1063" s="27">
        <v>7.03</v>
      </c>
      <c r="L1063" s="27">
        <v>6000</v>
      </c>
      <c r="M1063" s="27">
        <v>5200</v>
      </c>
      <c r="N1063" s="27">
        <v>0</v>
      </c>
      <c r="O1063" s="27">
        <v>0</v>
      </c>
      <c r="P1063" s="27" t="s">
        <v>13</v>
      </c>
      <c r="Q1063" s="27">
        <v>1993</v>
      </c>
      <c r="R1063" s="27">
        <v>1</v>
      </c>
      <c r="S1063" s="27">
        <v>0</v>
      </c>
      <c r="T1063" s="27">
        <v>-3.0000000000000001E-3</v>
      </c>
      <c r="U1063" s="27">
        <v>-1.2E-2</v>
      </c>
      <c r="V1063" s="27">
        <v>0</v>
      </c>
      <c r="W1063" s="27">
        <v>0</v>
      </c>
      <c r="X1063" s="27" t="s">
        <v>48</v>
      </c>
    </row>
    <row r="1064" spans="1:24">
      <c r="A1064" s="27">
        <v>2</v>
      </c>
      <c r="B1064" s="27">
        <v>2</v>
      </c>
      <c r="C1064" s="27">
        <v>7</v>
      </c>
      <c r="D1064" s="27">
        <v>2012</v>
      </c>
      <c r="E1064" s="27">
        <v>2012</v>
      </c>
      <c r="F1064" s="27">
        <v>9</v>
      </c>
      <c r="G1064" s="27">
        <v>38</v>
      </c>
      <c r="H1064" s="27">
        <v>0</v>
      </c>
      <c r="I1064" s="27">
        <v>0</v>
      </c>
      <c r="J1064" s="27">
        <v>0</v>
      </c>
      <c r="K1064" s="27">
        <v>7.03</v>
      </c>
      <c r="L1064" s="27">
        <v>6000</v>
      </c>
      <c r="M1064" s="27">
        <v>5200</v>
      </c>
      <c r="N1064" s="27">
        <v>0</v>
      </c>
      <c r="O1064" s="27">
        <v>0</v>
      </c>
      <c r="P1064" s="27" t="s">
        <v>13</v>
      </c>
      <c r="Q1064" s="27">
        <v>1993</v>
      </c>
      <c r="R1064" s="27">
        <v>1</v>
      </c>
      <c r="S1064" s="27">
        <v>0</v>
      </c>
      <c r="T1064" s="27">
        <v>-3.0000000000000001E-3</v>
      </c>
      <c r="U1064" s="27">
        <v>-1.2E-2</v>
      </c>
      <c r="V1064" s="27">
        <v>0</v>
      </c>
      <c r="W1064" s="27">
        <v>0</v>
      </c>
      <c r="X1064" s="27" t="s">
        <v>48</v>
      </c>
    </row>
    <row r="1065" spans="1:24">
      <c r="A1065" s="27">
        <v>2</v>
      </c>
      <c r="B1065" s="27">
        <v>2</v>
      </c>
      <c r="C1065" s="27">
        <v>7</v>
      </c>
      <c r="D1065" s="27">
        <v>2013</v>
      </c>
      <c r="E1065" s="27">
        <v>2013</v>
      </c>
      <c r="F1065" s="27">
        <v>1</v>
      </c>
      <c r="G1065" s="27">
        <v>38</v>
      </c>
      <c r="H1065" s="27">
        <v>0</v>
      </c>
      <c r="I1065" s="27">
        <v>0</v>
      </c>
      <c r="J1065" s="27">
        <v>0</v>
      </c>
      <c r="K1065" s="27">
        <v>7.03</v>
      </c>
      <c r="L1065" s="27">
        <v>6000</v>
      </c>
      <c r="M1065" s="27">
        <v>5200</v>
      </c>
      <c r="N1065" s="27">
        <v>300</v>
      </c>
      <c r="O1065" s="27">
        <v>180</v>
      </c>
      <c r="P1065" s="27" t="s">
        <v>13</v>
      </c>
      <c r="Q1065" s="27">
        <v>1993</v>
      </c>
      <c r="R1065" s="27">
        <v>1</v>
      </c>
      <c r="S1065" s="27">
        <v>0</v>
      </c>
      <c r="T1065" s="27">
        <v>-3.0000000000000001E-3</v>
      </c>
      <c r="U1065" s="27">
        <v>-1.2E-2</v>
      </c>
      <c r="V1065" s="27">
        <v>0</v>
      </c>
      <c r="W1065" s="27">
        <v>0</v>
      </c>
      <c r="X1065" s="27" t="s">
        <v>48</v>
      </c>
    </row>
    <row r="1066" spans="1:24">
      <c r="A1066" s="27">
        <v>2</v>
      </c>
      <c r="B1066" s="27">
        <v>2</v>
      </c>
      <c r="C1066" s="27">
        <v>7</v>
      </c>
      <c r="D1066" s="27">
        <v>2013</v>
      </c>
      <c r="E1066" s="27">
        <v>2013</v>
      </c>
      <c r="F1066" s="27">
        <v>2</v>
      </c>
      <c r="G1066" s="27">
        <v>38</v>
      </c>
      <c r="H1066" s="27">
        <v>0</v>
      </c>
      <c r="I1066" s="27">
        <v>0</v>
      </c>
      <c r="J1066" s="27">
        <v>0</v>
      </c>
      <c r="K1066" s="27">
        <v>7.03</v>
      </c>
      <c r="L1066" s="27">
        <v>6000</v>
      </c>
      <c r="M1066" s="27">
        <v>5200</v>
      </c>
      <c r="N1066" s="27">
        <v>300</v>
      </c>
      <c r="O1066" s="27">
        <v>180</v>
      </c>
      <c r="P1066" s="27" t="s">
        <v>13</v>
      </c>
      <c r="Q1066" s="27">
        <v>1993</v>
      </c>
      <c r="R1066" s="27">
        <v>1</v>
      </c>
      <c r="S1066" s="27">
        <v>0</v>
      </c>
      <c r="T1066" s="27">
        <v>-3.0000000000000001E-3</v>
      </c>
      <c r="U1066" s="27">
        <v>-1.2E-2</v>
      </c>
      <c r="V1066" s="27">
        <v>0</v>
      </c>
      <c r="W1066" s="27">
        <v>0</v>
      </c>
      <c r="X1066" s="27" t="s">
        <v>48</v>
      </c>
    </row>
    <row r="1067" spans="1:24">
      <c r="A1067" s="27">
        <v>2</v>
      </c>
      <c r="B1067" s="27">
        <v>2</v>
      </c>
      <c r="C1067" s="27">
        <v>7</v>
      </c>
      <c r="D1067" s="27">
        <v>2013</v>
      </c>
      <c r="E1067" s="27">
        <v>2013</v>
      </c>
      <c r="F1067" s="27">
        <v>3</v>
      </c>
      <c r="G1067" s="27">
        <v>38</v>
      </c>
      <c r="H1067" s="27">
        <v>0</v>
      </c>
      <c r="I1067" s="27">
        <v>0</v>
      </c>
      <c r="J1067" s="27">
        <v>0</v>
      </c>
      <c r="K1067" s="27">
        <v>7.03</v>
      </c>
      <c r="L1067" s="27">
        <v>6000</v>
      </c>
      <c r="M1067" s="27">
        <v>5200</v>
      </c>
      <c r="N1067" s="27">
        <v>300</v>
      </c>
      <c r="O1067" s="27">
        <v>180</v>
      </c>
      <c r="P1067" s="27" t="s">
        <v>13</v>
      </c>
      <c r="Q1067" s="27">
        <v>1993</v>
      </c>
      <c r="R1067" s="27">
        <v>1</v>
      </c>
      <c r="S1067" s="27">
        <v>0</v>
      </c>
      <c r="T1067" s="27">
        <v>-3.0000000000000001E-3</v>
      </c>
      <c r="U1067" s="27">
        <v>-1.2E-2</v>
      </c>
      <c r="V1067" s="27">
        <v>0</v>
      </c>
      <c r="W1067" s="27">
        <v>0</v>
      </c>
      <c r="X1067" s="27" t="s">
        <v>48</v>
      </c>
    </row>
    <row r="1068" spans="1:24">
      <c r="A1068" s="27">
        <v>2</v>
      </c>
      <c r="B1068" s="27">
        <v>2</v>
      </c>
      <c r="C1068" s="27">
        <v>7</v>
      </c>
      <c r="D1068" s="27">
        <v>2013</v>
      </c>
      <c r="E1068" s="27">
        <v>2013</v>
      </c>
      <c r="F1068" s="27">
        <v>4</v>
      </c>
      <c r="G1068" s="27">
        <v>38</v>
      </c>
      <c r="H1068" s="27">
        <v>0</v>
      </c>
      <c r="I1068" s="27">
        <v>0</v>
      </c>
      <c r="J1068" s="27">
        <v>0</v>
      </c>
      <c r="K1068" s="27">
        <v>7.03</v>
      </c>
      <c r="L1068" s="27">
        <v>6000</v>
      </c>
      <c r="M1068" s="27">
        <v>5200</v>
      </c>
      <c r="N1068" s="27">
        <v>300</v>
      </c>
      <c r="O1068" s="27">
        <v>180</v>
      </c>
      <c r="P1068" s="27" t="s">
        <v>13</v>
      </c>
      <c r="Q1068" s="27">
        <v>1993</v>
      </c>
      <c r="R1068" s="27">
        <v>1</v>
      </c>
      <c r="S1068" s="27">
        <v>0</v>
      </c>
      <c r="T1068" s="27">
        <v>-3.0000000000000001E-3</v>
      </c>
      <c r="U1068" s="27">
        <v>-1.2E-2</v>
      </c>
      <c r="V1068" s="27">
        <v>0</v>
      </c>
      <c r="W1068" s="27">
        <v>0</v>
      </c>
      <c r="X1068" s="27" t="s">
        <v>48</v>
      </c>
    </row>
    <row r="1069" spans="1:24">
      <c r="A1069" s="27">
        <v>2</v>
      </c>
      <c r="B1069" s="27">
        <v>2</v>
      </c>
      <c r="C1069" s="27">
        <v>7</v>
      </c>
      <c r="D1069" s="27">
        <v>2013</v>
      </c>
      <c r="E1069" s="27">
        <v>2013</v>
      </c>
      <c r="F1069" s="27">
        <v>5</v>
      </c>
      <c r="G1069" s="27">
        <v>38</v>
      </c>
      <c r="H1069" s="27">
        <v>0</v>
      </c>
      <c r="I1069" s="27">
        <v>0</v>
      </c>
      <c r="J1069" s="27">
        <v>0</v>
      </c>
      <c r="K1069" s="27">
        <v>7.03</v>
      </c>
      <c r="L1069" s="27">
        <v>6000</v>
      </c>
      <c r="M1069" s="27">
        <v>5200</v>
      </c>
      <c r="N1069" s="27">
        <v>300</v>
      </c>
      <c r="O1069" s="27">
        <v>180</v>
      </c>
      <c r="P1069" s="27" t="s">
        <v>13</v>
      </c>
      <c r="Q1069" s="27">
        <v>1993</v>
      </c>
      <c r="R1069" s="27">
        <v>1</v>
      </c>
      <c r="S1069" s="27">
        <v>0</v>
      </c>
      <c r="T1069" s="27">
        <v>-3.0000000000000001E-3</v>
      </c>
      <c r="U1069" s="27">
        <v>-1.2E-2</v>
      </c>
      <c r="V1069" s="27">
        <v>0</v>
      </c>
      <c r="W1069" s="27">
        <v>0</v>
      </c>
      <c r="X1069" s="27" t="s">
        <v>48</v>
      </c>
    </row>
    <row r="1070" spans="1:24">
      <c r="A1070" s="27">
        <v>2</v>
      </c>
      <c r="B1070" s="27">
        <v>2</v>
      </c>
      <c r="C1070" s="27">
        <v>7</v>
      </c>
      <c r="D1070" s="27">
        <v>2013</v>
      </c>
      <c r="E1070" s="27">
        <v>2013</v>
      </c>
      <c r="F1070" s="27">
        <v>6</v>
      </c>
      <c r="G1070" s="27">
        <v>38</v>
      </c>
      <c r="H1070" s="27">
        <v>0</v>
      </c>
      <c r="I1070" s="27">
        <v>0</v>
      </c>
      <c r="J1070" s="27">
        <v>0</v>
      </c>
      <c r="K1070" s="27">
        <v>7.03</v>
      </c>
      <c r="L1070" s="27">
        <v>6000</v>
      </c>
      <c r="M1070" s="27">
        <v>5200</v>
      </c>
      <c r="N1070" s="27">
        <v>300</v>
      </c>
      <c r="O1070" s="27">
        <v>180</v>
      </c>
      <c r="P1070" s="27" t="s">
        <v>13</v>
      </c>
      <c r="Q1070" s="27">
        <v>1993</v>
      </c>
      <c r="R1070" s="27">
        <v>1</v>
      </c>
      <c r="S1070" s="27">
        <v>0</v>
      </c>
      <c r="T1070" s="27">
        <v>-3.0000000000000001E-3</v>
      </c>
      <c r="U1070" s="27">
        <v>-1.2E-2</v>
      </c>
      <c r="V1070" s="27">
        <v>0</v>
      </c>
      <c r="W1070" s="27">
        <v>0</v>
      </c>
      <c r="X1070" s="27" t="s">
        <v>48</v>
      </c>
    </row>
    <row r="1071" spans="1:24">
      <c r="A1071" s="27">
        <v>2</v>
      </c>
      <c r="B1071" s="27">
        <v>2</v>
      </c>
      <c r="C1071" s="27">
        <v>7</v>
      </c>
      <c r="D1071" s="27">
        <v>2013</v>
      </c>
      <c r="E1071" s="27">
        <v>2013</v>
      </c>
      <c r="F1071" s="27">
        <v>7</v>
      </c>
      <c r="G1071" s="27">
        <v>38</v>
      </c>
      <c r="H1071" s="27">
        <v>0</v>
      </c>
      <c r="I1071" s="27">
        <v>0</v>
      </c>
      <c r="J1071" s="27">
        <v>0</v>
      </c>
      <c r="K1071" s="27">
        <v>7.03</v>
      </c>
      <c r="L1071" s="27">
        <v>6000</v>
      </c>
      <c r="M1071" s="27">
        <v>5200</v>
      </c>
      <c r="N1071" s="27">
        <v>300</v>
      </c>
      <c r="O1071" s="27">
        <v>180</v>
      </c>
      <c r="P1071" s="27" t="s">
        <v>13</v>
      </c>
      <c r="Q1071" s="27">
        <v>1993</v>
      </c>
      <c r="R1071" s="27">
        <v>1</v>
      </c>
      <c r="S1071" s="27">
        <v>0</v>
      </c>
      <c r="T1071" s="27">
        <v>-3.0000000000000001E-3</v>
      </c>
      <c r="U1071" s="27">
        <v>-1.2E-2</v>
      </c>
      <c r="V1071" s="27">
        <v>0</v>
      </c>
      <c r="W1071" s="27">
        <v>0</v>
      </c>
      <c r="X1071" s="27" t="s">
        <v>48</v>
      </c>
    </row>
    <row r="1072" spans="1:24">
      <c r="A1072" s="27">
        <v>2</v>
      </c>
      <c r="B1072" s="27">
        <v>2</v>
      </c>
      <c r="C1072" s="27">
        <v>7</v>
      </c>
      <c r="D1072" s="27">
        <v>2013</v>
      </c>
      <c r="E1072" s="27">
        <v>2013</v>
      </c>
      <c r="F1072" s="27">
        <v>8</v>
      </c>
      <c r="G1072" s="27">
        <v>38</v>
      </c>
      <c r="H1072" s="27">
        <v>0</v>
      </c>
      <c r="I1072" s="27">
        <v>0</v>
      </c>
      <c r="J1072" s="27">
        <v>0</v>
      </c>
      <c r="K1072" s="27">
        <v>7.03</v>
      </c>
      <c r="L1072" s="27">
        <v>6000</v>
      </c>
      <c r="M1072" s="27">
        <v>5200</v>
      </c>
      <c r="N1072" s="27">
        <v>300</v>
      </c>
      <c r="O1072" s="27">
        <v>180</v>
      </c>
      <c r="P1072" s="27" t="s">
        <v>13</v>
      </c>
      <c r="Q1072" s="27">
        <v>1993</v>
      </c>
      <c r="R1072" s="27">
        <v>1</v>
      </c>
      <c r="S1072" s="27">
        <v>0</v>
      </c>
      <c r="T1072" s="27">
        <v>-3.0000000000000001E-3</v>
      </c>
      <c r="U1072" s="27">
        <v>-1.2E-2</v>
      </c>
      <c r="V1072" s="27">
        <v>0</v>
      </c>
      <c r="W1072" s="27">
        <v>0</v>
      </c>
      <c r="X1072" s="27" t="s">
        <v>48</v>
      </c>
    </row>
    <row r="1073" spans="1:24">
      <c r="A1073" s="27">
        <v>2</v>
      </c>
      <c r="B1073" s="27">
        <v>2</v>
      </c>
      <c r="C1073" s="27">
        <v>7</v>
      </c>
      <c r="D1073" s="27">
        <v>2013</v>
      </c>
      <c r="E1073" s="27">
        <v>2013</v>
      </c>
      <c r="F1073" s="27">
        <v>9</v>
      </c>
      <c r="G1073" s="27">
        <v>38</v>
      </c>
      <c r="H1073" s="27">
        <v>0</v>
      </c>
      <c r="I1073" s="27">
        <v>0</v>
      </c>
      <c r="J1073" s="27">
        <v>0</v>
      </c>
      <c r="K1073" s="27">
        <v>7.03</v>
      </c>
      <c r="L1073" s="27">
        <v>6000</v>
      </c>
      <c r="M1073" s="27">
        <v>5200</v>
      </c>
      <c r="N1073" s="27">
        <v>300</v>
      </c>
      <c r="O1073" s="27">
        <v>180</v>
      </c>
      <c r="P1073" s="27" t="s">
        <v>13</v>
      </c>
      <c r="Q1073" s="27">
        <v>1993</v>
      </c>
      <c r="R1073" s="27">
        <v>1</v>
      </c>
      <c r="S1073" s="27">
        <v>0</v>
      </c>
      <c r="T1073" s="27">
        <v>-3.0000000000000001E-3</v>
      </c>
      <c r="U1073" s="27">
        <v>-1.2E-2</v>
      </c>
      <c r="V1073" s="27">
        <v>0</v>
      </c>
      <c r="W1073" s="27">
        <v>0</v>
      </c>
      <c r="X1073" s="27" t="s">
        <v>48</v>
      </c>
    </row>
    <row r="1074" spans="1:24">
      <c r="A1074" s="27">
        <v>2</v>
      </c>
      <c r="B1074" s="27">
        <v>2</v>
      </c>
      <c r="C1074" s="27">
        <v>7</v>
      </c>
      <c r="D1074" s="27">
        <v>2014</v>
      </c>
      <c r="E1074" s="27">
        <v>2019</v>
      </c>
      <c r="F1074" s="27">
        <v>1</v>
      </c>
      <c r="G1074" s="27">
        <v>38</v>
      </c>
      <c r="H1074" s="27">
        <v>0</v>
      </c>
      <c r="I1074" s="27">
        <v>0</v>
      </c>
      <c r="J1074" s="27">
        <v>0</v>
      </c>
      <c r="K1074" s="27">
        <v>7.03</v>
      </c>
      <c r="L1074" s="27">
        <v>6000</v>
      </c>
      <c r="M1074" s="27">
        <v>5200</v>
      </c>
      <c r="N1074" s="27">
        <v>0</v>
      </c>
      <c r="O1074" s="27">
        <v>0</v>
      </c>
      <c r="P1074" s="27" t="s">
        <v>13</v>
      </c>
      <c r="Q1074" s="27">
        <v>1993</v>
      </c>
      <c r="R1074" s="27">
        <v>1</v>
      </c>
      <c r="S1074" s="27">
        <v>0</v>
      </c>
      <c r="T1074" s="27">
        <v>-3.0000000000000001E-3</v>
      </c>
      <c r="U1074" s="27">
        <v>-1.2E-2</v>
      </c>
      <c r="V1074" s="27">
        <v>0</v>
      </c>
      <c r="W1074" s="27">
        <v>0</v>
      </c>
      <c r="X1074" s="27" t="s">
        <v>48</v>
      </c>
    </row>
    <row r="1075" spans="1:24">
      <c r="A1075" s="27">
        <v>2</v>
      </c>
      <c r="B1075" s="27">
        <v>2</v>
      </c>
      <c r="C1075" s="27">
        <v>7</v>
      </c>
      <c r="D1075" s="27">
        <v>2014</v>
      </c>
      <c r="E1075" s="27">
        <v>2019</v>
      </c>
      <c r="F1075" s="27">
        <v>2</v>
      </c>
      <c r="G1075" s="27">
        <v>38</v>
      </c>
      <c r="H1075" s="27">
        <v>0</v>
      </c>
      <c r="I1075" s="27">
        <v>0</v>
      </c>
      <c r="J1075" s="27">
        <v>0</v>
      </c>
      <c r="K1075" s="27">
        <v>7.03</v>
      </c>
      <c r="L1075" s="27">
        <v>6000</v>
      </c>
      <c r="M1075" s="27">
        <v>5200</v>
      </c>
      <c r="N1075" s="27">
        <v>0</v>
      </c>
      <c r="O1075" s="27">
        <v>0</v>
      </c>
      <c r="P1075" s="27" t="s">
        <v>13</v>
      </c>
      <c r="Q1075" s="27">
        <v>1993</v>
      </c>
      <c r="R1075" s="27">
        <v>1</v>
      </c>
      <c r="S1075" s="27">
        <v>0</v>
      </c>
      <c r="T1075" s="27">
        <v>-3.0000000000000001E-3</v>
      </c>
      <c r="U1075" s="27">
        <v>-1.2E-2</v>
      </c>
      <c r="V1075" s="27">
        <v>0</v>
      </c>
      <c r="W1075" s="27">
        <v>0</v>
      </c>
      <c r="X1075" s="27" t="s">
        <v>48</v>
      </c>
    </row>
    <row r="1076" spans="1:24">
      <c r="A1076" s="27">
        <v>2</v>
      </c>
      <c r="B1076" s="27">
        <v>2</v>
      </c>
      <c r="C1076" s="27">
        <v>7</v>
      </c>
      <c r="D1076" s="27">
        <v>2014</v>
      </c>
      <c r="E1076" s="27">
        <v>2019</v>
      </c>
      <c r="F1076" s="27">
        <v>3</v>
      </c>
      <c r="G1076" s="27">
        <v>38</v>
      </c>
      <c r="H1076" s="27">
        <v>0</v>
      </c>
      <c r="I1076" s="27">
        <v>0</v>
      </c>
      <c r="J1076" s="27">
        <v>0</v>
      </c>
      <c r="K1076" s="27">
        <v>7.03</v>
      </c>
      <c r="L1076" s="27">
        <v>6000</v>
      </c>
      <c r="M1076" s="27">
        <v>5200</v>
      </c>
      <c r="N1076" s="27">
        <v>0</v>
      </c>
      <c r="O1076" s="27">
        <v>0</v>
      </c>
      <c r="P1076" s="27" t="s">
        <v>13</v>
      </c>
      <c r="Q1076" s="27">
        <v>1993</v>
      </c>
      <c r="R1076" s="27">
        <v>1</v>
      </c>
      <c r="S1076" s="27">
        <v>0</v>
      </c>
      <c r="T1076" s="27">
        <v>-3.0000000000000001E-3</v>
      </c>
      <c r="U1076" s="27">
        <v>-1.2E-2</v>
      </c>
      <c r="V1076" s="27">
        <v>0</v>
      </c>
      <c r="W1076" s="27">
        <v>0</v>
      </c>
      <c r="X1076" s="27" t="s">
        <v>48</v>
      </c>
    </row>
    <row r="1077" spans="1:24">
      <c r="A1077" s="27">
        <v>2</v>
      </c>
      <c r="B1077" s="27">
        <v>2</v>
      </c>
      <c r="C1077" s="27">
        <v>7</v>
      </c>
      <c r="D1077" s="27">
        <v>2014</v>
      </c>
      <c r="E1077" s="27">
        <v>2019</v>
      </c>
      <c r="F1077" s="27">
        <v>4</v>
      </c>
      <c r="G1077" s="27">
        <v>38</v>
      </c>
      <c r="H1077" s="27">
        <v>0</v>
      </c>
      <c r="I1077" s="27">
        <v>0</v>
      </c>
      <c r="J1077" s="27">
        <v>0</v>
      </c>
      <c r="K1077" s="27">
        <v>7.03</v>
      </c>
      <c r="L1077" s="27">
        <v>6000</v>
      </c>
      <c r="M1077" s="27">
        <v>5200</v>
      </c>
      <c r="N1077" s="27">
        <v>0</v>
      </c>
      <c r="O1077" s="27">
        <v>0</v>
      </c>
      <c r="P1077" s="27" t="s">
        <v>13</v>
      </c>
      <c r="Q1077" s="27">
        <v>1993</v>
      </c>
      <c r="R1077" s="27">
        <v>1</v>
      </c>
      <c r="S1077" s="27">
        <v>0</v>
      </c>
      <c r="T1077" s="27">
        <v>-3.0000000000000001E-3</v>
      </c>
      <c r="U1077" s="27">
        <v>-1.2E-2</v>
      </c>
      <c r="V1077" s="27">
        <v>0</v>
      </c>
      <c r="W1077" s="27">
        <v>0</v>
      </c>
      <c r="X1077" s="27" t="s">
        <v>48</v>
      </c>
    </row>
    <row r="1078" spans="1:24">
      <c r="A1078" s="27">
        <v>2</v>
      </c>
      <c r="B1078" s="27">
        <v>2</v>
      </c>
      <c r="C1078" s="27">
        <v>7</v>
      </c>
      <c r="D1078" s="27">
        <v>2014</v>
      </c>
      <c r="E1078" s="27">
        <v>2019</v>
      </c>
      <c r="F1078" s="27">
        <v>5</v>
      </c>
      <c r="G1078" s="27">
        <v>38</v>
      </c>
      <c r="H1078" s="27">
        <v>0</v>
      </c>
      <c r="I1078" s="27">
        <v>0</v>
      </c>
      <c r="J1078" s="27">
        <v>0</v>
      </c>
      <c r="K1078" s="27">
        <v>7.03</v>
      </c>
      <c r="L1078" s="27">
        <v>6000</v>
      </c>
      <c r="M1078" s="27">
        <v>5200</v>
      </c>
      <c r="N1078" s="27">
        <v>0</v>
      </c>
      <c r="O1078" s="27">
        <v>0</v>
      </c>
      <c r="P1078" s="27" t="s">
        <v>13</v>
      </c>
      <c r="Q1078" s="27">
        <v>1993</v>
      </c>
      <c r="R1078" s="27">
        <v>1</v>
      </c>
      <c r="S1078" s="27">
        <v>0</v>
      </c>
      <c r="T1078" s="27">
        <v>-3.0000000000000001E-3</v>
      </c>
      <c r="U1078" s="27">
        <v>-1.2E-2</v>
      </c>
      <c r="V1078" s="27">
        <v>0</v>
      </c>
      <c r="W1078" s="27">
        <v>0</v>
      </c>
      <c r="X1078" s="27" t="s">
        <v>48</v>
      </c>
    </row>
    <row r="1079" spans="1:24">
      <c r="A1079" s="27">
        <v>2</v>
      </c>
      <c r="B1079" s="27">
        <v>2</v>
      </c>
      <c r="C1079" s="27">
        <v>7</v>
      </c>
      <c r="D1079" s="27">
        <v>2014</v>
      </c>
      <c r="E1079" s="27">
        <v>2019</v>
      </c>
      <c r="F1079" s="27">
        <v>6</v>
      </c>
      <c r="G1079" s="27">
        <v>38</v>
      </c>
      <c r="H1079" s="27">
        <v>0</v>
      </c>
      <c r="I1079" s="27">
        <v>0</v>
      </c>
      <c r="J1079" s="27">
        <v>0</v>
      </c>
      <c r="K1079" s="27">
        <v>7.03</v>
      </c>
      <c r="L1079" s="27">
        <v>6000</v>
      </c>
      <c r="M1079" s="27">
        <v>5200</v>
      </c>
      <c r="N1079" s="27">
        <v>0</v>
      </c>
      <c r="O1079" s="27">
        <v>0</v>
      </c>
      <c r="P1079" s="27" t="s">
        <v>13</v>
      </c>
      <c r="Q1079" s="27">
        <v>1993</v>
      </c>
      <c r="R1079" s="27">
        <v>1</v>
      </c>
      <c r="S1079" s="27">
        <v>0</v>
      </c>
      <c r="T1079" s="27">
        <v>-3.0000000000000001E-3</v>
      </c>
      <c r="U1079" s="27">
        <v>-1.2E-2</v>
      </c>
      <c r="V1079" s="27">
        <v>0</v>
      </c>
      <c r="W1079" s="27">
        <v>0</v>
      </c>
      <c r="X1079" s="27" t="s">
        <v>48</v>
      </c>
    </row>
    <row r="1080" spans="1:24">
      <c r="A1080" s="27">
        <v>2</v>
      </c>
      <c r="B1080" s="27">
        <v>2</v>
      </c>
      <c r="C1080" s="27">
        <v>7</v>
      </c>
      <c r="D1080" s="27">
        <v>2014</v>
      </c>
      <c r="E1080" s="27">
        <v>2019</v>
      </c>
      <c r="F1080" s="27">
        <v>7</v>
      </c>
      <c r="G1080" s="27">
        <v>38</v>
      </c>
      <c r="H1080" s="27">
        <v>0</v>
      </c>
      <c r="I1080" s="27">
        <v>0</v>
      </c>
      <c r="J1080" s="27">
        <v>0</v>
      </c>
      <c r="K1080" s="27">
        <v>7.03</v>
      </c>
      <c r="L1080" s="27">
        <v>6000</v>
      </c>
      <c r="M1080" s="27">
        <v>5200</v>
      </c>
      <c r="N1080" s="27">
        <v>0</v>
      </c>
      <c r="O1080" s="27">
        <v>0</v>
      </c>
      <c r="P1080" s="27" t="s">
        <v>13</v>
      </c>
      <c r="Q1080" s="27">
        <v>1993</v>
      </c>
      <c r="R1080" s="27">
        <v>1</v>
      </c>
      <c r="S1080" s="27">
        <v>0</v>
      </c>
      <c r="T1080" s="27">
        <v>-3.0000000000000001E-3</v>
      </c>
      <c r="U1080" s="27">
        <v>-1.2E-2</v>
      </c>
      <c r="V1080" s="27">
        <v>0</v>
      </c>
      <c r="W1080" s="27">
        <v>0</v>
      </c>
      <c r="X1080" s="27" t="s">
        <v>48</v>
      </c>
    </row>
    <row r="1081" spans="1:24">
      <c r="A1081" s="27">
        <v>2</v>
      </c>
      <c r="B1081" s="27">
        <v>2</v>
      </c>
      <c r="C1081" s="27">
        <v>7</v>
      </c>
      <c r="D1081" s="27">
        <v>2014</v>
      </c>
      <c r="E1081" s="27">
        <v>2019</v>
      </c>
      <c r="F1081" s="27">
        <v>8</v>
      </c>
      <c r="G1081" s="27">
        <v>38</v>
      </c>
      <c r="H1081" s="27">
        <v>0</v>
      </c>
      <c r="I1081" s="27">
        <v>0</v>
      </c>
      <c r="J1081" s="27">
        <v>0</v>
      </c>
      <c r="K1081" s="27">
        <v>7.03</v>
      </c>
      <c r="L1081" s="27">
        <v>6000</v>
      </c>
      <c r="M1081" s="27">
        <v>5200</v>
      </c>
      <c r="N1081" s="27">
        <v>0</v>
      </c>
      <c r="O1081" s="27">
        <v>0</v>
      </c>
      <c r="P1081" s="27" t="s">
        <v>13</v>
      </c>
      <c r="Q1081" s="27">
        <v>1993</v>
      </c>
      <c r="R1081" s="27">
        <v>1</v>
      </c>
      <c r="S1081" s="27">
        <v>0</v>
      </c>
      <c r="T1081" s="27">
        <v>-3.0000000000000001E-3</v>
      </c>
      <c r="U1081" s="27">
        <v>-1.2E-2</v>
      </c>
      <c r="V1081" s="27">
        <v>0</v>
      </c>
      <c r="W1081" s="27">
        <v>0</v>
      </c>
      <c r="X1081" s="27" t="s">
        <v>48</v>
      </c>
    </row>
    <row r="1082" spans="1:24">
      <c r="A1082" s="27">
        <v>2</v>
      </c>
      <c r="B1082" s="27">
        <v>2</v>
      </c>
      <c r="C1082" s="27">
        <v>7</v>
      </c>
      <c r="D1082" s="27">
        <v>2014</v>
      </c>
      <c r="E1082" s="27">
        <v>2019</v>
      </c>
      <c r="F1082" s="27">
        <v>9</v>
      </c>
      <c r="G1082" s="27">
        <v>38</v>
      </c>
      <c r="H1082" s="27">
        <v>0</v>
      </c>
      <c r="I1082" s="27">
        <v>0</v>
      </c>
      <c r="J1082" s="27">
        <v>0</v>
      </c>
      <c r="K1082" s="27">
        <v>7.03</v>
      </c>
      <c r="L1082" s="27">
        <v>6000</v>
      </c>
      <c r="M1082" s="27">
        <v>5200</v>
      </c>
      <c r="N1082" s="27">
        <v>0</v>
      </c>
      <c r="O1082" s="27">
        <v>0</v>
      </c>
      <c r="P1082" s="27" t="s">
        <v>13</v>
      </c>
      <c r="Q1082" s="27">
        <v>1993</v>
      </c>
      <c r="R1082" s="27">
        <v>1</v>
      </c>
      <c r="S1082" s="27">
        <v>0</v>
      </c>
      <c r="T1082" s="27">
        <v>-3.0000000000000001E-3</v>
      </c>
      <c r="U1082" s="27">
        <v>-1.2E-2</v>
      </c>
      <c r="V1082" s="27">
        <v>0</v>
      </c>
      <c r="W1082" s="27">
        <v>0</v>
      </c>
      <c r="X1082" s="27" t="s">
        <v>48</v>
      </c>
    </row>
    <row r="1083" spans="1:24">
      <c r="A1083" s="27">
        <v>2</v>
      </c>
      <c r="B1083" s="27">
        <v>2</v>
      </c>
      <c r="C1083" s="27">
        <v>7</v>
      </c>
      <c r="D1083" s="27">
        <v>2020</v>
      </c>
      <c r="E1083" s="27">
        <v>2050</v>
      </c>
      <c r="F1083" s="27">
        <v>1</v>
      </c>
      <c r="G1083" s="27">
        <v>38</v>
      </c>
      <c r="H1083" s="27">
        <v>0</v>
      </c>
      <c r="I1083" s="27">
        <v>0</v>
      </c>
      <c r="J1083" s="27">
        <v>0</v>
      </c>
      <c r="K1083" s="27">
        <v>7.03</v>
      </c>
      <c r="L1083" s="27">
        <v>5750</v>
      </c>
      <c r="M1083" s="27">
        <v>4950</v>
      </c>
      <c r="N1083" s="27">
        <v>0</v>
      </c>
      <c r="O1083" s="27">
        <v>0</v>
      </c>
      <c r="P1083" s="27" t="s">
        <v>13</v>
      </c>
      <c r="Q1083" s="27">
        <v>1993</v>
      </c>
      <c r="R1083" s="27">
        <v>1</v>
      </c>
      <c r="S1083" s="27">
        <v>0</v>
      </c>
      <c r="T1083" s="27">
        <v>-3.0000000000000001E-3</v>
      </c>
      <c r="U1083" s="27">
        <v>-1.2E-2</v>
      </c>
      <c r="V1083" s="27">
        <v>0</v>
      </c>
      <c r="W1083" s="27">
        <v>0</v>
      </c>
      <c r="X1083" s="27" t="s">
        <v>48</v>
      </c>
    </row>
    <row r="1084" spans="1:24">
      <c r="A1084" s="27">
        <v>2</v>
      </c>
      <c r="B1084" s="27">
        <v>2</v>
      </c>
      <c r="C1084" s="27">
        <v>7</v>
      </c>
      <c r="D1084" s="27">
        <v>2020</v>
      </c>
      <c r="E1084" s="27">
        <v>2050</v>
      </c>
      <c r="F1084" s="27">
        <v>2</v>
      </c>
      <c r="G1084" s="27">
        <v>38</v>
      </c>
      <c r="H1084" s="27">
        <v>0</v>
      </c>
      <c r="I1084" s="27">
        <v>0</v>
      </c>
      <c r="J1084" s="27">
        <v>0</v>
      </c>
      <c r="K1084" s="27">
        <v>7.03</v>
      </c>
      <c r="L1084" s="27">
        <v>5750</v>
      </c>
      <c r="M1084" s="27">
        <v>4950</v>
      </c>
      <c r="N1084" s="27">
        <v>0</v>
      </c>
      <c r="O1084" s="27">
        <v>0</v>
      </c>
      <c r="P1084" s="27" t="s">
        <v>13</v>
      </c>
      <c r="Q1084" s="27">
        <v>1993</v>
      </c>
      <c r="R1084" s="27">
        <v>1</v>
      </c>
      <c r="S1084" s="27">
        <v>0</v>
      </c>
      <c r="T1084" s="27">
        <v>-3.0000000000000001E-3</v>
      </c>
      <c r="U1084" s="27">
        <v>-1.2E-2</v>
      </c>
      <c r="V1084" s="27">
        <v>0</v>
      </c>
      <c r="W1084" s="27">
        <v>0</v>
      </c>
      <c r="X1084" s="27" t="s">
        <v>48</v>
      </c>
    </row>
    <row r="1085" spans="1:24">
      <c r="A1085" s="27">
        <v>2</v>
      </c>
      <c r="B1085" s="27">
        <v>2</v>
      </c>
      <c r="C1085" s="27">
        <v>7</v>
      </c>
      <c r="D1085" s="27">
        <v>2020</v>
      </c>
      <c r="E1085" s="27">
        <v>2050</v>
      </c>
      <c r="F1085" s="27">
        <v>3</v>
      </c>
      <c r="G1085" s="27">
        <v>38</v>
      </c>
      <c r="H1085" s="27">
        <v>0</v>
      </c>
      <c r="I1085" s="27">
        <v>0</v>
      </c>
      <c r="J1085" s="27">
        <v>0</v>
      </c>
      <c r="K1085" s="27">
        <v>7.03</v>
      </c>
      <c r="L1085" s="27">
        <v>5750</v>
      </c>
      <c r="M1085" s="27">
        <v>4950</v>
      </c>
      <c r="N1085" s="27">
        <v>0</v>
      </c>
      <c r="O1085" s="27">
        <v>0</v>
      </c>
      <c r="P1085" s="27" t="s">
        <v>13</v>
      </c>
      <c r="Q1085" s="27">
        <v>1993</v>
      </c>
      <c r="R1085" s="27">
        <v>1</v>
      </c>
      <c r="S1085" s="27">
        <v>0</v>
      </c>
      <c r="T1085" s="27">
        <v>-3.0000000000000001E-3</v>
      </c>
      <c r="U1085" s="27">
        <v>-1.2E-2</v>
      </c>
      <c r="V1085" s="27">
        <v>0</v>
      </c>
      <c r="W1085" s="27">
        <v>0</v>
      </c>
      <c r="X1085" s="27" t="s">
        <v>48</v>
      </c>
    </row>
    <row r="1086" spans="1:24">
      <c r="A1086" s="27">
        <v>2</v>
      </c>
      <c r="B1086" s="27">
        <v>2</v>
      </c>
      <c r="C1086" s="27">
        <v>7</v>
      </c>
      <c r="D1086" s="27">
        <v>2020</v>
      </c>
      <c r="E1086" s="27">
        <v>2050</v>
      </c>
      <c r="F1086" s="27">
        <v>4</v>
      </c>
      <c r="G1086" s="27">
        <v>38</v>
      </c>
      <c r="H1086" s="27">
        <v>0</v>
      </c>
      <c r="I1086" s="27">
        <v>0</v>
      </c>
      <c r="J1086" s="27">
        <v>0</v>
      </c>
      <c r="K1086" s="27">
        <v>7.03</v>
      </c>
      <c r="L1086" s="27">
        <v>5750</v>
      </c>
      <c r="M1086" s="27">
        <v>4950</v>
      </c>
      <c r="N1086" s="27">
        <v>0</v>
      </c>
      <c r="O1086" s="27">
        <v>0</v>
      </c>
      <c r="P1086" s="27" t="s">
        <v>13</v>
      </c>
      <c r="Q1086" s="27">
        <v>1993</v>
      </c>
      <c r="R1086" s="27">
        <v>1</v>
      </c>
      <c r="S1086" s="27">
        <v>0</v>
      </c>
      <c r="T1086" s="27">
        <v>-3.0000000000000001E-3</v>
      </c>
      <c r="U1086" s="27">
        <v>-1.2E-2</v>
      </c>
      <c r="V1086" s="27">
        <v>0</v>
      </c>
      <c r="W1086" s="27">
        <v>0</v>
      </c>
      <c r="X1086" s="27" t="s">
        <v>48</v>
      </c>
    </row>
    <row r="1087" spans="1:24">
      <c r="A1087" s="27">
        <v>2</v>
      </c>
      <c r="B1087" s="27">
        <v>2</v>
      </c>
      <c r="C1087" s="27">
        <v>7</v>
      </c>
      <c r="D1087" s="27">
        <v>2020</v>
      </c>
      <c r="E1087" s="27">
        <v>2050</v>
      </c>
      <c r="F1087" s="27">
        <v>5</v>
      </c>
      <c r="G1087" s="27">
        <v>38</v>
      </c>
      <c r="H1087" s="27">
        <v>0</v>
      </c>
      <c r="I1087" s="27">
        <v>0</v>
      </c>
      <c r="J1087" s="27">
        <v>0</v>
      </c>
      <c r="K1087" s="27">
        <v>7.03</v>
      </c>
      <c r="L1087" s="27">
        <v>5750</v>
      </c>
      <c r="M1087" s="27">
        <v>4950</v>
      </c>
      <c r="N1087" s="27">
        <v>0</v>
      </c>
      <c r="O1087" s="27">
        <v>0</v>
      </c>
      <c r="P1087" s="27" t="s">
        <v>13</v>
      </c>
      <c r="Q1087" s="27">
        <v>1993</v>
      </c>
      <c r="R1087" s="27">
        <v>1</v>
      </c>
      <c r="S1087" s="27">
        <v>0</v>
      </c>
      <c r="T1087" s="27">
        <v>-3.0000000000000001E-3</v>
      </c>
      <c r="U1087" s="27">
        <v>-1.2E-2</v>
      </c>
      <c r="V1087" s="27">
        <v>0</v>
      </c>
      <c r="W1087" s="27">
        <v>0</v>
      </c>
      <c r="X1087" s="27" t="s">
        <v>48</v>
      </c>
    </row>
    <row r="1088" spans="1:24">
      <c r="A1088" s="27">
        <v>2</v>
      </c>
      <c r="B1088" s="27">
        <v>2</v>
      </c>
      <c r="C1088" s="27">
        <v>7</v>
      </c>
      <c r="D1088" s="27">
        <v>2020</v>
      </c>
      <c r="E1088" s="27">
        <v>2050</v>
      </c>
      <c r="F1088" s="27">
        <v>6</v>
      </c>
      <c r="G1088" s="27">
        <v>38</v>
      </c>
      <c r="H1088" s="27">
        <v>0</v>
      </c>
      <c r="I1088" s="27">
        <v>0</v>
      </c>
      <c r="J1088" s="27">
        <v>0</v>
      </c>
      <c r="K1088" s="27">
        <v>7.03</v>
      </c>
      <c r="L1088" s="27">
        <v>5750</v>
      </c>
      <c r="M1088" s="27">
        <v>4950</v>
      </c>
      <c r="N1088" s="27">
        <v>0</v>
      </c>
      <c r="O1088" s="27">
        <v>0</v>
      </c>
      <c r="P1088" s="27" t="s">
        <v>13</v>
      </c>
      <c r="Q1088" s="27">
        <v>1993</v>
      </c>
      <c r="R1088" s="27">
        <v>1</v>
      </c>
      <c r="S1088" s="27">
        <v>0</v>
      </c>
      <c r="T1088" s="27">
        <v>-3.0000000000000001E-3</v>
      </c>
      <c r="U1088" s="27">
        <v>-1.2E-2</v>
      </c>
      <c r="V1088" s="27">
        <v>0</v>
      </c>
      <c r="W1088" s="27">
        <v>0</v>
      </c>
      <c r="X1088" s="27" t="s">
        <v>48</v>
      </c>
    </row>
    <row r="1089" spans="1:24">
      <c r="A1089" s="27">
        <v>2</v>
      </c>
      <c r="B1089" s="27">
        <v>2</v>
      </c>
      <c r="C1089" s="27">
        <v>7</v>
      </c>
      <c r="D1089" s="27">
        <v>2020</v>
      </c>
      <c r="E1089" s="27">
        <v>2050</v>
      </c>
      <c r="F1089" s="27">
        <v>7</v>
      </c>
      <c r="G1089" s="27">
        <v>38</v>
      </c>
      <c r="H1089" s="27">
        <v>0</v>
      </c>
      <c r="I1089" s="27">
        <v>0</v>
      </c>
      <c r="J1089" s="27">
        <v>0</v>
      </c>
      <c r="K1089" s="27">
        <v>7.03</v>
      </c>
      <c r="L1089" s="27">
        <v>5750</v>
      </c>
      <c r="M1089" s="27">
        <v>4950</v>
      </c>
      <c r="N1089" s="27">
        <v>0</v>
      </c>
      <c r="O1089" s="27">
        <v>0</v>
      </c>
      <c r="P1089" s="27" t="s">
        <v>13</v>
      </c>
      <c r="Q1089" s="27">
        <v>1993</v>
      </c>
      <c r="R1089" s="27">
        <v>1</v>
      </c>
      <c r="S1089" s="27">
        <v>0</v>
      </c>
      <c r="T1089" s="27">
        <v>-3.0000000000000001E-3</v>
      </c>
      <c r="U1089" s="27">
        <v>-1.2E-2</v>
      </c>
      <c r="V1089" s="27">
        <v>0</v>
      </c>
      <c r="W1089" s="27">
        <v>0</v>
      </c>
      <c r="X1089" s="27" t="s">
        <v>48</v>
      </c>
    </row>
    <row r="1090" spans="1:24">
      <c r="A1090" s="27">
        <v>2</v>
      </c>
      <c r="B1090" s="27">
        <v>2</v>
      </c>
      <c r="C1090" s="27">
        <v>7</v>
      </c>
      <c r="D1090" s="27">
        <v>2020</v>
      </c>
      <c r="E1090" s="27">
        <v>2050</v>
      </c>
      <c r="F1090" s="27">
        <v>8</v>
      </c>
      <c r="G1090" s="27">
        <v>38</v>
      </c>
      <c r="H1090" s="27">
        <v>0</v>
      </c>
      <c r="I1090" s="27">
        <v>0</v>
      </c>
      <c r="J1090" s="27">
        <v>0</v>
      </c>
      <c r="K1090" s="27">
        <v>7.03</v>
      </c>
      <c r="L1090" s="27">
        <v>5750</v>
      </c>
      <c r="M1090" s="27">
        <v>4950</v>
      </c>
      <c r="N1090" s="27">
        <v>0</v>
      </c>
      <c r="O1090" s="27">
        <v>0</v>
      </c>
      <c r="P1090" s="27" t="s">
        <v>13</v>
      </c>
      <c r="Q1090" s="27">
        <v>1993</v>
      </c>
      <c r="R1090" s="27">
        <v>1</v>
      </c>
      <c r="S1090" s="27">
        <v>0</v>
      </c>
      <c r="T1090" s="27">
        <v>-3.0000000000000001E-3</v>
      </c>
      <c r="U1090" s="27">
        <v>-1.2E-2</v>
      </c>
      <c r="V1090" s="27">
        <v>0</v>
      </c>
      <c r="W1090" s="27">
        <v>0</v>
      </c>
      <c r="X1090" s="27" t="s">
        <v>48</v>
      </c>
    </row>
    <row r="1091" spans="1:24">
      <c r="A1091" s="27">
        <v>2</v>
      </c>
      <c r="B1091" s="27">
        <v>2</v>
      </c>
      <c r="C1091" s="27">
        <v>7</v>
      </c>
      <c r="D1091" s="27">
        <v>2020</v>
      </c>
      <c r="E1091" s="27">
        <v>2050</v>
      </c>
      <c r="F1091" s="27">
        <v>9</v>
      </c>
      <c r="G1091" s="27">
        <v>38</v>
      </c>
      <c r="H1091" s="27">
        <v>0</v>
      </c>
      <c r="I1091" s="27">
        <v>0</v>
      </c>
      <c r="J1091" s="27">
        <v>0</v>
      </c>
      <c r="K1091" s="27">
        <v>7.03</v>
      </c>
      <c r="L1091" s="27">
        <v>5750</v>
      </c>
      <c r="M1091" s="27">
        <v>4950</v>
      </c>
      <c r="N1091" s="27">
        <v>0</v>
      </c>
      <c r="O1091" s="27">
        <v>0</v>
      </c>
      <c r="P1091" s="27" t="s">
        <v>13</v>
      </c>
      <c r="Q1091" s="27">
        <v>1993</v>
      </c>
      <c r="R1091" s="27">
        <v>1</v>
      </c>
      <c r="S1091" s="27">
        <v>0</v>
      </c>
      <c r="T1091" s="27">
        <v>-3.0000000000000001E-3</v>
      </c>
      <c r="U1091" s="27">
        <v>-1.2E-2</v>
      </c>
      <c r="V1091" s="27">
        <v>0</v>
      </c>
      <c r="W1091" s="27">
        <v>0</v>
      </c>
      <c r="X1091" s="27" t="s">
        <v>48</v>
      </c>
    </row>
    <row r="1092" spans="1:24">
      <c r="A1092" s="27">
        <v>2</v>
      </c>
      <c r="B1092" s="27">
        <v>3</v>
      </c>
      <c r="C1092" s="27">
        <v>8</v>
      </c>
      <c r="D1092" s="27">
        <v>2010</v>
      </c>
      <c r="E1092" s="27">
        <v>2014</v>
      </c>
      <c r="F1092" s="27">
        <v>1</v>
      </c>
      <c r="G1092" s="27">
        <v>39</v>
      </c>
      <c r="H1092" s="27">
        <v>2</v>
      </c>
      <c r="I1092" s="27">
        <v>0</v>
      </c>
      <c r="J1092" s="27">
        <v>0</v>
      </c>
      <c r="K1092" s="27">
        <v>3.81</v>
      </c>
      <c r="L1092" s="27">
        <v>2400</v>
      </c>
      <c r="M1092" s="27">
        <v>0</v>
      </c>
      <c r="N1092" s="27">
        <v>0</v>
      </c>
      <c r="O1092" s="27">
        <v>0</v>
      </c>
      <c r="P1092" s="27" t="s">
        <v>13</v>
      </c>
      <c r="Q1092" s="27">
        <v>1993</v>
      </c>
      <c r="R1092" s="27">
        <v>1</v>
      </c>
      <c r="S1092" s="27">
        <v>0</v>
      </c>
      <c r="T1092" s="27">
        <v>-1.8E-3</v>
      </c>
      <c r="U1092" s="27">
        <v>-1.2E-2</v>
      </c>
      <c r="V1092" s="27">
        <v>0</v>
      </c>
      <c r="W1092" s="27">
        <v>0</v>
      </c>
      <c r="X1092" s="27" t="s">
        <v>15</v>
      </c>
    </row>
    <row r="1093" spans="1:24">
      <c r="A1093" s="27">
        <v>2</v>
      </c>
      <c r="B1093" s="27">
        <v>3</v>
      </c>
      <c r="C1093" s="27">
        <v>8</v>
      </c>
      <c r="D1093" s="27">
        <v>2010</v>
      </c>
      <c r="E1093" s="27">
        <v>2014</v>
      </c>
      <c r="F1093" s="27">
        <v>2</v>
      </c>
      <c r="G1093" s="27">
        <v>39</v>
      </c>
      <c r="H1093" s="27">
        <v>2</v>
      </c>
      <c r="I1093" s="27">
        <v>0</v>
      </c>
      <c r="J1093" s="27">
        <v>0</v>
      </c>
      <c r="K1093" s="27">
        <v>3.81</v>
      </c>
      <c r="L1093" s="27">
        <v>2400</v>
      </c>
      <c r="M1093" s="27">
        <v>0</v>
      </c>
      <c r="N1093" s="27">
        <v>0</v>
      </c>
      <c r="O1093" s="27">
        <v>0</v>
      </c>
      <c r="P1093" s="27" t="s">
        <v>13</v>
      </c>
      <c r="Q1093" s="27">
        <v>1993</v>
      </c>
      <c r="R1093" s="27">
        <v>1</v>
      </c>
      <c r="S1093" s="27">
        <v>0</v>
      </c>
      <c r="T1093" s="27">
        <v>-1.8E-3</v>
      </c>
      <c r="U1093" s="27">
        <v>-1.2E-2</v>
      </c>
      <c r="V1093" s="27">
        <v>0</v>
      </c>
      <c r="W1093" s="27">
        <v>0</v>
      </c>
      <c r="X1093" s="27" t="s">
        <v>15</v>
      </c>
    </row>
    <row r="1094" spans="1:24">
      <c r="A1094" s="27">
        <v>2</v>
      </c>
      <c r="B1094" s="27">
        <v>3</v>
      </c>
      <c r="C1094" s="27">
        <v>8</v>
      </c>
      <c r="D1094" s="27">
        <v>2010</v>
      </c>
      <c r="E1094" s="27">
        <v>2014</v>
      </c>
      <c r="F1094" s="27">
        <v>3</v>
      </c>
      <c r="G1094" s="27">
        <v>39</v>
      </c>
      <c r="H1094" s="27">
        <v>2</v>
      </c>
      <c r="I1094" s="27">
        <v>0</v>
      </c>
      <c r="J1094" s="27">
        <v>0</v>
      </c>
      <c r="K1094" s="27">
        <v>3.81</v>
      </c>
      <c r="L1094" s="27">
        <v>2400</v>
      </c>
      <c r="M1094" s="27">
        <v>0</v>
      </c>
      <c r="N1094" s="27">
        <v>0</v>
      </c>
      <c r="O1094" s="27">
        <v>0</v>
      </c>
      <c r="P1094" s="27" t="s">
        <v>13</v>
      </c>
      <c r="Q1094" s="27">
        <v>1993</v>
      </c>
      <c r="R1094" s="27">
        <v>1</v>
      </c>
      <c r="S1094" s="27">
        <v>0</v>
      </c>
      <c r="T1094" s="27">
        <v>-1.8E-3</v>
      </c>
      <c r="U1094" s="27">
        <v>-1.2E-2</v>
      </c>
      <c r="V1094" s="27">
        <v>0</v>
      </c>
      <c r="W1094" s="27">
        <v>0</v>
      </c>
      <c r="X1094" s="27" t="s">
        <v>15</v>
      </c>
    </row>
    <row r="1095" spans="1:24">
      <c r="A1095" s="27">
        <v>2</v>
      </c>
      <c r="B1095" s="27">
        <v>3</v>
      </c>
      <c r="C1095" s="27">
        <v>8</v>
      </c>
      <c r="D1095" s="27">
        <v>2010</v>
      </c>
      <c r="E1095" s="27">
        <v>2014</v>
      </c>
      <c r="F1095" s="27">
        <v>4</v>
      </c>
      <c r="G1095" s="27">
        <v>39</v>
      </c>
      <c r="H1095" s="27">
        <v>2</v>
      </c>
      <c r="I1095" s="27">
        <v>0</v>
      </c>
      <c r="J1095" s="27">
        <v>0</v>
      </c>
      <c r="K1095" s="27">
        <v>3.81</v>
      </c>
      <c r="L1095" s="27">
        <v>2400</v>
      </c>
      <c r="M1095" s="27">
        <v>0</v>
      </c>
      <c r="N1095" s="27">
        <v>0</v>
      </c>
      <c r="O1095" s="27">
        <v>0</v>
      </c>
      <c r="P1095" s="27" t="s">
        <v>13</v>
      </c>
      <c r="Q1095" s="27">
        <v>1993</v>
      </c>
      <c r="R1095" s="27">
        <v>1</v>
      </c>
      <c r="S1095" s="27">
        <v>0</v>
      </c>
      <c r="T1095" s="27">
        <v>-1.8E-3</v>
      </c>
      <c r="U1095" s="27">
        <v>-1.2E-2</v>
      </c>
      <c r="V1095" s="27">
        <v>0</v>
      </c>
      <c r="W1095" s="27">
        <v>0</v>
      </c>
      <c r="X1095" s="27" t="s">
        <v>15</v>
      </c>
    </row>
    <row r="1096" spans="1:24">
      <c r="A1096" s="27">
        <v>2</v>
      </c>
      <c r="B1096" s="27">
        <v>3</v>
      </c>
      <c r="C1096" s="27">
        <v>8</v>
      </c>
      <c r="D1096" s="27">
        <v>2010</v>
      </c>
      <c r="E1096" s="27">
        <v>2014</v>
      </c>
      <c r="F1096" s="27">
        <v>5</v>
      </c>
      <c r="G1096" s="27">
        <v>39</v>
      </c>
      <c r="H1096" s="27">
        <v>2</v>
      </c>
      <c r="I1096" s="27">
        <v>0</v>
      </c>
      <c r="J1096" s="27">
        <v>0</v>
      </c>
      <c r="K1096" s="27">
        <v>3.81</v>
      </c>
      <c r="L1096" s="27">
        <v>2400</v>
      </c>
      <c r="M1096" s="27">
        <v>0</v>
      </c>
      <c r="N1096" s="27">
        <v>0</v>
      </c>
      <c r="O1096" s="27">
        <v>0</v>
      </c>
      <c r="P1096" s="27" t="s">
        <v>13</v>
      </c>
      <c r="Q1096" s="27">
        <v>1993</v>
      </c>
      <c r="R1096" s="27">
        <v>1</v>
      </c>
      <c r="S1096" s="27">
        <v>0</v>
      </c>
      <c r="T1096" s="27">
        <v>-1.8E-3</v>
      </c>
      <c r="U1096" s="27">
        <v>-1.2E-2</v>
      </c>
      <c r="V1096" s="27">
        <v>0</v>
      </c>
      <c r="W1096" s="27">
        <v>0</v>
      </c>
      <c r="X1096" s="27" t="s">
        <v>15</v>
      </c>
    </row>
    <row r="1097" spans="1:24">
      <c r="A1097" s="27">
        <v>2</v>
      </c>
      <c r="B1097" s="27">
        <v>3</v>
      </c>
      <c r="C1097" s="27">
        <v>8</v>
      </c>
      <c r="D1097" s="27">
        <v>2010</v>
      </c>
      <c r="E1097" s="27">
        <v>2014</v>
      </c>
      <c r="F1097" s="27">
        <v>6</v>
      </c>
      <c r="G1097" s="27">
        <v>39</v>
      </c>
      <c r="H1097" s="27">
        <v>2</v>
      </c>
      <c r="I1097" s="27">
        <v>0</v>
      </c>
      <c r="J1097" s="27">
        <v>0</v>
      </c>
      <c r="K1097" s="27">
        <v>3.81</v>
      </c>
      <c r="L1097" s="27">
        <v>2400</v>
      </c>
      <c r="M1097" s="27">
        <v>0</v>
      </c>
      <c r="N1097" s="27">
        <v>0</v>
      </c>
      <c r="O1097" s="27">
        <v>0</v>
      </c>
      <c r="P1097" s="27" t="s">
        <v>13</v>
      </c>
      <c r="Q1097" s="27">
        <v>1993</v>
      </c>
      <c r="R1097" s="27">
        <v>1</v>
      </c>
      <c r="S1097" s="27">
        <v>0</v>
      </c>
      <c r="T1097" s="27">
        <v>-1.8E-3</v>
      </c>
      <c r="U1097" s="27">
        <v>-1.2E-2</v>
      </c>
      <c r="V1097" s="27">
        <v>0</v>
      </c>
      <c r="W1097" s="27">
        <v>0</v>
      </c>
      <c r="X1097" s="27" t="s">
        <v>15</v>
      </c>
    </row>
    <row r="1098" spans="1:24">
      <c r="A1098" s="27">
        <v>2</v>
      </c>
      <c r="B1098" s="27">
        <v>3</v>
      </c>
      <c r="C1098" s="27">
        <v>8</v>
      </c>
      <c r="D1098" s="27">
        <v>2010</v>
      </c>
      <c r="E1098" s="27">
        <v>2014</v>
      </c>
      <c r="F1098" s="27">
        <v>7</v>
      </c>
      <c r="G1098" s="27">
        <v>39</v>
      </c>
      <c r="H1098" s="27">
        <v>2</v>
      </c>
      <c r="I1098" s="27">
        <v>0</v>
      </c>
      <c r="J1098" s="27">
        <v>0</v>
      </c>
      <c r="K1098" s="27">
        <v>3.81</v>
      </c>
      <c r="L1098" s="27">
        <v>2400</v>
      </c>
      <c r="M1098" s="27">
        <v>0</v>
      </c>
      <c r="N1098" s="27">
        <v>0</v>
      </c>
      <c r="O1098" s="27">
        <v>0</v>
      </c>
      <c r="P1098" s="27" t="s">
        <v>13</v>
      </c>
      <c r="Q1098" s="27">
        <v>1993</v>
      </c>
      <c r="R1098" s="27">
        <v>1</v>
      </c>
      <c r="S1098" s="27">
        <v>0</v>
      </c>
      <c r="T1098" s="27">
        <v>-1.8E-3</v>
      </c>
      <c r="U1098" s="27">
        <v>-1.2E-2</v>
      </c>
      <c r="V1098" s="27">
        <v>0</v>
      </c>
      <c r="W1098" s="27">
        <v>0</v>
      </c>
      <c r="X1098" s="27" t="s">
        <v>15</v>
      </c>
    </row>
    <row r="1099" spans="1:24">
      <c r="A1099" s="27">
        <v>2</v>
      </c>
      <c r="B1099" s="27">
        <v>3</v>
      </c>
      <c r="C1099" s="27">
        <v>8</v>
      </c>
      <c r="D1099" s="27">
        <v>2010</v>
      </c>
      <c r="E1099" s="27">
        <v>2014</v>
      </c>
      <c r="F1099" s="27">
        <v>8</v>
      </c>
      <c r="G1099" s="27">
        <v>39</v>
      </c>
      <c r="H1099" s="27">
        <v>2</v>
      </c>
      <c r="I1099" s="27">
        <v>0</v>
      </c>
      <c r="J1099" s="27">
        <v>0</v>
      </c>
      <c r="K1099" s="27">
        <v>3.81</v>
      </c>
      <c r="L1099" s="27">
        <v>2400</v>
      </c>
      <c r="M1099" s="27">
        <v>0</v>
      </c>
      <c r="N1099" s="27">
        <v>0</v>
      </c>
      <c r="O1099" s="27">
        <v>0</v>
      </c>
      <c r="P1099" s="27" t="s">
        <v>13</v>
      </c>
      <c r="Q1099" s="27">
        <v>1993</v>
      </c>
      <c r="R1099" s="27">
        <v>1</v>
      </c>
      <c r="S1099" s="27">
        <v>0</v>
      </c>
      <c r="T1099" s="27">
        <v>-1.8E-3</v>
      </c>
      <c r="U1099" s="27">
        <v>-1.2E-2</v>
      </c>
      <c r="V1099" s="27">
        <v>0</v>
      </c>
      <c r="W1099" s="27">
        <v>0</v>
      </c>
      <c r="X1099" s="27" t="s">
        <v>15</v>
      </c>
    </row>
    <row r="1100" spans="1:24">
      <c r="A1100" s="27">
        <v>2</v>
      </c>
      <c r="B1100" s="27">
        <v>3</v>
      </c>
      <c r="C1100" s="27">
        <v>8</v>
      </c>
      <c r="D1100" s="27">
        <v>2010</v>
      </c>
      <c r="E1100" s="27">
        <v>2014</v>
      </c>
      <c r="F1100" s="27">
        <v>9</v>
      </c>
      <c r="G1100" s="27">
        <v>39</v>
      </c>
      <c r="H1100" s="27">
        <v>2</v>
      </c>
      <c r="I1100" s="27">
        <v>0</v>
      </c>
      <c r="J1100" s="27">
        <v>0</v>
      </c>
      <c r="K1100" s="27">
        <v>3.81</v>
      </c>
      <c r="L1100" s="27">
        <v>2400</v>
      </c>
      <c r="M1100" s="27">
        <v>0</v>
      </c>
      <c r="N1100" s="27">
        <v>0</v>
      </c>
      <c r="O1100" s="27">
        <v>0</v>
      </c>
      <c r="P1100" s="27" t="s">
        <v>13</v>
      </c>
      <c r="Q1100" s="27">
        <v>1993</v>
      </c>
      <c r="R1100" s="27">
        <v>1</v>
      </c>
      <c r="S1100" s="27">
        <v>0</v>
      </c>
      <c r="T1100" s="27">
        <v>-1.8E-3</v>
      </c>
      <c r="U1100" s="27">
        <v>-1.2E-2</v>
      </c>
      <c r="V1100" s="27">
        <v>0</v>
      </c>
      <c r="W1100" s="27">
        <v>0</v>
      </c>
      <c r="X1100" s="27" t="s">
        <v>15</v>
      </c>
    </row>
    <row r="1101" spans="1:24">
      <c r="A1101" s="27">
        <v>2</v>
      </c>
      <c r="B1101" s="27">
        <v>3</v>
      </c>
      <c r="C1101" s="27">
        <v>8</v>
      </c>
      <c r="D1101" s="27">
        <v>2015</v>
      </c>
      <c r="E1101" s="27">
        <v>2019</v>
      </c>
      <c r="F1101" s="27">
        <v>1</v>
      </c>
      <c r="G1101" s="27">
        <v>39</v>
      </c>
      <c r="H1101" s="27">
        <v>2</v>
      </c>
      <c r="I1101" s="27">
        <v>0</v>
      </c>
      <c r="J1101" s="27">
        <v>0</v>
      </c>
      <c r="K1101" s="27">
        <v>4.0999999999999996</v>
      </c>
      <c r="L1101" s="27">
        <v>2475</v>
      </c>
      <c r="M1101" s="27">
        <v>0</v>
      </c>
      <c r="N1101" s="27">
        <v>0</v>
      </c>
      <c r="O1101" s="27">
        <v>0</v>
      </c>
      <c r="P1101" s="27" t="s">
        <v>13</v>
      </c>
      <c r="Q1101" s="27">
        <v>1993</v>
      </c>
      <c r="R1101" s="27">
        <v>1</v>
      </c>
      <c r="S1101" s="27">
        <v>0</v>
      </c>
      <c r="T1101" s="27">
        <v>-1.8E-3</v>
      </c>
      <c r="U1101" s="27">
        <v>-1.2E-2</v>
      </c>
      <c r="V1101" s="27">
        <v>0</v>
      </c>
      <c r="W1101" s="27">
        <v>0</v>
      </c>
      <c r="X1101" s="27" t="s">
        <v>15</v>
      </c>
    </row>
    <row r="1102" spans="1:24">
      <c r="A1102" s="27">
        <v>2</v>
      </c>
      <c r="B1102" s="27">
        <v>3</v>
      </c>
      <c r="C1102" s="27">
        <v>8</v>
      </c>
      <c r="D1102" s="27">
        <v>2015</v>
      </c>
      <c r="E1102" s="27">
        <v>2019</v>
      </c>
      <c r="F1102" s="27">
        <v>2</v>
      </c>
      <c r="G1102" s="27">
        <v>39</v>
      </c>
      <c r="H1102" s="27">
        <v>2</v>
      </c>
      <c r="I1102" s="27">
        <v>0</v>
      </c>
      <c r="J1102" s="27">
        <v>0</v>
      </c>
      <c r="K1102" s="27">
        <v>4.0999999999999996</v>
      </c>
      <c r="L1102" s="27">
        <v>2475</v>
      </c>
      <c r="M1102" s="27">
        <v>0</v>
      </c>
      <c r="N1102" s="27">
        <v>0</v>
      </c>
      <c r="O1102" s="27">
        <v>0</v>
      </c>
      <c r="P1102" s="27" t="s">
        <v>13</v>
      </c>
      <c r="Q1102" s="27">
        <v>1993</v>
      </c>
      <c r="R1102" s="27">
        <v>1</v>
      </c>
      <c r="S1102" s="27">
        <v>0</v>
      </c>
      <c r="T1102" s="27">
        <v>-1.8E-3</v>
      </c>
      <c r="U1102" s="27">
        <v>-1.2E-2</v>
      </c>
      <c r="V1102" s="27">
        <v>0</v>
      </c>
      <c r="W1102" s="27">
        <v>0</v>
      </c>
      <c r="X1102" s="27" t="s">
        <v>15</v>
      </c>
    </row>
    <row r="1103" spans="1:24">
      <c r="A1103" s="27">
        <v>2</v>
      </c>
      <c r="B1103" s="27">
        <v>3</v>
      </c>
      <c r="C1103" s="27">
        <v>8</v>
      </c>
      <c r="D1103" s="27">
        <v>2015</v>
      </c>
      <c r="E1103" s="27">
        <v>2019</v>
      </c>
      <c r="F1103" s="27">
        <v>3</v>
      </c>
      <c r="G1103" s="27">
        <v>39</v>
      </c>
      <c r="H1103" s="27">
        <v>2</v>
      </c>
      <c r="I1103" s="27">
        <v>0</v>
      </c>
      <c r="J1103" s="27">
        <v>0</v>
      </c>
      <c r="K1103" s="27">
        <v>4.0999999999999996</v>
      </c>
      <c r="L1103" s="27">
        <v>2475</v>
      </c>
      <c r="M1103" s="27">
        <v>0</v>
      </c>
      <c r="N1103" s="27">
        <v>0</v>
      </c>
      <c r="O1103" s="27">
        <v>0</v>
      </c>
      <c r="P1103" s="27" t="s">
        <v>13</v>
      </c>
      <c r="Q1103" s="27">
        <v>1993</v>
      </c>
      <c r="R1103" s="27">
        <v>1</v>
      </c>
      <c r="S1103" s="27">
        <v>0</v>
      </c>
      <c r="T1103" s="27">
        <v>-1.8E-3</v>
      </c>
      <c r="U1103" s="27">
        <v>-1.2E-2</v>
      </c>
      <c r="V1103" s="27">
        <v>0</v>
      </c>
      <c r="W1103" s="27">
        <v>0</v>
      </c>
      <c r="X1103" s="27" t="s">
        <v>15</v>
      </c>
    </row>
    <row r="1104" spans="1:24">
      <c r="A1104" s="27">
        <v>2</v>
      </c>
      <c r="B1104" s="27">
        <v>3</v>
      </c>
      <c r="C1104" s="27">
        <v>8</v>
      </c>
      <c r="D1104" s="27">
        <v>2015</v>
      </c>
      <c r="E1104" s="27">
        <v>2019</v>
      </c>
      <c r="F1104" s="27">
        <v>4</v>
      </c>
      <c r="G1104" s="27">
        <v>39</v>
      </c>
      <c r="H1104" s="27">
        <v>2</v>
      </c>
      <c r="I1104" s="27">
        <v>0</v>
      </c>
      <c r="J1104" s="27">
        <v>0</v>
      </c>
      <c r="K1104" s="27">
        <v>4.0999999999999996</v>
      </c>
      <c r="L1104" s="27">
        <v>2475</v>
      </c>
      <c r="M1104" s="27">
        <v>0</v>
      </c>
      <c r="N1104" s="27">
        <v>0</v>
      </c>
      <c r="O1104" s="27">
        <v>0</v>
      </c>
      <c r="P1104" s="27" t="s">
        <v>13</v>
      </c>
      <c r="Q1104" s="27">
        <v>1993</v>
      </c>
      <c r="R1104" s="27">
        <v>1</v>
      </c>
      <c r="S1104" s="27">
        <v>0</v>
      </c>
      <c r="T1104" s="27">
        <v>-1.8E-3</v>
      </c>
      <c r="U1104" s="27">
        <v>-1.2E-2</v>
      </c>
      <c r="V1104" s="27">
        <v>0</v>
      </c>
      <c r="W1104" s="27">
        <v>0</v>
      </c>
      <c r="X1104" s="27" t="s">
        <v>15</v>
      </c>
    </row>
    <row r="1105" spans="1:24">
      <c r="A1105" s="27">
        <v>2</v>
      </c>
      <c r="B1105" s="27">
        <v>3</v>
      </c>
      <c r="C1105" s="27">
        <v>8</v>
      </c>
      <c r="D1105" s="27">
        <v>2015</v>
      </c>
      <c r="E1105" s="27">
        <v>2019</v>
      </c>
      <c r="F1105" s="27">
        <v>5</v>
      </c>
      <c r="G1105" s="27">
        <v>39</v>
      </c>
      <c r="H1105" s="27">
        <v>2</v>
      </c>
      <c r="I1105" s="27">
        <v>0</v>
      </c>
      <c r="J1105" s="27">
        <v>0</v>
      </c>
      <c r="K1105" s="27">
        <v>4.0999999999999996</v>
      </c>
      <c r="L1105" s="27">
        <v>2475</v>
      </c>
      <c r="M1105" s="27">
        <v>0</v>
      </c>
      <c r="N1105" s="27">
        <v>0</v>
      </c>
      <c r="O1105" s="27">
        <v>0</v>
      </c>
      <c r="P1105" s="27" t="s">
        <v>13</v>
      </c>
      <c r="Q1105" s="27">
        <v>1993</v>
      </c>
      <c r="R1105" s="27">
        <v>1</v>
      </c>
      <c r="S1105" s="27">
        <v>0</v>
      </c>
      <c r="T1105" s="27">
        <v>-1.8E-3</v>
      </c>
      <c r="U1105" s="27">
        <v>-1.2E-2</v>
      </c>
      <c r="V1105" s="27">
        <v>0</v>
      </c>
      <c r="W1105" s="27">
        <v>0</v>
      </c>
      <c r="X1105" s="27" t="s">
        <v>15</v>
      </c>
    </row>
    <row r="1106" spans="1:24">
      <c r="A1106" s="27">
        <v>2</v>
      </c>
      <c r="B1106" s="27">
        <v>3</v>
      </c>
      <c r="C1106" s="27">
        <v>8</v>
      </c>
      <c r="D1106" s="27">
        <v>2015</v>
      </c>
      <c r="E1106" s="27">
        <v>2019</v>
      </c>
      <c r="F1106" s="27">
        <v>6</v>
      </c>
      <c r="G1106" s="27">
        <v>39</v>
      </c>
      <c r="H1106" s="27">
        <v>2</v>
      </c>
      <c r="I1106" s="27">
        <v>0</v>
      </c>
      <c r="J1106" s="27">
        <v>0</v>
      </c>
      <c r="K1106" s="27">
        <v>4.0999999999999996</v>
      </c>
      <c r="L1106" s="27">
        <v>2475</v>
      </c>
      <c r="M1106" s="27">
        <v>0</v>
      </c>
      <c r="N1106" s="27">
        <v>0</v>
      </c>
      <c r="O1106" s="27">
        <v>0</v>
      </c>
      <c r="P1106" s="27" t="s">
        <v>13</v>
      </c>
      <c r="Q1106" s="27">
        <v>1993</v>
      </c>
      <c r="R1106" s="27">
        <v>1</v>
      </c>
      <c r="S1106" s="27">
        <v>0</v>
      </c>
      <c r="T1106" s="27">
        <v>-1.8E-3</v>
      </c>
      <c r="U1106" s="27">
        <v>-1.2E-2</v>
      </c>
      <c r="V1106" s="27">
        <v>0</v>
      </c>
      <c r="W1106" s="27">
        <v>0</v>
      </c>
      <c r="X1106" s="27" t="s">
        <v>15</v>
      </c>
    </row>
    <row r="1107" spans="1:24">
      <c r="A1107" s="27">
        <v>2</v>
      </c>
      <c r="B1107" s="27">
        <v>3</v>
      </c>
      <c r="C1107" s="27">
        <v>8</v>
      </c>
      <c r="D1107" s="27">
        <v>2015</v>
      </c>
      <c r="E1107" s="27">
        <v>2019</v>
      </c>
      <c r="F1107" s="27">
        <v>7</v>
      </c>
      <c r="G1107" s="27">
        <v>39</v>
      </c>
      <c r="H1107" s="27">
        <v>2</v>
      </c>
      <c r="I1107" s="27">
        <v>0</v>
      </c>
      <c r="J1107" s="27">
        <v>0</v>
      </c>
      <c r="K1107" s="27">
        <v>4.0999999999999996</v>
      </c>
      <c r="L1107" s="27">
        <v>2475</v>
      </c>
      <c r="M1107" s="27">
        <v>0</v>
      </c>
      <c r="N1107" s="27">
        <v>0</v>
      </c>
      <c r="O1107" s="27">
        <v>0</v>
      </c>
      <c r="P1107" s="27" t="s">
        <v>13</v>
      </c>
      <c r="Q1107" s="27">
        <v>1993</v>
      </c>
      <c r="R1107" s="27">
        <v>1</v>
      </c>
      <c r="S1107" s="27">
        <v>0</v>
      </c>
      <c r="T1107" s="27">
        <v>-1.8E-3</v>
      </c>
      <c r="U1107" s="27">
        <v>-1.2E-2</v>
      </c>
      <c r="V1107" s="27">
        <v>0</v>
      </c>
      <c r="W1107" s="27">
        <v>0</v>
      </c>
      <c r="X1107" s="27" t="s">
        <v>15</v>
      </c>
    </row>
    <row r="1108" spans="1:24">
      <c r="A1108" s="27">
        <v>2</v>
      </c>
      <c r="B1108" s="27">
        <v>3</v>
      </c>
      <c r="C1108" s="27">
        <v>8</v>
      </c>
      <c r="D1108" s="27">
        <v>2015</v>
      </c>
      <c r="E1108" s="27">
        <v>2019</v>
      </c>
      <c r="F1108" s="27">
        <v>8</v>
      </c>
      <c r="G1108" s="27">
        <v>39</v>
      </c>
      <c r="H1108" s="27">
        <v>2</v>
      </c>
      <c r="I1108" s="27">
        <v>0</v>
      </c>
      <c r="J1108" s="27">
        <v>0</v>
      </c>
      <c r="K1108" s="27">
        <v>4.0999999999999996</v>
      </c>
      <c r="L1108" s="27">
        <v>2475</v>
      </c>
      <c r="M1108" s="27">
        <v>0</v>
      </c>
      <c r="N1108" s="27">
        <v>0</v>
      </c>
      <c r="O1108" s="27">
        <v>0</v>
      </c>
      <c r="P1108" s="27" t="s">
        <v>13</v>
      </c>
      <c r="Q1108" s="27">
        <v>1993</v>
      </c>
      <c r="R1108" s="27">
        <v>1</v>
      </c>
      <c r="S1108" s="27">
        <v>0</v>
      </c>
      <c r="T1108" s="27">
        <v>-1.8E-3</v>
      </c>
      <c r="U1108" s="27">
        <v>-1.2E-2</v>
      </c>
      <c r="V1108" s="27">
        <v>0</v>
      </c>
      <c r="W1108" s="27">
        <v>0</v>
      </c>
      <c r="X1108" s="27" t="s">
        <v>15</v>
      </c>
    </row>
    <row r="1109" spans="1:24">
      <c r="A1109" s="27">
        <v>2</v>
      </c>
      <c r="B1109" s="27">
        <v>3</v>
      </c>
      <c r="C1109" s="27">
        <v>8</v>
      </c>
      <c r="D1109" s="27">
        <v>2015</v>
      </c>
      <c r="E1109" s="27">
        <v>2019</v>
      </c>
      <c r="F1109" s="27">
        <v>9</v>
      </c>
      <c r="G1109" s="27">
        <v>39</v>
      </c>
      <c r="H1109" s="27">
        <v>2</v>
      </c>
      <c r="I1109" s="27">
        <v>0</v>
      </c>
      <c r="J1109" s="27">
        <v>0</v>
      </c>
      <c r="K1109" s="27">
        <v>4.0999999999999996</v>
      </c>
      <c r="L1109" s="27">
        <v>2475</v>
      </c>
      <c r="M1109" s="27">
        <v>0</v>
      </c>
      <c r="N1109" s="27">
        <v>0</v>
      </c>
      <c r="O1109" s="27">
        <v>0</v>
      </c>
      <c r="P1109" s="27" t="s">
        <v>13</v>
      </c>
      <c r="Q1109" s="27">
        <v>1993</v>
      </c>
      <c r="R1109" s="27">
        <v>1</v>
      </c>
      <c r="S1109" s="27">
        <v>0</v>
      </c>
      <c r="T1109" s="27">
        <v>-1.8E-3</v>
      </c>
      <c r="U1109" s="27">
        <v>-1.2E-2</v>
      </c>
      <c r="V1109" s="27">
        <v>0</v>
      </c>
      <c r="W1109" s="27">
        <v>0</v>
      </c>
      <c r="X1109" s="27" t="s">
        <v>15</v>
      </c>
    </row>
    <row r="1110" spans="1:24">
      <c r="A1110" s="27">
        <v>2</v>
      </c>
      <c r="B1110" s="27">
        <v>3</v>
      </c>
      <c r="C1110" s="27">
        <v>8</v>
      </c>
      <c r="D1110" s="27">
        <v>2020</v>
      </c>
      <c r="E1110" s="27">
        <v>2050</v>
      </c>
      <c r="F1110" s="27">
        <v>1</v>
      </c>
      <c r="G1110" s="27">
        <v>39</v>
      </c>
      <c r="H1110" s="27">
        <v>2</v>
      </c>
      <c r="I1110" s="27">
        <v>0</v>
      </c>
      <c r="J1110" s="27">
        <v>0</v>
      </c>
      <c r="K1110" s="27">
        <v>4.0999999999999996</v>
      </c>
      <c r="L1110" s="27">
        <v>2475</v>
      </c>
      <c r="M1110" s="27">
        <v>0</v>
      </c>
      <c r="N1110" s="27">
        <v>0</v>
      </c>
      <c r="O1110" s="27">
        <v>0</v>
      </c>
      <c r="P1110" s="27" t="s">
        <v>13</v>
      </c>
      <c r="Q1110" s="27">
        <v>1993</v>
      </c>
      <c r="R1110" s="27">
        <v>1</v>
      </c>
      <c r="S1110" s="27">
        <v>0</v>
      </c>
      <c r="T1110" s="27">
        <v>-1.8E-3</v>
      </c>
      <c r="U1110" s="27">
        <v>-1.2E-2</v>
      </c>
      <c r="V1110" s="27">
        <v>0</v>
      </c>
      <c r="W1110" s="27">
        <v>0</v>
      </c>
      <c r="X1110" s="27" t="s">
        <v>15</v>
      </c>
    </row>
    <row r="1111" spans="1:24">
      <c r="A1111" s="27">
        <v>2</v>
      </c>
      <c r="B1111" s="27">
        <v>3</v>
      </c>
      <c r="C1111" s="27">
        <v>8</v>
      </c>
      <c r="D1111" s="27">
        <v>2020</v>
      </c>
      <c r="E1111" s="27">
        <v>2050</v>
      </c>
      <c r="F1111" s="27">
        <v>2</v>
      </c>
      <c r="G1111" s="27">
        <v>39</v>
      </c>
      <c r="H1111" s="27">
        <v>2</v>
      </c>
      <c r="I1111" s="27">
        <v>0</v>
      </c>
      <c r="J1111" s="27">
        <v>0</v>
      </c>
      <c r="K1111" s="27">
        <v>4.0999999999999996</v>
      </c>
      <c r="L1111" s="27">
        <v>2475</v>
      </c>
      <c r="M1111" s="27">
        <v>0</v>
      </c>
      <c r="N1111" s="27">
        <v>0</v>
      </c>
      <c r="O1111" s="27">
        <v>0</v>
      </c>
      <c r="P1111" s="27" t="s">
        <v>13</v>
      </c>
      <c r="Q1111" s="27">
        <v>1993</v>
      </c>
      <c r="R1111" s="27">
        <v>1</v>
      </c>
      <c r="S1111" s="27">
        <v>0</v>
      </c>
      <c r="T1111" s="27">
        <v>-1.8E-3</v>
      </c>
      <c r="U1111" s="27">
        <v>-1.2E-2</v>
      </c>
      <c r="V1111" s="27">
        <v>0</v>
      </c>
      <c r="W1111" s="27">
        <v>0</v>
      </c>
      <c r="X1111" s="27" t="s">
        <v>15</v>
      </c>
    </row>
    <row r="1112" spans="1:24">
      <c r="A1112" s="27">
        <v>2</v>
      </c>
      <c r="B1112" s="27">
        <v>3</v>
      </c>
      <c r="C1112" s="27">
        <v>8</v>
      </c>
      <c r="D1112" s="27">
        <v>2020</v>
      </c>
      <c r="E1112" s="27">
        <v>2050</v>
      </c>
      <c r="F1112" s="27">
        <v>3</v>
      </c>
      <c r="G1112" s="27">
        <v>39</v>
      </c>
      <c r="H1112" s="27">
        <v>2</v>
      </c>
      <c r="I1112" s="27">
        <v>0</v>
      </c>
      <c r="J1112" s="27">
        <v>0</v>
      </c>
      <c r="K1112" s="27">
        <v>4.0999999999999996</v>
      </c>
      <c r="L1112" s="27">
        <v>2475</v>
      </c>
      <c r="M1112" s="27">
        <v>0</v>
      </c>
      <c r="N1112" s="27">
        <v>0</v>
      </c>
      <c r="O1112" s="27">
        <v>0</v>
      </c>
      <c r="P1112" s="27" t="s">
        <v>13</v>
      </c>
      <c r="Q1112" s="27">
        <v>1993</v>
      </c>
      <c r="R1112" s="27">
        <v>1</v>
      </c>
      <c r="S1112" s="27">
        <v>0</v>
      </c>
      <c r="T1112" s="27">
        <v>-1.8E-3</v>
      </c>
      <c r="U1112" s="27">
        <v>-1.2E-2</v>
      </c>
      <c r="V1112" s="27">
        <v>0</v>
      </c>
      <c r="W1112" s="27">
        <v>0</v>
      </c>
      <c r="X1112" s="27" t="s">
        <v>15</v>
      </c>
    </row>
    <row r="1113" spans="1:24">
      <c r="A1113" s="27">
        <v>2</v>
      </c>
      <c r="B1113" s="27">
        <v>3</v>
      </c>
      <c r="C1113" s="27">
        <v>8</v>
      </c>
      <c r="D1113" s="27">
        <v>2020</v>
      </c>
      <c r="E1113" s="27">
        <v>2050</v>
      </c>
      <c r="F1113" s="27">
        <v>4</v>
      </c>
      <c r="G1113" s="27">
        <v>39</v>
      </c>
      <c r="H1113" s="27">
        <v>2</v>
      </c>
      <c r="I1113" s="27">
        <v>0</v>
      </c>
      <c r="J1113" s="27">
        <v>0</v>
      </c>
      <c r="K1113" s="27">
        <v>4.0999999999999996</v>
      </c>
      <c r="L1113" s="27">
        <v>2475</v>
      </c>
      <c r="M1113" s="27">
        <v>0</v>
      </c>
      <c r="N1113" s="27">
        <v>0</v>
      </c>
      <c r="O1113" s="27">
        <v>0</v>
      </c>
      <c r="P1113" s="27" t="s">
        <v>13</v>
      </c>
      <c r="Q1113" s="27">
        <v>1993</v>
      </c>
      <c r="R1113" s="27">
        <v>1</v>
      </c>
      <c r="S1113" s="27">
        <v>0</v>
      </c>
      <c r="T1113" s="27">
        <v>-1.8E-3</v>
      </c>
      <c r="U1113" s="27">
        <v>-1.2E-2</v>
      </c>
      <c r="V1113" s="27">
        <v>0</v>
      </c>
      <c r="W1113" s="27">
        <v>0</v>
      </c>
      <c r="X1113" s="27" t="s">
        <v>15</v>
      </c>
    </row>
    <row r="1114" spans="1:24">
      <c r="A1114" s="27">
        <v>2</v>
      </c>
      <c r="B1114" s="27">
        <v>3</v>
      </c>
      <c r="C1114" s="27">
        <v>8</v>
      </c>
      <c r="D1114" s="27">
        <v>2020</v>
      </c>
      <c r="E1114" s="27">
        <v>2050</v>
      </c>
      <c r="F1114" s="27">
        <v>5</v>
      </c>
      <c r="G1114" s="27">
        <v>39</v>
      </c>
      <c r="H1114" s="27">
        <v>2</v>
      </c>
      <c r="I1114" s="27">
        <v>0</v>
      </c>
      <c r="J1114" s="27">
        <v>0</v>
      </c>
      <c r="K1114" s="27">
        <v>4.0999999999999996</v>
      </c>
      <c r="L1114" s="27">
        <v>2475</v>
      </c>
      <c r="M1114" s="27">
        <v>0</v>
      </c>
      <c r="N1114" s="27">
        <v>0</v>
      </c>
      <c r="O1114" s="27">
        <v>0</v>
      </c>
      <c r="P1114" s="27" t="s">
        <v>13</v>
      </c>
      <c r="Q1114" s="27">
        <v>1993</v>
      </c>
      <c r="R1114" s="27">
        <v>1</v>
      </c>
      <c r="S1114" s="27">
        <v>0</v>
      </c>
      <c r="T1114" s="27">
        <v>-1.8E-3</v>
      </c>
      <c r="U1114" s="27">
        <v>-1.2E-2</v>
      </c>
      <c r="V1114" s="27">
        <v>0</v>
      </c>
      <c r="W1114" s="27">
        <v>0</v>
      </c>
      <c r="X1114" s="27" t="s">
        <v>15</v>
      </c>
    </row>
    <row r="1115" spans="1:24">
      <c r="A1115" s="27">
        <v>2</v>
      </c>
      <c r="B1115" s="27">
        <v>3</v>
      </c>
      <c r="C1115" s="27">
        <v>8</v>
      </c>
      <c r="D1115" s="27">
        <v>2020</v>
      </c>
      <c r="E1115" s="27">
        <v>2050</v>
      </c>
      <c r="F1115" s="27">
        <v>6</v>
      </c>
      <c r="G1115" s="27">
        <v>39</v>
      </c>
      <c r="H1115" s="27">
        <v>2</v>
      </c>
      <c r="I1115" s="27">
        <v>0</v>
      </c>
      <c r="J1115" s="27">
        <v>0</v>
      </c>
      <c r="K1115" s="27">
        <v>4.0999999999999996</v>
      </c>
      <c r="L1115" s="27">
        <v>2475</v>
      </c>
      <c r="M1115" s="27">
        <v>0</v>
      </c>
      <c r="N1115" s="27">
        <v>0</v>
      </c>
      <c r="O1115" s="27">
        <v>0</v>
      </c>
      <c r="P1115" s="27" t="s">
        <v>13</v>
      </c>
      <c r="Q1115" s="27">
        <v>1993</v>
      </c>
      <c r="R1115" s="27">
        <v>1</v>
      </c>
      <c r="S1115" s="27">
        <v>0</v>
      </c>
      <c r="T1115" s="27">
        <v>-1.8E-3</v>
      </c>
      <c r="U1115" s="27">
        <v>-1.2E-2</v>
      </c>
      <c r="V1115" s="27">
        <v>0</v>
      </c>
      <c r="W1115" s="27">
        <v>0</v>
      </c>
      <c r="X1115" s="27" t="s">
        <v>15</v>
      </c>
    </row>
    <row r="1116" spans="1:24">
      <c r="A1116" s="27">
        <v>2</v>
      </c>
      <c r="B1116" s="27">
        <v>3</v>
      </c>
      <c r="C1116" s="27">
        <v>8</v>
      </c>
      <c r="D1116" s="27">
        <v>2020</v>
      </c>
      <c r="E1116" s="27">
        <v>2050</v>
      </c>
      <c r="F1116" s="27">
        <v>7</v>
      </c>
      <c r="G1116" s="27">
        <v>39</v>
      </c>
      <c r="H1116" s="27">
        <v>2</v>
      </c>
      <c r="I1116" s="27">
        <v>0</v>
      </c>
      <c r="J1116" s="27">
        <v>0</v>
      </c>
      <c r="K1116" s="27">
        <v>4.0999999999999996</v>
      </c>
      <c r="L1116" s="27">
        <v>2475</v>
      </c>
      <c r="M1116" s="27">
        <v>0</v>
      </c>
      <c r="N1116" s="27">
        <v>0</v>
      </c>
      <c r="O1116" s="27">
        <v>0</v>
      </c>
      <c r="P1116" s="27" t="s">
        <v>13</v>
      </c>
      <c r="Q1116" s="27">
        <v>1993</v>
      </c>
      <c r="R1116" s="27">
        <v>1</v>
      </c>
      <c r="S1116" s="27">
        <v>0</v>
      </c>
      <c r="T1116" s="27">
        <v>-1.8E-3</v>
      </c>
      <c r="U1116" s="27">
        <v>-1.2E-2</v>
      </c>
      <c r="V1116" s="27">
        <v>0</v>
      </c>
      <c r="W1116" s="27">
        <v>0</v>
      </c>
      <c r="X1116" s="27" t="s">
        <v>15</v>
      </c>
    </row>
    <row r="1117" spans="1:24">
      <c r="A1117" s="27">
        <v>2</v>
      </c>
      <c r="B1117" s="27">
        <v>3</v>
      </c>
      <c r="C1117" s="27">
        <v>8</v>
      </c>
      <c r="D1117" s="27">
        <v>2020</v>
      </c>
      <c r="E1117" s="27">
        <v>2050</v>
      </c>
      <c r="F1117" s="27">
        <v>8</v>
      </c>
      <c r="G1117" s="27">
        <v>39</v>
      </c>
      <c r="H1117" s="27">
        <v>2</v>
      </c>
      <c r="I1117" s="27">
        <v>0</v>
      </c>
      <c r="J1117" s="27">
        <v>0</v>
      </c>
      <c r="K1117" s="27">
        <v>4.0999999999999996</v>
      </c>
      <c r="L1117" s="27">
        <v>2475</v>
      </c>
      <c r="M1117" s="27">
        <v>0</v>
      </c>
      <c r="N1117" s="27">
        <v>0</v>
      </c>
      <c r="O1117" s="27">
        <v>0</v>
      </c>
      <c r="P1117" s="27" t="s">
        <v>13</v>
      </c>
      <c r="Q1117" s="27">
        <v>1993</v>
      </c>
      <c r="R1117" s="27">
        <v>1</v>
      </c>
      <c r="S1117" s="27">
        <v>0</v>
      </c>
      <c r="T1117" s="27">
        <v>-1.8E-3</v>
      </c>
      <c r="U1117" s="27">
        <v>-1.2E-2</v>
      </c>
      <c r="V1117" s="27">
        <v>0</v>
      </c>
      <c r="W1117" s="27">
        <v>0</v>
      </c>
      <c r="X1117" s="27" t="s">
        <v>15</v>
      </c>
    </row>
    <row r="1118" spans="1:24">
      <c r="A1118" s="27">
        <v>2</v>
      </c>
      <c r="B1118" s="27">
        <v>3</v>
      </c>
      <c r="C1118" s="27">
        <v>8</v>
      </c>
      <c r="D1118" s="27">
        <v>2020</v>
      </c>
      <c r="E1118" s="27">
        <v>2050</v>
      </c>
      <c r="F1118" s="27">
        <v>9</v>
      </c>
      <c r="G1118" s="27">
        <v>39</v>
      </c>
      <c r="H1118" s="27">
        <v>2</v>
      </c>
      <c r="I1118" s="27">
        <v>0</v>
      </c>
      <c r="J1118" s="27">
        <v>0</v>
      </c>
      <c r="K1118" s="27">
        <v>4.0999999999999996</v>
      </c>
      <c r="L1118" s="27">
        <v>2475</v>
      </c>
      <c r="M1118" s="27">
        <v>0</v>
      </c>
      <c r="N1118" s="27">
        <v>0</v>
      </c>
      <c r="O1118" s="27">
        <v>0</v>
      </c>
      <c r="P1118" s="27" t="s">
        <v>13</v>
      </c>
      <c r="Q1118" s="27">
        <v>1993</v>
      </c>
      <c r="R1118" s="27">
        <v>1</v>
      </c>
      <c r="S1118" s="27">
        <v>0</v>
      </c>
      <c r="T1118" s="27">
        <v>-1.8E-3</v>
      </c>
      <c r="U1118" s="27">
        <v>-1.2E-2</v>
      </c>
      <c r="V1118" s="27">
        <v>0</v>
      </c>
      <c r="W1118" s="27">
        <v>0</v>
      </c>
      <c r="X1118" s="27" t="s">
        <v>15</v>
      </c>
    </row>
    <row r="1119" spans="1:24">
      <c r="A1119" s="27">
        <v>2</v>
      </c>
      <c r="B1119" s="27">
        <v>3</v>
      </c>
      <c r="C1119" s="27">
        <v>9</v>
      </c>
      <c r="D1119" s="27">
        <v>2010</v>
      </c>
      <c r="E1119" s="27">
        <v>2014</v>
      </c>
      <c r="F1119" s="27">
        <v>1</v>
      </c>
      <c r="G1119" s="27">
        <v>40</v>
      </c>
      <c r="H1119" s="27">
        <v>3</v>
      </c>
      <c r="I1119" s="27">
        <v>0</v>
      </c>
      <c r="J1119" s="27">
        <v>0</v>
      </c>
      <c r="K1119" s="27">
        <v>4.4000000000000004</v>
      </c>
      <c r="L1119" s="27">
        <v>3475</v>
      </c>
      <c r="M1119" s="27">
        <v>0</v>
      </c>
      <c r="N1119" s="27">
        <v>0</v>
      </c>
      <c r="O1119" s="27">
        <v>0</v>
      </c>
      <c r="P1119" s="27" t="s">
        <v>13</v>
      </c>
      <c r="Q1119" s="27">
        <v>1993</v>
      </c>
      <c r="R1119" s="27">
        <v>1</v>
      </c>
      <c r="S1119" s="27">
        <v>0</v>
      </c>
      <c r="T1119" s="27">
        <v>-1.8E-3</v>
      </c>
      <c r="U1119" s="27">
        <v>-1.2E-2</v>
      </c>
      <c r="V1119" s="27">
        <v>0</v>
      </c>
      <c r="W1119" s="27">
        <v>0</v>
      </c>
      <c r="X1119" s="27" t="s">
        <v>16</v>
      </c>
    </row>
    <row r="1120" spans="1:24">
      <c r="A1120" s="27">
        <v>2</v>
      </c>
      <c r="B1120" s="27">
        <v>3</v>
      </c>
      <c r="C1120" s="27">
        <v>9</v>
      </c>
      <c r="D1120" s="27">
        <v>2010</v>
      </c>
      <c r="E1120" s="27">
        <v>2014</v>
      </c>
      <c r="F1120" s="27">
        <v>2</v>
      </c>
      <c r="G1120" s="27">
        <v>40</v>
      </c>
      <c r="H1120" s="27">
        <v>3</v>
      </c>
      <c r="I1120" s="27">
        <v>0</v>
      </c>
      <c r="J1120" s="27">
        <v>0</v>
      </c>
      <c r="K1120" s="27">
        <v>4.4000000000000004</v>
      </c>
      <c r="L1120" s="27">
        <v>3475</v>
      </c>
      <c r="M1120" s="27">
        <v>0</v>
      </c>
      <c r="N1120" s="27">
        <v>0</v>
      </c>
      <c r="O1120" s="27">
        <v>0</v>
      </c>
      <c r="P1120" s="27" t="s">
        <v>13</v>
      </c>
      <c r="Q1120" s="27">
        <v>1993</v>
      </c>
      <c r="R1120" s="27">
        <v>1</v>
      </c>
      <c r="S1120" s="27">
        <v>0</v>
      </c>
      <c r="T1120" s="27">
        <v>-1.8E-3</v>
      </c>
      <c r="U1120" s="27">
        <v>-1.2E-2</v>
      </c>
      <c r="V1120" s="27">
        <v>0</v>
      </c>
      <c r="W1120" s="27">
        <v>0</v>
      </c>
      <c r="X1120" s="27" t="s">
        <v>16</v>
      </c>
    </row>
    <row r="1121" spans="1:24">
      <c r="A1121" s="27">
        <v>2</v>
      </c>
      <c r="B1121" s="27">
        <v>3</v>
      </c>
      <c r="C1121" s="27">
        <v>9</v>
      </c>
      <c r="D1121" s="27">
        <v>2010</v>
      </c>
      <c r="E1121" s="27">
        <v>2014</v>
      </c>
      <c r="F1121" s="27">
        <v>3</v>
      </c>
      <c r="G1121" s="27">
        <v>40</v>
      </c>
      <c r="H1121" s="27">
        <v>3</v>
      </c>
      <c r="I1121" s="27">
        <v>0</v>
      </c>
      <c r="J1121" s="27">
        <v>0</v>
      </c>
      <c r="K1121" s="27">
        <v>4.4000000000000004</v>
      </c>
      <c r="L1121" s="27">
        <v>3475</v>
      </c>
      <c r="M1121" s="27">
        <v>0</v>
      </c>
      <c r="N1121" s="27">
        <v>0</v>
      </c>
      <c r="O1121" s="27">
        <v>0</v>
      </c>
      <c r="P1121" s="27" t="s">
        <v>13</v>
      </c>
      <c r="Q1121" s="27">
        <v>1993</v>
      </c>
      <c r="R1121" s="27">
        <v>1</v>
      </c>
      <c r="S1121" s="27">
        <v>0</v>
      </c>
      <c r="T1121" s="27">
        <v>-1.8E-3</v>
      </c>
      <c r="U1121" s="27">
        <v>-1.2E-2</v>
      </c>
      <c r="V1121" s="27">
        <v>0</v>
      </c>
      <c r="W1121" s="27">
        <v>0</v>
      </c>
      <c r="X1121" s="27" t="s">
        <v>16</v>
      </c>
    </row>
    <row r="1122" spans="1:24">
      <c r="A1122" s="27">
        <v>2</v>
      </c>
      <c r="B1122" s="27">
        <v>3</v>
      </c>
      <c r="C1122" s="27">
        <v>9</v>
      </c>
      <c r="D1122" s="27">
        <v>2010</v>
      </c>
      <c r="E1122" s="27">
        <v>2014</v>
      </c>
      <c r="F1122" s="27">
        <v>4</v>
      </c>
      <c r="G1122" s="27">
        <v>40</v>
      </c>
      <c r="H1122" s="27">
        <v>3</v>
      </c>
      <c r="I1122" s="27">
        <v>0</v>
      </c>
      <c r="J1122" s="27">
        <v>0</v>
      </c>
      <c r="K1122" s="27">
        <v>4.4000000000000004</v>
      </c>
      <c r="L1122" s="27">
        <v>3475</v>
      </c>
      <c r="M1122" s="27">
        <v>0</v>
      </c>
      <c r="N1122" s="27">
        <v>0</v>
      </c>
      <c r="O1122" s="27">
        <v>0</v>
      </c>
      <c r="P1122" s="27" t="s">
        <v>13</v>
      </c>
      <c r="Q1122" s="27">
        <v>1993</v>
      </c>
      <c r="R1122" s="27">
        <v>1</v>
      </c>
      <c r="S1122" s="27">
        <v>0</v>
      </c>
      <c r="T1122" s="27">
        <v>-1.8E-3</v>
      </c>
      <c r="U1122" s="27">
        <v>-1.2E-2</v>
      </c>
      <c r="V1122" s="27">
        <v>0</v>
      </c>
      <c r="W1122" s="27">
        <v>0</v>
      </c>
      <c r="X1122" s="27" t="s">
        <v>16</v>
      </c>
    </row>
    <row r="1123" spans="1:24">
      <c r="A1123" s="27">
        <v>2</v>
      </c>
      <c r="B1123" s="27">
        <v>3</v>
      </c>
      <c r="C1123" s="27">
        <v>9</v>
      </c>
      <c r="D1123" s="27">
        <v>2010</v>
      </c>
      <c r="E1123" s="27">
        <v>2014</v>
      </c>
      <c r="F1123" s="27">
        <v>5</v>
      </c>
      <c r="G1123" s="27">
        <v>40</v>
      </c>
      <c r="H1123" s="27">
        <v>3</v>
      </c>
      <c r="I1123" s="27">
        <v>0</v>
      </c>
      <c r="J1123" s="27">
        <v>0</v>
      </c>
      <c r="K1123" s="27">
        <v>4.4000000000000004</v>
      </c>
      <c r="L1123" s="27">
        <v>3475</v>
      </c>
      <c r="M1123" s="27">
        <v>0</v>
      </c>
      <c r="N1123" s="27">
        <v>0</v>
      </c>
      <c r="O1123" s="27">
        <v>0</v>
      </c>
      <c r="P1123" s="27" t="s">
        <v>13</v>
      </c>
      <c r="Q1123" s="27">
        <v>1993</v>
      </c>
      <c r="R1123" s="27">
        <v>1</v>
      </c>
      <c r="S1123" s="27">
        <v>0</v>
      </c>
      <c r="T1123" s="27">
        <v>-1.8E-3</v>
      </c>
      <c r="U1123" s="27">
        <v>-1.2E-2</v>
      </c>
      <c r="V1123" s="27">
        <v>0</v>
      </c>
      <c r="W1123" s="27">
        <v>0</v>
      </c>
      <c r="X1123" s="27" t="s">
        <v>16</v>
      </c>
    </row>
    <row r="1124" spans="1:24">
      <c r="A1124" s="27">
        <v>2</v>
      </c>
      <c r="B1124" s="27">
        <v>3</v>
      </c>
      <c r="C1124" s="27">
        <v>9</v>
      </c>
      <c r="D1124" s="27">
        <v>2010</v>
      </c>
      <c r="E1124" s="27">
        <v>2014</v>
      </c>
      <c r="F1124" s="27">
        <v>6</v>
      </c>
      <c r="G1124" s="27">
        <v>40</v>
      </c>
      <c r="H1124" s="27">
        <v>3</v>
      </c>
      <c r="I1124" s="27">
        <v>0</v>
      </c>
      <c r="J1124" s="27">
        <v>0</v>
      </c>
      <c r="K1124" s="27">
        <v>4.4000000000000004</v>
      </c>
      <c r="L1124" s="27">
        <v>3475</v>
      </c>
      <c r="M1124" s="27">
        <v>0</v>
      </c>
      <c r="N1124" s="27">
        <v>0</v>
      </c>
      <c r="O1124" s="27">
        <v>0</v>
      </c>
      <c r="P1124" s="27" t="s">
        <v>13</v>
      </c>
      <c r="Q1124" s="27">
        <v>1993</v>
      </c>
      <c r="R1124" s="27">
        <v>1</v>
      </c>
      <c r="S1124" s="27">
        <v>0</v>
      </c>
      <c r="T1124" s="27">
        <v>-1.8E-3</v>
      </c>
      <c r="U1124" s="27">
        <v>-1.2E-2</v>
      </c>
      <c r="V1124" s="27">
        <v>0</v>
      </c>
      <c r="W1124" s="27">
        <v>0</v>
      </c>
      <c r="X1124" s="27" t="s">
        <v>16</v>
      </c>
    </row>
    <row r="1125" spans="1:24">
      <c r="A1125" s="27">
        <v>2</v>
      </c>
      <c r="B1125" s="27">
        <v>3</v>
      </c>
      <c r="C1125" s="27">
        <v>9</v>
      </c>
      <c r="D1125" s="27">
        <v>2010</v>
      </c>
      <c r="E1125" s="27">
        <v>2014</v>
      </c>
      <c r="F1125" s="27">
        <v>7</v>
      </c>
      <c r="G1125" s="27">
        <v>40</v>
      </c>
      <c r="H1125" s="27">
        <v>3</v>
      </c>
      <c r="I1125" s="27">
        <v>0</v>
      </c>
      <c r="J1125" s="27">
        <v>0</v>
      </c>
      <c r="K1125" s="27">
        <v>4.4000000000000004</v>
      </c>
      <c r="L1125" s="27">
        <v>3475</v>
      </c>
      <c r="M1125" s="27">
        <v>0</v>
      </c>
      <c r="N1125" s="27">
        <v>0</v>
      </c>
      <c r="O1125" s="27">
        <v>0</v>
      </c>
      <c r="P1125" s="27" t="s">
        <v>13</v>
      </c>
      <c r="Q1125" s="27">
        <v>1993</v>
      </c>
      <c r="R1125" s="27">
        <v>1</v>
      </c>
      <c r="S1125" s="27">
        <v>0</v>
      </c>
      <c r="T1125" s="27">
        <v>-1.8E-3</v>
      </c>
      <c r="U1125" s="27">
        <v>-1.2E-2</v>
      </c>
      <c r="V1125" s="27">
        <v>0</v>
      </c>
      <c r="W1125" s="27">
        <v>0</v>
      </c>
      <c r="X1125" s="27" t="s">
        <v>16</v>
      </c>
    </row>
    <row r="1126" spans="1:24">
      <c r="A1126" s="27">
        <v>2</v>
      </c>
      <c r="B1126" s="27">
        <v>3</v>
      </c>
      <c r="C1126" s="27">
        <v>9</v>
      </c>
      <c r="D1126" s="27">
        <v>2010</v>
      </c>
      <c r="E1126" s="27">
        <v>2014</v>
      </c>
      <c r="F1126" s="27">
        <v>8</v>
      </c>
      <c r="G1126" s="27">
        <v>40</v>
      </c>
      <c r="H1126" s="27">
        <v>3</v>
      </c>
      <c r="I1126" s="27">
        <v>0</v>
      </c>
      <c r="J1126" s="27">
        <v>0</v>
      </c>
      <c r="K1126" s="27">
        <v>4.4000000000000004</v>
      </c>
      <c r="L1126" s="27">
        <v>3475</v>
      </c>
      <c r="M1126" s="27">
        <v>0</v>
      </c>
      <c r="N1126" s="27">
        <v>0</v>
      </c>
      <c r="O1126" s="27">
        <v>0</v>
      </c>
      <c r="P1126" s="27" t="s">
        <v>13</v>
      </c>
      <c r="Q1126" s="27">
        <v>1993</v>
      </c>
      <c r="R1126" s="27">
        <v>1</v>
      </c>
      <c r="S1126" s="27">
        <v>0</v>
      </c>
      <c r="T1126" s="27">
        <v>-1.8E-3</v>
      </c>
      <c r="U1126" s="27">
        <v>-1.2E-2</v>
      </c>
      <c r="V1126" s="27">
        <v>0</v>
      </c>
      <c r="W1126" s="27">
        <v>0</v>
      </c>
      <c r="X1126" s="27" t="s">
        <v>16</v>
      </c>
    </row>
    <row r="1127" spans="1:24">
      <c r="A1127" s="27">
        <v>2</v>
      </c>
      <c r="B1127" s="27">
        <v>3</v>
      </c>
      <c r="C1127" s="27">
        <v>9</v>
      </c>
      <c r="D1127" s="27">
        <v>2010</v>
      </c>
      <c r="E1127" s="27">
        <v>2014</v>
      </c>
      <c r="F1127" s="27">
        <v>9</v>
      </c>
      <c r="G1127" s="27">
        <v>40</v>
      </c>
      <c r="H1127" s="27">
        <v>3</v>
      </c>
      <c r="I1127" s="27">
        <v>0</v>
      </c>
      <c r="J1127" s="27">
        <v>0</v>
      </c>
      <c r="K1127" s="27">
        <v>4.4000000000000004</v>
      </c>
      <c r="L1127" s="27">
        <v>3475</v>
      </c>
      <c r="M1127" s="27">
        <v>0</v>
      </c>
      <c r="N1127" s="27">
        <v>0</v>
      </c>
      <c r="O1127" s="27">
        <v>0</v>
      </c>
      <c r="P1127" s="27" t="s">
        <v>13</v>
      </c>
      <c r="Q1127" s="27">
        <v>1993</v>
      </c>
      <c r="R1127" s="27">
        <v>1</v>
      </c>
      <c r="S1127" s="27">
        <v>0</v>
      </c>
      <c r="T1127" s="27">
        <v>-1.8E-3</v>
      </c>
      <c r="U1127" s="27">
        <v>-1.2E-2</v>
      </c>
      <c r="V1127" s="27">
        <v>0</v>
      </c>
      <c r="W1127" s="27">
        <v>0</v>
      </c>
      <c r="X1127" s="27" t="s">
        <v>16</v>
      </c>
    </row>
    <row r="1128" spans="1:24">
      <c r="A1128" s="27">
        <v>2</v>
      </c>
      <c r="B1128" s="27">
        <v>3</v>
      </c>
      <c r="C1128" s="27">
        <v>9</v>
      </c>
      <c r="D1128" s="27">
        <v>2015</v>
      </c>
      <c r="E1128" s="27">
        <v>2050</v>
      </c>
      <c r="F1128" s="27">
        <v>1</v>
      </c>
      <c r="G1128" s="27">
        <v>40</v>
      </c>
      <c r="H1128" s="27">
        <v>3</v>
      </c>
      <c r="I1128" s="27">
        <v>0</v>
      </c>
      <c r="J1128" s="27">
        <v>0</v>
      </c>
      <c r="K1128" s="27">
        <v>4.4000000000000004</v>
      </c>
      <c r="L1128" s="27">
        <v>3475</v>
      </c>
      <c r="M1128" s="27">
        <v>0</v>
      </c>
      <c r="N1128" s="27">
        <v>0</v>
      </c>
      <c r="O1128" s="27">
        <v>0</v>
      </c>
      <c r="P1128" s="27" t="s">
        <v>13</v>
      </c>
      <c r="Q1128" s="27">
        <v>1993</v>
      </c>
      <c r="R1128" s="27">
        <v>1</v>
      </c>
      <c r="S1128" s="27">
        <v>0</v>
      </c>
      <c r="T1128" s="27">
        <v>-1.8E-3</v>
      </c>
      <c r="U1128" s="27">
        <v>-1.2E-2</v>
      </c>
      <c r="V1128" s="27">
        <v>0</v>
      </c>
      <c r="W1128" s="27">
        <v>0</v>
      </c>
      <c r="X1128" s="27" t="s">
        <v>16</v>
      </c>
    </row>
    <row r="1129" spans="1:24">
      <c r="A1129" s="27">
        <v>2</v>
      </c>
      <c r="B1129" s="27">
        <v>3</v>
      </c>
      <c r="C1129" s="27">
        <v>9</v>
      </c>
      <c r="D1129" s="27">
        <v>2015</v>
      </c>
      <c r="E1129" s="27">
        <v>2050</v>
      </c>
      <c r="F1129" s="27">
        <v>2</v>
      </c>
      <c r="G1129" s="27">
        <v>40</v>
      </c>
      <c r="H1129" s="27">
        <v>3</v>
      </c>
      <c r="I1129" s="27">
        <v>0</v>
      </c>
      <c r="J1129" s="27">
        <v>0</v>
      </c>
      <c r="K1129" s="27">
        <v>4.4000000000000004</v>
      </c>
      <c r="L1129" s="27">
        <v>3475</v>
      </c>
      <c r="M1129" s="27">
        <v>0</v>
      </c>
      <c r="N1129" s="27">
        <v>0</v>
      </c>
      <c r="O1129" s="27">
        <v>0</v>
      </c>
      <c r="P1129" s="27" t="s">
        <v>13</v>
      </c>
      <c r="Q1129" s="27">
        <v>1993</v>
      </c>
      <c r="R1129" s="27">
        <v>1</v>
      </c>
      <c r="S1129" s="27">
        <v>0</v>
      </c>
      <c r="T1129" s="27">
        <v>-1.8E-3</v>
      </c>
      <c r="U1129" s="27">
        <v>-1.2E-2</v>
      </c>
      <c r="V1129" s="27">
        <v>0</v>
      </c>
      <c r="W1129" s="27">
        <v>0</v>
      </c>
      <c r="X1129" s="27" t="s">
        <v>16</v>
      </c>
    </row>
    <row r="1130" spans="1:24">
      <c r="A1130" s="27">
        <v>2</v>
      </c>
      <c r="B1130" s="27">
        <v>3</v>
      </c>
      <c r="C1130" s="27">
        <v>9</v>
      </c>
      <c r="D1130" s="27">
        <v>2015</v>
      </c>
      <c r="E1130" s="27">
        <v>2050</v>
      </c>
      <c r="F1130" s="27">
        <v>3</v>
      </c>
      <c r="G1130" s="27">
        <v>40</v>
      </c>
      <c r="H1130" s="27">
        <v>3</v>
      </c>
      <c r="I1130" s="27">
        <v>0</v>
      </c>
      <c r="J1130" s="27">
        <v>0</v>
      </c>
      <c r="K1130" s="27">
        <v>4.4000000000000004</v>
      </c>
      <c r="L1130" s="27">
        <v>3475</v>
      </c>
      <c r="M1130" s="27">
        <v>0</v>
      </c>
      <c r="N1130" s="27">
        <v>0</v>
      </c>
      <c r="O1130" s="27">
        <v>0</v>
      </c>
      <c r="P1130" s="27" t="s">
        <v>13</v>
      </c>
      <c r="Q1130" s="27">
        <v>1993</v>
      </c>
      <c r="R1130" s="27">
        <v>1</v>
      </c>
      <c r="S1130" s="27">
        <v>0</v>
      </c>
      <c r="T1130" s="27">
        <v>-1.8E-3</v>
      </c>
      <c r="U1130" s="27">
        <v>-1.2E-2</v>
      </c>
      <c r="V1130" s="27">
        <v>0</v>
      </c>
      <c r="W1130" s="27">
        <v>0</v>
      </c>
      <c r="X1130" s="27" t="s">
        <v>16</v>
      </c>
    </row>
    <row r="1131" spans="1:24">
      <c r="A1131" s="27">
        <v>2</v>
      </c>
      <c r="B1131" s="27">
        <v>3</v>
      </c>
      <c r="C1131" s="27">
        <v>9</v>
      </c>
      <c r="D1131" s="27">
        <v>2015</v>
      </c>
      <c r="E1131" s="27">
        <v>2050</v>
      </c>
      <c r="F1131" s="27">
        <v>4</v>
      </c>
      <c r="G1131" s="27">
        <v>40</v>
      </c>
      <c r="H1131" s="27">
        <v>3</v>
      </c>
      <c r="I1131" s="27">
        <v>0</v>
      </c>
      <c r="J1131" s="27">
        <v>0</v>
      </c>
      <c r="K1131" s="27">
        <v>4.4000000000000004</v>
      </c>
      <c r="L1131" s="27">
        <v>3475</v>
      </c>
      <c r="M1131" s="27">
        <v>0</v>
      </c>
      <c r="N1131" s="27">
        <v>0</v>
      </c>
      <c r="O1131" s="27">
        <v>0</v>
      </c>
      <c r="P1131" s="27" t="s">
        <v>13</v>
      </c>
      <c r="Q1131" s="27">
        <v>1993</v>
      </c>
      <c r="R1131" s="27">
        <v>1</v>
      </c>
      <c r="S1131" s="27">
        <v>0</v>
      </c>
      <c r="T1131" s="27">
        <v>-1.8E-3</v>
      </c>
      <c r="U1131" s="27">
        <v>-1.2E-2</v>
      </c>
      <c r="V1131" s="27">
        <v>0</v>
      </c>
      <c r="W1131" s="27">
        <v>0</v>
      </c>
      <c r="X1131" s="27" t="s">
        <v>16</v>
      </c>
    </row>
    <row r="1132" spans="1:24">
      <c r="A1132" s="27">
        <v>2</v>
      </c>
      <c r="B1132" s="27">
        <v>3</v>
      </c>
      <c r="C1132" s="27">
        <v>9</v>
      </c>
      <c r="D1132" s="27">
        <v>2015</v>
      </c>
      <c r="E1132" s="27">
        <v>2050</v>
      </c>
      <c r="F1132" s="27">
        <v>5</v>
      </c>
      <c r="G1132" s="27">
        <v>40</v>
      </c>
      <c r="H1132" s="27">
        <v>3</v>
      </c>
      <c r="I1132" s="27">
        <v>0</v>
      </c>
      <c r="J1132" s="27">
        <v>0</v>
      </c>
      <c r="K1132" s="27">
        <v>4.4000000000000004</v>
      </c>
      <c r="L1132" s="27">
        <v>3475</v>
      </c>
      <c r="M1132" s="27">
        <v>0</v>
      </c>
      <c r="N1132" s="27">
        <v>0</v>
      </c>
      <c r="O1132" s="27">
        <v>0</v>
      </c>
      <c r="P1132" s="27" t="s">
        <v>13</v>
      </c>
      <c r="Q1132" s="27">
        <v>1993</v>
      </c>
      <c r="R1132" s="27">
        <v>1</v>
      </c>
      <c r="S1132" s="27">
        <v>0</v>
      </c>
      <c r="T1132" s="27">
        <v>-1.8E-3</v>
      </c>
      <c r="U1132" s="27">
        <v>-1.2E-2</v>
      </c>
      <c r="V1132" s="27">
        <v>0</v>
      </c>
      <c r="W1132" s="27">
        <v>0</v>
      </c>
      <c r="X1132" s="27" t="s">
        <v>16</v>
      </c>
    </row>
    <row r="1133" spans="1:24">
      <c r="A1133" s="27">
        <v>2</v>
      </c>
      <c r="B1133" s="27">
        <v>3</v>
      </c>
      <c r="C1133" s="27">
        <v>9</v>
      </c>
      <c r="D1133" s="27">
        <v>2015</v>
      </c>
      <c r="E1133" s="27">
        <v>2050</v>
      </c>
      <c r="F1133" s="27">
        <v>6</v>
      </c>
      <c r="G1133" s="27">
        <v>40</v>
      </c>
      <c r="H1133" s="27">
        <v>3</v>
      </c>
      <c r="I1133" s="27">
        <v>0</v>
      </c>
      <c r="J1133" s="27">
        <v>0</v>
      </c>
      <c r="K1133" s="27">
        <v>4.4000000000000004</v>
      </c>
      <c r="L1133" s="27">
        <v>3475</v>
      </c>
      <c r="M1133" s="27">
        <v>0</v>
      </c>
      <c r="N1133" s="27">
        <v>0</v>
      </c>
      <c r="O1133" s="27">
        <v>0</v>
      </c>
      <c r="P1133" s="27" t="s">
        <v>13</v>
      </c>
      <c r="Q1133" s="27">
        <v>1993</v>
      </c>
      <c r="R1133" s="27">
        <v>1</v>
      </c>
      <c r="S1133" s="27">
        <v>0</v>
      </c>
      <c r="T1133" s="27">
        <v>-1.8E-3</v>
      </c>
      <c r="U1133" s="27">
        <v>-1.2E-2</v>
      </c>
      <c r="V1133" s="27">
        <v>0</v>
      </c>
      <c r="W1133" s="27">
        <v>0</v>
      </c>
      <c r="X1133" s="27" t="s">
        <v>16</v>
      </c>
    </row>
    <row r="1134" spans="1:24">
      <c r="A1134" s="27">
        <v>2</v>
      </c>
      <c r="B1134" s="27">
        <v>3</v>
      </c>
      <c r="C1134" s="27">
        <v>9</v>
      </c>
      <c r="D1134" s="27">
        <v>2015</v>
      </c>
      <c r="E1134" s="27">
        <v>2050</v>
      </c>
      <c r="F1134" s="27">
        <v>7</v>
      </c>
      <c r="G1134" s="27">
        <v>40</v>
      </c>
      <c r="H1134" s="27">
        <v>3</v>
      </c>
      <c r="I1134" s="27">
        <v>0</v>
      </c>
      <c r="J1134" s="27">
        <v>0</v>
      </c>
      <c r="K1134" s="27">
        <v>4.4000000000000004</v>
      </c>
      <c r="L1134" s="27">
        <v>3475</v>
      </c>
      <c r="M1134" s="27">
        <v>0</v>
      </c>
      <c r="N1134" s="27">
        <v>0</v>
      </c>
      <c r="O1134" s="27">
        <v>0</v>
      </c>
      <c r="P1134" s="27" t="s">
        <v>13</v>
      </c>
      <c r="Q1134" s="27">
        <v>1993</v>
      </c>
      <c r="R1134" s="27">
        <v>1</v>
      </c>
      <c r="S1134" s="27">
        <v>0</v>
      </c>
      <c r="T1134" s="27">
        <v>-1.8E-3</v>
      </c>
      <c r="U1134" s="27">
        <v>-1.2E-2</v>
      </c>
      <c r="V1134" s="27">
        <v>0</v>
      </c>
      <c r="W1134" s="27">
        <v>0</v>
      </c>
      <c r="X1134" s="27" t="s">
        <v>16</v>
      </c>
    </row>
    <row r="1135" spans="1:24">
      <c r="A1135" s="27">
        <v>2</v>
      </c>
      <c r="B1135" s="27">
        <v>3</v>
      </c>
      <c r="C1135" s="27">
        <v>9</v>
      </c>
      <c r="D1135" s="27">
        <v>2015</v>
      </c>
      <c r="E1135" s="27">
        <v>2050</v>
      </c>
      <c r="F1135" s="27">
        <v>8</v>
      </c>
      <c r="G1135" s="27">
        <v>40</v>
      </c>
      <c r="H1135" s="27">
        <v>3</v>
      </c>
      <c r="I1135" s="27">
        <v>0</v>
      </c>
      <c r="J1135" s="27">
        <v>0</v>
      </c>
      <c r="K1135" s="27">
        <v>4.4000000000000004</v>
      </c>
      <c r="L1135" s="27">
        <v>3475</v>
      </c>
      <c r="M1135" s="27">
        <v>0</v>
      </c>
      <c r="N1135" s="27">
        <v>0</v>
      </c>
      <c r="O1135" s="27">
        <v>0</v>
      </c>
      <c r="P1135" s="27" t="s">
        <v>13</v>
      </c>
      <c r="Q1135" s="27">
        <v>1993</v>
      </c>
      <c r="R1135" s="27">
        <v>1</v>
      </c>
      <c r="S1135" s="27">
        <v>0</v>
      </c>
      <c r="T1135" s="27">
        <v>-1.8E-3</v>
      </c>
      <c r="U1135" s="27">
        <v>-1.2E-2</v>
      </c>
      <c r="V1135" s="27">
        <v>0</v>
      </c>
      <c r="W1135" s="27">
        <v>0</v>
      </c>
      <c r="X1135" s="27" t="s">
        <v>16</v>
      </c>
    </row>
    <row r="1136" spans="1:24">
      <c r="A1136" s="27">
        <v>2</v>
      </c>
      <c r="B1136" s="27">
        <v>3</v>
      </c>
      <c r="C1136" s="27">
        <v>9</v>
      </c>
      <c r="D1136" s="27">
        <v>2015</v>
      </c>
      <c r="E1136" s="27">
        <v>2050</v>
      </c>
      <c r="F1136" s="27">
        <v>9</v>
      </c>
      <c r="G1136" s="27">
        <v>40</v>
      </c>
      <c r="H1136" s="27">
        <v>3</v>
      </c>
      <c r="I1136" s="27">
        <v>0</v>
      </c>
      <c r="J1136" s="27">
        <v>0</v>
      </c>
      <c r="K1136" s="27">
        <v>4.4000000000000004</v>
      </c>
      <c r="L1136" s="27">
        <v>3475</v>
      </c>
      <c r="M1136" s="27">
        <v>0</v>
      </c>
      <c r="N1136" s="27">
        <v>0</v>
      </c>
      <c r="O1136" s="27">
        <v>0</v>
      </c>
      <c r="P1136" s="27" t="s">
        <v>13</v>
      </c>
      <c r="Q1136" s="27">
        <v>1993</v>
      </c>
      <c r="R1136" s="27">
        <v>1</v>
      </c>
      <c r="S1136" s="27">
        <v>0</v>
      </c>
      <c r="T1136" s="27">
        <v>-1.8E-3</v>
      </c>
      <c r="U1136" s="27">
        <v>-1.2E-2</v>
      </c>
      <c r="V1136" s="27">
        <v>0</v>
      </c>
      <c r="W1136" s="27">
        <v>0</v>
      </c>
      <c r="X1136" s="27" t="s">
        <v>16</v>
      </c>
    </row>
    <row r="1137" spans="1:24">
      <c r="A1137" s="27">
        <v>2</v>
      </c>
      <c r="B1137" s="27">
        <v>3</v>
      </c>
      <c r="C1137" s="27">
        <v>10</v>
      </c>
      <c r="D1137" s="27">
        <v>2010</v>
      </c>
      <c r="E1137" s="27">
        <v>2010</v>
      </c>
      <c r="F1137" s="27">
        <v>1</v>
      </c>
      <c r="G1137" s="27">
        <v>41</v>
      </c>
      <c r="H1137" s="27">
        <v>4</v>
      </c>
      <c r="I1137" s="27">
        <v>0</v>
      </c>
      <c r="J1137" s="27">
        <v>0</v>
      </c>
      <c r="K1137" s="27">
        <v>4.6900000000000004</v>
      </c>
      <c r="L1137" s="27">
        <v>3600</v>
      </c>
      <c r="M1137" s="27">
        <v>0</v>
      </c>
      <c r="N1137" s="27">
        <v>1027</v>
      </c>
      <c r="O1137" s="27">
        <v>0</v>
      </c>
      <c r="P1137" s="27" t="s">
        <v>13</v>
      </c>
      <c r="Q1137" s="27">
        <v>1993</v>
      </c>
      <c r="R1137" s="27">
        <v>1</v>
      </c>
      <c r="S1137" s="27">
        <v>0</v>
      </c>
      <c r="T1137" s="27">
        <v>-1.8E-3</v>
      </c>
      <c r="U1137" s="27">
        <v>-1.2E-2</v>
      </c>
      <c r="V1137" s="27">
        <v>0</v>
      </c>
      <c r="W1137" s="27">
        <v>0</v>
      </c>
      <c r="X1137" s="27" t="s">
        <v>17</v>
      </c>
    </row>
    <row r="1138" spans="1:24">
      <c r="A1138" s="27">
        <v>2</v>
      </c>
      <c r="B1138" s="27">
        <v>3</v>
      </c>
      <c r="C1138" s="27">
        <v>10</v>
      </c>
      <c r="D1138" s="27">
        <v>2010</v>
      </c>
      <c r="E1138" s="27">
        <v>2010</v>
      </c>
      <c r="F1138" s="27">
        <v>2</v>
      </c>
      <c r="G1138" s="27">
        <v>41</v>
      </c>
      <c r="H1138" s="27">
        <v>4</v>
      </c>
      <c r="I1138" s="27">
        <v>0</v>
      </c>
      <c r="J1138" s="27">
        <v>0</v>
      </c>
      <c r="K1138" s="27">
        <v>4.6900000000000004</v>
      </c>
      <c r="L1138" s="27">
        <v>3600</v>
      </c>
      <c r="M1138" s="27">
        <v>0</v>
      </c>
      <c r="N1138" s="27">
        <v>1027</v>
      </c>
      <c r="O1138" s="27">
        <v>0</v>
      </c>
      <c r="P1138" s="27" t="s">
        <v>13</v>
      </c>
      <c r="Q1138" s="27">
        <v>1993</v>
      </c>
      <c r="R1138" s="27">
        <v>1</v>
      </c>
      <c r="S1138" s="27">
        <v>0</v>
      </c>
      <c r="T1138" s="27">
        <v>-1.8E-3</v>
      </c>
      <c r="U1138" s="27">
        <v>-1.2E-2</v>
      </c>
      <c r="V1138" s="27">
        <v>0</v>
      </c>
      <c r="W1138" s="27">
        <v>0</v>
      </c>
      <c r="X1138" s="27" t="s">
        <v>17</v>
      </c>
    </row>
    <row r="1139" spans="1:24">
      <c r="A1139" s="27">
        <v>2</v>
      </c>
      <c r="B1139" s="27">
        <v>3</v>
      </c>
      <c r="C1139" s="27">
        <v>10</v>
      </c>
      <c r="D1139" s="27">
        <v>2010</v>
      </c>
      <c r="E1139" s="27">
        <v>2010</v>
      </c>
      <c r="F1139" s="27">
        <v>3</v>
      </c>
      <c r="G1139" s="27">
        <v>41</v>
      </c>
      <c r="H1139" s="27">
        <v>4</v>
      </c>
      <c r="I1139" s="27">
        <v>0</v>
      </c>
      <c r="J1139" s="27">
        <v>0</v>
      </c>
      <c r="K1139" s="27">
        <v>4.6900000000000004</v>
      </c>
      <c r="L1139" s="27">
        <v>3600</v>
      </c>
      <c r="M1139" s="27">
        <v>0</v>
      </c>
      <c r="N1139" s="27">
        <v>1027</v>
      </c>
      <c r="O1139" s="27">
        <v>0</v>
      </c>
      <c r="P1139" s="27" t="s">
        <v>13</v>
      </c>
      <c r="Q1139" s="27">
        <v>1993</v>
      </c>
      <c r="R1139" s="27">
        <v>1</v>
      </c>
      <c r="S1139" s="27">
        <v>0</v>
      </c>
      <c r="T1139" s="27">
        <v>-1.8E-3</v>
      </c>
      <c r="U1139" s="27">
        <v>-1.2E-2</v>
      </c>
      <c r="V1139" s="27">
        <v>0</v>
      </c>
      <c r="W1139" s="27">
        <v>0</v>
      </c>
      <c r="X1139" s="27" t="s">
        <v>17</v>
      </c>
    </row>
    <row r="1140" spans="1:24">
      <c r="A1140" s="27">
        <v>2</v>
      </c>
      <c r="B1140" s="27">
        <v>3</v>
      </c>
      <c r="C1140" s="27">
        <v>10</v>
      </c>
      <c r="D1140" s="27">
        <v>2010</v>
      </c>
      <c r="E1140" s="27">
        <v>2010</v>
      </c>
      <c r="F1140" s="27">
        <v>4</v>
      </c>
      <c r="G1140" s="27">
        <v>41</v>
      </c>
      <c r="H1140" s="27">
        <v>4</v>
      </c>
      <c r="I1140" s="27">
        <v>0</v>
      </c>
      <c r="J1140" s="27">
        <v>0</v>
      </c>
      <c r="K1140" s="27">
        <v>4.6900000000000004</v>
      </c>
      <c r="L1140" s="27">
        <v>3600</v>
      </c>
      <c r="M1140" s="27">
        <v>0</v>
      </c>
      <c r="N1140" s="27">
        <v>1027</v>
      </c>
      <c r="O1140" s="27">
        <v>0</v>
      </c>
      <c r="P1140" s="27" t="s">
        <v>13</v>
      </c>
      <c r="Q1140" s="27">
        <v>1993</v>
      </c>
      <c r="R1140" s="27">
        <v>1</v>
      </c>
      <c r="S1140" s="27">
        <v>0</v>
      </c>
      <c r="T1140" s="27">
        <v>-1.8E-3</v>
      </c>
      <c r="U1140" s="27">
        <v>-1.2E-2</v>
      </c>
      <c r="V1140" s="27">
        <v>0</v>
      </c>
      <c r="W1140" s="27">
        <v>0</v>
      </c>
      <c r="X1140" s="27" t="s">
        <v>17</v>
      </c>
    </row>
    <row r="1141" spans="1:24">
      <c r="A1141" s="27">
        <v>2</v>
      </c>
      <c r="B1141" s="27">
        <v>3</v>
      </c>
      <c r="C1141" s="27">
        <v>10</v>
      </c>
      <c r="D1141" s="27">
        <v>2010</v>
      </c>
      <c r="E1141" s="27">
        <v>2010</v>
      </c>
      <c r="F1141" s="27">
        <v>5</v>
      </c>
      <c r="G1141" s="27">
        <v>41</v>
      </c>
      <c r="H1141" s="27">
        <v>4</v>
      </c>
      <c r="I1141" s="27">
        <v>0</v>
      </c>
      <c r="J1141" s="27">
        <v>0</v>
      </c>
      <c r="K1141" s="27">
        <v>4.6900000000000004</v>
      </c>
      <c r="L1141" s="27">
        <v>3600</v>
      </c>
      <c r="M1141" s="27">
        <v>0</v>
      </c>
      <c r="N1141" s="27">
        <v>1027</v>
      </c>
      <c r="O1141" s="27">
        <v>0</v>
      </c>
      <c r="P1141" s="27" t="s">
        <v>13</v>
      </c>
      <c r="Q1141" s="27">
        <v>1993</v>
      </c>
      <c r="R1141" s="27">
        <v>1</v>
      </c>
      <c r="S1141" s="27">
        <v>0</v>
      </c>
      <c r="T1141" s="27">
        <v>-1.8E-3</v>
      </c>
      <c r="U1141" s="27">
        <v>-1.2E-2</v>
      </c>
      <c r="V1141" s="27">
        <v>0</v>
      </c>
      <c r="W1141" s="27">
        <v>0</v>
      </c>
      <c r="X1141" s="27" t="s">
        <v>17</v>
      </c>
    </row>
    <row r="1142" spans="1:24">
      <c r="A1142" s="27">
        <v>2</v>
      </c>
      <c r="B1142" s="27">
        <v>3</v>
      </c>
      <c r="C1142" s="27">
        <v>10</v>
      </c>
      <c r="D1142" s="27">
        <v>2010</v>
      </c>
      <c r="E1142" s="27">
        <v>2010</v>
      </c>
      <c r="F1142" s="27">
        <v>6</v>
      </c>
      <c r="G1142" s="27">
        <v>41</v>
      </c>
      <c r="H1142" s="27">
        <v>4</v>
      </c>
      <c r="I1142" s="27">
        <v>0</v>
      </c>
      <c r="J1142" s="27">
        <v>0</v>
      </c>
      <c r="K1142" s="27">
        <v>4.6900000000000004</v>
      </c>
      <c r="L1142" s="27">
        <v>3600</v>
      </c>
      <c r="M1142" s="27">
        <v>0</v>
      </c>
      <c r="N1142" s="27">
        <v>1027</v>
      </c>
      <c r="O1142" s="27">
        <v>0</v>
      </c>
      <c r="P1142" s="27" t="s">
        <v>13</v>
      </c>
      <c r="Q1142" s="27">
        <v>1993</v>
      </c>
      <c r="R1142" s="27">
        <v>1</v>
      </c>
      <c r="S1142" s="27">
        <v>0</v>
      </c>
      <c r="T1142" s="27">
        <v>-1.8E-3</v>
      </c>
      <c r="U1142" s="27">
        <v>-1.2E-2</v>
      </c>
      <c r="V1142" s="27">
        <v>0</v>
      </c>
      <c r="W1142" s="27">
        <v>0</v>
      </c>
      <c r="X1142" s="27" t="s">
        <v>17</v>
      </c>
    </row>
    <row r="1143" spans="1:24">
      <c r="A1143" s="27">
        <v>2</v>
      </c>
      <c r="B1143" s="27">
        <v>3</v>
      </c>
      <c r="C1143" s="27">
        <v>10</v>
      </c>
      <c r="D1143" s="27">
        <v>2010</v>
      </c>
      <c r="E1143" s="27">
        <v>2010</v>
      </c>
      <c r="F1143" s="27">
        <v>7</v>
      </c>
      <c r="G1143" s="27">
        <v>41</v>
      </c>
      <c r="H1143" s="27">
        <v>4</v>
      </c>
      <c r="I1143" s="27">
        <v>0</v>
      </c>
      <c r="J1143" s="27">
        <v>0</v>
      </c>
      <c r="K1143" s="27">
        <v>4.6900000000000004</v>
      </c>
      <c r="L1143" s="27">
        <v>3600</v>
      </c>
      <c r="M1143" s="27">
        <v>0</v>
      </c>
      <c r="N1143" s="27">
        <v>1027</v>
      </c>
      <c r="O1143" s="27">
        <v>0</v>
      </c>
      <c r="P1143" s="27" t="s">
        <v>13</v>
      </c>
      <c r="Q1143" s="27">
        <v>1993</v>
      </c>
      <c r="R1143" s="27">
        <v>1</v>
      </c>
      <c r="S1143" s="27">
        <v>0</v>
      </c>
      <c r="T1143" s="27">
        <v>-1.8E-3</v>
      </c>
      <c r="U1143" s="27">
        <v>-1.2E-2</v>
      </c>
      <c r="V1143" s="27">
        <v>0</v>
      </c>
      <c r="W1143" s="27">
        <v>0</v>
      </c>
      <c r="X1143" s="27" t="s">
        <v>17</v>
      </c>
    </row>
    <row r="1144" spans="1:24">
      <c r="A1144" s="27">
        <v>2</v>
      </c>
      <c r="B1144" s="27">
        <v>3</v>
      </c>
      <c r="C1144" s="27">
        <v>10</v>
      </c>
      <c r="D1144" s="27">
        <v>2010</v>
      </c>
      <c r="E1144" s="27">
        <v>2010</v>
      </c>
      <c r="F1144" s="27">
        <v>8</v>
      </c>
      <c r="G1144" s="27">
        <v>41</v>
      </c>
      <c r="H1144" s="27">
        <v>4</v>
      </c>
      <c r="I1144" s="27">
        <v>0</v>
      </c>
      <c r="J1144" s="27">
        <v>0</v>
      </c>
      <c r="K1144" s="27">
        <v>4.6900000000000004</v>
      </c>
      <c r="L1144" s="27">
        <v>3600</v>
      </c>
      <c r="M1144" s="27">
        <v>0</v>
      </c>
      <c r="N1144" s="27">
        <v>1027</v>
      </c>
      <c r="O1144" s="27">
        <v>0</v>
      </c>
      <c r="P1144" s="27" t="s">
        <v>13</v>
      </c>
      <c r="Q1144" s="27">
        <v>1993</v>
      </c>
      <c r="R1144" s="27">
        <v>1</v>
      </c>
      <c r="S1144" s="27">
        <v>0</v>
      </c>
      <c r="T1144" s="27">
        <v>-1.8E-3</v>
      </c>
      <c r="U1144" s="27">
        <v>-1.2E-2</v>
      </c>
      <c r="V1144" s="27">
        <v>0</v>
      </c>
      <c r="W1144" s="27">
        <v>0</v>
      </c>
      <c r="X1144" s="27" t="s">
        <v>17</v>
      </c>
    </row>
    <row r="1145" spans="1:24">
      <c r="A1145" s="27">
        <v>2</v>
      </c>
      <c r="B1145" s="27">
        <v>3</v>
      </c>
      <c r="C1145" s="27">
        <v>10</v>
      </c>
      <c r="D1145" s="27">
        <v>2010</v>
      </c>
      <c r="E1145" s="27">
        <v>2010</v>
      </c>
      <c r="F1145" s="27">
        <v>9</v>
      </c>
      <c r="G1145" s="27">
        <v>41</v>
      </c>
      <c r="H1145" s="27">
        <v>4</v>
      </c>
      <c r="I1145" s="27">
        <v>0</v>
      </c>
      <c r="J1145" s="27">
        <v>0</v>
      </c>
      <c r="K1145" s="27">
        <v>4.6900000000000004</v>
      </c>
      <c r="L1145" s="27">
        <v>3600</v>
      </c>
      <c r="M1145" s="27">
        <v>0</v>
      </c>
      <c r="N1145" s="27">
        <v>1027</v>
      </c>
      <c r="O1145" s="27">
        <v>0</v>
      </c>
      <c r="P1145" s="27" t="s">
        <v>13</v>
      </c>
      <c r="Q1145" s="27">
        <v>1993</v>
      </c>
      <c r="R1145" s="27">
        <v>1</v>
      </c>
      <c r="S1145" s="27">
        <v>0</v>
      </c>
      <c r="T1145" s="27">
        <v>-1.8E-3</v>
      </c>
      <c r="U1145" s="27">
        <v>-1.2E-2</v>
      </c>
      <c r="V1145" s="27">
        <v>0</v>
      </c>
      <c r="W1145" s="27">
        <v>0</v>
      </c>
      <c r="X1145" s="27" t="s">
        <v>17</v>
      </c>
    </row>
    <row r="1146" spans="1:24">
      <c r="A1146" s="27">
        <v>2</v>
      </c>
      <c r="B1146" s="27">
        <v>3</v>
      </c>
      <c r="C1146" s="27">
        <v>10</v>
      </c>
      <c r="D1146" s="27">
        <v>2011</v>
      </c>
      <c r="E1146" s="27">
        <v>2011</v>
      </c>
      <c r="F1146" s="27">
        <v>1</v>
      </c>
      <c r="G1146" s="27">
        <v>41</v>
      </c>
      <c r="H1146" s="27">
        <v>4</v>
      </c>
      <c r="I1146" s="27">
        <v>0</v>
      </c>
      <c r="J1146" s="27">
        <v>0</v>
      </c>
      <c r="K1146" s="27">
        <v>4.6900000000000004</v>
      </c>
      <c r="L1146" s="27">
        <v>3600</v>
      </c>
      <c r="M1146" s="27">
        <v>0</v>
      </c>
      <c r="N1146" s="27">
        <v>0</v>
      </c>
      <c r="O1146" s="27">
        <v>0</v>
      </c>
      <c r="P1146" s="27" t="s">
        <v>13</v>
      </c>
      <c r="Q1146" s="27">
        <v>1993</v>
      </c>
      <c r="R1146" s="27">
        <v>1</v>
      </c>
      <c r="S1146" s="27">
        <v>0</v>
      </c>
      <c r="T1146" s="27">
        <v>-1.8E-3</v>
      </c>
      <c r="U1146" s="27">
        <v>-1.2E-2</v>
      </c>
      <c r="V1146" s="27">
        <v>0</v>
      </c>
      <c r="W1146" s="27">
        <v>0</v>
      </c>
      <c r="X1146" s="27" t="s">
        <v>17</v>
      </c>
    </row>
    <row r="1147" spans="1:24">
      <c r="A1147" s="27">
        <v>2</v>
      </c>
      <c r="B1147" s="27">
        <v>3</v>
      </c>
      <c r="C1147" s="27">
        <v>10</v>
      </c>
      <c r="D1147" s="27">
        <v>2011</v>
      </c>
      <c r="E1147" s="27">
        <v>2011</v>
      </c>
      <c r="F1147" s="27">
        <v>2</v>
      </c>
      <c r="G1147" s="27">
        <v>41</v>
      </c>
      <c r="H1147" s="27">
        <v>4</v>
      </c>
      <c r="I1147" s="27">
        <v>0</v>
      </c>
      <c r="J1147" s="27">
        <v>0</v>
      </c>
      <c r="K1147" s="27">
        <v>4.6900000000000004</v>
      </c>
      <c r="L1147" s="27">
        <v>3600</v>
      </c>
      <c r="M1147" s="27">
        <v>0</v>
      </c>
      <c r="N1147" s="27">
        <v>0</v>
      </c>
      <c r="O1147" s="27">
        <v>0</v>
      </c>
      <c r="P1147" s="27" t="s">
        <v>13</v>
      </c>
      <c r="Q1147" s="27">
        <v>1993</v>
      </c>
      <c r="R1147" s="27">
        <v>1</v>
      </c>
      <c r="S1147" s="27">
        <v>0</v>
      </c>
      <c r="T1147" s="27">
        <v>-1.8E-3</v>
      </c>
      <c r="U1147" s="27">
        <v>-1.2E-2</v>
      </c>
      <c r="V1147" s="27">
        <v>0</v>
      </c>
      <c r="W1147" s="27">
        <v>0</v>
      </c>
      <c r="X1147" s="27" t="s">
        <v>17</v>
      </c>
    </row>
    <row r="1148" spans="1:24">
      <c r="A1148" s="27">
        <v>2</v>
      </c>
      <c r="B1148" s="27">
        <v>3</v>
      </c>
      <c r="C1148" s="27">
        <v>10</v>
      </c>
      <c r="D1148" s="27">
        <v>2011</v>
      </c>
      <c r="E1148" s="27">
        <v>2011</v>
      </c>
      <c r="F1148" s="27">
        <v>3</v>
      </c>
      <c r="G1148" s="27">
        <v>41</v>
      </c>
      <c r="H1148" s="27">
        <v>4</v>
      </c>
      <c r="I1148" s="27">
        <v>0</v>
      </c>
      <c r="J1148" s="27">
        <v>0</v>
      </c>
      <c r="K1148" s="27">
        <v>4.6900000000000004</v>
      </c>
      <c r="L1148" s="27">
        <v>3600</v>
      </c>
      <c r="M1148" s="27">
        <v>0</v>
      </c>
      <c r="N1148" s="27">
        <v>0</v>
      </c>
      <c r="O1148" s="27">
        <v>0</v>
      </c>
      <c r="P1148" s="27" t="s">
        <v>13</v>
      </c>
      <c r="Q1148" s="27">
        <v>1993</v>
      </c>
      <c r="R1148" s="27">
        <v>1</v>
      </c>
      <c r="S1148" s="27">
        <v>0</v>
      </c>
      <c r="T1148" s="27">
        <v>-1.8E-3</v>
      </c>
      <c r="U1148" s="27">
        <v>-1.2E-2</v>
      </c>
      <c r="V1148" s="27">
        <v>0</v>
      </c>
      <c r="W1148" s="27">
        <v>0</v>
      </c>
      <c r="X1148" s="27" t="s">
        <v>17</v>
      </c>
    </row>
    <row r="1149" spans="1:24">
      <c r="A1149" s="27">
        <v>2</v>
      </c>
      <c r="B1149" s="27">
        <v>3</v>
      </c>
      <c r="C1149" s="27">
        <v>10</v>
      </c>
      <c r="D1149" s="27">
        <v>2011</v>
      </c>
      <c r="E1149" s="27">
        <v>2011</v>
      </c>
      <c r="F1149" s="27">
        <v>4</v>
      </c>
      <c r="G1149" s="27">
        <v>41</v>
      </c>
      <c r="H1149" s="27">
        <v>4</v>
      </c>
      <c r="I1149" s="27">
        <v>0</v>
      </c>
      <c r="J1149" s="27">
        <v>0</v>
      </c>
      <c r="K1149" s="27">
        <v>4.6900000000000004</v>
      </c>
      <c r="L1149" s="27">
        <v>3600</v>
      </c>
      <c r="M1149" s="27">
        <v>0</v>
      </c>
      <c r="N1149" s="27">
        <v>0</v>
      </c>
      <c r="O1149" s="27">
        <v>0</v>
      </c>
      <c r="P1149" s="27" t="s">
        <v>13</v>
      </c>
      <c r="Q1149" s="27">
        <v>1993</v>
      </c>
      <c r="R1149" s="27">
        <v>1</v>
      </c>
      <c r="S1149" s="27">
        <v>0</v>
      </c>
      <c r="T1149" s="27">
        <v>-1.8E-3</v>
      </c>
      <c r="U1149" s="27">
        <v>-1.2E-2</v>
      </c>
      <c r="V1149" s="27">
        <v>0</v>
      </c>
      <c r="W1149" s="27">
        <v>0</v>
      </c>
      <c r="X1149" s="27" t="s">
        <v>17</v>
      </c>
    </row>
    <row r="1150" spans="1:24">
      <c r="A1150" s="27">
        <v>2</v>
      </c>
      <c r="B1150" s="27">
        <v>3</v>
      </c>
      <c r="C1150" s="27">
        <v>10</v>
      </c>
      <c r="D1150" s="27">
        <v>2011</v>
      </c>
      <c r="E1150" s="27">
        <v>2011</v>
      </c>
      <c r="F1150" s="27">
        <v>5</v>
      </c>
      <c r="G1150" s="27">
        <v>41</v>
      </c>
      <c r="H1150" s="27">
        <v>4</v>
      </c>
      <c r="I1150" s="27">
        <v>0</v>
      </c>
      <c r="J1150" s="27">
        <v>0</v>
      </c>
      <c r="K1150" s="27">
        <v>4.6900000000000004</v>
      </c>
      <c r="L1150" s="27">
        <v>3600</v>
      </c>
      <c r="M1150" s="27">
        <v>0</v>
      </c>
      <c r="N1150" s="27">
        <v>0</v>
      </c>
      <c r="O1150" s="27">
        <v>0</v>
      </c>
      <c r="P1150" s="27" t="s">
        <v>13</v>
      </c>
      <c r="Q1150" s="27">
        <v>1993</v>
      </c>
      <c r="R1150" s="27">
        <v>1</v>
      </c>
      <c r="S1150" s="27">
        <v>0</v>
      </c>
      <c r="T1150" s="27">
        <v>-1.8E-3</v>
      </c>
      <c r="U1150" s="27">
        <v>-1.2E-2</v>
      </c>
      <c r="V1150" s="27">
        <v>0</v>
      </c>
      <c r="W1150" s="27">
        <v>0</v>
      </c>
      <c r="X1150" s="27" t="s">
        <v>17</v>
      </c>
    </row>
    <row r="1151" spans="1:24">
      <c r="A1151" s="27">
        <v>2</v>
      </c>
      <c r="B1151" s="27">
        <v>3</v>
      </c>
      <c r="C1151" s="27">
        <v>10</v>
      </c>
      <c r="D1151" s="27">
        <v>2011</v>
      </c>
      <c r="E1151" s="27">
        <v>2011</v>
      </c>
      <c r="F1151" s="27">
        <v>6</v>
      </c>
      <c r="G1151" s="27">
        <v>41</v>
      </c>
      <c r="H1151" s="27">
        <v>4</v>
      </c>
      <c r="I1151" s="27">
        <v>0</v>
      </c>
      <c r="J1151" s="27">
        <v>0</v>
      </c>
      <c r="K1151" s="27">
        <v>4.6900000000000004</v>
      </c>
      <c r="L1151" s="27">
        <v>3600</v>
      </c>
      <c r="M1151" s="27">
        <v>0</v>
      </c>
      <c r="N1151" s="27">
        <v>0</v>
      </c>
      <c r="O1151" s="27">
        <v>0</v>
      </c>
      <c r="P1151" s="27" t="s">
        <v>13</v>
      </c>
      <c r="Q1151" s="27">
        <v>1993</v>
      </c>
      <c r="R1151" s="27">
        <v>1</v>
      </c>
      <c r="S1151" s="27">
        <v>0</v>
      </c>
      <c r="T1151" s="27">
        <v>-1.8E-3</v>
      </c>
      <c r="U1151" s="27">
        <v>-1.2E-2</v>
      </c>
      <c r="V1151" s="27">
        <v>0</v>
      </c>
      <c r="W1151" s="27">
        <v>0</v>
      </c>
      <c r="X1151" s="27" t="s">
        <v>17</v>
      </c>
    </row>
    <row r="1152" spans="1:24">
      <c r="A1152" s="27">
        <v>2</v>
      </c>
      <c r="B1152" s="27">
        <v>3</v>
      </c>
      <c r="C1152" s="27">
        <v>10</v>
      </c>
      <c r="D1152" s="27">
        <v>2011</v>
      </c>
      <c r="E1152" s="27">
        <v>2011</v>
      </c>
      <c r="F1152" s="27">
        <v>7</v>
      </c>
      <c r="G1152" s="27">
        <v>41</v>
      </c>
      <c r="H1152" s="27">
        <v>4</v>
      </c>
      <c r="I1152" s="27">
        <v>0</v>
      </c>
      <c r="J1152" s="27">
        <v>0</v>
      </c>
      <c r="K1152" s="27">
        <v>4.6900000000000004</v>
      </c>
      <c r="L1152" s="27">
        <v>3600</v>
      </c>
      <c r="M1152" s="27">
        <v>0</v>
      </c>
      <c r="N1152" s="27">
        <v>0</v>
      </c>
      <c r="O1152" s="27">
        <v>0</v>
      </c>
      <c r="P1152" s="27" t="s">
        <v>13</v>
      </c>
      <c r="Q1152" s="27">
        <v>1993</v>
      </c>
      <c r="R1152" s="27">
        <v>1</v>
      </c>
      <c r="S1152" s="27">
        <v>0</v>
      </c>
      <c r="T1152" s="27">
        <v>-1.8E-3</v>
      </c>
      <c r="U1152" s="27">
        <v>-1.2E-2</v>
      </c>
      <c r="V1152" s="27">
        <v>0</v>
      </c>
      <c r="W1152" s="27">
        <v>0</v>
      </c>
      <c r="X1152" s="27" t="s">
        <v>17</v>
      </c>
    </row>
    <row r="1153" spans="1:24">
      <c r="A1153" s="27">
        <v>2</v>
      </c>
      <c r="B1153" s="27">
        <v>3</v>
      </c>
      <c r="C1153" s="27">
        <v>10</v>
      </c>
      <c r="D1153" s="27">
        <v>2011</v>
      </c>
      <c r="E1153" s="27">
        <v>2011</v>
      </c>
      <c r="F1153" s="27">
        <v>8</v>
      </c>
      <c r="G1153" s="27">
        <v>41</v>
      </c>
      <c r="H1153" s="27">
        <v>4</v>
      </c>
      <c r="I1153" s="27">
        <v>0</v>
      </c>
      <c r="J1153" s="27">
        <v>0</v>
      </c>
      <c r="K1153" s="27">
        <v>4.6900000000000004</v>
      </c>
      <c r="L1153" s="27">
        <v>3600</v>
      </c>
      <c r="M1153" s="27">
        <v>0</v>
      </c>
      <c r="N1153" s="27">
        <v>0</v>
      </c>
      <c r="O1153" s="27">
        <v>0</v>
      </c>
      <c r="P1153" s="27" t="s">
        <v>13</v>
      </c>
      <c r="Q1153" s="27">
        <v>1993</v>
      </c>
      <c r="R1153" s="27">
        <v>1</v>
      </c>
      <c r="S1153" s="27">
        <v>0</v>
      </c>
      <c r="T1153" s="27">
        <v>-1.8E-3</v>
      </c>
      <c r="U1153" s="27">
        <v>-1.2E-2</v>
      </c>
      <c r="V1153" s="27">
        <v>0</v>
      </c>
      <c r="W1153" s="27">
        <v>0</v>
      </c>
      <c r="X1153" s="27" t="s">
        <v>17</v>
      </c>
    </row>
    <row r="1154" spans="1:24">
      <c r="A1154" s="27">
        <v>2</v>
      </c>
      <c r="B1154" s="27">
        <v>3</v>
      </c>
      <c r="C1154" s="27">
        <v>10</v>
      </c>
      <c r="D1154" s="27">
        <v>2011</v>
      </c>
      <c r="E1154" s="27">
        <v>2011</v>
      </c>
      <c r="F1154" s="27">
        <v>9</v>
      </c>
      <c r="G1154" s="27">
        <v>41</v>
      </c>
      <c r="H1154" s="27">
        <v>4</v>
      </c>
      <c r="I1154" s="27">
        <v>0</v>
      </c>
      <c r="J1154" s="27">
        <v>0</v>
      </c>
      <c r="K1154" s="27">
        <v>4.6900000000000004</v>
      </c>
      <c r="L1154" s="27">
        <v>3600</v>
      </c>
      <c r="M1154" s="27">
        <v>0</v>
      </c>
      <c r="N1154" s="27">
        <v>0</v>
      </c>
      <c r="O1154" s="27">
        <v>0</v>
      </c>
      <c r="P1154" s="27" t="s">
        <v>13</v>
      </c>
      <c r="Q1154" s="27">
        <v>1993</v>
      </c>
      <c r="R1154" s="27">
        <v>1</v>
      </c>
      <c r="S1154" s="27">
        <v>0</v>
      </c>
      <c r="T1154" s="27">
        <v>-1.8E-3</v>
      </c>
      <c r="U1154" s="27">
        <v>-1.2E-2</v>
      </c>
      <c r="V1154" s="27">
        <v>0</v>
      </c>
      <c r="W1154" s="27">
        <v>0</v>
      </c>
      <c r="X1154" s="27" t="s">
        <v>17</v>
      </c>
    </row>
    <row r="1155" spans="1:24">
      <c r="A1155" s="27">
        <v>2</v>
      </c>
      <c r="B1155" s="27">
        <v>3</v>
      </c>
      <c r="C1155" s="27">
        <v>10</v>
      </c>
      <c r="D1155" s="27">
        <v>2012</v>
      </c>
      <c r="E1155" s="27">
        <v>2012</v>
      </c>
      <c r="F1155" s="27">
        <v>1</v>
      </c>
      <c r="G1155" s="27">
        <v>41</v>
      </c>
      <c r="H1155" s="27">
        <v>4</v>
      </c>
      <c r="I1155" s="27">
        <v>0</v>
      </c>
      <c r="J1155" s="27">
        <v>0</v>
      </c>
      <c r="K1155" s="27">
        <v>4.84</v>
      </c>
      <c r="L1155" s="27">
        <v>3600</v>
      </c>
      <c r="M1155" s="27">
        <v>0</v>
      </c>
      <c r="N1155" s="27">
        <v>450</v>
      </c>
      <c r="O1155" s="27">
        <v>0</v>
      </c>
      <c r="P1155" s="27" t="s">
        <v>13</v>
      </c>
      <c r="Q1155" s="27">
        <v>1993</v>
      </c>
      <c r="R1155" s="27">
        <v>1</v>
      </c>
      <c r="S1155" s="27">
        <v>0</v>
      </c>
      <c r="T1155" s="27">
        <v>-1.8E-3</v>
      </c>
      <c r="U1155" s="27">
        <v>-1.2E-2</v>
      </c>
      <c r="V1155" s="27">
        <v>0</v>
      </c>
      <c r="W1155" s="27">
        <v>0</v>
      </c>
      <c r="X1155" s="27" t="s">
        <v>17</v>
      </c>
    </row>
    <row r="1156" spans="1:24">
      <c r="A1156" s="27">
        <v>2</v>
      </c>
      <c r="B1156" s="27">
        <v>3</v>
      </c>
      <c r="C1156" s="27">
        <v>10</v>
      </c>
      <c r="D1156" s="27">
        <v>2012</v>
      </c>
      <c r="E1156" s="27">
        <v>2012</v>
      </c>
      <c r="F1156" s="27">
        <v>2</v>
      </c>
      <c r="G1156" s="27">
        <v>41</v>
      </c>
      <c r="H1156" s="27">
        <v>4</v>
      </c>
      <c r="I1156" s="27">
        <v>0</v>
      </c>
      <c r="J1156" s="27">
        <v>0</v>
      </c>
      <c r="K1156" s="27">
        <v>4.84</v>
      </c>
      <c r="L1156" s="27">
        <v>3600</v>
      </c>
      <c r="M1156" s="27">
        <v>0</v>
      </c>
      <c r="N1156" s="27">
        <v>450</v>
      </c>
      <c r="O1156" s="27">
        <v>0</v>
      </c>
      <c r="P1156" s="27" t="s">
        <v>13</v>
      </c>
      <c r="Q1156" s="27">
        <v>1993</v>
      </c>
      <c r="R1156" s="27">
        <v>1</v>
      </c>
      <c r="S1156" s="27">
        <v>0</v>
      </c>
      <c r="T1156" s="27">
        <v>-1.8E-3</v>
      </c>
      <c r="U1156" s="27">
        <v>-1.2E-2</v>
      </c>
      <c r="V1156" s="27">
        <v>0</v>
      </c>
      <c r="W1156" s="27">
        <v>0</v>
      </c>
      <c r="X1156" s="27" t="s">
        <v>17</v>
      </c>
    </row>
    <row r="1157" spans="1:24">
      <c r="A1157" s="27">
        <v>2</v>
      </c>
      <c r="B1157" s="27">
        <v>3</v>
      </c>
      <c r="C1157" s="27">
        <v>10</v>
      </c>
      <c r="D1157" s="27">
        <v>2012</v>
      </c>
      <c r="E1157" s="27">
        <v>2012</v>
      </c>
      <c r="F1157" s="27">
        <v>3</v>
      </c>
      <c r="G1157" s="27">
        <v>41</v>
      </c>
      <c r="H1157" s="27">
        <v>4</v>
      </c>
      <c r="I1157" s="27">
        <v>0</v>
      </c>
      <c r="J1157" s="27">
        <v>0</v>
      </c>
      <c r="K1157" s="27">
        <v>4.84</v>
      </c>
      <c r="L1157" s="27">
        <v>3600</v>
      </c>
      <c r="M1157" s="27">
        <v>0</v>
      </c>
      <c r="N1157" s="27">
        <v>450</v>
      </c>
      <c r="O1157" s="27">
        <v>0</v>
      </c>
      <c r="P1157" s="27" t="s">
        <v>13</v>
      </c>
      <c r="Q1157" s="27">
        <v>1993</v>
      </c>
      <c r="R1157" s="27">
        <v>1</v>
      </c>
      <c r="S1157" s="27">
        <v>0</v>
      </c>
      <c r="T1157" s="27">
        <v>-1.8E-3</v>
      </c>
      <c r="U1157" s="27">
        <v>-1.2E-2</v>
      </c>
      <c r="V1157" s="27">
        <v>0</v>
      </c>
      <c r="W1157" s="27">
        <v>0</v>
      </c>
      <c r="X1157" s="27" t="s">
        <v>17</v>
      </c>
    </row>
    <row r="1158" spans="1:24">
      <c r="A1158" s="27">
        <v>2</v>
      </c>
      <c r="B1158" s="27">
        <v>3</v>
      </c>
      <c r="C1158" s="27">
        <v>10</v>
      </c>
      <c r="D1158" s="27">
        <v>2012</v>
      </c>
      <c r="E1158" s="27">
        <v>2012</v>
      </c>
      <c r="F1158" s="27">
        <v>4</v>
      </c>
      <c r="G1158" s="27">
        <v>41</v>
      </c>
      <c r="H1158" s="27">
        <v>4</v>
      </c>
      <c r="I1158" s="27">
        <v>0</v>
      </c>
      <c r="J1158" s="27">
        <v>0</v>
      </c>
      <c r="K1158" s="27">
        <v>4.84</v>
      </c>
      <c r="L1158" s="27">
        <v>3600</v>
      </c>
      <c r="M1158" s="27">
        <v>0</v>
      </c>
      <c r="N1158" s="27">
        <v>450</v>
      </c>
      <c r="O1158" s="27">
        <v>0</v>
      </c>
      <c r="P1158" s="27" t="s">
        <v>13</v>
      </c>
      <c r="Q1158" s="27">
        <v>1993</v>
      </c>
      <c r="R1158" s="27">
        <v>1</v>
      </c>
      <c r="S1158" s="27">
        <v>0</v>
      </c>
      <c r="T1158" s="27">
        <v>-1.8E-3</v>
      </c>
      <c r="U1158" s="27">
        <v>-1.2E-2</v>
      </c>
      <c r="V1158" s="27">
        <v>0</v>
      </c>
      <c r="W1158" s="27">
        <v>0</v>
      </c>
      <c r="X1158" s="27" t="s">
        <v>17</v>
      </c>
    </row>
    <row r="1159" spans="1:24">
      <c r="A1159" s="27">
        <v>2</v>
      </c>
      <c r="B1159" s="27">
        <v>3</v>
      </c>
      <c r="C1159" s="27">
        <v>10</v>
      </c>
      <c r="D1159" s="27">
        <v>2012</v>
      </c>
      <c r="E1159" s="27">
        <v>2012</v>
      </c>
      <c r="F1159" s="27">
        <v>5</v>
      </c>
      <c r="G1159" s="27">
        <v>41</v>
      </c>
      <c r="H1159" s="27">
        <v>4</v>
      </c>
      <c r="I1159" s="27">
        <v>0</v>
      </c>
      <c r="J1159" s="27">
        <v>0</v>
      </c>
      <c r="K1159" s="27">
        <v>4.84</v>
      </c>
      <c r="L1159" s="27">
        <v>3600</v>
      </c>
      <c r="M1159" s="27">
        <v>0</v>
      </c>
      <c r="N1159" s="27">
        <v>450</v>
      </c>
      <c r="O1159" s="27">
        <v>0</v>
      </c>
      <c r="P1159" s="27" t="s">
        <v>13</v>
      </c>
      <c r="Q1159" s="27">
        <v>1993</v>
      </c>
      <c r="R1159" s="27">
        <v>1</v>
      </c>
      <c r="S1159" s="27">
        <v>0</v>
      </c>
      <c r="T1159" s="27">
        <v>-1.8E-3</v>
      </c>
      <c r="U1159" s="27">
        <v>-1.2E-2</v>
      </c>
      <c r="V1159" s="27">
        <v>0</v>
      </c>
      <c r="W1159" s="27">
        <v>0</v>
      </c>
      <c r="X1159" s="27" t="s">
        <v>17</v>
      </c>
    </row>
    <row r="1160" spans="1:24">
      <c r="A1160" s="27">
        <v>2</v>
      </c>
      <c r="B1160" s="27">
        <v>3</v>
      </c>
      <c r="C1160" s="27">
        <v>10</v>
      </c>
      <c r="D1160" s="27">
        <v>2012</v>
      </c>
      <c r="E1160" s="27">
        <v>2012</v>
      </c>
      <c r="F1160" s="27">
        <v>6</v>
      </c>
      <c r="G1160" s="27">
        <v>41</v>
      </c>
      <c r="H1160" s="27">
        <v>4</v>
      </c>
      <c r="I1160" s="27">
        <v>0</v>
      </c>
      <c r="J1160" s="27">
        <v>0</v>
      </c>
      <c r="K1160" s="27">
        <v>4.84</v>
      </c>
      <c r="L1160" s="27">
        <v>3600</v>
      </c>
      <c r="M1160" s="27">
        <v>0</v>
      </c>
      <c r="N1160" s="27">
        <v>450</v>
      </c>
      <c r="O1160" s="27">
        <v>0</v>
      </c>
      <c r="P1160" s="27" t="s">
        <v>13</v>
      </c>
      <c r="Q1160" s="27">
        <v>1993</v>
      </c>
      <c r="R1160" s="27">
        <v>1</v>
      </c>
      <c r="S1160" s="27">
        <v>0</v>
      </c>
      <c r="T1160" s="27">
        <v>-1.8E-3</v>
      </c>
      <c r="U1160" s="27">
        <v>-1.2E-2</v>
      </c>
      <c r="V1160" s="27">
        <v>0</v>
      </c>
      <c r="W1160" s="27">
        <v>0</v>
      </c>
      <c r="X1160" s="27" t="s">
        <v>17</v>
      </c>
    </row>
    <row r="1161" spans="1:24">
      <c r="A1161" s="27">
        <v>2</v>
      </c>
      <c r="B1161" s="27">
        <v>3</v>
      </c>
      <c r="C1161" s="27">
        <v>10</v>
      </c>
      <c r="D1161" s="27">
        <v>2012</v>
      </c>
      <c r="E1161" s="27">
        <v>2012</v>
      </c>
      <c r="F1161" s="27">
        <v>7</v>
      </c>
      <c r="G1161" s="27">
        <v>41</v>
      </c>
      <c r="H1161" s="27">
        <v>4</v>
      </c>
      <c r="I1161" s="27">
        <v>0</v>
      </c>
      <c r="J1161" s="27">
        <v>0</v>
      </c>
      <c r="K1161" s="27">
        <v>4.84</v>
      </c>
      <c r="L1161" s="27">
        <v>3600</v>
      </c>
      <c r="M1161" s="27">
        <v>0</v>
      </c>
      <c r="N1161" s="27">
        <v>450</v>
      </c>
      <c r="O1161" s="27">
        <v>0</v>
      </c>
      <c r="P1161" s="27" t="s">
        <v>13</v>
      </c>
      <c r="Q1161" s="27">
        <v>1993</v>
      </c>
      <c r="R1161" s="27">
        <v>1</v>
      </c>
      <c r="S1161" s="27">
        <v>0</v>
      </c>
      <c r="T1161" s="27">
        <v>-1.8E-3</v>
      </c>
      <c r="U1161" s="27">
        <v>-1.2E-2</v>
      </c>
      <c r="V1161" s="27">
        <v>0</v>
      </c>
      <c r="W1161" s="27">
        <v>0</v>
      </c>
      <c r="X1161" s="27" t="s">
        <v>17</v>
      </c>
    </row>
    <row r="1162" spans="1:24">
      <c r="A1162" s="27">
        <v>2</v>
      </c>
      <c r="B1162" s="27">
        <v>3</v>
      </c>
      <c r="C1162" s="27">
        <v>10</v>
      </c>
      <c r="D1162" s="27">
        <v>2012</v>
      </c>
      <c r="E1162" s="27">
        <v>2012</v>
      </c>
      <c r="F1162" s="27">
        <v>8</v>
      </c>
      <c r="G1162" s="27">
        <v>41</v>
      </c>
      <c r="H1162" s="27">
        <v>4</v>
      </c>
      <c r="I1162" s="27">
        <v>0</v>
      </c>
      <c r="J1162" s="27">
        <v>0</v>
      </c>
      <c r="K1162" s="27">
        <v>4.84</v>
      </c>
      <c r="L1162" s="27">
        <v>3600</v>
      </c>
      <c r="M1162" s="27">
        <v>0</v>
      </c>
      <c r="N1162" s="27">
        <v>450</v>
      </c>
      <c r="O1162" s="27">
        <v>0</v>
      </c>
      <c r="P1162" s="27" t="s">
        <v>13</v>
      </c>
      <c r="Q1162" s="27">
        <v>1993</v>
      </c>
      <c r="R1162" s="27">
        <v>1</v>
      </c>
      <c r="S1162" s="27">
        <v>0</v>
      </c>
      <c r="T1162" s="27">
        <v>-1.8E-3</v>
      </c>
      <c r="U1162" s="27">
        <v>-1.2E-2</v>
      </c>
      <c r="V1162" s="27">
        <v>0</v>
      </c>
      <c r="W1162" s="27">
        <v>0</v>
      </c>
      <c r="X1162" s="27" t="s">
        <v>17</v>
      </c>
    </row>
    <row r="1163" spans="1:24">
      <c r="A1163" s="27">
        <v>2</v>
      </c>
      <c r="B1163" s="27">
        <v>3</v>
      </c>
      <c r="C1163" s="27">
        <v>10</v>
      </c>
      <c r="D1163" s="27">
        <v>2012</v>
      </c>
      <c r="E1163" s="27">
        <v>2012</v>
      </c>
      <c r="F1163" s="27">
        <v>9</v>
      </c>
      <c r="G1163" s="27">
        <v>41</v>
      </c>
      <c r="H1163" s="27">
        <v>4</v>
      </c>
      <c r="I1163" s="27">
        <v>0</v>
      </c>
      <c r="J1163" s="27">
        <v>0</v>
      </c>
      <c r="K1163" s="27">
        <v>4.84</v>
      </c>
      <c r="L1163" s="27">
        <v>3600</v>
      </c>
      <c r="M1163" s="27">
        <v>0</v>
      </c>
      <c r="N1163" s="27">
        <v>450</v>
      </c>
      <c r="O1163" s="27">
        <v>0</v>
      </c>
      <c r="P1163" s="27" t="s">
        <v>13</v>
      </c>
      <c r="Q1163" s="27">
        <v>1993</v>
      </c>
      <c r="R1163" s="27">
        <v>1</v>
      </c>
      <c r="S1163" s="27">
        <v>0</v>
      </c>
      <c r="T1163" s="27">
        <v>-1.8E-3</v>
      </c>
      <c r="U1163" s="27">
        <v>-1.2E-2</v>
      </c>
      <c r="V1163" s="27">
        <v>0</v>
      </c>
      <c r="W1163" s="27">
        <v>0</v>
      </c>
      <c r="X1163" s="27" t="s">
        <v>17</v>
      </c>
    </row>
    <row r="1164" spans="1:24">
      <c r="A1164" s="27">
        <v>2</v>
      </c>
      <c r="B1164" s="27">
        <v>3</v>
      </c>
      <c r="C1164" s="27">
        <v>10</v>
      </c>
      <c r="D1164" s="27">
        <v>2013</v>
      </c>
      <c r="E1164" s="27">
        <v>2013</v>
      </c>
      <c r="F1164" s="27">
        <v>1</v>
      </c>
      <c r="G1164" s="27">
        <v>41</v>
      </c>
      <c r="H1164" s="27">
        <v>4</v>
      </c>
      <c r="I1164" s="27">
        <v>0</v>
      </c>
      <c r="J1164" s="27">
        <v>0</v>
      </c>
      <c r="K1164" s="27">
        <v>4.84</v>
      </c>
      <c r="L1164" s="27">
        <v>3600</v>
      </c>
      <c r="M1164" s="27">
        <v>0</v>
      </c>
      <c r="N1164" s="27">
        <v>600</v>
      </c>
      <c r="O1164" s="27">
        <v>0</v>
      </c>
      <c r="P1164" s="27" t="s">
        <v>13</v>
      </c>
      <c r="Q1164" s="27">
        <v>1993</v>
      </c>
      <c r="R1164" s="27">
        <v>1</v>
      </c>
      <c r="S1164" s="27">
        <v>0</v>
      </c>
      <c r="T1164" s="27">
        <v>-1.8E-3</v>
      </c>
      <c r="U1164" s="27">
        <v>-1.2E-2</v>
      </c>
      <c r="V1164" s="27">
        <v>0</v>
      </c>
      <c r="W1164" s="27">
        <v>0</v>
      </c>
      <c r="X1164" s="27" t="s">
        <v>17</v>
      </c>
    </row>
    <row r="1165" spans="1:24">
      <c r="A1165" s="27">
        <v>2</v>
      </c>
      <c r="B1165" s="27">
        <v>3</v>
      </c>
      <c r="C1165" s="27">
        <v>10</v>
      </c>
      <c r="D1165" s="27">
        <v>2013</v>
      </c>
      <c r="E1165" s="27">
        <v>2013</v>
      </c>
      <c r="F1165" s="27">
        <v>2</v>
      </c>
      <c r="G1165" s="27">
        <v>41</v>
      </c>
      <c r="H1165" s="27">
        <v>4</v>
      </c>
      <c r="I1165" s="27">
        <v>0</v>
      </c>
      <c r="J1165" s="27">
        <v>0</v>
      </c>
      <c r="K1165" s="27">
        <v>4.84</v>
      </c>
      <c r="L1165" s="27">
        <v>3600</v>
      </c>
      <c r="M1165" s="27">
        <v>0</v>
      </c>
      <c r="N1165" s="27">
        <v>600</v>
      </c>
      <c r="O1165" s="27">
        <v>0</v>
      </c>
      <c r="P1165" s="27" t="s">
        <v>13</v>
      </c>
      <c r="Q1165" s="27">
        <v>1993</v>
      </c>
      <c r="R1165" s="27">
        <v>1</v>
      </c>
      <c r="S1165" s="27">
        <v>0</v>
      </c>
      <c r="T1165" s="27">
        <v>-1.8E-3</v>
      </c>
      <c r="U1165" s="27">
        <v>-1.2E-2</v>
      </c>
      <c r="V1165" s="27">
        <v>0</v>
      </c>
      <c r="W1165" s="27">
        <v>0</v>
      </c>
      <c r="X1165" s="27" t="s">
        <v>17</v>
      </c>
    </row>
    <row r="1166" spans="1:24">
      <c r="A1166" s="27">
        <v>2</v>
      </c>
      <c r="B1166" s="27">
        <v>3</v>
      </c>
      <c r="C1166" s="27">
        <v>10</v>
      </c>
      <c r="D1166" s="27">
        <v>2013</v>
      </c>
      <c r="E1166" s="27">
        <v>2013</v>
      </c>
      <c r="F1166" s="27">
        <v>3</v>
      </c>
      <c r="G1166" s="27">
        <v>41</v>
      </c>
      <c r="H1166" s="27">
        <v>4</v>
      </c>
      <c r="I1166" s="27">
        <v>0</v>
      </c>
      <c r="J1166" s="27">
        <v>0</v>
      </c>
      <c r="K1166" s="27">
        <v>4.84</v>
      </c>
      <c r="L1166" s="27">
        <v>3600</v>
      </c>
      <c r="M1166" s="27">
        <v>0</v>
      </c>
      <c r="N1166" s="27">
        <v>600</v>
      </c>
      <c r="O1166" s="27">
        <v>0</v>
      </c>
      <c r="P1166" s="27" t="s">
        <v>13</v>
      </c>
      <c r="Q1166" s="27">
        <v>1993</v>
      </c>
      <c r="R1166" s="27">
        <v>1</v>
      </c>
      <c r="S1166" s="27">
        <v>0</v>
      </c>
      <c r="T1166" s="27">
        <v>-1.8E-3</v>
      </c>
      <c r="U1166" s="27">
        <v>-1.2E-2</v>
      </c>
      <c r="V1166" s="27">
        <v>0</v>
      </c>
      <c r="W1166" s="27">
        <v>0</v>
      </c>
      <c r="X1166" s="27" t="s">
        <v>17</v>
      </c>
    </row>
    <row r="1167" spans="1:24">
      <c r="A1167" s="27">
        <v>2</v>
      </c>
      <c r="B1167" s="27">
        <v>3</v>
      </c>
      <c r="C1167" s="27">
        <v>10</v>
      </c>
      <c r="D1167" s="27">
        <v>2013</v>
      </c>
      <c r="E1167" s="27">
        <v>2013</v>
      </c>
      <c r="F1167" s="27">
        <v>4</v>
      </c>
      <c r="G1167" s="27">
        <v>41</v>
      </c>
      <c r="H1167" s="27">
        <v>4</v>
      </c>
      <c r="I1167" s="27">
        <v>0</v>
      </c>
      <c r="J1167" s="27">
        <v>0</v>
      </c>
      <c r="K1167" s="27">
        <v>4.84</v>
      </c>
      <c r="L1167" s="27">
        <v>3600</v>
      </c>
      <c r="M1167" s="27">
        <v>0</v>
      </c>
      <c r="N1167" s="27">
        <v>600</v>
      </c>
      <c r="O1167" s="27">
        <v>0</v>
      </c>
      <c r="P1167" s="27" t="s">
        <v>13</v>
      </c>
      <c r="Q1167" s="27">
        <v>1993</v>
      </c>
      <c r="R1167" s="27">
        <v>1</v>
      </c>
      <c r="S1167" s="27">
        <v>0</v>
      </c>
      <c r="T1167" s="27">
        <v>-1.8E-3</v>
      </c>
      <c r="U1167" s="27">
        <v>-1.2E-2</v>
      </c>
      <c r="V1167" s="27">
        <v>0</v>
      </c>
      <c r="W1167" s="27">
        <v>0</v>
      </c>
      <c r="X1167" s="27" t="s">
        <v>17</v>
      </c>
    </row>
    <row r="1168" spans="1:24">
      <c r="A1168" s="27">
        <v>2</v>
      </c>
      <c r="B1168" s="27">
        <v>3</v>
      </c>
      <c r="C1168" s="27">
        <v>10</v>
      </c>
      <c r="D1168" s="27">
        <v>2013</v>
      </c>
      <c r="E1168" s="27">
        <v>2013</v>
      </c>
      <c r="F1168" s="27">
        <v>5</v>
      </c>
      <c r="G1168" s="27">
        <v>41</v>
      </c>
      <c r="H1168" s="27">
        <v>4</v>
      </c>
      <c r="I1168" s="27">
        <v>0</v>
      </c>
      <c r="J1168" s="27">
        <v>0</v>
      </c>
      <c r="K1168" s="27">
        <v>4.84</v>
      </c>
      <c r="L1168" s="27">
        <v>3600</v>
      </c>
      <c r="M1168" s="27">
        <v>0</v>
      </c>
      <c r="N1168" s="27">
        <v>600</v>
      </c>
      <c r="O1168" s="27">
        <v>0</v>
      </c>
      <c r="P1168" s="27" t="s">
        <v>13</v>
      </c>
      <c r="Q1168" s="27">
        <v>1993</v>
      </c>
      <c r="R1168" s="27">
        <v>1</v>
      </c>
      <c r="S1168" s="27">
        <v>0</v>
      </c>
      <c r="T1168" s="27">
        <v>-1.8E-3</v>
      </c>
      <c r="U1168" s="27">
        <v>-1.2E-2</v>
      </c>
      <c r="V1168" s="27">
        <v>0</v>
      </c>
      <c r="W1168" s="27">
        <v>0</v>
      </c>
      <c r="X1168" s="27" t="s">
        <v>17</v>
      </c>
    </row>
    <row r="1169" spans="1:24">
      <c r="A1169" s="27">
        <v>2</v>
      </c>
      <c r="B1169" s="27">
        <v>3</v>
      </c>
      <c r="C1169" s="27">
        <v>10</v>
      </c>
      <c r="D1169" s="27">
        <v>2013</v>
      </c>
      <c r="E1169" s="27">
        <v>2013</v>
      </c>
      <c r="F1169" s="27">
        <v>6</v>
      </c>
      <c r="G1169" s="27">
        <v>41</v>
      </c>
      <c r="H1169" s="27">
        <v>4</v>
      </c>
      <c r="I1169" s="27">
        <v>0</v>
      </c>
      <c r="J1169" s="27">
        <v>0</v>
      </c>
      <c r="K1169" s="27">
        <v>4.84</v>
      </c>
      <c r="L1169" s="27">
        <v>3600</v>
      </c>
      <c r="M1169" s="27">
        <v>0</v>
      </c>
      <c r="N1169" s="27">
        <v>600</v>
      </c>
      <c r="O1169" s="27">
        <v>0</v>
      </c>
      <c r="P1169" s="27" t="s">
        <v>13</v>
      </c>
      <c r="Q1169" s="27">
        <v>1993</v>
      </c>
      <c r="R1169" s="27">
        <v>1</v>
      </c>
      <c r="S1169" s="27">
        <v>0</v>
      </c>
      <c r="T1169" s="27">
        <v>-1.8E-3</v>
      </c>
      <c r="U1169" s="27">
        <v>-1.2E-2</v>
      </c>
      <c r="V1169" s="27">
        <v>0</v>
      </c>
      <c r="W1169" s="27">
        <v>0</v>
      </c>
      <c r="X1169" s="27" t="s">
        <v>17</v>
      </c>
    </row>
    <row r="1170" spans="1:24">
      <c r="A1170" s="27">
        <v>2</v>
      </c>
      <c r="B1170" s="27">
        <v>3</v>
      </c>
      <c r="C1170" s="27">
        <v>10</v>
      </c>
      <c r="D1170" s="27">
        <v>2013</v>
      </c>
      <c r="E1170" s="27">
        <v>2013</v>
      </c>
      <c r="F1170" s="27">
        <v>7</v>
      </c>
      <c r="G1170" s="27">
        <v>41</v>
      </c>
      <c r="H1170" s="27">
        <v>4</v>
      </c>
      <c r="I1170" s="27">
        <v>0</v>
      </c>
      <c r="J1170" s="27">
        <v>0</v>
      </c>
      <c r="K1170" s="27">
        <v>4.84</v>
      </c>
      <c r="L1170" s="27">
        <v>3600</v>
      </c>
      <c r="M1170" s="27">
        <v>0</v>
      </c>
      <c r="N1170" s="27">
        <v>600</v>
      </c>
      <c r="O1170" s="27">
        <v>0</v>
      </c>
      <c r="P1170" s="27" t="s">
        <v>13</v>
      </c>
      <c r="Q1170" s="27">
        <v>1993</v>
      </c>
      <c r="R1170" s="27">
        <v>1</v>
      </c>
      <c r="S1170" s="27">
        <v>0</v>
      </c>
      <c r="T1170" s="27">
        <v>-1.8E-3</v>
      </c>
      <c r="U1170" s="27">
        <v>-1.2E-2</v>
      </c>
      <c r="V1170" s="27">
        <v>0</v>
      </c>
      <c r="W1170" s="27">
        <v>0</v>
      </c>
      <c r="X1170" s="27" t="s">
        <v>17</v>
      </c>
    </row>
    <row r="1171" spans="1:24">
      <c r="A1171" s="27">
        <v>2</v>
      </c>
      <c r="B1171" s="27">
        <v>3</v>
      </c>
      <c r="C1171" s="27">
        <v>10</v>
      </c>
      <c r="D1171" s="27">
        <v>2013</v>
      </c>
      <c r="E1171" s="27">
        <v>2013</v>
      </c>
      <c r="F1171" s="27">
        <v>8</v>
      </c>
      <c r="G1171" s="27">
        <v>41</v>
      </c>
      <c r="H1171" s="27">
        <v>4</v>
      </c>
      <c r="I1171" s="27">
        <v>0</v>
      </c>
      <c r="J1171" s="27">
        <v>0</v>
      </c>
      <c r="K1171" s="27">
        <v>4.84</v>
      </c>
      <c r="L1171" s="27">
        <v>3600</v>
      </c>
      <c r="M1171" s="27">
        <v>0</v>
      </c>
      <c r="N1171" s="27">
        <v>600</v>
      </c>
      <c r="O1171" s="27">
        <v>0</v>
      </c>
      <c r="P1171" s="27" t="s">
        <v>13</v>
      </c>
      <c r="Q1171" s="27">
        <v>1993</v>
      </c>
      <c r="R1171" s="27">
        <v>1</v>
      </c>
      <c r="S1171" s="27">
        <v>0</v>
      </c>
      <c r="T1171" s="27">
        <v>-1.8E-3</v>
      </c>
      <c r="U1171" s="27">
        <v>-1.2E-2</v>
      </c>
      <c r="V1171" s="27">
        <v>0</v>
      </c>
      <c r="W1171" s="27">
        <v>0</v>
      </c>
      <c r="X1171" s="27" t="s">
        <v>17</v>
      </c>
    </row>
    <row r="1172" spans="1:24">
      <c r="A1172" s="27">
        <v>2</v>
      </c>
      <c r="B1172" s="27">
        <v>3</v>
      </c>
      <c r="C1172" s="27">
        <v>10</v>
      </c>
      <c r="D1172" s="27">
        <v>2013</v>
      </c>
      <c r="E1172" s="27">
        <v>2013</v>
      </c>
      <c r="F1172" s="27">
        <v>9</v>
      </c>
      <c r="G1172" s="27">
        <v>41</v>
      </c>
      <c r="H1172" s="27">
        <v>4</v>
      </c>
      <c r="I1172" s="27">
        <v>0</v>
      </c>
      <c r="J1172" s="27">
        <v>0</v>
      </c>
      <c r="K1172" s="27">
        <v>4.84</v>
      </c>
      <c r="L1172" s="27">
        <v>3600</v>
      </c>
      <c r="M1172" s="27">
        <v>0</v>
      </c>
      <c r="N1172" s="27">
        <v>600</v>
      </c>
      <c r="O1172" s="27">
        <v>0</v>
      </c>
      <c r="P1172" s="27" t="s">
        <v>13</v>
      </c>
      <c r="Q1172" s="27">
        <v>1993</v>
      </c>
      <c r="R1172" s="27">
        <v>1</v>
      </c>
      <c r="S1172" s="27">
        <v>0</v>
      </c>
      <c r="T1172" s="27">
        <v>-1.8E-3</v>
      </c>
      <c r="U1172" s="27">
        <v>-1.2E-2</v>
      </c>
      <c r="V1172" s="27">
        <v>0</v>
      </c>
      <c r="W1172" s="27">
        <v>0</v>
      </c>
      <c r="X1172" s="27" t="s">
        <v>17</v>
      </c>
    </row>
    <row r="1173" spans="1:24">
      <c r="A1173" s="27">
        <v>2</v>
      </c>
      <c r="B1173" s="27">
        <v>3</v>
      </c>
      <c r="C1173" s="27">
        <v>10</v>
      </c>
      <c r="D1173" s="27">
        <v>2014</v>
      </c>
      <c r="E1173" s="27">
        <v>2050</v>
      </c>
      <c r="F1173" s="27">
        <v>1</v>
      </c>
      <c r="G1173" s="27">
        <v>41</v>
      </c>
      <c r="H1173" s="27">
        <v>4</v>
      </c>
      <c r="I1173" s="27">
        <v>0</v>
      </c>
      <c r="J1173" s="27">
        <v>0</v>
      </c>
      <c r="K1173" s="27">
        <v>4.84</v>
      </c>
      <c r="L1173" s="27">
        <v>3150</v>
      </c>
      <c r="M1173" s="27">
        <v>0</v>
      </c>
      <c r="N1173" s="27">
        <v>0</v>
      </c>
      <c r="O1173" s="27">
        <v>0</v>
      </c>
      <c r="P1173" s="27" t="s">
        <v>13</v>
      </c>
      <c r="Q1173" s="27">
        <v>1993</v>
      </c>
      <c r="R1173" s="27">
        <v>1</v>
      </c>
      <c r="S1173" s="27">
        <v>0</v>
      </c>
      <c r="T1173" s="27">
        <v>-1.8E-3</v>
      </c>
      <c r="U1173" s="27">
        <v>-1.2E-2</v>
      </c>
      <c r="V1173" s="27">
        <v>0</v>
      </c>
      <c r="W1173" s="27">
        <v>0</v>
      </c>
      <c r="X1173" s="27" t="s">
        <v>17</v>
      </c>
    </row>
    <row r="1174" spans="1:24">
      <c r="A1174" s="27">
        <v>2</v>
      </c>
      <c r="B1174" s="27">
        <v>3</v>
      </c>
      <c r="C1174" s="27">
        <v>10</v>
      </c>
      <c r="D1174" s="27">
        <v>2014</v>
      </c>
      <c r="E1174" s="27">
        <v>2050</v>
      </c>
      <c r="F1174" s="27">
        <v>2</v>
      </c>
      <c r="G1174" s="27">
        <v>41</v>
      </c>
      <c r="H1174" s="27">
        <v>4</v>
      </c>
      <c r="I1174" s="27">
        <v>0</v>
      </c>
      <c r="J1174" s="27">
        <v>0</v>
      </c>
      <c r="K1174" s="27">
        <v>4.84</v>
      </c>
      <c r="L1174" s="27">
        <v>3150</v>
      </c>
      <c r="M1174" s="27">
        <v>0</v>
      </c>
      <c r="N1174" s="27">
        <v>0</v>
      </c>
      <c r="O1174" s="27">
        <v>0</v>
      </c>
      <c r="P1174" s="27" t="s">
        <v>13</v>
      </c>
      <c r="Q1174" s="27">
        <v>1993</v>
      </c>
      <c r="R1174" s="27">
        <v>1</v>
      </c>
      <c r="S1174" s="27">
        <v>0</v>
      </c>
      <c r="T1174" s="27">
        <v>-1.8E-3</v>
      </c>
      <c r="U1174" s="27">
        <v>-1.2E-2</v>
      </c>
      <c r="V1174" s="27">
        <v>0</v>
      </c>
      <c r="W1174" s="27">
        <v>0</v>
      </c>
      <c r="X1174" s="27" t="s">
        <v>17</v>
      </c>
    </row>
    <row r="1175" spans="1:24">
      <c r="A1175" s="27">
        <v>2</v>
      </c>
      <c r="B1175" s="27">
        <v>3</v>
      </c>
      <c r="C1175" s="27">
        <v>10</v>
      </c>
      <c r="D1175" s="27">
        <v>2014</v>
      </c>
      <c r="E1175" s="27">
        <v>2050</v>
      </c>
      <c r="F1175" s="27">
        <v>3</v>
      </c>
      <c r="G1175" s="27">
        <v>41</v>
      </c>
      <c r="H1175" s="27">
        <v>4</v>
      </c>
      <c r="I1175" s="27">
        <v>0</v>
      </c>
      <c r="J1175" s="27">
        <v>0</v>
      </c>
      <c r="K1175" s="27">
        <v>4.84</v>
      </c>
      <c r="L1175" s="27">
        <v>3150</v>
      </c>
      <c r="M1175" s="27">
        <v>0</v>
      </c>
      <c r="N1175" s="27">
        <v>0</v>
      </c>
      <c r="O1175" s="27">
        <v>0</v>
      </c>
      <c r="P1175" s="27" t="s">
        <v>13</v>
      </c>
      <c r="Q1175" s="27">
        <v>1993</v>
      </c>
      <c r="R1175" s="27">
        <v>1</v>
      </c>
      <c r="S1175" s="27">
        <v>0</v>
      </c>
      <c r="T1175" s="27">
        <v>-1.8E-3</v>
      </c>
      <c r="U1175" s="27">
        <v>-1.2E-2</v>
      </c>
      <c r="V1175" s="27">
        <v>0</v>
      </c>
      <c r="W1175" s="27">
        <v>0</v>
      </c>
      <c r="X1175" s="27" t="s">
        <v>17</v>
      </c>
    </row>
    <row r="1176" spans="1:24">
      <c r="A1176" s="27">
        <v>2</v>
      </c>
      <c r="B1176" s="27">
        <v>3</v>
      </c>
      <c r="C1176" s="27">
        <v>10</v>
      </c>
      <c r="D1176" s="27">
        <v>2014</v>
      </c>
      <c r="E1176" s="27">
        <v>2050</v>
      </c>
      <c r="F1176" s="27">
        <v>4</v>
      </c>
      <c r="G1176" s="27">
        <v>41</v>
      </c>
      <c r="H1176" s="27">
        <v>4</v>
      </c>
      <c r="I1176" s="27">
        <v>0</v>
      </c>
      <c r="J1176" s="27">
        <v>0</v>
      </c>
      <c r="K1176" s="27">
        <v>4.84</v>
      </c>
      <c r="L1176" s="27">
        <v>3150</v>
      </c>
      <c r="M1176" s="27">
        <v>0</v>
      </c>
      <c r="N1176" s="27">
        <v>0</v>
      </c>
      <c r="O1176" s="27">
        <v>0</v>
      </c>
      <c r="P1176" s="27" t="s">
        <v>13</v>
      </c>
      <c r="Q1176" s="27">
        <v>1993</v>
      </c>
      <c r="R1176" s="27">
        <v>1</v>
      </c>
      <c r="S1176" s="27">
        <v>0</v>
      </c>
      <c r="T1176" s="27">
        <v>-1.8E-3</v>
      </c>
      <c r="U1176" s="27">
        <v>-1.2E-2</v>
      </c>
      <c r="V1176" s="27">
        <v>0</v>
      </c>
      <c r="W1176" s="27">
        <v>0</v>
      </c>
      <c r="X1176" s="27" t="s">
        <v>17</v>
      </c>
    </row>
    <row r="1177" spans="1:24">
      <c r="A1177" s="27">
        <v>2</v>
      </c>
      <c r="B1177" s="27">
        <v>3</v>
      </c>
      <c r="C1177" s="27">
        <v>10</v>
      </c>
      <c r="D1177" s="27">
        <v>2014</v>
      </c>
      <c r="E1177" s="27">
        <v>2050</v>
      </c>
      <c r="F1177" s="27">
        <v>5</v>
      </c>
      <c r="G1177" s="27">
        <v>41</v>
      </c>
      <c r="H1177" s="27">
        <v>4</v>
      </c>
      <c r="I1177" s="27">
        <v>0</v>
      </c>
      <c r="J1177" s="27">
        <v>0</v>
      </c>
      <c r="K1177" s="27">
        <v>4.84</v>
      </c>
      <c r="L1177" s="27">
        <v>3150</v>
      </c>
      <c r="M1177" s="27">
        <v>0</v>
      </c>
      <c r="N1177" s="27">
        <v>0</v>
      </c>
      <c r="O1177" s="27">
        <v>0</v>
      </c>
      <c r="P1177" s="27" t="s">
        <v>13</v>
      </c>
      <c r="Q1177" s="27">
        <v>1993</v>
      </c>
      <c r="R1177" s="27">
        <v>1</v>
      </c>
      <c r="S1177" s="27">
        <v>0</v>
      </c>
      <c r="T1177" s="27">
        <v>-1.8E-3</v>
      </c>
      <c r="U1177" s="27">
        <v>-1.2E-2</v>
      </c>
      <c r="V1177" s="27">
        <v>0</v>
      </c>
      <c r="W1177" s="27">
        <v>0</v>
      </c>
      <c r="X1177" s="27" t="s">
        <v>17</v>
      </c>
    </row>
    <row r="1178" spans="1:24">
      <c r="A1178" s="27">
        <v>2</v>
      </c>
      <c r="B1178" s="27">
        <v>3</v>
      </c>
      <c r="C1178" s="27">
        <v>10</v>
      </c>
      <c r="D1178" s="27">
        <v>2014</v>
      </c>
      <c r="E1178" s="27">
        <v>2050</v>
      </c>
      <c r="F1178" s="27">
        <v>6</v>
      </c>
      <c r="G1178" s="27">
        <v>41</v>
      </c>
      <c r="H1178" s="27">
        <v>4</v>
      </c>
      <c r="I1178" s="27">
        <v>0</v>
      </c>
      <c r="J1178" s="27">
        <v>0</v>
      </c>
      <c r="K1178" s="27">
        <v>4.84</v>
      </c>
      <c r="L1178" s="27">
        <v>3150</v>
      </c>
      <c r="M1178" s="27">
        <v>0</v>
      </c>
      <c r="N1178" s="27">
        <v>0</v>
      </c>
      <c r="O1178" s="27">
        <v>0</v>
      </c>
      <c r="P1178" s="27" t="s">
        <v>13</v>
      </c>
      <c r="Q1178" s="27">
        <v>1993</v>
      </c>
      <c r="R1178" s="27">
        <v>1</v>
      </c>
      <c r="S1178" s="27">
        <v>0</v>
      </c>
      <c r="T1178" s="27">
        <v>-1.8E-3</v>
      </c>
      <c r="U1178" s="27">
        <v>-1.2E-2</v>
      </c>
      <c r="V1178" s="27">
        <v>0</v>
      </c>
      <c r="W1178" s="27">
        <v>0</v>
      </c>
      <c r="X1178" s="27" t="s">
        <v>17</v>
      </c>
    </row>
    <row r="1179" spans="1:24">
      <c r="A1179" s="27">
        <v>2</v>
      </c>
      <c r="B1179" s="27">
        <v>3</v>
      </c>
      <c r="C1179" s="27">
        <v>10</v>
      </c>
      <c r="D1179" s="27">
        <v>2014</v>
      </c>
      <c r="E1179" s="27">
        <v>2050</v>
      </c>
      <c r="F1179" s="27">
        <v>7</v>
      </c>
      <c r="G1179" s="27">
        <v>41</v>
      </c>
      <c r="H1179" s="27">
        <v>4</v>
      </c>
      <c r="I1179" s="27">
        <v>0</v>
      </c>
      <c r="J1179" s="27">
        <v>0</v>
      </c>
      <c r="K1179" s="27">
        <v>4.84</v>
      </c>
      <c r="L1179" s="27">
        <v>3150</v>
      </c>
      <c r="M1179" s="27">
        <v>0</v>
      </c>
      <c r="N1179" s="27">
        <v>0</v>
      </c>
      <c r="O1179" s="27">
        <v>0</v>
      </c>
      <c r="P1179" s="27" t="s">
        <v>13</v>
      </c>
      <c r="Q1179" s="27">
        <v>1993</v>
      </c>
      <c r="R1179" s="27">
        <v>1</v>
      </c>
      <c r="S1179" s="27">
        <v>0</v>
      </c>
      <c r="T1179" s="27">
        <v>-1.8E-3</v>
      </c>
      <c r="U1179" s="27">
        <v>-1.2E-2</v>
      </c>
      <c r="V1179" s="27">
        <v>0</v>
      </c>
      <c r="W1179" s="27">
        <v>0</v>
      </c>
      <c r="X1179" s="27" t="s">
        <v>17</v>
      </c>
    </row>
    <row r="1180" spans="1:24">
      <c r="A1180" s="27">
        <v>2</v>
      </c>
      <c r="B1180" s="27">
        <v>3</v>
      </c>
      <c r="C1180" s="27">
        <v>10</v>
      </c>
      <c r="D1180" s="27">
        <v>2014</v>
      </c>
      <c r="E1180" s="27">
        <v>2050</v>
      </c>
      <c r="F1180" s="27">
        <v>8</v>
      </c>
      <c r="G1180" s="27">
        <v>41</v>
      </c>
      <c r="H1180" s="27">
        <v>4</v>
      </c>
      <c r="I1180" s="27">
        <v>0</v>
      </c>
      <c r="J1180" s="27">
        <v>0</v>
      </c>
      <c r="K1180" s="27">
        <v>4.84</v>
      </c>
      <c r="L1180" s="27">
        <v>3150</v>
      </c>
      <c r="M1180" s="27">
        <v>0</v>
      </c>
      <c r="N1180" s="27">
        <v>0</v>
      </c>
      <c r="O1180" s="27">
        <v>0</v>
      </c>
      <c r="P1180" s="27" t="s">
        <v>13</v>
      </c>
      <c r="Q1180" s="27">
        <v>1993</v>
      </c>
      <c r="R1180" s="27">
        <v>1</v>
      </c>
      <c r="S1180" s="27">
        <v>0</v>
      </c>
      <c r="T1180" s="27">
        <v>-1.8E-3</v>
      </c>
      <c r="U1180" s="27">
        <v>-1.2E-2</v>
      </c>
      <c r="V1180" s="27">
        <v>0</v>
      </c>
      <c r="W1180" s="27">
        <v>0</v>
      </c>
      <c r="X1180" s="27" t="s">
        <v>17</v>
      </c>
    </row>
    <row r="1181" spans="1:24">
      <c r="A1181" s="27">
        <v>2</v>
      </c>
      <c r="B1181" s="27">
        <v>3</v>
      </c>
      <c r="C1181" s="27">
        <v>10</v>
      </c>
      <c r="D1181" s="27">
        <v>2014</v>
      </c>
      <c r="E1181" s="27">
        <v>2050</v>
      </c>
      <c r="F1181" s="27">
        <v>9</v>
      </c>
      <c r="G1181" s="27">
        <v>41</v>
      </c>
      <c r="H1181" s="27">
        <v>4</v>
      </c>
      <c r="I1181" s="27">
        <v>0</v>
      </c>
      <c r="J1181" s="27">
        <v>0</v>
      </c>
      <c r="K1181" s="27">
        <v>4.84</v>
      </c>
      <c r="L1181" s="27">
        <v>3150</v>
      </c>
      <c r="M1181" s="27">
        <v>0</v>
      </c>
      <c r="N1181" s="27">
        <v>0</v>
      </c>
      <c r="O1181" s="27">
        <v>0</v>
      </c>
      <c r="P1181" s="27" t="s">
        <v>13</v>
      </c>
      <c r="Q1181" s="27">
        <v>1993</v>
      </c>
      <c r="R1181" s="27">
        <v>1</v>
      </c>
      <c r="S1181" s="27">
        <v>0</v>
      </c>
      <c r="T1181" s="27">
        <v>-1.8E-3</v>
      </c>
      <c r="U1181" s="27">
        <v>-1.2E-2</v>
      </c>
      <c r="V1181" s="27">
        <v>0</v>
      </c>
      <c r="W1181" s="27">
        <v>0</v>
      </c>
      <c r="X1181" s="27" t="s">
        <v>17</v>
      </c>
    </row>
    <row r="1182" spans="1:24">
      <c r="A1182" s="27">
        <v>2</v>
      </c>
      <c r="B1182" s="27">
        <v>3</v>
      </c>
      <c r="C1182" s="27">
        <v>11</v>
      </c>
      <c r="D1182" s="27">
        <v>2010</v>
      </c>
      <c r="E1182" s="27">
        <v>2010</v>
      </c>
      <c r="F1182" s="27">
        <v>1</v>
      </c>
      <c r="G1182" s="27">
        <v>42</v>
      </c>
      <c r="H1182" s="27">
        <v>5</v>
      </c>
      <c r="I1182" s="27">
        <v>0</v>
      </c>
      <c r="J1182" s="27">
        <v>0</v>
      </c>
      <c r="K1182" s="27">
        <v>6.45</v>
      </c>
      <c r="L1182" s="27">
        <v>3975</v>
      </c>
      <c r="M1182" s="27">
        <v>0</v>
      </c>
      <c r="N1182" s="27">
        <v>1192</v>
      </c>
      <c r="O1182" s="27">
        <v>0</v>
      </c>
      <c r="P1182" s="27" t="s">
        <v>13</v>
      </c>
      <c r="Q1182" s="27">
        <v>1993</v>
      </c>
      <c r="R1182" s="27">
        <v>1</v>
      </c>
      <c r="S1182" s="27">
        <v>0</v>
      </c>
      <c r="T1182" s="27">
        <v>-1.8E-3</v>
      </c>
      <c r="U1182" s="27">
        <v>-1.2E-2</v>
      </c>
      <c r="V1182" s="27">
        <v>0</v>
      </c>
      <c r="W1182" s="27">
        <v>0</v>
      </c>
      <c r="X1182" s="27" t="s">
        <v>18</v>
      </c>
    </row>
    <row r="1183" spans="1:24">
      <c r="A1183" s="27">
        <v>2</v>
      </c>
      <c r="B1183" s="27">
        <v>3</v>
      </c>
      <c r="C1183" s="27">
        <v>11</v>
      </c>
      <c r="D1183" s="27">
        <v>2010</v>
      </c>
      <c r="E1183" s="27">
        <v>2010</v>
      </c>
      <c r="F1183" s="27">
        <v>2</v>
      </c>
      <c r="G1183" s="27">
        <v>42</v>
      </c>
      <c r="H1183" s="27">
        <v>5</v>
      </c>
      <c r="I1183" s="27">
        <v>0</v>
      </c>
      <c r="J1183" s="27">
        <v>0</v>
      </c>
      <c r="K1183" s="27">
        <v>6.45</v>
      </c>
      <c r="L1183" s="27">
        <v>3975</v>
      </c>
      <c r="M1183" s="27">
        <v>0</v>
      </c>
      <c r="N1183" s="27">
        <v>1192</v>
      </c>
      <c r="O1183" s="27">
        <v>0</v>
      </c>
      <c r="P1183" s="27" t="s">
        <v>13</v>
      </c>
      <c r="Q1183" s="27">
        <v>1993</v>
      </c>
      <c r="R1183" s="27">
        <v>1</v>
      </c>
      <c r="S1183" s="27">
        <v>0</v>
      </c>
      <c r="T1183" s="27">
        <v>-1.8E-3</v>
      </c>
      <c r="U1183" s="27">
        <v>-1.2E-2</v>
      </c>
      <c r="V1183" s="27">
        <v>0</v>
      </c>
      <c r="W1183" s="27">
        <v>0</v>
      </c>
      <c r="X1183" s="27" t="s">
        <v>18</v>
      </c>
    </row>
    <row r="1184" spans="1:24">
      <c r="A1184" s="27">
        <v>2</v>
      </c>
      <c r="B1184" s="27">
        <v>3</v>
      </c>
      <c r="C1184" s="27">
        <v>11</v>
      </c>
      <c r="D1184" s="27">
        <v>2010</v>
      </c>
      <c r="E1184" s="27">
        <v>2010</v>
      </c>
      <c r="F1184" s="27">
        <v>3</v>
      </c>
      <c r="G1184" s="27">
        <v>42</v>
      </c>
      <c r="H1184" s="27">
        <v>5</v>
      </c>
      <c r="I1184" s="27">
        <v>0</v>
      </c>
      <c r="J1184" s="27">
        <v>0</v>
      </c>
      <c r="K1184" s="27">
        <v>6.45</v>
      </c>
      <c r="L1184" s="27">
        <v>3975</v>
      </c>
      <c r="M1184" s="27">
        <v>0</v>
      </c>
      <c r="N1184" s="27">
        <v>1192</v>
      </c>
      <c r="O1184" s="27">
        <v>0</v>
      </c>
      <c r="P1184" s="27" t="s">
        <v>13</v>
      </c>
      <c r="Q1184" s="27">
        <v>1993</v>
      </c>
      <c r="R1184" s="27">
        <v>1</v>
      </c>
      <c r="S1184" s="27">
        <v>0</v>
      </c>
      <c r="T1184" s="27">
        <v>-1.8E-3</v>
      </c>
      <c r="U1184" s="27">
        <v>-1.2E-2</v>
      </c>
      <c r="V1184" s="27">
        <v>0</v>
      </c>
      <c r="W1184" s="27">
        <v>0</v>
      </c>
      <c r="X1184" s="27" t="s">
        <v>18</v>
      </c>
    </row>
    <row r="1185" spans="1:24">
      <c r="A1185" s="27">
        <v>2</v>
      </c>
      <c r="B1185" s="27">
        <v>3</v>
      </c>
      <c r="C1185" s="27">
        <v>11</v>
      </c>
      <c r="D1185" s="27">
        <v>2010</v>
      </c>
      <c r="E1185" s="27">
        <v>2010</v>
      </c>
      <c r="F1185" s="27">
        <v>4</v>
      </c>
      <c r="G1185" s="27">
        <v>42</v>
      </c>
      <c r="H1185" s="27">
        <v>5</v>
      </c>
      <c r="I1185" s="27">
        <v>0</v>
      </c>
      <c r="J1185" s="27">
        <v>0</v>
      </c>
      <c r="K1185" s="27">
        <v>6.45</v>
      </c>
      <c r="L1185" s="27">
        <v>3975</v>
      </c>
      <c r="M1185" s="27">
        <v>0</v>
      </c>
      <c r="N1185" s="27">
        <v>1192</v>
      </c>
      <c r="O1185" s="27">
        <v>0</v>
      </c>
      <c r="P1185" s="27" t="s">
        <v>13</v>
      </c>
      <c r="Q1185" s="27">
        <v>1993</v>
      </c>
      <c r="R1185" s="27">
        <v>1</v>
      </c>
      <c r="S1185" s="27">
        <v>0</v>
      </c>
      <c r="T1185" s="27">
        <v>-1.8E-3</v>
      </c>
      <c r="U1185" s="27">
        <v>-1.2E-2</v>
      </c>
      <c r="V1185" s="27">
        <v>0</v>
      </c>
      <c r="W1185" s="27">
        <v>0</v>
      </c>
      <c r="X1185" s="27" t="s">
        <v>18</v>
      </c>
    </row>
    <row r="1186" spans="1:24">
      <c r="A1186" s="27">
        <v>2</v>
      </c>
      <c r="B1186" s="27">
        <v>3</v>
      </c>
      <c r="C1186" s="27">
        <v>11</v>
      </c>
      <c r="D1186" s="27">
        <v>2010</v>
      </c>
      <c r="E1186" s="27">
        <v>2010</v>
      </c>
      <c r="F1186" s="27">
        <v>5</v>
      </c>
      <c r="G1186" s="27">
        <v>42</v>
      </c>
      <c r="H1186" s="27">
        <v>5</v>
      </c>
      <c r="I1186" s="27">
        <v>0</v>
      </c>
      <c r="J1186" s="27">
        <v>0</v>
      </c>
      <c r="K1186" s="27">
        <v>6.45</v>
      </c>
      <c r="L1186" s="27">
        <v>3975</v>
      </c>
      <c r="M1186" s="27">
        <v>0</v>
      </c>
      <c r="N1186" s="27">
        <v>1192</v>
      </c>
      <c r="O1186" s="27">
        <v>0</v>
      </c>
      <c r="P1186" s="27" t="s">
        <v>13</v>
      </c>
      <c r="Q1186" s="27">
        <v>1993</v>
      </c>
      <c r="R1186" s="27">
        <v>1</v>
      </c>
      <c r="S1186" s="27">
        <v>0</v>
      </c>
      <c r="T1186" s="27">
        <v>-1.8E-3</v>
      </c>
      <c r="U1186" s="27">
        <v>-1.2E-2</v>
      </c>
      <c r="V1186" s="27">
        <v>0</v>
      </c>
      <c r="W1186" s="27">
        <v>0</v>
      </c>
      <c r="X1186" s="27" t="s">
        <v>18</v>
      </c>
    </row>
    <row r="1187" spans="1:24">
      <c r="A1187" s="27">
        <v>2</v>
      </c>
      <c r="B1187" s="27">
        <v>3</v>
      </c>
      <c r="C1187" s="27">
        <v>11</v>
      </c>
      <c r="D1187" s="27">
        <v>2010</v>
      </c>
      <c r="E1187" s="27">
        <v>2010</v>
      </c>
      <c r="F1187" s="27">
        <v>6</v>
      </c>
      <c r="G1187" s="27">
        <v>42</v>
      </c>
      <c r="H1187" s="27">
        <v>5</v>
      </c>
      <c r="I1187" s="27">
        <v>0</v>
      </c>
      <c r="J1187" s="27">
        <v>0</v>
      </c>
      <c r="K1187" s="27">
        <v>6.45</v>
      </c>
      <c r="L1187" s="27">
        <v>3975</v>
      </c>
      <c r="M1187" s="27">
        <v>0</v>
      </c>
      <c r="N1187" s="27">
        <v>1192</v>
      </c>
      <c r="O1187" s="27">
        <v>0</v>
      </c>
      <c r="P1187" s="27" t="s">
        <v>13</v>
      </c>
      <c r="Q1187" s="27">
        <v>1993</v>
      </c>
      <c r="R1187" s="27">
        <v>1</v>
      </c>
      <c r="S1187" s="27">
        <v>0</v>
      </c>
      <c r="T1187" s="27">
        <v>-1.8E-3</v>
      </c>
      <c r="U1187" s="27">
        <v>-1.2E-2</v>
      </c>
      <c r="V1187" s="27">
        <v>0</v>
      </c>
      <c r="W1187" s="27">
        <v>0</v>
      </c>
      <c r="X1187" s="27" t="s">
        <v>18</v>
      </c>
    </row>
    <row r="1188" spans="1:24">
      <c r="A1188" s="27">
        <v>2</v>
      </c>
      <c r="B1188" s="27">
        <v>3</v>
      </c>
      <c r="C1188" s="27">
        <v>11</v>
      </c>
      <c r="D1188" s="27">
        <v>2010</v>
      </c>
      <c r="E1188" s="27">
        <v>2010</v>
      </c>
      <c r="F1188" s="27">
        <v>7</v>
      </c>
      <c r="G1188" s="27">
        <v>42</v>
      </c>
      <c r="H1188" s="27">
        <v>5</v>
      </c>
      <c r="I1188" s="27">
        <v>0</v>
      </c>
      <c r="J1188" s="27">
        <v>0</v>
      </c>
      <c r="K1188" s="27">
        <v>6.45</v>
      </c>
      <c r="L1188" s="27">
        <v>3975</v>
      </c>
      <c r="M1188" s="27">
        <v>0</v>
      </c>
      <c r="N1188" s="27">
        <v>1192</v>
      </c>
      <c r="O1188" s="27">
        <v>0</v>
      </c>
      <c r="P1188" s="27" t="s">
        <v>13</v>
      </c>
      <c r="Q1188" s="27">
        <v>1993</v>
      </c>
      <c r="R1188" s="27">
        <v>1</v>
      </c>
      <c r="S1188" s="27">
        <v>0</v>
      </c>
      <c r="T1188" s="27">
        <v>-1.8E-3</v>
      </c>
      <c r="U1188" s="27">
        <v>-1.2E-2</v>
      </c>
      <c r="V1188" s="27">
        <v>0</v>
      </c>
      <c r="W1188" s="27">
        <v>0</v>
      </c>
      <c r="X1188" s="27" t="s">
        <v>18</v>
      </c>
    </row>
    <row r="1189" spans="1:24">
      <c r="A1189" s="27">
        <v>2</v>
      </c>
      <c r="B1189" s="27">
        <v>3</v>
      </c>
      <c r="C1189" s="27">
        <v>11</v>
      </c>
      <c r="D1189" s="27">
        <v>2010</v>
      </c>
      <c r="E1189" s="27">
        <v>2010</v>
      </c>
      <c r="F1189" s="27">
        <v>8</v>
      </c>
      <c r="G1189" s="27">
        <v>42</v>
      </c>
      <c r="H1189" s="27">
        <v>5</v>
      </c>
      <c r="I1189" s="27">
        <v>0</v>
      </c>
      <c r="J1189" s="27">
        <v>0</v>
      </c>
      <c r="K1189" s="27">
        <v>6.45</v>
      </c>
      <c r="L1189" s="27">
        <v>3975</v>
      </c>
      <c r="M1189" s="27">
        <v>0</v>
      </c>
      <c r="N1189" s="27">
        <v>1192</v>
      </c>
      <c r="O1189" s="27">
        <v>0</v>
      </c>
      <c r="P1189" s="27" t="s">
        <v>13</v>
      </c>
      <c r="Q1189" s="27">
        <v>1993</v>
      </c>
      <c r="R1189" s="27">
        <v>1</v>
      </c>
      <c r="S1189" s="27">
        <v>0</v>
      </c>
      <c r="T1189" s="27">
        <v>-1.8E-3</v>
      </c>
      <c r="U1189" s="27">
        <v>-1.2E-2</v>
      </c>
      <c r="V1189" s="27">
        <v>0</v>
      </c>
      <c r="W1189" s="27">
        <v>0</v>
      </c>
      <c r="X1189" s="27" t="s">
        <v>18</v>
      </c>
    </row>
    <row r="1190" spans="1:24">
      <c r="A1190" s="27">
        <v>2</v>
      </c>
      <c r="B1190" s="27">
        <v>3</v>
      </c>
      <c r="C1190" s="27">
        <v>11</v>
      </c>
      <c r="D1190" s="27">
        <v>2010</v>
      </c>
      <c r="E1190" s="27">
        <v>2010</v>
      </c>
      <c r="F1190" s="27">
        <v>9</v>
      </c>
      <c r="G1190" s="27">
        <v>42</v>
      </c>
      <c r="H1190" s="27">
        <v>5</v>
      </c>
      <c r="I1190" s="27">
        <v>0</v>
      </c>
      <c r="J1190" s="27">
        <v>0</v>
      </c>
      <c r="K1190" s="27">
        <v>6.45</v>
      </c>
      <c r="L1190" s="27">
        <v>3975</v>
      </c>
      <c r="M1190" s="27">
        <v>0</v>
      </c>
      <c r="N1190" s="27">
        <v>1192</v>
      </c>
      <c r="O1190" s="27">
        <v>0</v>
      </c>
      <c r="P1190" s="27" t="s">
        <v>13</v>
      </c>
      <c r="Q1190" s="27">
        <v>1993</v>
      </c>
      <c r="R1190" s="27">
        <v>1</v>
      </c>
      <c r="S1190" s="27">
        <v>0</v>
      </c>
      <c r="T1190" s="27">
        <v>-1.8E-3</v>
      </c>
      <c r="U1190" s="27">
        <v>-1.2E-2</v>
      </c>
      <c r="V1190" s="27">
        <v>0</v>
      </c>
      <c r="W1190" s="27">
        <v>0</v>
      </c>
      <c r="X1190" s="27" t="s">
        <v>18</v>
      </c>
    </row>
    <row r="1191" spans="1:24">
      <c r="A1191" s="27">
        <v>2</v>
      </c>
      <c r="B1191" s="27">
        <v>3</v>
      </c>
      <c r="C1191" s="27">
        <v>11</v>
      </c>
      <c r="D1191" s="27">
        <v>2011</v>
      </c>
      <c r="E1191" s="27">
        <v>2011</v>
      </c>
      <c r="F1191" s="27">
        <v>1</v>
      </c>
      <c r="G1191" s="27">
        <v>42</v>
      </c>
      <c r="H1191" s="27">
        <v>5</v>
      </c>
      <c r="I1191" s="27">
        <v>0</v>
      </c>
      <c r="J1191" s="27">
        <v>0</v>
      </c>
      <c r="K1191" s="27">
        <v>6.45</v>
      </c>
      <c r="L1191" s="27">
        <v>3975</v>
      </c>
      <c r="M1191" s="27">
        <v>0</v>
      </c>
      <c r="N1191" s="27">
        <v>75</v>
      </c>
      <c r="O1191" s="27">
        <v>0</v>
      </c>
      <c r="P1191" s="27" t="s">
        <v>13</v>
      </c>
      <c r="Q1191" s="27">
        <v>1993</v>
      </c>
      <c r="R1191" s="27">
        <v>1</v>
      </c>
      <c r="S1191" s="27">
        <v>0</v>
      </c>
      <c r="T1191" s="27">
        <v>-1.8E-3</v>
      </c>
      <c r="U1191" s="27">
        <v>-1.2E-2</v>
      </c>
      <c r="V1191" s="27">
        <v>0</v>
      </c>
      <c r="W1191" s="27">
        <v>0</v>
      </c>
      <c r="X1191" s="27" t="s">
        <v>18</v>
      </c>
    </row>
    <row r="1192" spans="1:24">
      <c r="A1192" s="27">
        <v>2</v>
      </c>
      <c r="B1192" s="27">
        <v>3</v>
      </c>
      <c r="C1192" s="27">
        <v>11</v>
      </c>
      <c r="D1192" s="27">
        <v>2011</v>
      </c>
      <c r="E1192" s="27">
        <v>2011</v>
      </c>
      <c r="F1192" s="27">
        <v>2</v>
      </c>
      <c r="G1192" s="27">
        <v>42</v>
      </c>
      <c r="H1192" s="27">
        <v>5</v>
      </c>
      <c r="I1192" s="27">
        <v>0</v>
      </c>
      <c r="J1192" s="27">
        <v>0</v>
      </c>
      <c r="K1192" s="27">
        <v>6.45</v>
      </c>
      <c r="L1192" s="27">
        <v>3975</v>
      </c>
      <c r="M1192" s="27">
        <v>0</v>
      </c>
      <c r="N1192" s="27">
        <v>75</v>
      </c>
      <c r="O1192" s="27">
        <v>0</v>
      </c>
      <c r="P1192" s="27" t="s">
        <v>13</v>
      </c>
      <c r="Q1192" s="27">
        <v>1993</v>
      </c>
      <c r="R1192" s="27">
        <v>1</v>
      </c>
      <c r="S1192" s="27">
        <v>0</v>
      </c>
      <c r="T1192" s="27">
        <v>-1.8E-3</v>
      </c>
      <c r="U1192" s="27">
        <v>-1.2E-2</v>
      </c>
      <c r="V1192" s="27">
        <v>0</v>
      </c>
      <c r="W1192" s="27">
        <v>0</v>
      </c>
      <c r="X1192" s="27" t="s">
        <v>18</v>
      </c>
    </row>
    <row r="1193" spans="1:24">
      <c r="A1193" s="27">
        <v>2</v>
      </c>
      <c r="B1193" s="27">
        <v>3</v>
      </c>
      <c r="C1193" s="27">
        <v>11</v>
      </c>
      <c r="D1193" s="27">
        <v>2011</v>
      </c>
      <c r="E1193" s="27">
        <v>2011</v>
      </c>
      <c r="F1193" s="27">
        <v>3</v>
      </c>
      <c r="G1193" s="27">
        <v>42</v>
      </c>
      <c r="H1193" s="27">
        <v>5</v>
      </c>
      <c r="I1193" s="27">
        <v>0</v>
      </c>
      <c r="J1193" s="27">
        <v>0</v>
      </c>
      <c r="K1193" s="27">
        <v>6.45</v>
      </c>
      <c r="L1193" s="27">
        <v>3975</v>
      </c>
      <c r="M1193" s="27">
        <v>0</v>
      </c>
      <c r="N1193" s="27">
        <v>75</v>
      </c>
      <c r="O1193" s="27">
        <v>0</v>
      </c>
      <c r="P1193" s="27" t="s">
        <v>13</v>
      </c>
      <c r="Q1193" s="27">
        <v>1993</v>
      </c>
      <c r="R1193" s="27">
        <v>1</v>
      </c>
      <c r="S1193" s="27">
        <v>0</v>
      </c>
      <c r="T1193" s="27">
        <v>-1.8E-3</v>
      </c>
      <c r="U1193" s="27">
        <v>-1.2E-2</v>
      </c>
      <c r="V1193" s="27">
        <v>0</v>
      </c>
      <c r="W1193" s="27">
        <v>0</v>
      </c>
      <c r="X1193" s="27" t="s">
        <v>18</v>
      </c>
    </row>
    <row r="1194" spans="1:24">
      <c r="A1194" s="27">
        <v>2</v>
      </c>
      <c r="B1194" s="27">
        <v>3</v>
      </c>
      <c r="C1194" s="27">
        <v>11</v>
      </c>
      <c r="D1194" s="27">
        <v>2011</v>
      </c>
      <c r="E1194" s="27">
        <v>2011</v>
      </c>
      <c r="F1194" s="27">
        <v>4</v>
      </c>
      <c r="G1194" s="27">
        <v>42</v>
      </c>
      <c r="H1194" s="27">
        <v>5</v>
      </c>
      <c r="I1194" s="27">
        <v>0</v>
      </c>
      <c r="J1194" s="27">
        <v>0</v>
      </c>
      <c r="K1194" s="27">
        <v>6.45</v>
      </c>
      <c r="L1194" s="27">
        <v>3975</v>
      </c>
      <c r="M1194" s="27">
        <v>0</v>
      </c>
      <c r="N1194" s="27">
        <v>75</v>
      </c>
      <c r="O1194" s="27">
        <v>0</v>
      </c>
      <c r="P1194" s="27" t="s">
        <v>13</v>
      </c>
      <c r="Q1194" s="27">
        <v>1993</v>
      </c>
      <c r="R1194" s="27">
        <v>1</v>
      </c>
      <c r="S1194" s="27">
        <v>0</v>
      </c>
      <c r="T1194" s="27">
        <v>-1.8E-3</v>
      </c>
      <c r="U1194" s="27">
        <v>-1.2E-2</v>
      </c>
      <c r="V1194" s="27">
        <v>0</v>
      </c>
      <c r="W1194" s="27">
        <v>0</v>
      </c>
      <c r="X1194" s="27" t="s">
        <v>18</v>
      </c>
    </row>
    <row r="1195" spans="1:24">
      <c r="A1195" s="27">
        <v>2</v>
      </c>
      <c r="B1195" s="27">
        <v>3</v>
      </c>
      <c r="C1195" s="27">
        <v>11</v>
      </c>
      <c r="D1195" s="27">
        <v>2011</v>
      </c>
      <c r="E1195" s="27">
        <v>2011</v>
      </c>
      <c r="F1195" s="27">
        <v>5</v>
      </c>
      <c r="G1195" s="27">
        <v>42</v>
      </c>
      <c r="H1195" s="27">
        <v>5</v>
      </c>
      <c r="I1195" s="27">
        <v>0</v>
      </c>
      <c r="J1195" s="27">
        <v>0</v>
      </c>
      <c r="K1195" s="27">
        <v>6.45</v>
      </c>
      <c r="L1195" s="27">
        <v>3975</v>
      </c>
      <c r="M1195" s="27">
        <v>0</v>
      </c>
      <c r="N1195" s="27">
        <v>75</v>
      </c>
      <c r="O1195" s="27">
        <v>0</v>
      </c>
      <c r="P1195" s="27" t="s">
        <v>13</v>
      </c>
      <c r="Q1195" s="27">
        <v>1993</v>
      </c>
      <c r="R1195" s="27">
        <v>1</v>
      </c>
      <c r="S1195" s="27">
        <v>0</v>
      </c>
      <c r="T1195" s="27">
        <v>-1.8E-3</v>
      </c>
      <c r="U1195" s="27">
        <v>-1.2E-2</v>
      </c>
      <c r="V1195" s="27">
        <v>0</v>
      </c>
      <c r="W1195" s="27">
        <v>0</v>
      </c>
      <c r="X1195" s="27" t="s">
        <v>18</v>
      </c>
    </row>
    <row r="1196" spans="1:24">
      <c r="A1196" s="27">
        <v>2</v>
      </c>
      <c r="B1196" s="27">
        <v>3</v>
      </c>
      <c r="C1196" s="27">
        <v>11</v>
      </c>
      <c r="D1196" s="27">
        <v>2011</v>
      </c>
      <c r="E1196" s="27">
        <v>2011</v>
      </c>
      <c r="F1196" s="27">
        <v>6</v>
      </c>
      <c r="G1196" s="27">
        <v>42</v>
      </c>
      <c r="H1196" s="27">
        <v>5</v>
      </c>
      <c r="I1196" s="27">
        <v>0</v>
      </c>
      <c r="J1196" s="27">
        <v>0</v>
      </c>
      <c r="K1196" s="27">
        <v>6.45</v>
      </c>
      <c r="L1196" s="27">
        <v>3975</v>
      </c>
      <c r="M1196" s="27">
        <v>0</v>
      </c>
      <c r="N1196" s="27">
        <v>75</v>
      </c>
      <c r="O1196" s="27">
        <v>0</v>
      </c>
      <c r="P1196" s="27" t="s">
        <v>13</v>
      </c>
      <c r="Q1196" s="27">
        <v>1993</v>
      </c>
      <c r="R1196" s="27">
        <v>1</v>
      </c>
      <c r="S1196" s="27">
        <v>0</v>
      </c>
      <c r="T1196" s="27">
        <v>-1.8E-3</v>
      </c>
      <c r="U1196" s="27">
        <v>-1.2E-2</v>
      </c>
      <c r="V1196" s="27">
        <v>0</v>
      </c>
      <c r="W1196" s="27">
        <v>0</v>
      </c>
      <c r="X1196" s="27" t="s">
        <v>18</v>
      </c>
    </row>
    <row r="1197" spans="1:24">
      <c r="A1197" s="27">
        <v>2</v>
      </c>
      <c r="B1197" s="27">
        <v>3</v>
      </c>
      <c r="C1197" s="27">
        <v>11</v>
      </c>
      <c r="D1197" s="27">
        <v>2011</v>
      </c>
      <c r="E1197" s="27">
        <v>2011</v>
      </c>
      <c r="F1197" s="27">
        <v>7</v>
      </c>
      <c r="G1197" s="27">
        <v>42</v>
      </c>
      <c r="H1197" s="27">
        <v>5</v>
      </c>
      <c r="I1197" s="27">
        <v>0</v>
      </c>
      <c r="J1197" s="27">
        <v>0</v>
      </c>
      <c r="K1197" s="27">
        <v>6.45</v>
      </c>
      <c r="L1197" s="27">
        <v>3975</v>
      </c>
      <c r="M1197" s="27">
        <v>0</v>
      </c>
      <c r="N1197" s="27">
        <v>75</v>
      </c>
      <c r="O1197" s="27">
        <v>0</v>
      </c>
      <c r="P1197" s="27" t="s">
        <v>13</v>
      </c>
      <c r="Q1197" s="27">
        <v>1993</v>
      </c>
      <c r="R1197" s="27">
        <v>1</v>
      </c>
      <c r="S1197" s="27">
        <v>0</v>
      </c>
      <c r="T1197" s="27">
        <v>-1.8E-3</v>
      </c>
      <c r="U1197" s="27">
        <v>-1.2E-2</v>
      </c>
      <c r="V1197" s="27">
        <v>0</v>
      </c>
      <c r="W1197" s="27">
        <v>0</v>
      </c>
      <c r="X1197" s="27" t="s">
        <v>18</v>
      </c>
    </row>
    <row r="1198" spans="1:24">
      <c r="A1198" s="27">
        <v>2</v>
      </c>
      <c r="B1198" s="27">
        <v>3</v>
      </c>
      <c r="C1198" s="27">
        <v>11</v>
      </c>
      <c r="D1198" s="27">
        <v>2011</v>
      </c>
      <c r="E1198" s="27">
        <v>2011</v>
      </c>
      <c r="F1198" s="27">
        <v>8</v>
      </c>
      <c r="G1198" s="27">
        <v>42</v>
      </c>
      <c r="H1198" s="27">
        <v>5</v>
      </c>
      <c r="I1198" s="27">
        <v>0</v>
      </c>
      <c r="J1198" s="27">
        <v>0</v>
      </c>
      <c r="K1198" s="27">
        <v>6.45</v>
      </c>
      <c r="L1198" s="27">
        <v>3975</v>
      </c>
      <c r="M1198" s="27">
        <v>0</v>
      </c>
      <c r="N1198" s="27">
        <v>75</v>
      </c>
      <c r="O1198" s="27">
        <v>0</v>
      </c>
      <c r="P1198" s="27" t="s">
        <v>13</v>
      </c>
      <c r="Q1198" s="27">
        <v>1993</v>
      </c>
      <c r="R1198" s="27">
        <v>1</v>
      </c>
      <c r="S1198" s="27">
        <v>0</v>
      </c>
      <c r="T1198" s="27">
        <v>-1.8E-3</v>
      </c>
      <c r="U1198" s="27">
        <v>-1.2E-2</v>
      </c>
      <c r="V1198" s="27">
        <v>0</v>
      </c>
      <c r="W1198" s="27">
        <v>0</v>
      </c>
      <c r="X1198" s="27" t="s">
        <v>18</v>
      </c>
    </row>
    <row r="1199" spans="1:24">
      <c r="A1199" s="27">
        <v>2</v>
      </c>
      <c r="B1199" s="27">
        <v>3</v>
      </c>
      <c r="C1199" s="27">
        <v>11</v>
      </c>
      <c r="D1199" s="27">
        <v>2011</v>
      </c>
      <c r="E1199" s="27">
        <v>2011</v>
      </c>
      <c r="F1199" s="27">
        <v>9</v>
      </c>
      <c r="G1199" s="27">
        <v>42</v>
      </c>
      <c r="H1199" s="27">
        <v>5</v>
      </c>
      <c r="I1199" s="27">
        <v>0</v>
      </c>
      <c r="J1199" s="27">
        <v>0</v>
      </c>
      <c r="K1199" s="27">
        <v>6.45</v>
      </c>
      <c r="L1199" s="27">
        <v>3975</v>
      </c>
      <c r="M1199" s="27">
        <v>0</v>
      </c>
      <c r="N1199" s="27">
        <v>75</v>
      </c>
      <c r="O1199" s="27">
        <v>0</v>
      </c>
      <c r="P1199" s="27" t="s">
        <v>13</v>
      </c>
      <c r="Q1199" s="27">
        <v>1993</v>
      </c>
      <c r="R1199" s="27">
        <v>1</v>
      </c>
      <c r="S1199" s="27">
        <v>0</v>
      </c>
      <c r="T1199" s="27">
        <v>-1.8E-3</v>
      </c>
      <c r="U1199" s="27">
        <v>-1.2E-2</v>
      </c>
      <c r="V1199" s="27">
        <v>0</v>
      </c>
      <c r="W1199" s="27">
        <v>0</v>
      </c>
      <c r="X1199" s="27" t="s">
        <v>18</v>
      </c>
    </row>
    <row r="1200" spans="1:24">
      <c r="A1200" s="27">
        <v>2</v>
      </c>
      <c r="B1200" s="27">
        <v>3</v>
      </c>
      <c r="C1200" s="27">
        <v>11</v>
      </c>
      <c r="D1200" s="27">
        <v>2012</v>
      </c>
      <c r="E1200" s="27">
        <v>2012</v>
      </c>
      <c r="F1200" s="27">
        <v>1</v>
      </c>
      <c r="G1200" s="27">
        <v>42</v>
      </c>
      <c r="H1200" s="27">
        <v>5</v>
      </c>
      <c r="I1200" s="27">
        <v>0</v>
      </c>
      <c r="J1200" s="27">
        <v>0</v>
      </c>
      <c r="K1200" s="27">
        <v>6.45</v>
      </c>
      <c r="L1200" s="27">
        <v>3975</v>
      </c>
      <c r="M1200" s="27">
        <v>0</v>
      </c>
      <c r="N1200" s="27">
        <v>0</v>
      </c>
      <c r="O1200" s="27">
        <v>0</v>
      </c>
      <c r="P1200" s="27" t="s">
        <v>13</v>
      </c>
      <c r="Q1200" s="27">
        <v>1993</v>
      </c>
      <c r="R1200" s="27">
        <v>1</v>
      </c>
      <c r="S1200" s="27">
        <v>0</v>
      </c>
      <c r="T1200" s="27">
        <v>-1.8E-3</v>
      </c>
      <c r="U1200" s="27">
        <v>-1.2E-2</v>
      </c>
      <c r="V1200" s="27">
        <v>0</v>
      </c>
      <c r="W1200" s="27">
        <v>0</v>
      </c>
      <c r="X1200" s="27" t="s">
        <v>18</v>
      </c>
    </row>
    <row r="1201" spans="1:24">
      <c r="A1201" s="27">
        <v>2</v>
      </c>
      <c r="B1201" s="27">
        <v>3</v>
      </c>
      <c r="C1201" s="27">
        <v>11</v>
      </c>
      <c r="D1201" s="27">
        <v>2012</v>
      </c>
      <c r="E1201" s="27">
        <v>2012</v>
      </c>
      <c r="F1201" s="27">
        <v>2</v>
      </c>
      <c r="G1201" s="27">
        <v>42</v>
      </c>
      <c r="H1201" s="27">
        <v>5</v>
      </c>
      <c r="I1201" s="27">
        <v>0</v>
      </c>
      <c r="J1201" s="27">
        <v>0</v>
      </c>
      <c r="K1201" s="27">
        <v>6.45</v>
      </c>
      <c r="L1201" s="27">
        <v>3975</v>
      </c>
      <c r="M1201" s="27">
        <v>0</v>
      </c>
      <c r="N1201" s="27">
        <v>0</v>
      </c>
      <c r="O1201" s="27">
        <v>0</v>
      </c>
      <c r="P1201" s="27" t="s">
        <v>13</v>
      </c>
      <c r="Q1201" s="27">
        <v>1993</v>
      </c>
      <c r="R1201" s="27">
        <v>1</v>
      </c>
      <c r="S1201" s="27">
        <v>0</v>
      </c>
      <c r="T1201" s="27">
        <v>-1.8E-3</v>
      </c>
      <c r="U1201" s="27">
        <v>-1.2E-2</v>
      </c>
      <c r="V1201" s="27">
        <v>0</v>
      </c>
      <c r="W1201" s="27">
        <v>0</v>
      </c>
      <c r="X1201" s="27" t="s">
        <v>18</v>
      </c>
    </row>
    <row r="1202" spans="1:24">
      <c r="A1202" s="27">
        <v>2</v>
      </c>
      <c r="B1202" s="27">
        <v>3</v>
      </c>
      <c r="C1202" s="27">
        <v>11</v>
      </c>
      <c r="D1202" s="27">
        <v>2012</v>
      </c>
      <c r="E1202" s="27">
        <v>2012</v>
      </c>
      <c r="F1202" s="27">
        <v>3</v>
      </c>
      <c r="G1202" s="27">
        <v>42</v>
      </c>
      <c r="H1202" s="27">
        <v>5</v>
      </c>
      <c r="I1202" s="27">
        <v>0</v>
      </c>
      <c r="J1202" s="27">
        <v>0</v>
      </c>
      <c r="K1202" s="27">
        <v>6.45</v>
      </c>
      <c r="L1202" s="27">
        <v>3975</v>
      </c>
      <c r="M1202" s="27">
        <v>0</v>
      </c>
      <c r="N1202" s="27">
        <v>0</v>
      </c>
      <c r="O1202" s="27">
        <v>0</v>
      </c>
      <c r="P1202" s="27" t="s">
        <v>13</v>
      </c>
      <c r="Q1202" s="27">
        <v>1993</v>
      </c>
      <c r="R1202" s="27">
        <v>1</v>
      </c>
      <c r="S1202" s="27">
        <v>0</v>
      </c>
      <c r="T1202" s="27">
        <v>-1.8E-3</v>
      </c>
      <c r="U1202" s="27">
        <v>-1.2E-2</v>
      </c>
      <c r="V1202" s="27">
        <v>0</v>
      </c>
      <c r="W1202" s="27">
        <v>0</v>
      </c>
      <c r="X1202" s="27" t="s">
        <v>18</v>
      </c>
    </row>
    <row r="1203" spans="1:24">
      <c r="A1203" s="27">
        <v>2</v>
      </c>
      <c r="B1203" s="27">
        <v>3</v>
      </c>
      <c r="C1203" s="27">
        <v>11</v>
      </c>
      <c r="D1203" s="27">
        <v>2012</v>
      </c>
      <c r="E1203" s="27">
        <v>2012</v>
      </c>
      <c r="F1203" s="27">
        <v>4</v>
      </c>
      <c r="G1203" s="27">
        <v>42</v>
      </c>
      <c r="H1203" s="27">
        <v>5</v>
      </c>
      <c r="I1203" s="27">
        <v>0</v>
      </c>
      <c r="J1203" s="27">
        <v>0</v>
      </c>
      <c r="K1203" s="27">
        <v>6.45</v>
      </c>
      <c r="L1203" s="27">
        <v>3975</v>
      </c>
      <c r="M1203" s="27">
        <v>0</v>
      </c>
      <c r="N1203" s="27">
        <v>0</v>
      </c>
      <c r="O1203" s="27">
        <v>0</v>
      </c>
      <c r="P1203" s="27" t="s">
        <v>13</v>
      </c>
      <c r="Q1203" s="27">
        <v>1993</v>
      </c>
      <c r="R1203" s="27">
        <v>1</v>
      </c>
      <c r="S1203" s="27">
        <v>0</v>
      </c>
      <c r="T1203" s="27">
        <v>-1.8E-3</v>
      </c>
      <c r="U1203" s="27">
        <v>-1.2E-2</v>
      </c>
      <c r="V1203" s="27">
        <v>0</v>
      </c>
      <c r="W1203" s="27">
        <v>0</v>
      </c>
      <c r="X1203" s="27" t="s">
        <v>18</v>
      </c>
    </row>
    <row r="1204" spans="1:24">
      <c r="A1204" s="27">
        <v>2</v>
      </c>
      <c r="B1204" s="27">
        <v>3</v>
      </c>
      <c r="C1204" s="27">
        <v>11</v>
      </c>
      <c r="D1204" s="27">
        <v>2012</v>
      </c>
      <c r="E1204" s="27">
        <v>2012</v>
      </c>
      <c r="F1204" s="27">
        <v>5</v>
      </c>
      <c r="G1204" s="27">
        <v>42</v>
      </c>
      <c r="H1204" s="27">
        <v>5</v>
      </c>
      <c r="I1204" s="27">
        <v>0</v>
      </c>
      <c r="J1204" s="27">
        <v>0</v>
      </c>
      <c r="K1204" s="27">
        <v>6.45</v>
      </c>
      <c r="L1204" s="27">
        <v>3975</v>
      </c>
      <c r="M1204" s="27">
        <v>0</v>
      </c>
      <c r="N1204" s="27">
        <v>0</v>
      </c>
      <c r="O1204" s="27">
        <v>0</v>
      </c>
      <c r="P1204" s="27" t="s">
        <v>13</v>
      </c>
      <c r="Q1204" s="27">
        <v>1993</v>
      </c>
      <c r="R1204" s="27">
        <v>1</v>
      </c>
      <c r="S1204" s="27">
        <v>0</v>
      </c>
      <c r="T1204" s="27">
        <v>-1.8E-3</v>
      </c>
      <c r="U1204" s="27">
        <v>-1.2E-2</v>
      </c>
      <c r="V1204" s="27">
        <v>0</v>
      </c>
      <c r="W1204" s="27">
        <v>0</v>
      </c>
      <c r="X1204" s="27" t="s">
        <v>18</v>
      </c>
    </row>
    <row r="1205" spans="1:24">
      <c r="A1205" s="27">
        <v>2</v>
      </c>
      <c r="B1205" s="27">
        <v>3</v>
      </c>
      <c r="C1205" s="27">
        <v>11</v>
      </c>
      <c r="D1205" s="27">
        <v>2012</v>
      </c>
      <c r="E1205" s="27">
        <v>2012</v>
      </c>
      <c r="F1205" s="27">
        <v>6</v>
      </c>
      <c r="G1205" s="27">
        <v>42</v>
      </c>
      <c r="H1205" s="27">
        <v>5</v>
      </c>
      <c r="I1205" s="27">
        <v>0</v>
      </c>
      <c r="J1205" s="27">
        <v>0</v>
      </c>
      <c r="K1205" s="27">
        <v>6.45</v>
      </c>
      <c r="L1205" s="27">
        <v>3975</v>
      </c>
      <c r="M1205" s="27">
        <v>0</v>
      </c>
      <c r="N1205" s="27">
        <v>0</v>
      </c>
      <c r="O1205" s="27">
        <v>0</v>
      </c>
      <c r="P1205" s="27" t="s">
        <v>13</v>
      </c>
      <c r="Q1205" s="27">
        <v>1993</v>
      </c>
      <c r="R1205" s="27">
        <v>1</v>
      </c>
      <c r="S1205" s="27">
        <v>0</v>
      </c>
      <c r="T1205" s="27">
        <v>-1.8E-3</v>
      </c>
      <c r="U1205" s="27">
        <v>-1.2E-2</v>
      </c>
      <c r="V1205" s="27">
        <v>0</v>
      </c>
      <c r="W1205" s="27">
        <v>0</v>
      </c>
      <c r="X1205" s="27" t="s">
        <v>18</v>
      </c>
    </row>
    <row r="1206" spans="1:24">
      <c r="A1206" s="27">
        <v>2</v>
      </c>
      <c r="B1206" s="27">
        <v>3</v>
      </c>
      <c r="C1206" s="27">
        <v>11</v>
      </c>
      <c r="D1206" s="27">
        <v>2012</v>
      </c>
      <c r="E1206" s="27">
        <v>2012</v>
      </c>
      <c r="F1206" s="27">
        <v>7</v>
      </c>
      <c r="G1206" s="27">
        <v>42</v>
      </c>
      <c r="H1206" s="27">
        <v>5</v>
      </c>
      <c r="I1206" s="27">
        <v>0</v>
      </c>
      <c r="J1206" s="27">
        <v>0</v>
      </c>
      <c r="K1206" s="27">
        <v>6.45</v>
      </c>
      <c r="L1206" s="27">
        <v>3975</v>
      </c>
      <c r="M1206" s="27">
        <v>0</v>
      </c>
      <c r="N1206" s="27">
        <v>0</v>
      </c>
      <c r="O1206" s="27">
        <v>0</v>
      </c>
      <c r="P1206" s="27" t="s">
        <v>13</v>
      </c>
      <c r="Q1206" s="27">
        <v>1993</v>
      </c>
      <c r="R1206" s="27">
        <v>1</v>
      </c>
      <c r="S1206" s="27">
        <v>0</v>
      </c>
      <c r="T1206" s="27">
        <v>-1.8E-3</v>
      </c>
      <c r="U1206" s="27">
        <v>-1.2E-2</v>
      </c>
      <c r="V1206" s="27">
        <v>0</v>
      </c>
      <c r="W1206" s="27">
        <v>0</v>
      </c>
      <c r="X1206" s="27" t="s">
        <v>18</v>
      </c>
    </row>
    <row r="1207" spans="1:24">
      <c r="A1207" s="27">
        <v>2</v>
      </c>
      <c r="B1207" s="27">
        <v>3</v>
      </c>
      <c r="C1207" s="27">
        <v>11</v>
      </c>
      <c r="D1207" s="27">
        <v>2012</v>
      </c>
      <c r="E1207" s="27">
        <v>2012</v>
      </c>
      <c r="F1207" s="27">
        <v>8</v>
      </c>
      <c r="G1207" s="27">
        <v>42</v>
      </c>
      <c r="H1207" s="27">
        <v>5</v>
      </c>
      <c r="I1207" s="27">
        <v>0</v>
      </c>
      <c r="J1207" s="27">
        <v>0</v>
      </c>
      <c r="K1207" s="27">
        <v>6.45</v>
      </c>
      <c r="L1207" s="27">
        <v>3975</v>
      </c>
      <c r="M1207" s="27">
        <v>0</v>
      </c>
      <c r="N1207" s="27">
        <v>0</v>
      </c>
      <c r="O1207" s="27">
        <v>0</v>
      </c>
      <c r="P1207" s="27" t="s">
        <v>13</v>
      </c>
      <c r="Q1207" s="27">
        <v>1993</v>
      </c>
      <c r="R1207" s="27">
        <v>1</v>
      </c>
      <c r="S1207" s="27">
        <v>0</v>
      </c>
      <c r="T1207" s="27">
        <v>-1.8E-3</v>
      </c>
      <c r="U1207" s="27">
        <v>-1.2E-2</v>
      </c>
      <c r="V1207" s="27">
        <v>0</v>
      </c>
      <c r="W1207" s="27">
        <v>0</v>
      </c>
      <c r="X1207" s="27" t="s">
        <v>18</v>
      </c>
    </row>
    <row r="1208" spans="1:24">
      <c r="A1208" s="27">
        <v>2</v>
      </c>
      <c r="B1208" s="27">
        <v>3</v>
      </c>
      <c r="C1208" s="27">
        <v>11</v>
      </c>
      <c r="D1208" s="27">
        <v>2012</v>
      </c>
      <c r="E1208" s="27">
        <v>2012</v>
      </c>
      <c r="F1208" s="27">
        <v>9</v>
      </c>
      <c r="G1208" s="27">
        <v>42</v>
      </c>
      <c r="H1208" s="27">
        <v>5</v>
      </c>
      <c r="I1208" s="27">
        <v>0</v>
      </c>
      <c r="J1208" s="27">
        <v>0</v>
      </c>
      <c r="K1208" s="27">
        <v>6.45</v>
      </c>
      <c r="L1208" s="27">
        <v>3975</v>
      </c>
      <c r="M1208" s="27">
        <v>0</v>
      </c>
      <c r="N1208" s="27">
        <v>0</v>
      </c>
      <c r="O1208" s="27">
        <v>0</v>
      </c>
      <c r="P1208" s="27" t="s">
        <v>13</v>
      </c>
      <c r="Q1208" s="27">
        <v>1993</v>
      </c>
      <c r="R1208" s="27">
        <v>1</v>
      </c>
      <c r="S1208" s="27">
        <v>0</v>
      </c>
      <c r="T1208" s="27">
        <v>-1.8E-3</v>
      </c>
      <c r="U1208" s="27">
        <v>-1.2E-2</v>
      </c>
      <c r="V1208" s="27">
        <v>0</v>
      </c>
      <c r="W1208" s="27">
        <v>0</v>
      </c>
      <c r="X1208" s="27" t="s">
        <v>18</v>
      </c>
    </row>
    <row r="1209" spans="1:24">
      <c r="A1209" s="27">
        <v>2</v>
      </c>
      <c r="B1209" s="27">
        <v>3</v>
      </c>
      <c r="C1209" s="27">
        <v>11</v>
      </c>
      <c r="D1209" s="27">
        <v>2013</v>
      </c>
      <c r="E1209" s="27">
        <v>2013</v>
      </c>
      <c r="F1209" s="27">
        <v>1</v>
      </c>
      <c r="G1209" s="27">
        <v>42</v>
      </c>
      <c r="H1209" s="27">
        <v>5</v>
      </c>
      <c r="I1209" s="27">
        <v>0</v>
      </c>
      <c r="J1209" s="27">
        <v>0</v>
      </c>
      <c r="K1209" s="27">
        <v>6.45</v>
      </c>
      <c r="L1209" s="27">
        <v>3975</v>
      </c>
      <c r="M1209" s="27">
        <v>0</v>
      </c>
      <c r="N1209" s="27">
        <v>150</v>
      </c>
      <c r="O1209" s="27">
        <v>0</v>
      </c>
      <c r="P1209" s="27" t="s">
        <v>13</v>
      </c>
      <c r="Q1209" s="27">
        <v>1993</v>
      </c>
      <c r="R1209" s="27">
        <v>1</v>
      </c>
      <c r="S1209" s="27">
        <v>0</v>
      </c>
      <c r="T1209" s="27">
        <v>-1.8E-3</v>
      </c>
      <c r="U1209" s="27">
        <v>-1.2E-2</v>
      </c>
      <c r="V1209" s="27">
        <v>0</v>
      </c>
      <c r="W1209" s="27">
        <v>0</v>
      </c>
      <c r="X1209" s="27" t="s">
        <v>18</v>
      </c>
    </row>
    <row r="1210" spans="1:24">
      <c r="A1210" s="27">
        <v>2</v>
      </c>
      <c r="B1210" s="27">
        <v>3</v>
      </c>
      <c r="C1210" s="27">
        <v>11</v>
      </c>
      <c r="D1210" s="27">
        <v>2013</v>
      </c>
      <c r="E1210" s="27">
        <v>2013</v>
      </c>
      <c r="F1210" s="27">
        <v>2</v>
      </c>
      <c r="G1210" s="27">
        <v>42</v>
      </c>
      <c r="H1210" s="27">
        <v>5</v>
      </c>
      <c r="I1210" s="27">
        <v>0</v>
      </c>
      <c r="J1210" s="27">
        <v>0</v>
      </c>
      <c r="K1210" s="27">
        <v>6.45</v>
      </c>
      <c r="L1210" s="27">
        <v>3975</v>
      </c>
      <c r="M1210" s="27">
        <v>0</v>
      </c>
      <c r="N1210" s="27">
        <v>150</v>
      </c>
      <c r="O1210" s="27">
        <v>0</v>
      </c>
      <c r="P1210" s="27" t="s">
        <v>13</v>
      </c>
      <c r="Q1210" s="27">
        <v>1993</v>
      </c>
      <c r="R1210" s="27">
        <v>1</v>
      </c>
      <c r="S1210" s="27">
        <v>0</v>
      </c>
      <c r="T1210" s="27">
        <v>-1.8E-3</v>
      </c>
      <c r="U1210" s="27">
        <v>-1.2E-2</v>
      </c>
      <c r="V1210" s="27">
        <v>0</v>
      </c>
      <c r="W1210" s="27">
        <v>0</v>
      </c>
      <c r="X1210" s="27" t="s">
        <v>18</v>
      </c>
    </row>
    <row r="1211" spans="1:24">
      <c r="A1211" s="27">
        <v>2</v>
      </c>
      <c r="B1211" s="27">
        <v>3</v>
      </c>
      <c r="C1211" s="27">
        <v>11</v>
      </c>
      <c r="D1211" s="27">
        <v>2013</v>
      </c>
      <c r="E1211" s="27">
        <v>2013</v>
      </c>
      <c r="F1211" s="27">
        <v>3</v>
      </c>
      <c r="G1211" s="27">
        <v>42</v>
      </c>
      <c r="H1211" s="27">
        <v>5</v>
      </c>
      <c r="I1211" s="27">
        <v>0</v>
      </c>
      <c r="J1211" s="27">
        <v>0</v>
      </c>
      <c r="K1211" s="27">
        <v>6.45</v>
      </c>
      <c r="L1211" s="27">
        <v>3975</v>
      </c>
      <c r="M1211" s="27">
        <v>0</v>
      </c>
      <c r="N1211" s="27">
        <v>150</v>
      </c>
      <c r="O1211" s="27">
        <v>0</v>
      </c>
      <c r="P1211" s="27" t="s">
        <v>13</v>
      </c>
      <c r="Q1211" s="27">
        <v>1993</v>
      </c>
      <c r="R1211" s="27">
        <v>1</v>
      </c>
      <c r="S1211" s="27">
        <v>0</v>
      </c>
      <c r="T1211" s="27">
        <v>-1.8E-3</v>
      </c>
      <c r="U1211" s="27">
        <v>-1.2E-2</v>
      </c>
      <c r="V1211" s="27">
        <v>0</v>
      </c>
      <c r="W1211" s="27">
        <v>0</v>
      </c>
      <c r="X1211" s="27" t="s">
        <v>18</v>
      </c>
    </row>
    <row r="1212" spans="1:24">
      <c r="A1212" s="27">
        <v>2</v>
      </c>
      <c r="B1212" s="27">
        <v>3</v>
      </c>
      <c r="C1212" s="27">
        <v>11</v>
      </c>
      <c r="D1212" s="27">
        <v>2013</v>
      </c>
      <c r="E1212" s="27">
        <v>2013</v>
      </c>
      <c r="F1212" s="27">
        <v>4</v>
      </c>
      <c r="G1212" s="27">
        <v>42</v>
      </c>
      <c r="H1212" s="27">
        <v>5</v>
      </c>
      <c r="I1212" s="27">
        <v>0</v>
      </c>
      <c r="J1212" s="27">
        <v>0</v>
      </c>
      <c r="K1212" s="27">
        <v>6.45</v>
      </c>
      <c r="L1212" s="27">
        <v>3975</v>
      </c>
      <c r="M1212" s="27">
        <v>0</v>
      </c>
      <c r="N1212" s="27">
        <v>150</v>
      </c>
      <c r="O1212" s="27">
        <v>0</v>
      </c>
      <c r="P1212" s="27" t="s">
        <v>13</v>
      </c>
      <c r="Q1212" s="27">
        <v>1993</v>
      </c>
      <c r="R1212" s="27">
        <v>1</v>
      </c>
      <c r="S1212" s="27">
        <v>0</v>
      </c>
      <c r="T1212" s="27">
        <v>-1.8E-3</v>
      </c>
      <c r="U1212" s="27">
        <v>-1.2E-2</v>
      </c>
      <c r="V1212" s="27">
        <v>0</v>
      </c>
      <c r="W1212" s="27">
        <v>0</v>
      </c>
      <c r="X1212" s="27" t="s">
        <v>18</v>
      </c>
    </row>
    <row r="1213" spans="1:24">
      <c r="A1213" s="27">
        <v>2</v>
      </c>
      <c r="B1213" s="27">
        <v>3</v>
      </c>
      <c r="C1213" s="27">
        <v>11</v>
      </c>
      <c r="D1213" s="27">
        <v>2013</v>
      </c>
      <c r="E1213" s="27">
        <v>2013</v>
      </c>
      <c r="F1213" s="27">
        <v>5</v>
      </c>
      <c r="G1213" s="27">
        <v>42</v>
      </c>
      <c r="H1213" s="27">
        <v>5</v>
      </c>
      <c r="I1213" s="27">
        <v>0</v>
      </c>
      <c r="J1213" s="27">
        <v>0</v>
      </c>
      <c r="K1213" s="27">
        <v>6.45</v>
      </c>
      <c r="L1213" s="27">
        <v>3975</v>
      </c>
      <c r="M1213" s="27">
        <v>0</v>
      </c>
      <c r="N1213" s="27">
        <v>150</v>
      </c>
      <c r="O1213" s="27">
        <v>0</v>
      </c>
      <c r="P1213" s="27" t="s">
        <v>13</v>
      </c>
      <c r="Q1213" s="27">
        <v>1993</v>
      </c>
      <c r="R1213" s="27">
        <v>1</v>
      </c>
      <c r="S1213" s="27">
        <v>0</v>
      </c>
      <c r="T1213" s="27">
        <v>-1.8E-3</v>
      </c>
      <c r="U1213" s="27">
        <v>-1.2E-2</v>
      </c>
      <c r="V1213" s="27">
        <v>0</v>
      </c>
      <c r="W1213" s="27">
        <v>0</v>
      </c>
      <c r="X1213" s="27" t="s">
        <v>18</v>
      </c>
    </row>
    <row r="1214" spans="1:24">
      <c r="A1214" s="27">
        <v>2</v>
      </c>
      <c r="B1214" s="27">
        <v>3</v>
      </c>
      <c r="C1214" s="27">
        <v>11</v>
      </c>
      <c r="D1214" s="27">
        <v>2013</v>
      </c>
      <c r="E1214" s="27">
        <v>2013</v>
      </c>
      <c r="F1214" s="27">
        <v>6</v>
      </c>
      <c r="G1214" s="27">
        <v>42</v>
      </c>
      <c r="H1214" s="27">
        <v>5</v>
      </c>
      <c r="I1214" s="27">
        <v>0</v>
      </c>
      <c r="J1214" s="27">
        <v>0</v>
      </c>
      <c r="K1214" s="27">
        <v>6.45</v>
      </c>
      <c r="L1214" s="27">
        <v>3975</v>
      </c>
      <c r="M1214" s="27">
        <v>0</v>
      </c>
      <c r="N1214" s="27">
        <v>150</v>
      </c>
      <c r="O1214" s="27">
        <v>0</v>
      </c>
      <c r="P1214" s="27" t="s">
        <v>13</v>
      </c>
      <c r="Q1214" s="27">
        <v>1993</v>
      </c>
      <c r="R1214" s="27">
        <v>1</v>
      </c>
      <c r="S1214" s="27">
        <v>0</v>
      </c>
      <c r="T1214" s="27">
        <v>-1.8E-3</v>
      </c>
      <c r="U1214" s="27">
        <v>-1.2E-2</v>
      </c>
      <c r="V1214" s="27">
        <v>0</v>
      </c>
      <c r="W1214" s="27">
        <v>0</v>
      </c>
      <c r="X1214" s="27" t="s">
        <v>18</v>
      </c>
    </row>
    <row r="1215" spans="1:24">
      <c r="A1215" s="27">
        <v>2</v>
      </c>
      <c r="B1215" s="27">
        <v>3</v>
      </c>
      <c r="C1215" s="27">
        <v>11</v>
      </c>
      <c r="D1215" s="27">
        <v>2013</v>
      </c>
      <c r="E1215" s="27">
        <v>2013</v>
      </c>
      <c r="F1215" s="27">
        <v>7</v>
      </c>
      <c r="G1215" s="27">
        <v>42</v>
      </c>
      <c r="H1215" s="27">
        <v>5</v>
      </c>
      <c r="I1215" s="27">
        <v>0</v>
      </c>
      <c r="J1215" s="27">
        <v>0</v>
      </c>
      <c r="K1215" s="27">
        <v>6.45</v>
      </c>
      <c r="L1215" s="27">
        <v>3975</v>
      </c>
      <c r="M1215" s="27">
        <v>0</v>
      </c>
      <c r="N1215" s="27">
        <v>150</v>
      </c>
      <c r="O1215" s="27">
        <v>0</v>
      </c>
      <c r="P1215" s="27" t="s">
        <v>13</v>
      </c>
      <c r="Q1215" s="27">
        <v>1993</v>
      </c>
      <c r="R1215" s="27">
        <v>1</v>
      </c>
      <c r="S1215" s="27">
        <v>0</v>
      </c>
      <c r="T1215" s="27">
        <v>-1.8E-3</v>
      </c>
      <c r="U1215" s="27">
        <v>-1.2E-2</v>
      </c>
      <c r="V1215" s="27">
        <v>0</v>
      </c>
      <c r="W1215" s="27">
        <v>0</v>
      </c>
      <c r="X1215" s="27" t="s">
        <v>18</v>
      </c>
    </row>
    <row r="1216" spans="1:24">
      <c r="A1216" s="27">
        <v>2</v>
      </c>
      <c r="B1216" s="27">
        <v>3</v>
      </c>
      <c r="C1216" s="27">
        <v>11</v>
      </c>
      <c r="D1216" s="27">
        <v>2013</v>
      </c>
      <c r="E1216" s="27">
        <v>2013</v>
      </c>
      <c r="F1216" s="27">
        <v>8</v>
      </c>
      <c r="G1216" s="27">
        <v>42</v>
      </c>
      <c r="H1216" s="27">
        <v>5</v>
      </c>
      <c r="I1216" s="27">
        <v>0</v>
      </c>
      <c r="J1216" s="27">
        <v>0</v>
      </c>
      <c r="K1216" s="27">
        <v>6.45</v>
      </c>
      <c r="L1216" s="27">
        <v>3975</v>
      </c>
      <c r="M1216" s="27">
        <v>0</v>
      </c>
      <c r="N1216" s="27">
        <v>150</v>
      </c>
      <c r="O1216" s="27">
        <v>0</v>
      </c>
      <c r="P1216" s="27" t="s">
        <v>13</v>
      </c>
      <c r="Q1216" s="27">
        <v>1993</v>
      </c>
      <c r="R1216" s="27">
        <v>1</v>
      </c>
      <c r="S1216" s="27">
        <v>0</v>
      </c>
      <c r="T1216" s="27">
        <v>-1.8E-3</v>
      </c>
      <c r="U1216" s="27">
        <v>-1.2E-2</v>
      </c>
      <c r="V1216" s="27">
        <v>0</v>
      </c>
      <c r="W1216" s="27">
        <v>0</v>
      </c>
      <c r="X1216" s="27" t="s">
        <v>18</v>
      </c>
    </row>
    <row r="1217" spans="1:24">
      <c r="A1217" s="27">
        <v>2</v>
      </c>
      <c r="B1217" s="27">
        <v>3</v>
      </c>
      <c r="C1217" s="27">
        <v>11</v>
      </c>
      <c r="D1217" s="27">
        <v>2013</v>
      </c>
      <c r="E1217" s="27">
        <v>2013</v>
      </c>
      <c r="F1217" s="27">
        <v>9</v>
      </c>
      <c r="G1217" s="27">
        <v>42</v>
      </c>
      <c r="H1217" s="27">
        <v>5</v>
      </c>
      <c r="I1217" s="27">
        <v>0</v>
      </c>
      <c r="J1217" s="27">
        <v>0</v>
      </c>
      <c r="K1217" s="27">
        <v>6.45</v>
      </c>
      <c r="L1217" s="27">
        <v>3975</v>
      </c>
      <c r="M1217" s="27">
        <v>0</v>
      </c>
      <c r="N1217" s="27">
        <v>150</v>
      </c>
      <c r="O1217" s="27">
        <v>0</v>
      </c>
      <c r="P1217" s="27" t="s">
        <v>13</v>
      </c>
      <c r="Q1217" s="27">
        <v>1993</v>
      </c>
      <c r="R1217" s="27">
        <v>1</v>
      </c>
      <c r="S1217" s="27">
        <v>0</v>
      </c>
      <c r="T1217" s="27">
        <v>-1.8E-3</v>
      </c>
      <c r="U1217" s="27">
        <v>-1.2E-2</v>
      </c>
      <c r="V1217" s="27">
        <v>0</v>
      </c>
      <c r="W1217" s="27">
        <v>0</v>
      </c>
      <c r="X1217" s="27" t="s">
        <v>18</v>
      </c>
    </row>
    <row r="1218" spans="1:24">
      <c r="A1218" s="27">
        <v>2</v>
      </c>
      <c r="B1218" s="27">
        <v>3</v>
      </c>
      <c r="C1218" s="27">
        <v>11</v>
      </c>
      <c r="D1218" s="27">
        <v>2014</v>
      </c>
      <c r="E1218" s="27">
        <v>2019</v>
      </c>
      <c r="F1218" s="27">
        <v>1</v>
      </c>
      <c r="G1218" s="27">
        <v>42</v>
      </c>
      <c r="H1218" s="27">
        <v>5</v>
      </c>
      <c r="I1218" s="27">
        <v>0</v>
      </c>
      <c r="J1218" s="27">
        <v>0</v>
      </c>
      <c r="K1218" s="27">
        <v>6.45</v>
      </c>
      <c r="L1218" s="27">
        <v>3975</v>
      </c>
      <c r="M1218" s="27">
        <v>0</v>
      </c>
      <c r="N1218" s="27">
        <v>0</v>
      </c>
      <c r="O1218" s="27">
        <v>0</v>
      </c>
      <c r="P1218" s="27" t="s">
        <v>13</v>
      </c>
      <c r="Q1218" s="27">
        <v>1993</v>
      </c>
      <c r="R1218" s="27">
        <v>1</v>
      </c>
      <c r="S1218" s="27">
        <v>0</v>
      </c>
      <c r="T1218" s="27">
        <v>-1.8E-3</v>
      </c>
      <c r="U1218" s="27">
        <v>-1.2E-2</v>
      </c>
      <c r="V1218" s="27">
        <v>0</v>
      </c>
      <c r="W1218" s="27">
        <v>0</v>
      </c>
      <c r="X1218" s="27" t="s">
        <v>18</v>
      </c>
    </row>
    <row r="1219" spans="1:24">
      <c r="A1219" s="27">
        <v>2</v>
      </c>
      <c r="B1219" s="27">
        <v>3</v>
      </c>
      <c r="C1219" s="27">
        <v>11</v>
      </c>
      <c r="D1219" s="27">
        <v>2014</v>
      </c>
      <c r="E1219" s="27">
        <v>2019</v>
      </c>
      <c r="F1219" s="27">
        <v>2</v>
      </c>
      <c r="G1219" s="27">
        <v>42</v>
      </c>
      <c r="H1219" s="27">
        <v>5</v>
      </c>
      <c r="I1219" s="27">
        <v>0</v>
      </c>
      <c r="J1219" s="27">
        <v>0</v>
      </c>
      <c r="K1219" s="27">
        <v>6.45</v>
      </c>
      <c r="L1219" s="27">
        <v>3975</v>
      </c>
      <c r="M1219" s="27">
        <v>0</v>
      </c>
      <c r="N1219" s="27">
        <v>0</v>
      </c>
      <c r="O1219" s="27">
        <v>0</v>
      </c>
      <c r="P1219" s="27" t="s">
        <v>13</v>
      </c>
      <c r="Q1219" s="27">
        <v>1993</v>
      </c>
      <c r="R1219" s="27">
        <v>1</v>
      </c>
      <c r="S1219" s="27">
        <v>0</v>
      </c>
      <c r="T1219" s="27">
        <v>-1.8E-3</v>
      </c>
      <c r="U1219" s="27">
        <v>-1.2E-2</v>
      </c>
      <c r="V1219" s="27">
        <v>0</v>
      </c>
      <c r="W1219" s="27">
        <v>0</v>
      </c>
      <c r="X1219" s="27" t="s">
        <v>18</v>
      </c>
    </row>
    <row r="1220" spans="1:24">
      <c r="A1220" s="27">
        <v>2</v>
      </c>
      <c r="B1220" s="27">
        <v>3</v>
      </c>
      <c r="C1220" s="27">
        <v>11</v>
      </c>
      <c r="D1220" s="27">
        <v>2014</v>
      </c>
      <c r="E1220" s="27">
        <v>2019</v>
      </c>
      <c r="F1220" s="27">
        <v>3</v>
      </c>
      <c r="G1220" s="27">
        <v>42</v>
      </c>
      <c r="H1220" s="27">
        <v>5</v>
      </c>
      <c r="I1220" s="27">
        <v>0</v>
      </c>
      <c r="J1220" s="27">
        <v>0</v>
      </c>
      <c r="K1220" s="27">
        <v>6.45</v>
      </c>
      <c r="L1220" s="27">
        <v>3975</v>
      </c>
      <c r="M1220" s="27">
        <v>0</v>
      </c>
      <c r="N1220" s="27">
        <v>0</v>
      </c>
      <c r="O1220" s="27">
        <v>0</v>
      </c>
      <c r="P1220" s="27" t="s">
        <v>13</v>
      </c>
      <c r="Q1220" s="27">
        <v>1993</v>
      </c>
      <c r="R1220" s="27">
        <v>1</v>
      </c>
      <c r="S1220" s="27">
        <v>0</v>
      </c>
      <c r="T1220" s="27">
        <v>-1.8E-3</v>
      </c>
      <c r="U1220" s="27">
        <v>-1.2E-2</v>
      </c>
      <c r="V1220" s="27">
        <v>0</v>
      </c>
      <c r="W1220" s="27">
        <v>0</v>
      </c>
      <c r="X1220" s="27" t="s">
        <v>18</v>
      </c>
    </row>
    <row r="1221" spans="1:24">
      <c r="A1221" s="27">
        <v>2</v>
      </c>
      <c r="B1221" s="27">
        <v>3</v>
      </c>
      <c r="C1221" s="27">
        <v>11</v>
      </c>
      <c r="D1221" s="27">
        <v>2014</v>
      </c>
      <c r="E1221" s="27">
        <v>2019</v>
      </c>
      <c r="F1221" s="27">
        <v>4</v>
      </c>
      <c r="G1221" s="27">
        <v>42</v>
      </c>
      <c r="H1221" s="27">
        <v>5</v>
      </c>
      <c r="I1221" s="27">
        <v>0</v>
      </c>
      <c r="J1221" s="27">
        <v>0</v>
      </c>
      <c r="K1221" s="27">
        <v>6.45</v>
      </c>
      <c r="L1221" s="27">
        <v>3975</v>
      </c>
      <c r="M1221" s="27">
        <v>0</v>
      </c>
      <c r="N1221" s="27">
        <v>0</v>
      </c>
      <c r="O1221" s="27">
        <v>0</v>
      </c>
      <c r="P1221" s="27" t="s">
        <v>13</v>
      </c>
      <c r="Q1221" s="27">
        <v>1993</v>
      </c>
      <c r="R1221" s="27">
        <v>1</v>
      </c>
      <c r="S1221" s="27">
        <v>0</v>
      </c>
      <c r="T1221" s="27">
        <v>-1.8E-3</v>
      </c>
      <c r="U1221" s="27">
        <v>-1.2E-2</v>
      </c>
      <c r="V1221" s="27">
        <v>0</v>
      </c>
      <c r="W1221" s="27">
        <v>0</v>
      </c>
      <c r="X1221" s="27" t="s">
        <v>18</v>
      </c>
    </row>
    <row r="1222" spans="1:24">
      <c r="A1222" s="27">
        <v>2</v>
      </c>
      <c r="B1222" s="27">
        <v>3</v>
      </c>
      <c r="C1222" s="27">
        <v>11</v>
      </c>
      <c r="D1222" s="27">
        <v>2014</v>
      </c>
      <c r="E1222" s="27">
        <v>2019</v>
      </c>
      <c r="F1222" s="27">
        <v>5</v>
      </c>
      <c r="G1222" s="27">
        <v>42</v>
      </c>
      <c r="H1222" s="27">
        <v>5</v>
      </c>
      <c r="I1222" s="27">
        <v>0</v>
      </c>
      <c r="J1222" s="27">
        <v>0</v>
      </c>
      <c r="K1222" s="27">
        <v>6.45</v>
      </c>
      <c r="L1222" s="27">
        <v>3975</v>
      </c>
      <c r="M1222" s="27">
        <v>0</v>
      </c>
      <c r="N1222" s="27">
        <v>0</v>
      </c>
      <c r="O1222" s="27">
        <v>0</v>
      </c>
      <c r="P1222" s="27" t="s">
        <v>13</v>
      </c>
      <c r="Q1222" s="27">
        <v>1993</v>
      </c>
      <c r="R1222" s="27">
        <v>1</v>
      </c>
      <c r="S1222" s="27">
        <v>0</v>
      </c>
      <c r="T1222" s="27">
        <v>-1.8E-3</v>
      </c>
      <c r="U1222" s="27">
        <v>-1.2E-2</v>
      </c>
      <c r="V1222" s="27">
        <v>0</v>
      </c>
      <c r="W1222" s="27">
        <v>0</v>
      </c>
      <c r="X1222" s="27" t="s">
        <v>18</v>
      </c>
    </row>
    <row r="1223" spans="1:24">
      <c r="A1223" s="27">
        <v>2</v>
      </c>
      <c r="B1223" s="27">
        <v>3</v>
      </c>
      <c r="C1223" s="27">
        <v>11</v>
      </c>
      <c r="D1223" s="27">
        <v>2014</v>
      </c>
      <c r="E1223" s="27">
        <v>2019</v>
      </c>
      <c r="F1223" s="27">
        <v>6</v>
      </c>
      <c r="G1223" s="27">
        <v>42</v>
      </c>
      <c r="H1223" s="27">
        <v>5</v>
      </c>
      <c r="I1223" s="27">
        <v>0</v>
      </c>
      <c r="J1223" s="27">
        <v>0</v>
      </c>
      <c r="K1223" s="27">
        <v>6.45</v>
      </c>
      <c r="L1223" s="27">
        <v>3975</v>
      </c>
      <c r="M1223" s="27">
        <v>0</v>
      </c>
      <c r="N1223" s="27">
        <v>0</v>
      </c>
      <c r="O1223" s="27">
        <v>0</v>
      </c>
      <c r="P1223" s="27" t="s">
        <v>13</v>
      </c>
      <c r="Q1223" s="27">
        <v>1993</v>
      </c>
      <c r="R1223" s="27">
        <v>1</v>
      </c>
      <c r="S1223" s="27">
        <v>0</v>
      </c>
      <c r="T1223" s="27">
        <v>-1.8E-3</v>
      </c>
      <c r="U1223" s="27">
        <v>-1.2E-2</v>
      </c>
      <c r="V1223" s="27">
        <v>0</v>
      </c>
      <c r="W1223" s="27">
        <v>0</v>
      </c>
      <c r="X1223" s="27" t="s">
        <v>18</v>
      </c>
    </row>
    <row r="1224" spans="1:24">
      <c r="A1224" s="27">
        <v>2</v>
      </c>
      <c r="B1224" s="27">
        <v>3</v>
      </c>
      <c r="C1224" s="27">
        <v>11</v>
      </c>
      <c r="D1224" s="27">
        <v>2014</v>
      </c>
      <c r="E1224" s="27">
        <v>2019</v>
      </c>
      <c r="F1224" s="27">
        <v>7</v>
      </c>
      <c r="G1224" s="27">
        <v>42</v>
      </c>
      <c r="H1224" s="27">
        <v>5</v>
      </c>
      <c r="I1224" s="27">
        <v>0</v>
      </c>
      <c r="J1224" s="27">
        <v>0</v>
      </c>
      <c r="K1224" s="27">
        <v>6.45</v>
      </c>
      <c r="L1224" s="27">
        <v>3975</v>
      </c>
      <c r="M1224" s="27">
        <v>0</v>
      </c>
      <c r="N1224" s="27">
        <v>0</v>
      </c>
      <c r="O1224" s="27">
        <v>0</v>
      </c>
      <c r="P1224" s="27" t="s">
        <v>13</v>
      </c>
      <c r="Q1224" s="27">
        <v>1993</v>
      </c>
      <c r="R1224" s="27">
        <v>1</v>
      </c>
      <c r="S1224" s="27">
        <v>0</v>
      </c>
      <c r="T1224" s="27">
        <v>-1.8E-3</v>
      </c>
      <c r="U1224" s="27">
        <v>-1.2E-2</v>
      </c>
      <c r="V1224" s="27">
        <v>0</v>
      </c>
      <c r="W1224" s="27">
        <v>0</v>
      </c>
      <c r="X1224" s="27" t="s">
        <v>18</v>
      </c>
    </row>
    <row r="1225" spans="1:24">
      <c r="A1225" s="27">
        <v>2</v>
      </c>
      <c r="B1225" s="27">
        <v>3</v>
      </c>
      <c r="C1225" s="27">
        <v>11</v>
      </c>
      <c r="D1225" s="27">
        <v>2014</v>
      </c>
      <c r="E1225" s="27">
        <v>2019</v>
      </c>
      <c r="F1225" s="27">
        <v>8</v>
      </c>
      <c r="G1225" s="27">
        <v>42</v>
      </c>
      <c r="H1225" s="27">
        <v>5</v>
      </c>
      <c r="I1225" s="27">
        <v>0</v>
      </c>
      <c r="J1225" s="27">
        <v>0</v>
      </c>
      <c r="K1225" s="27">
        <v>6.45</v>
      </c>
      <c r="L1225" s="27">
        <v>3975</v>
      </c>
      <c r="M1225" s="27">
        <v>0</v>
      </c>
      <c r="N1225" s="27">
        <v>0</v>
      </c>
      <c r="O1225" s="27">
        <v>0</v>
      </c>
      <c r="P1225" s="27" t="s">
        <v>13</v>
      </c>
      <c r="Q1225" s="27">
        <v>1993</v>
      </c>
      <c r="R1225" s="27">
        <v>1</v>
      </c>
      <c r="S1225" s="27">
        <v>0</v>
      </c>
      <c r="T1225" s="27">
        <v>-1.8E-3</v>
      </c>
      <c r="U1225" s="27">
        <v>-1.2E-2</v>
      </c>
      <c r="V1225" s="27">
        <v>0</v>
      </c>
      <c r="W1225" s="27">
        <v>0</v>
      </c>
      <c r="X1225" s="27" t="s">
        <v>18</v>
      </c>
    </row>
    <row r="1226" spans="1:24">
      <c r="A1226" s="27">
        <v>2</v>
      </c>
      <c r="B1226" s="27">
        <v>3</v>
      </c>
      <c r="C1226" s="27">
        <v>11</v>
      </c>
      <c r="D1226" s="27">
        <v>2014</v>
      </c>
      <c r="E1226" s="27">
        <v>2019</v>
      </c>
      <c r="F1226" s="27">
        <v>9</v>
      </c>
      <c r="G1226" s="27">
        <v>42</v>
      </c>
      <c r="H1226" s="27">
        <v>5</v>
      </c>
      <c r="I1226" s="27">
        <v>0</v>
      </c>
      <c r="J1226" s="27">
        <v>0</v>
      </c>
      <c r="K1226" s="27">
        <v>6.45</v>
      </c>
      <c r="L1226" s="27">
        <v>3975</v>
      </c>
      <c r="M1226" s="27">
        <v>0</v>
      </c>
      <c r="N1226" s="27">
        <v>0</v>
      </c>
      <c r="O1226" s="27">
        <v>0</v>
      </c>
      <c r="P1226" s="27" t="s">
        <v>13</v>
      </c>
      <c r="Q1226" s="27">
        <v>1993</v>
      </c>
      <c r="R1226" s="27">
        <v>1</v>
      </c>
      <c r="S1226" s="27">
        <v>0</v>
      </c>
      <c r="T1226" s="27">
        <v>-1.8E-3</v>
      </c>
      <c r="U1226" s="27">
        <v>-1.2E-2</v>
      </c>
      <c r="V1226" s="27">
        <v>0</v>
      </c>
      <c r="W1226" s="27">
        <v>0</v>
      </c>
      <c r="X1226" s="27" t="s">
        <v>18</v>
      </c>
    </row>
    <row r="1227" spans="1:24">
      <c r="A1227" s="27">
        <v>2</v>
      </c>
      <c r="B1227" s="27">
        <v>3</v>
      </c>
      <c r="C1227" s="27">
        <v>11</v>
      </c>
      <c r="D1227" s="27">
        <v>2020</v>
      </c>
      <c r="E1227" s="27">
        <v>2029</v>
      </c>
      <c r="F1227" s="27">
        <v>1</v>
      </c>
      <c r="G1227" s="27">
        <v>42</v>
      </c>
      <c r="H1227" s="27">
        <v>5</v>
      </c>
      <c r="I1227" s="27">
        <v>0</v>
      </c>
      <c r="J1227" s="27">
        <v>0</v>
      </c>
      <c r="K1227" s="27">
        <v>6.74</v>
      </c>
      <c r="L1227" s="27">
        <v>4025</v>
      </c>
      <c r="M1227" s="27">
        <v>0</v>
      </c>
      <c r="N1227" s="27">
        <v>0</v>
      </c>
      <c r="O1227" s="27">
        <v>0</v>
      </c>
      <c r="P1227" s="27" t="s">
        <v>13</v>
      </c>
      <c r="Q1227" s="27">
        <v>1993</v>
      </c>
      <c r="R1227" s="27">
        <v>1</v>
      </c>
      <c r="S1227" s="27">
        <v>0</v>
      </c>
      <c r="T1227" s="27">
        <v>-1.8E-3</v>
      </c>
      <c r="U1227" s="27">
        <v>-1.2E-2</v>
      </c>
      <c r="V1227" s="27">
        <v>0</v>
      </c>
      <c r="W1227" s="27">
        <v>0</v>
      </c>
      <c r="X1227" s="27" t="s">
        <v>18</v>
      </c>
    </row>
    <row r="1228" spans="1:24">
      <c r="A1228" s="27">
        <v>2</v>
      </c>
      <c r="B1228" s="27">
        <v>3</v>
      </c>
      <c r="C1228" s="27">
        <v>11</v>
      </c>
      <c r="D1228" s="27">
        <v>2020</v>
      </c>
      <c r="E1228" s="27">
        <v>2029</v>
      </c>
      <c r="F1228" s="27">
        <v>2</v>
      </c>
      <c r="G1228" s="27">
        <v>42</v>
      </c>
      <c r="H1228" s="27">
        <v>5</v>
      </c>
      <c r="I1228" s="27">
        <v>0</v>
      </c>
      <c r="J1228" s="27">
        <v>0</v>
      </c>
      <c r="K1228" s="27">
        <v>6.74</v>
      </c>
      <c r="L1228" s="27">
        <v>4025</v>
      </c>
      <c r="M1228" s="27">
        <v>0</v>
      </c>
      <c r="N1228" s="27">
        <v>0</v>
      </c>
      <c r="O1228" s="27">
        <v>0</v>
      </c>
      <c r="P1228" s="27" t="s">
        <v>13</v>
      </c>
      <c r="Q1228" s="27">
        <v>1993</v>
      </c>
      <c r="R1228" s="27">
        <v>1</v>
      </c>
      <c r="S1228" s="27">
        <v>0</v>
      </c>
      <c r="T1228" s="27">
        <v>-1.8E-3</v>
      </c>
      <c r="U1228" s="27">
        <v>-1.2E-2</v>
      </c>
      <c r="V1228" s="27">
        <v>0</v>
      </c>
      <c r="W1228" s="27">
        <v>0</v>
      </c>
      <c r="X1228" s="27" t="s">
        <v>18</v>
      </c>
    </row>
    <row r="1229" spans="1:24">
      <c r="A1229" s="27">
        <v>2</v>
      </c>
      <c r="B1229" s="27">
        <v>3</v>
      </c>
      <c r="C1229" s="27">
        <v>11</v>
      </c>
      <c r="D1229" s="27">
        <v>2020</v>
      </c>
      <c r="E1229" s="27">
        <v>2029</v>
      </c>
      <c r="F1229" s="27">
        <v>3</v>
      </c>
      <c r="G1229" s="27">
        <v>42</v>
      </c>
      <c r="H1229" s="27">
        <v>5</v>
      </c>
      <c r="I1229" s="27">
        <v>0</v>
      </c>
      <c r="J1229" s="27">
        <v>0</v>
      </c>
      <c r="K1229" s="27">
        <v>6.74</v>
      </c>
      <c r="L1229" s="27">
        <v>4025</v>
      </c>
      <c r="M1229" s="27">
        <v>0</v>
      </c>
      <c r="N1229" s="27">
        <v>0</v>
      </c>
      <c r="O1229" s="27">
        <v>0</v>
      </c>
      <c r="P1229" s="27" t="s">
        <v>13</v>
      </c>
      <c r="Q1229" s="27">
        <v>1993</v>
      </c>
      <c r="R1229" s="27">
        <v>1</v>
      </c>
      <c r="S1229" s="27">
        <v>0</v>
      </c>
      <c r="T1229" s="27">
        <v>-1.8E-3</v>
      </c>
      <c r="U1229" s="27">
        <v>-1.2E-2</v>
      </c>
      <c r="V1229" s="27">
        <v>0</v>
      </c>
      <c r="W1229" s="27">
        <v>0</v>
      </c>
      <c r="X1229" s="27" t="s">
        <v>18</v>
      </c>
    </row>
    <row r="1230" spans="1:24">
      <c r="A1230" s="27">
        <v>2</v>
      </c>
      <c r="B1230" s="27">
        <v>3</v>
      </c>
      <c r="C1230" s="27">
        <v>11</v>
      </c>
      <c r="D1230" s="27">
        <v>2020</v>
      </c>
      <c r="E1230" s="27">
        <v>2029</v>
      </c>
      <c r="F1230" s="27">
        <v>4</v>
      </c>
      <c r="G1230" s="27">
        <v>42</v>
      </c>
      <c r="H1230" s="27">
        <v>5</v>
      </c>
      <c r="I1230" s="27">
        <v>0</v>
      </c>
      <c r="J1230" s="27">
        <v>0</v>
      </c>
      <c r="K1230" s="27">
        <v>6.74</v>
      </c>
      <c r="L1230" s="27">
        <v>4025</v>
      </c>
      <c r="M1230" s="27">
        <v>0</v>
      </c>
      <c r="N1230" s="27">
        <v>0</v>
      </c>
      <c r="O1230" s="27">
        <v>0</v>
      </c>
      <c r="P1230" s="27" t="s">
        <v>13</v>
      </c>
      <c r="Q1230" s="27">
        <v>1993</v>
      </c>
      <c r="R1230" s="27">
        <v>1</v>
      </c>
      <c r="S1230" s="27">
        <v>0</v>
      </c>
      <c r="T1230" s="27">
        <v>-1.8E-3</v>
      </c>
      <c r="U1230" s="27">
        <v>-1.2E-2</v>
      </c>
      <c r="V1230" s="27">
        <v>0</v>
      </c>
      <c r="W1230" s="27">
        <v>0</v>
      </c>
      <c r="X1230" s="27" t="s">
        <v>18</v>
      </c>
    </row>
    <row r="1231" spans="1:24">
      <c r="A1231" s="27">
        <v>2</v>
      </c>
      <c r="B1231" s="27">
        <v>3</v>
      </c>
      <c r="C1231" s="27">
        <v>11</v>
      </c>
      <c r="D1231" s="27">
        <v>2020</v>
      </c>
      <c r="E1231" s="27">
        <v>2029</v>
      </c>
      <c r="F1231" s="27">
        <v>5</v>
      </c>
      <c r="G1231" s="27">
        <v>42</v>
      </c>
      <c r="H1231" s="27">
        <v>5</v>
      </c>
      <c r="I1231" s="27">
        <v>0</v>
      </c>
      <c r="J1231" s="27">
        <v>0</v>
      </c>
      <c r="K1231" s="27">
        <v>6.74</v>
      </c>
      <c r="L1231" s="27">
        <v>4025</v>
      </c>
      <c r="M1231" s="27">
        <v>0</v>
      </c>
      <c r="N1231" s="27">
        <v>0</v>
      </c>
      <c r="O1231" s="27">
        <v>0</v>
      </c>
      <c r="P1231" s="27" t="s">
        <v>13</v>
      </c>
      <c r="Q1231" s="27">
        <v>1993</v>
      </c>
      <c r="R1231" s="27">
        <v>1</v>
      </c>
      <c r="S1231" s="27">
        <v>0</v>
      </c>
      <c r="T1231" s="27">
        <v>-1.8E-3</v>
      </c>
      <c r="U1231" s="27">
        <v>-1.2E-2</v>
      </c>
      <c r="V1231" s="27">
        <v>0</v>
      </c>
      <c r="W1231" s="27">
        <v>0</v>
      </c>
      <c r="X1231" s="27" t="s">
        <v>18</v>
      </c>
    </row>
    <row r="1232" spans="1:24">
      <c r="A1232" s="27">
        <v>2</v>
      </c>
      <c r="B1232" s="27">
        <v>3</v>
      </c>
      <c r="C1232" s="27">
        <v>11</v>
      </c>
      <c r="D1232" s="27">
        <v>2020</v>
      </c>
      <c r="E1232" s="27">
        <v>2029</v>
      </c>
      <c r="F1232" s="27">
        <v>6</v>
      </c>
      <c r="G1232" s="27">
        <v>42</v>
      </c>
      <c r="H1232" s="27">
        <v>5</v>
      </c>
      <c r="I1232" s="27">
        <v>0</v>
      </c>
      <c r="J1232" s="27">
        <v>0</v>
      </c>
      <c r="K1232" s="27">
        <v>6.74</v>
      </c>
      <c r="L1232" s="27">
        <v>4025</v>
      </c>
      <c r="M1232" s="27">
        <v>0</v>
      </c>
      <c r="N1232" s="27">
        <v>0</v>
      </c>
      <c r="O1232" s="27">
        <v>0</v>
      </c>
      <c r="P1232" s="27" t="s">
        <v>13</v>
      </c>
      <c r="Q1232" s="27">
        <v>1993</v>
      </c>
      <c r="R1232" s="27">
        <v>1</v>
      </c>
      <c r="S1232" s="27">
        <v>0</v>
      </c>
      <c r="T1232" s="27">
        <v>-1.8E-3</v>
      </c>
      <c r="U1232" s="27">
        <v>-1.2E-2</v>
      </c>
      <c r="V1232" s="27">
        <v>0</v>
      </c>
      <c r="W1232" s="27">
        <v>0</v>
      </c>
      <c r="X1232" s="27" t="s">
        <v>18</v>
      </c>
    </row>
    <row r="1233" spans="1:24">
      <c r="A1233" s="27">
        <v>2</v>
      </c>
      <c r="B1233" s="27">
        <v>3</v>
      </c>
      <c r="C1233" s="27">
        <v>11</v>
      </c>
      <c r="D1233" s="27">
        <v>2020</v>
      </c>
      <c r="E1233" s="27">
        <v>2029</v>
      </c>
      <c r="F1233" s="27">
        <v>7</v>
      </c>
      <c r="G1233" s="27">
        <v>42</v>
      </c>
      <c r="H1233" s="27">
        <v>5</v>
      </c>
      <c r="I1233" s="27">
        <v>0</v>
      </c>
      <c r="J1233" s="27">
        <v>0</v>
      </c>
      <c r="K1233" s="27">
        <v>6.74</v>
      </c>
      <c r="L1233" s="27">
        <v>4025</v>
      </c>
      <c r="M1233" s="27">
        <v>0</v>
      </c>
      <c r="N1233" s="27">
        <v>0</v>
      </c>
      <c r="O1233" s="27">
        <v>0</v>
      </c>
      <c r="P1233" s="27" t="s">
        <v>13</v>
      </c>
      <c r="Q1233" s="27">
        <v>1993</v>
      </c>
      <c r="R1233" s="27">
        <v>1</v>
      </c>
      <c r="S1233" s="27">
        <v>0</v>
      </c>
      <c r="T1233" s="27">
        <v>-1.8E-3</v>
      </c>
      <c r="U1233" s="27">
        <v>-1.2E-2</v>
      </c>
      <c r="V1233" s="27">
        <v>0</v>
      </c>
      <c r="W1233" s="27">
        <v>0</v>
      </c>
      <c r="X1233" s="27" t="s">
        <v>18</v>
      </c>
    </row>
    <row r="1234" spans="1:24">
      <c r="A1234" s="27">
        <v>2</v>
      </c>
      <c r="B1234" s="27">
        <v>3</v>
      </c>
      <c r="C1234" s="27">
        <v>11</v>
      </c>
      <c r="D1234" s="27">
        <v>2020</v>
      </c>
      <c r="E1234" s="27">
        <v>2029</v>
      </c>
      <c r="F1234" s="27">
        <v>8</v>
      </c>
      <c r="G1234" s="27">
        <v>42</v>
      </c>
      <c r="H1234" s="27">
        <v>5</v>
      </c>
      <c r="I1234" s="27">
        <v>0</v>
      </c>
      <c r="J1234" s="27">
        <v>0</v>
      </c>
      <c r="K1234" s="27">
        <v>6.74</v>
      </c>
      <c r="L1234" s="27">
        <v>4025</v>
      </c>
      <c r="M1234" s="27">
        <v>0</v>
      </c>
      <c r="N1234" s="27">
        <v>0</v>
      </c>
      <c r="O1234" s="27">
        <v>0</v>
      </c>
      <c r="P1234" s="27" t="s">
        <v>13</v>
      </c>
      <c r="Q1234" s="27">
        <v>1993</v>
      </c>
      <c r="R1234" s="27">
        <v>1</v>
      </c>
      <c r="S1234" s="27">
        <v>0</v>
      </c>
      <c r="T1234" s="27">
        <v>-1.8E-3</v>
      </c>
      <c r="U1234" s="27">
        <v>-1.2E-2</v>
      </c>
      <c r="V1234" s="27">
        <v>0</v>
      </c>
      <c r="W1234" s="27">
        <v>0</v>
      </c>
      <c r="X1234" s="27" t="s">
        <v>18</v>
      </c>
    </row>
    <row r="1235" spans="1:24">
      <c r="A1235" s="27">
        <v>2</v>
      </c>
      <c r="B1235" s="27">
        <v>3</v>
      </c>
      <c r="C1235" s="27">
        <v>11</v>
      </c>
      <c r="D1235" s="27">
        <v>2020</v>
      </c>
      <c r="E1235" s="27">
        <v>2029</v>
      </c>
      <c r="F1235" s="27">
        <v>9</v>
      </c>
      <c r="G1235" s="27">
        <v>42</v>
      </c>
      <c r="H1235" s="27">
        <v>5</v>
      </c>
      <c r="I1235" s="27">
        <v>0</v>
      </c>
      <c r="J1235" s="27">
        <v>0</v>
      </c>
      <c r="K1235" s="27">
        <v>6.74</v>
      </c>
      <c r="L1235" s="27">
        <v>4025</v>
      </c>
      <c r="M1235" s="27">
        <v>0</v>
      </c>
      <c r="N1235" s="27">
        <v>0</v>
      </c>
      <c r="O1235" s="27">
        <v>0</v>
      </c>
      <c r="P1235" s="27" t="s">
        <v>13</v>
      </c>
      <c r="Q1235" s="27">
        <v>1993</v>
      </c>
      <c r="R1235" s="27">
        <v>1</v>
      </c>
      <c r="S1235" s="27">
        <v>0</v>
      </c>
      <c r="T1235" s="27">
        <v>-1.8E-3</v>
      </c>
      <c r="U1235" s="27">
        <v>-1.2E-2</v>
      </c>
      <c r="V1235" s="27">
        <v>0</v>
      </c>
      <c r="W1235" s="27">
        <v>0</v>
      </c>
      <c r="X1235" s="27" t="s">
        <v>18</v>
      </c>
    </row>
    <row r="1236" spans="1:24">
      <c r="A1236" s="27">
        <v>2</v>
      </c>
      <c r="B1236" s="27">
        <v>3</v>
      </c>
      <c r="C1236" s="27">
        <v>11</v>
      </c>
      <c r="D1236" s="27">
        <v>2030</v>
      </c>
      <c r="E1236" s="27">
        <v>2034</v>
      </c>
      <c r="F1236" s="27">
        <v>1</v>
      </c>
      <c r="G1236" s="27">
        <v>42</v>
      </c>
      <c r="H1236" s="27">
        <v>5</v>
      </c>
      <c r="I1236" s="27">
        <v>0</v>
      </c>
      <c r="J1236" s="27">
        <v>0</v>
      </c>
      <c r="K1236" s="27">
        <v>7.03</v>
      </c>
      <c r="L1236" s="27">
        <v>4125</v>
      </c>
      <c r="M1236" s="27">
        <v>0</v>
      </c>
      <c r="N1236" s="27">
        <v>0</v>
      </c>
      <c r="O1236" s="27">
        <v>0</v>
      </c>
      <c r="P1236" s="27" t="s">
        <v>13</v>
      </c>
      <c r="Q1236" s="27">
        <v>1993</v>
      </c>
      <c r="R1236" s="27">
        <v>1</v>
      </c>
      <c r="S1236" s="27">
        <v>0</v>
      </c>
      <c r="T1236" s="27">
        <v>-1.8E-3</v>
      </c>
      <c r="U1236" s="27">
        <v>-1.2E-2</v>
      </c>
      <c r="V1236" s="27">
        <v>0</v>
      </c>
      <c r="W1236" s="27">
        <v>0</v>
      </c>
      <c r="X1236" s="27" t="s">
        <v>18</v>
      </c>
    </row>
    <row r="1237" spans="1:24">
      <c r="A1237" s="27">
        <v>2</v>
      </c>
      <c r="B1237" s="27">
        <v>3</v>
      </c>
      <c r="C1237" s="27">
        <v>11</v>
      </c>
      <c r="D1237" s="27">
        <v>2030</v>
      </c>
      <c r="E1237" s="27">
        <v>2034</v>
      </c>
      <c r="F1237" s="27">
        <v>2</v>
      </c>
      <c r="G1237" s="27">
        <v>42</v>
      </c>
      <c r="H1237" s="27">
        <v>5</v>
      </c>
      <c r="I1237" s="27">
        <v>0</v>
      </c>
      <c r="J1237" s="27">
        <v>0</v>
      </c>
      <c r="K1237" s="27">
        <v>7.03</v>
      </c>
      <c r="L1237" s="27">
        <v>4125</v>
      </c>
      <c r="M1237" s="27">
        <v>0</v>
      </c>
      <c r="N1237" s="27">
        <v>0</v>
      </c>
      <c r="O1237" s="27">
        <v>0</v>
      </c>
      <c r="P1237" s="27" t="s">
        <v>13</v>
      </c>
      <c r="Q1237" s="27">
        <v>1993</v>
      </c>
      <c r="R1237" s="27">
        <v>1</v>
      </c>
      <c r="S1237" s="27">
        <v>0</v>
      </c>
      <c r="T1237" s="27">
        <v>-1.8E-3</v>
      </c>
      <c r="U1237" s="27">
        <v>-1.2E-2</v>
      </c>
      <c r="V1237" s="27">
        <v>0</v>
      </c>
      <c r="W1237" s="27">
        <v>0</v>
      </c>
      <c r="X1237" s="27" t="s">
        <v>18</v>
      </c>
    </row>
    <row r="1238" spans="1:24">
      <c r="A1238" s="27">
        <v>2</v>
      </c>
      <c r="B1238" s="27">
        <v>3</v>
      </c>
      <c r="C1238" s="27">
        <v>11</v>
      </c>
      <c r="D1238" s="27">
        <v>2030</v>
      </c>
      <c r="E1238" s="27">
        <v>2034</v>
      </c>
      <c r="F1238" s="27">
        <v>3</v>
      </c>
      <c r="G1238" s="27">
        <v>42</v>
      </c>
      <c r="H1238" s="27">
        <v>5</v>
      </c>
      <c r="I1238" s="27">
        <v>0</v>
      </c>
      <c r="J1238" s="27">
        <v>0</v>
      </c>
      <c r="K1238" s="27">
        <v>7.03</v>
      </c>
      <c r="L1238" s="27">
        <v>4125</v>
      </c>
      <c r="M1238" s="27">
        <v>0</v>
      </c>
      <c r="N1238" s="27">
        <v>0</v>
      </c>
      <c r="O1238" s="27">
        <v>0</v>
      </c>
      <c r="P1238" s="27" t="s">
        <v>13</v>
      </c>
      <c r="Q1238" s="27">
        <v>1993</v>
      </c>
      <c r="R1238" s="27">
        <v>1</v>
      </c>
      <c r="S1238" s="27">
        <v>0</v>
      </c>
      <c r="T1238" s="27">
        <v>-1.8E-3</v>
      </c>
      <c r="U1238" s="27">
        <v>-1.2E-2</v>
      </c>
      <c r="V1238" s="27">
        <v>0</v>
      </c>
      <c r="W1238" s="27">
        <v>0</v>
      </c>
      <c r="X1238" s="27" t="s">
        <v>18</v>
      </c>
    </row>
    <row r="1239" spans="1:24">
      <c r="A1239" s="27">
        <v>2</v>
      </c>
      <c r="B1239" s="27">
        <v>3</v>
      </c>
      <c r="C1239" s="27">
        <v>11</v>
      </c>
      <c r="D1239" s="27">
        <v>2030</v>
      </c>
      <c r="E1239" s="27">
        <v>2034</v>
      </c>
      <c r="F1239" s="27">
        <v>4</v>
      </c>
      <c r="G1239" s="27">
        <v>42</v>
      </c>
      <c r="H1239" s="27">
        <v>5</v>
      </c>
      <c r="I1239" s="27">
        <v>0</v>
      </c>
      <c r="J1239" s="27">
        <v>0</v>
      </c>
      <c r="K1239" s="27">
        <v>7.03</v>
      </c>
      <c r="L1239" s="27">
        <v>4125</v>
      </c>
      <c r="M1239" s="27">
        <v>0</v>
      </c>
      <c r="N1239" s="27">
        <v>0</v>
      </c>
      <c r="O1239" s="27">
        <v>0</v>
      </c>
      <c r="P1239" s="27" t="s">
        <v>13</v>
      </c>
      <c r="Q1239" s="27">
        <v>1993</v>
      </c>
      <c r="R1239" s="27">
        <v>1</v>
      </c>
      <c r="S1239" s="27">
        <v>0</v>
      </c>
      <c r="T1239" s="27">
        <v>-1.8E-3</v>
      </c>
      <c r="U1239" s="27">
        <v>-1.2E-2</v>
      </c>
      <c r="V1239" s="27">
        <v>0</v>
      </c>
      <c r="W1239" s="27">
        <v>0</v>
      </c>
      <c r="X1239" s="27" t="s">
        <v>18</v>
      </c>
    </row>
    <row r="1240" spans="1:24">
      <c r="A1240" s="27">
        <v>2</v>
      </c>
      <c r="B1240" s="27">
        <v>3</v>
      </c>
      <c r="C1240" s="27">
        <v>11</v>
      </c>
      <c r="D1240" s="27">
        <v>2030</v>
      </c>
      <c r="E1240" s="27">
        <v>2034</v>
      </c>
      <c r="F1240" s="27">
        <v>5</v>
      </c>
      <c r="G1240" s="27">
        <v>42</v>
      </c>
      <c r="H1240" s="27">
        <v>5</v>
      </c>
      <c r="I1240" s="27">
        <v>0</v>
      </c>
      <c r="J1240" s="27">
        <v>0</v>
      </c>
      <c r="K1240" s="27">
        <v>7.03</v>
      </c>
      <c r="L1240" s="27">
        <v>4125</v>
      </c>
      <c r="M1240" s="27">
        <v>0</v>
      </c>
      <c r="N1240" s="27">
        <v>0</v>
      </c>
      <c r="O1240" s="27">
        <v>0</v>
      </c>
      <c r="P1240" s="27" t="s">
        <v>13</v>
      </c>
      <c r="Q1240" s="27">
        <v>1993</v>
      </c>
      <c r="R1240" s="27">
        <v>1</v>
      </c>
      <c r="S1240" s="27">
        <v>0</v>
      </c>
      <c r="T1240" s="27">
        <v>-1.8E-3</v>
      </c>
      <c r="U1240" s="27">
        <v>-1.2E-2</v>
      </c>
      <c r="V1240" s="27">
        <v>0</v>
      </c>
      <c r="W1240" s="27">
        <v>0</v>
      </c>
      <c r="X1240" s="27" t="s">
        <v>18</v>
      </c>
    </row>
    <row r="1241" spans="1:24">
      <c r="A1241" s="27">
        <v>2</v>
      </c>
      <c r="B1241" s="27">
        <v>3</v>
      </c>
      <c r="C1241" s="27">
        <v>11</v>
      </c>
      <c r="D1241" s="27">
        <v>2030</v>
      </c>
      <c r="E1241" s="27">
        <v>2034</v>
      </c>
      <c r="F1241" s="27">
        <v>6</v>
      </c>
      <c r="G1241" s="27">
        <v>42</v>
      </c>
      <c r="H1241" s="27">
        <v>5</v>
      </c>
      <c r="I1241" s="27">
        <v>0</v>
      </c>
      <c r="J1241" s="27">
        <v>0</v>
      </c>
      <c r="K1241" s="27">
        <v>7.03</v>
      </c>
      <c r="L1241" s="27">
        <v>4125</v>
      </c>
      <c r="M1241" s="27">
        <v>0</v>
      </c>
      <c r="N1241" s="27">
        <v>0</v>
      </c>
      <c r="O1241" s="27">
        <v>0</v>
      </c>
      <c r="P1241" s="27" t="s">
        <v>13</v>
      </c>
      <c r="Q1241" s="27">
        <v>1993</v>
      </c>
      <c r="R1241" s="27">
        <v>1</v>
      </c>
      <c r="S1241" s="27">
        <v>0</v>
      </c>
      <c r="T1241" s="27">
        <v>-1.8E-3</v>
      </c>
      <c r="U1241" s="27">
        <v>-1.2E-2</v>
      </c>
      <c r="V1241" s="27">
        <v>0</v>
      </c>
      <c r="W1241" s="27">
        <v>0</v>
      </c>
      <c r="X1241" s="27" t="s">
        <v>18</v>
      </c>
    </row>
    <row r="1242" spans="1:24">
      <c r="A1242" s="27">
        <v>2</v>
      </c>
      <c r="B1242" s="27">
        <v>3</v>
      </c>
      <c r="C1242" s="27">
        <v>11</v>
      </c>
      <c r="D1242" s="27">
        <v>2030</v>
      </c>
      <c r="E1242" s="27">
        <v>2034</v>
      </c>
      <c r="F1242" s="27">
        <v>7</v>
      </c>
      <c r="G1242" s="27">
        <v>42</v>
      </c>
      <c r="H1242" s="27">
        <v>5</v>
      </c>
      <c r="I1242" s="27">
        <v>0</v>
      </c>
      <c r="J1242" s="27">
        <v>0</v>
      </c>
      <c r="K1242" s="27">
        <v>7.03</v>
      </c>
      <c r="L1242" s="27">
        <v>4125</v>
      </c>
      <c r="M1242" s="27">
        <v>0</v>
      </c>
      <c r="N1242" s="27">
        <v>0</v>
      </c>
      <c r="O1242" s="27">
        <v>0</v>
      </c>
      <c r="P1242" s="27" t="s">
        <v>13</v>
      </c>
      <c r="Q1242" s="27">
        <v>1993</v>
      </c>
      <c r="R1242" s="27">
        <v>1</v>
      </c>
      <c r="S1242" s="27">
        <v>0</v>
      </c>
      <c r="T1242" s="27">
        <v>-1.8E-3</v>
      </c>
      <c r="U1242" s="27">
        <v>-1.2E-2</v>
      </c>
      <c r="V1242" s="27">
        <v>0</v>
      </c>
      <c r="W1242" s="27">
        <v>0</v>
      </c>
      <c r="X1242" s="27" t="s">
        <v>18</v>
      </c>
    </row>
    <row r="1243" spans="1:24">
      <c r="A1243" s="27">
        <v>2</v>
      </c>
      <c r="B1243" s="27">
        <v>3</v>
      </c>
      <c r="C1243" s="27">
        <v>11</v>
      </c>
      <c r="D1243" s="27">
        <v>2030</v>
      </c>
      <c r="E1243" s="27">
        <v>2034</v>
      </c>
      <c r="F1243" s="27">
        <v>8</v>
      </c>
      <c r="G1243" s="27">
        <v>42</v>
      </c>
      <c r="H1243" s="27">
        <v>5</v>
      </c>
      <c r="I1243" s="27">
        <v>0</v>
      </c>
      <c r="J1243" s="27">
        <v>0</v>
      </c>
      <c r="K1243" s="27">
        <v>7.03</v>
      </c>
      <c r="L1243" s="27">
        <v>4125</v>
      </c>
      <c r="M1243" s="27">
        <v>0</v>
      </c>
      <c r="N1243" s="27">
        <v>0</v>
      </c>
      <c r="O1243" s="27">
        <v>0</v>
      </c>
      <c r="P1243" s="27" t="s">
        <v>13</v>
      </c>
      <c r="Q1243" s="27">
        <v>1993</v>
      </c>
      <c r="R1243" s="27">
        <v>1</v>
      </c>
      <c r="S1243" s="27">
        <v>0</v>
      </c>
      <c r="T1243" s="27">
        <v>-1.8E-3</v>
      </c>
      <c r="U1243" s="27">
        <v>-1.2E-2</v>
      </c>
      <c r="V1243" s="27">
        <v>0</v>
      </c>
      <c r="W1243" s="27">
        <v>0</v>
      </c>
      <c r="X1243" s="27" t="s">
        <v>18</v>
      </c>
    </row>
    <row r="1244" spans="1:24">
      <c r="A1244" s="27">
        <v>2</v>
      </c>
      <c r="B1244" s="27">
        <v>3</v>
      </c>
      <c r="C1244" s="27">
        <v>11</v>
      </c>
      <c r="D1244" s="27">
        <v>2030</v>
      </c>
      <c r="E1244" s="27">
        <v>2034</v>
      </c>
      <c r="F1244" s="27">
        <v>9</v>
      </c>
      <c r="G1244" s="27">
        <v>42</v>
      </c>
      <c r="H1244" s="27">
        <v>5</v>
      </c>
      <c r="I1244" s="27">
        <v>0</v>
      </c>
      <c r="J1244" s="27">
        <v>0</v>
      </c>
      <c r="K1244" s="27">
        <v>7.03</v>
      </c>
      <c r="L1244" s="27">
        <v>4125</v>
      </c>
      <c r="M1244" s="27">
        <v>0</v>
      </c>
      <c r="N1244" s="27">
        <v>0</v>
      </c>
      <c r="O1244" s="27">
        <v>0</v>
      </c>
      <c r="P1244" s="27" t="s">
        <v>13</v>
      </c>
      <c r="Q1244" s="27">
        <v>1993</v>
      </c>
      <c r="R1244" s="27">
        <v>1</v>
      </c>
      <c r="S1244" s="27">
        <v>0</v>
      </c>
      <c r="T1244" s="27">
        <v>-1.8E-3</v>
      </c>
      <c r="U1244" s="27">
        <v>-1.2E-2</v>
      </c>
      <c r="V1244" s="27">
        <v>0</v>
      </c>
      <c r="W1244" s="27">
        <v>0</v>
      </c>
      <c r="X1244" s="27" t="s">
        <v>18</v>
      </c>
    </row>
    <row r="1245" spans="1:24">
      <c r="A1245" s="27">
        <v>2</v>
      </c>
      <c r="B1245" s="27">
        <v>3</v>
      </c>
      <c r="C1245" s="27">
        <v>11</v>
      </c>
      <c r="D1245" s="27">
        <v>2035</v>
      </c>
      <c r="E1245" s="27">
        <v>2050</v>
      </c>
      <c r="F1245" s="27">
        <v>1</v>
      </c>
      <c r="G1245" s="27">
        <v>42</v>
      </c>
      <c r="H1245" s="27">
        <v>5</v>
      </c>
      <c r="I1245" s="27">
        <v>0</v>
      </c>
      <c r="J1245" s="27">
        <v>0</v>
      </c>
      <c r="K1245" s="27">
        <v>7.33</v>
      </c>
      <c r="L1245" s="27">
        <v>4125</v>
      </c>
      <c r="M1245" s="27">
        <v>0</v>
      </c>
      <c r="N1245" s="27">
        <v>0</v>
      </c>
      <c r="O1245" s="27">
        <v>0</v>
      </c>
      <c r="P1245" s="27" t="s">
        <v>13</v>
      </c>
      <c r="Q1245" s="27">
        <v>1993</v>
      </c>
      <c r="R1245" s="27">
        <v>1</v>
      </c>
      <c r="S1245" s="27">
        <v>0</v>
      </c>
      <c r="T1245" s="27">
        <v>-1.8E-3</v>
      </c>
      <c r="U1245" s="27">
        <v>-1.2E-2</v>
      </c>
      <c r="V1245" s="27">
        <v>0</v>
      </c>
      <c r="W1245" s="27">
        <v>0</v>
      </c>
      <c r="X1245" s="27" t="s">
        <v>18</v>
      </c>
    </row>
    <row r="1246" spans="1:24">
      <c r="A1246" s="27">
        <v>2</v>
      </c>
      <c r="B1246" s="27">
        <v>3</v>
      </c>
      <c r="C1246" s="27">
        <v>11</v>
      </c>
      <c r="D1246" s="27">
        <v>2035</v>
      </c>
      <c r="E1246" s="27">
        <v>2050</v>
      </c>
      <c r="F1246" s="27">
        <v>2</v>
      </c>
      <c r="G1246" s="27">
        <v>42</v>
      </c>
      <c r="H1246" s="27">
        <v>5</v>
      </c>
      <c r="I1246" s="27">
        <v>0</v>
      </c>
      <c r="J1246" s="27">
        <v>0</v>
      </c>
      <c r="K1246" s="27">
        <v>7.33</v>
      </c>
      <c r="L1246" s="27">
        <v>4125</v>
      </c>
      <c r="M1246" s="27">
        <v>0</v>
      </c>
      <c r="N1246" s="27">
        <v>0</v>
      </c>
      <c r="O1246" s="27">
        <v>0</v>
      </c>
      <c r="P1246" s="27" t="s">
        <v>13</v>
      </c>
      <c r="Q1246" s="27">
        <v>1993</v>
      </c>
      <c r="R1246" s="27">
        <v>1</v>
      </c>
      <c r="S1246" s="27">
        <v>0</v>
      </c>
      <c r="T1246" s="27">
        <v>-1.8E-3</v>
      </c>
      <c r="U1246" s="27">
        <v>-1.2E-2</v>
      </c>
      <c r="V1246" s="27">
        <v>0</v>
      </c>
      <c r="W1246" s="27">
        <v>0</v>
      </c>
      <c r="X1246" s="27" t="s">
        <v>18</v>
      </c>
    </row>
    <row r="1247" spans="1:24">
      <c r="A1247" s="27">
        <v>2</v>
      </c>
      <c r="B1247" s="27">
        <v>3</v>
      </c>
      <c r="C1247" s="27">
        <v>11</v>
      </c>
      <c r="D1247" s="27">
        <v>2035</v>
      </c>
      <c r="E1247" s="27">
        <v>2050</v>
      </c>
      <c r="F1247" s="27">
        <v>3</v>
      </c>
      <c r="G1247" s="27">
        <v>42</v>
      </c>
      <c r="H1247" s="27">
        <v>5</v>
      </c>
      <c r="I1247" s="27">
        <v>0</v>
      </c>
      <c r="J1247" s="27">
        <v>0</v>
      </c>
      <c r="K1247" s="27">
        <v>7.33</v>
      </c>
      <c r="L1247" s="27">
        <v>4125</v>
      </c>
      <c r="M1247" s="27">
        <v>0</v>
      </c>
      <c r="N1247" s="27">
        <v>0</v>
      </c>
      <c r="O1247" s="27">
        <v>0</v>
      </c>
      <c r="P1247" s="27" t="s">
        <v>13</v>
      </c>
      <c r="Q1247" s="27">
        <v>1993</v>
      </c>
      <c r="R1247" s="27">
        <v>1</v>
      </c>
      <c r="S1247" s="27">
        <v>0</v>
      </c>
      <c r="T1247" s="27">
        <v>-1.8E-3</v>
      </c>
      <c r="U1247" s="27">
        <v>-1.2E-2</v>
      </c>
      <c r="V1247" s="27">
        <v>0</v>
      </c>
      <c r="W1247" s="27">
        <v>0</v>
      </c>
      <c r="X1247" s="27" t="s">
        <v>18</v>
      </c>
    </row>
    <row r="1248" spans="1:24">
      <c r="A1248" s="27">
        <v>2</v>
      </c>
      <c r="B1248" s="27">
        <v>3</v>
      </c>
      <c r="C1248" s="27">
        <v>11</v>
      </c>
      <c r="D1248" s="27">
        <v>2035</v>
      </c>
      <c r="E1248" s="27">
        <v>2050</v>
      </c>
      <c r="F1248" s="27">
        <v>4</v>
      </c>
      <c r="G1248" s="27">
        <v>42</v>
      </c>
      <c r="H1248" s="27">
        <v>5</v>
      </c>
      <c r="I1248" s="27">
        <v>0</v>
      </c>
      <c r="J1248" s="27">
        <v>0</v>
      </c>
      <c r="K1248" s="27">
        <v>7.33</v>
      </c>
      <c r="L1248" s="27">
        <v>4125</v>
      </c>
      <c r="M1248" s="27">
        <v>0</v>
      </c>
      <c r="N1248" s="27">
        <v>0</v>
      </c>
      <c r="O1248" s="27">
        <v>0</v>
      </c>
      <c r="P1248" s="27" t="s">
        <v>13</v>
      </c>
      <c r="Q1248" s="27">
        <v>1993</v>
      </c>
      <c r="R1248" s="27">
        <v>1</v>
      </c>
      <c r="S1248" s="27">
        <v>0</v>
      </c>
      <c r="T1248" s="27">
        <v>-1.8E-3</v>
      </c>
      <c r="U1248" s="27">
        <v>-1.2E-2</v>
      </c>
      <c r="V1248" s="27">
        <v>0</v>
      </c>
      <c r="W1248" s="27">
        <v>0</v>
      </c>
      <c r="X1248" s="27" t="s">
        <v>18</v>
      </c>
    </row>
    <row r="1249" spans="1:24">
      <c r="A1249" s="27">
        <v>2</v>
      </c>
      <c r="B1249" s="27">
        <v>3</v>
      </c>
      <c r="C1249" s="27">
        <v>11</v>
      </c>
      <c r="D1249" s="27">
        <v>2035</v>
      </c>
      <c r="E1249" s="27">
        <v>2050</v>
      </c>
      <c r="F1249" s="27">
        <v>5</v>
      </c>
      <c r="G1249" s="27">
        <v>42</v>
      </c>
      <c r="H1249" s="27">
        <v>5</v>
      </c>
      <c r="I1249" s="27">
        <v>0</v>
      </c>
      <c r="J1249" s="27">
        <v>0</v>
      </c>
      <c r="K1249" s="27">
        <v>7.33</v>
      </c>
      <c r="L1249" s="27">
        <v>4125</v>
      </c>
      <c r="M1249" s="27">
        <v>0</v>
      </c>
      <c r="N1249" s="27">
        <v>0</v>
      </c>
      <c r="O1249" s="27">
        <v>0</v>
      </c>
      <c r="P1249" s="27" t="s">
        <v>13</v>
      </c>
      <c r="Q1249" s="27">
        <v>1993</v>
      </c>
      <c r="R1249" s="27">
        <v>1</v>
      </c>
      <c r="S1249" s="27">
        <v>0</v>
      </c>
      <c r="T1249" s="27">
        <v>-1.8E-3</v>
      </c>
      <c r="U1249" s="27">
        <v>-1.2E-2</v>
      </c>
      <c r="V1249" s="27">
        <v>0</v>
      </c>
      <c r="W1249" s="27">
        <v>0</v>
      </c>
      <c r="X1249" s="27" t="s">
        <v>18</v>
      </c>
    </row>
    <row r="1250" spans="1:24">
      <c r="A1250" s="27">
        <v>2</v>
      </c>
      <c r="B1250" s="27">
        <v>3</v>
      </c>
      <c r="C1250" s="27">
        <v>11</v>
      </c>
      <c r="D1250" s="27">
        <v>2035</v>
      </c>
      <c r="E1250" s="27">
        <v>2050</v>
      </c>
      <c r="F1250" s="27">
        <v>6</v>
      </c>
      <c r="G1250" s="27">
        <v>42</v>
      </c>
      <c r="H1250" s="27">
        <v>5</v>
      </c>
      <c r="I1250" s="27">
        <v>0</v>
      </c>
      <c r="J1250" s="27">
        <v>0</v>
      </c>
      <c r="K1250" s="27">
        <v>7.33</v>
      </c>
      <c r="L1250" s="27">
        <v>4125</v>
      </c>
      <c r="M1250" s="27">
        <v>0</v>
      </c>
      <c r="N1250" s="27">
        <v>0</v>
      </c>
      <c r="O1250" s="27">
        <v>0</v>
      </c>
      <c r="P1250" s="27" t="s">
        <v>13</v>
      </c>
      <c r="Q1250" s="27">
        <v>1993</v>
      </c>
      <c r="R1250" s="27">
        <v>1</v>
      </c>
      <c r="S1250" s="27">
        <v>0</v>
      </c>
      <c r="T1250" s="27">
        <v>-1.8E-3</v>
      </c>
      <c r="U1250" s="27">
        <v>-1.2E-2</v>
      </c>
      <c r="V1250" s="27">
        <v>0</v>
      </c>
      <c r="W1250" s="27">
        <v>0</v>
      </c>
      <c r="X1250" s="27" t="s">
        <v>18</v>
      </c>
    </row>
    <row r="1251" spans="1:24">
      <c r="A1251" s="27">
        <v>2</v>
      </c>
      <c r="B1251" s="27">
        <v>3</v>
      </c>
      <c r="C1251" s="27">
        <v>11</v>
      </c>
      <c r="D1251" s="27">
        <v>2035</v>
      </c>
      <c r="E1251" s="27">
        <v>2050</v>
      </c>
      <c r="F1251" s="27">
        <v>7</v>
      </c>
      <c r="G1251" s="27">
        <v>42</v>
      </c>
      <c r="H1251" s="27">
        <v>5</v>
      </c>
      <c r="I1251" s="27">
        <v>0</v>
      </c>
      <c r="J1251" s="27">
        <v>0</v>
      </c>
      <c r="K1251" s="27">
        <v>7.33</v>
      </c>
      <c r="L1251" s="27">
        <v>4125</v>
      </c>
      <c r="M1251" s="27">
        <v>0</v>
      </c>
      <c r="N1251" s="27">
        <v>0</v>
      </c>
      <c r="O1251" s="27">
        <v>0</v>
      </c>
      <c r="P1251" s="27" t="s">
        <v>13</v>
      </c>
      <c r="Q1251" s="27">
        <v>1993</v>
      </c>
      <c r="R1251" s="27">
        <v>1</v>
      </c>
      <c r="S1251" s="27">
        <v>0</v>
      </c>
      <c r="T1251" s="27">
        <v>-1.8E-3</v>
      </c>
      <c r="U1251" s="27">
        <v>-1.2E-2</v>
      </c>
      <c r="V1251" s="27">
        <v>0</v>
      </c>
      <c r="W1251" s="27">
        <v>0</v>
      </c>
      <c r="X1251" s="27" t="s">
        <v>18</v>
      </c>
    </row>
    <row r="1252" spans="1:24">
      <c r="A1252" s="27">
        <v>2</v>
      </c>
      <c r="B1252" s="27">
        <v>3</v>
      </c>
      <c r="C1252" s="27">
        <v>11</v>
      </c>
      <c r="D1252" s="27">
        <v>2035</v>
      </c>
      <c r="E1252" s="27">
        <v>2050</v>
      </c>
      <c r="F1252" s="27">
        <v>8</v>
      </c>
      <c r="G1252" s="27">
        <v>42</v>
      </c>
      <c r="H1252" s="27">
        <v>5</v>
      </c>
      <c r="I1252" s="27">
        <v>0</v>
      </c>
      <c r="J1252" s="27">
        <v>0</v>
      </c>
      <c r="K1252" s="27">
        <v>7.33</v>
      </c>
      <c r="L1252" s="27">
        <v>4125</v>
      </c>
      <c r="M1252" s="27">
        <v>0</v>
      </c>
      <c r="N1252" s="27">
        <v>0</v>
      </c>
      <c r="O1252" s="27">
        <v>0</v>
      </c>
      <c r="P1252" s="27" t="s">
        <v>13</v>
      </c>
      <c r="Q1252" s="27">
        <v>1993</v>
      </c>
      <c r="R1252" s="27">
        <v>1</v>
      </c>
      <c r="S1252" s="27">
        <v>0</v>
      </c>
      <c r="T1252" s="27">
        <v>-1.8E-3</v>
      </c>
      <c r="U1252" s="27">
        <v>-1.2E-2</v>
      </c>
      <c r="V1252" s="27">
        <v>0</v>
      </c>
      <c r="W1252" s="27">
        <v>0</v>
      </c>
      <c r="X1252" s="27" t="s">
        <v>18</v>
      </c>
    </row>
    <row r="1253" spans="1:24">
      <c r="A1253" s="27">
        <v>2</v>
      </c>
      <c r="B1253" s="27">
        <v>3</v>
      </c>
      <c r="C1253" s="27">
        <v>11</v>
      </c>
      <c r="D1253" s="27">
        <v>2035</v>
      </c>
      <c r="E1253" s="27">
        <v>2050</v>
      </c>
      <c r="F1253" s="27">
        <v>9</v>
      </c>
      <c r="G1253" s="27">
        <v>42</v>
      </c>
      <c r="H1253" s="27">
        <v>5</v>
      </c>
      <c r="I1253" s="27">
        <v>0</v>
      </c>
      <c r="J1253" s="27">
        <v>0</v>
      </c>
      <c r="K1253" s="27">
        <v>7.33</v>
      </c>
      <c r="L1253" s="27">
        <v>4125</v>
      </c>
      <c r="M1253" s="27">
        <v>0</v>
      </c>
      <c r="N1253" s="27">
        <v>0</v>
      </c>
      <c r="O1253" s="27">
        <v>0</v>
      </c>
      <c r="P1253" s="27" t="s">
        <v>13</v>
      </c>
      <c r="Q1253" s="27">
        <v>1993</v>
      </c>
      <c r="R1253" s="27">
        <v>1</v>
      </c>
      <c r="S1253" s="27">
        <v>0</v>
      </c>
      <c r="T1253" s="27">
        <v>-1.8E-3</v>
      </c>
      <c r="U1253" s="27">
        <v>-1.2E-2</v>
      </c>
      <c r="V1253" s="27">
        <v>0</v>
      </c>
      <c r="W1253" s="27">
        <v>0</v>
      </c>
      <c r="X1253" s="27" t="s">
        <v>18</v>
      </c>
    </row>
    <row r="1254" spans="1:24">
      <c r="A1254" s="27">
        <v>2</v>
      </c>
      <c r="B1254" s="27">
        <v>4</v>
      </c>
      <c r="C1254" s="27">
        <v>12</v>
      </c>
      <c r="D1254" s="27">
        <v>2010</v>
      </c>
      <c r="E1254" s="27">
        <v>2016</v>
      </c>
      <c r="F1254" s="27">
        <v>1</v>
      </c>
      <c r="G1254" s="27">
        <v>43</v>
      </c>
      <c r="H1254" s="27">
        <v>29</v>
      </c>
      <c r="I1254" s="27">
        <v>0</v>
      </c>
      <c r="J1254" s="27">
        <v>0</v>
      </c>
      <c r="K1254" s="27">
        <v>14.1</v>
      </c>
      <c r="L1254" s="27">
        <v>5000</v>
      </c>
      <c r="M1254" s="27">
        <v>0</v>
      </c>
      <c r="N1254" s="27">
        <v>1500</v>
      </c>
      <c r="O1254" s="27">
        <v>0</v>
      </c>
      <c r="P1254" s="27" t="s">
        <v>13</v>
      </c>
      <c r="Q1254" s="27">
        <v>1993</v>
      </c>
      <c r="R1254" s="27">
        <v>1</v>
      </c>
      <c r="S1254" s="27">
        <v>0</v>
      </c>
      <c r="T1254" s="27">
        <v>-1.8E-3</v>
      </c>
      <c r="U1254" s="27">
        <v>-1.2E-2</v>
      </c>
      <c r="V1254" s="27">
        <v>0</v>
      </c>
      <c r="W1254" s="27">
        <v>0</v>
      </c>
      <c r="X1254" s="27" t="s">
        <v>39</v>
      </c>
    </row>
    <row r="1255" spans="1:24">
      <c r="A1255" s="27">
        <v>2</v>
      </c>
      <c r="B1255" s="27">
        <v>4</v>
      </c>
      <c r="C1255" s="27">
        <v>12</v>
      </c>
      <c r="D1255" s="27">
        <v>2010</v>
      </c>
      <c r="E1255" s="27">
        <v>2016</v>
      </c>
      <c r="F1255" s="27">
        <v>2</v>
      </c>
      <c r="G1255" s="27">
        <v>43</v>
      </c>
      <c r="H1255" s="27">
        <v>29</v>
      </c>
      <c r="I1255" s="27">
        <v>0</v>
      </c>
      <c r="J1255" s="27">
        <v>0</v>
      </c>
      <c r="K1255" s="27">
        <v>14.1</v>
      </c>
      <c r="L1255" s="27">
        <v>5000</v>
      </c>
      <c r="M1255" s="27">
        <v>0</v>
      </c>
      <c r="N1255" s="27">
        <v>1500</v>
      </c>
      <c r="O1255" s="27">
        <v>0</v>
      </c>
      <c r="P1255" s="27" t="s">
        <v>13</v>
      </c>
      <c r="Q1255" s="27">
        <v>1993</v>
      </c>
      <c r="R1255" s="27">
        <v>1</v>
      </c>
      <c r="S1255" s="27">
        <v>0</v>
      </c>
      <c r="T1255" s="27">
        <v>-1.8E-3</v>
      </c>
      <c r="U1255" s="27">
        <v>-1.2E-2</v>
      </c>
      <c r="V1255" s="27">
        <v>0</v>
      </c>
      <c r="W1255" s="27">
        <v>0</v>
      </c>
      <c r="X1255" s="27" t="s">
        <v>39</v>
      </c>
    </row>
    <row r="1256" spans="1:24">
      <c r="A1256" s="27">
        <v>2</v>
      </c>
      <c r="B1256" s="27">
        <v>4</v>
      </c>
      <c r="C1256" s="27">
        <v>12</v>
      </c>
      <c r="D1256" s="27">
        <v>2010</v>
      </c>
      <c r="E1256" s="27">
        <v>2016</v>
      </c>
      <c r="F1256" s="27">
        <v>3</v>
      </c>
      <c r="G1256" s="27">
        <v>43</v>
      </c>
      <c r="H1256" s="27">
        <v>29</v>
      </c>
      <c r="I1256" s="27">
        <v>0</v>
      </c>
      <c r="J1256" s="27">
        <v>0</v>
      </c>
      <c r="K1256" s="27">
        <v>14.1</v>
      </c>
      <c r="L1256" s="27">
        <v>5000</v>
      </c>
      <c r="M1256" s="27">
        <v>0</v>
      </c>
      <c r="N1256" s="27">
        <v>1500</v>
      </c>
      <c r="O1256" s="27">
        <v>0</v>
      </c>
      <c r="P1256" s="27" t="s">
        <v>13</v>
      </c>
      <c r="Q1256" s="27">
        <v>1993</v>
      </c>
      <c r="R1256" s="27">
        <v>1</v>
      </c>
      <c r="S1256" s="27">
        <v>0</v>
      </c>
      <c r="T1256" s="27">
        <v>-1.8E-3</v>
      </c>
      <c r="U1256" s="27">
        <v>-1.2E-2</v>
      </c>
      <c r="V1256" s="27">
        <v>0</v>
      </c>
      <c r="W1256" s="27">
        <v>0</v>
      </c>
      <c r="X1256" s="27" t="s">
        <v>39</v>
      </c>
    </row>
    <row r="1257" spans="1:24">
      <c r="A1257" s="27">
        <v>2</v>
      </c>
      <c r="B1257" s="27">
        <v>4</v>
      </c>
      <c r="C1257" s="27">
        <v>12</v>
      </c>
      <c r="D1257" s="27">
        <v>2010</v>
      </c>
      <c r="E1257" s="27">
        <v>2016</v>
      </c>
      <c r="F1257" s="27">
        <v>4</v>
      </c>
      <c r="G1257" s="27">
        <v>43</v>
      </c>
      <c r="H1257" s="27">
        <v>29</v>
      </c>
      <c r="I1257" s="27">
        <v>0</v>
      </c>
      <c r="J1257" s="27">
        <v>0</v>
      </c>
      <c r="K1257" s="27">
        <v>14.1</v>
      </c>
      <c r="L1257" s="27">
        <v>5000</v>
      </c>
      <c r="M1257" s="27">
        <v>0</v>
      </c>
      <c r="N1257" s="27">
        <v>1500</v>
      </c>
      <c r="O1257" s="27">
        <v>0</v>
      </c>
      <c r="P1257" s="27" t="s">
        <v>13</v>
      </c>
      <c r="Q1257" s="27">
        <v>1993</v>
      </c>
      <c r="R1257" s="27">
        <v>1</v>
      </c>
      <c r="S1257" s="27">
        <v>0</v>
      </c>
      <c r="T1257" s="27">
        <v>-1.8E-3</v>
      </c>
      <c r="U1257" s="27">
        <v>-1.2E-2</v>
      </c>
      <c r="V1257" s="27">
        <v>0</v>
      </c>
      <c r="W1257" s="27">
        <v>0</v>
      </c>
      <c r="X1257" s="27" t="s">
        <v>39</v>
      </c>
    </row>
    <row r="1258" spans="1:24">
      <c r="A1258" s="27">
        <v>2</v>
      </c>
      <c r="B1258" s="27">
        <v>4</v>
      </c>
      <c r="C1258" s="27">
        <v>12</v>
      </c>
      <c r="D1258" s="27">
        <v>2010</v>
      </c>
      <c r="E1258" s="27">
        <v>2016</v>
      </c>
      <c r="F1258" s="27">
        <v>5</v>
      </c>
      <c r="G1258" s="27">
        <v>43</v>
      </c>
      <c r="H1258" s="27">
        <v>29</v>
      </c>
      <c r="I1258" s="27">
        <v>0</v>
      </c>
      <c r="J1258" s="27">
        <v>0</v>
      </c>
      <c r="K1258" s="27">
        <v>14.1</v>
      </c>
      <c r="L1258" s="27">
        <v>5000</v>
      </c>
      <c r="M1258" s="27">
        <v>0</v>
      </c>
      <c r="N1258" s="27">
        <v>1500</v>
      </c>
      <c r="O1258" s="27">
        <v>0</v>
      </c>
      <c r="P1258" s="27" t="s">
        <v>13</v>
      </c>
      <c r="Q1258" s="27">
        <v>1993</v>
      </c>
      <c r="R1258" s="27">
        <v>1</v>
      </c>
      <c r="S1258" s="27">
        <v>0</v>
      </c>
      <c r="T1258" s="27">
        <v>-1.8E-3</v>
      </c>
      <c r="U1258" s="27">
        <v>-1.2E-2</v>
      </c>
      <c r="V1258" s="27">
        <v>0</v>
      </c>
      <c r="W1258" s="27">
        <v>0</v>
      </c>
      <c r="X1258" s="27" t="s">
        <v>39</v>
      </c>
    </row>
    <row r="1259" spans="1:24">
      <c r="A1259" s="27">
        <v>2</v>
      </c>
      <c r="B1259" s="27">
        <v>4</v>
      </c>
      <c r="C1259" s="27">
        <v>12</v>
      </c>
      <c r="D1259" s="27">
        <v>2010</v>
      </c>
      <c r="E1259" s="27">
        <v>2016</v>
      </c>
      <c r="F1259" s="27">
        <v>6</v>
      </c>
      <c r="G1259" s="27">
        <v>43</v>
      </c>
      <c r="H1259" s="27">
        <v>29</v>
      </c>
      <c r="I1259" s="27">
        <v>0</v>
      </c>
      <c r="J1259" s="27">
        <v>0</v>
      </c>
      <c r="K1259" s="27">
        <v>14.1</v>
      </c>
      <c r="L1259" s="27">
        <v>5000</v>
      </c>
      <c r="M1259" s="27">
        <v>0</v>
      </c>
      <c r="N1259" s="27">
        <v>1500</v>
      </c>
      <c r="O1259" s="27">
        <v>0</v>
      </c>
      <c r="P1259" s="27" t="s">
        <v>13</v>
      </c>
      <c r="Q1259" s="27">
        <v>1993</v>
      </c>
      <c r="R1259" s="27">
        <v>1</v>
      </c>
      <c r="S1259" s="27">
        <v>0</v>
      </c>
      <c r="T1259" s="27">
        <v>-1.8E-3</v>
      </c>
      <c r="U1259" s="27">
        <v>-1.2E-2</v>
      </c>
      <c r="V1259" s="27">
        <v>0</v>
      </c>
      <c r="W1259" s="27">
        <v>0</v>
      </c>
      <c r="X1259" s="27" t="s">
        <v>39</v>
      </c>
    </row>
    <row r="1260" spans="1:24">
      <c r="A1260" s="27">
        <v>2</v>
      </c>
      <c r="B1260" s="27">
        <v>4</v>
      </c>
      <c r="C1260" s="27">
        <v>12</v>
      </c>
      <c r="D1260" s="27">
        <v>2010</v>
      </c>
      <c r="E1260" s="27">
        <v>2016</v>
      </c>
      <c r="F1260" s="27">
        <v>7</v>
      </c>
      <c r="G1260" s="27">
        <v>43</v>
      </c>
      <c r="H1260" s="27">
        <v>29</v>
      </c>
      <c r="I1260" s="27">
        <v>0</v>
      </c>
      <c r="J1260" s="27">
        <v>0</v>
      </c>
      <c r="K1260" s="27">
        <v>14.1</v>
      </c>
      <c r="L1260" s="27">
        <v>5000</v>
      </c>
      <c r="M1260" s="27">
        <v>0</v>
      </c>
      <c r="N1260" s="27">
        <v>1500</v>
      </c>
      <c r="O1260" s="27">
        <v>0</v>
      </c>
      <c r="P1260" s="27" t="s">
        <v>13</v>
      </c>
      <c r="Q1260" s="27">
        <v>1993</v>
      </c>
      <c r="R1260" s="27">
        <v>1</v>
      </c>
      <c r="S1260" s="27">
        <v>0</v>
      </c>
      <c r="T1260" s="27">
        <v>-1.8E-3</v>
      </c>
      <c r="U1260" s="27">
        <v>-1.2E-2</v>
      </c>
      <c r="V1260" s="27">
        <v>0</v>
      </c>
      <c r="W1260" s="27">
        <v>0</v>
      </c>
      <c r="X1260" s="27" t="s">
        <v>39</v>
      </c>
    </row>
    <row r="1261" spans="1:24">
      <c r="A1261" s="27">
        <v>2</v>
      </c>
      <c r="B1261" s="27">
        <v>4</v>
      </c>
      <c r="C1261" s="27">
        <v>12</v>
      </c>
      <c r="D1261" s="27">
        <v>2010</v>
      </c>
      <c r="E1261" s="27">
        <v>2016</v>
      </c>
      <c r="F1261" s="27">
        <v>8</v>
      </c>
      <c r="G1261" s="27">
        <v>43</v>
      </c>
      <c r="H1261" s="27">
        <v>29</v>
      </c>
      <c r="I1261" s="27">
        <v>0</v>
      </c>
      <c r="J1261" s="27">
        <v>0</v>
      </c>
      <c r="K1261" s="27">
        <v>14.1</v>
      </c>
      <c r="L1261" s="27">
        <v>5000</v>
      </c>
      <c r="M1261" s="27">
        <v>0</v>
      </c>
      <c r="N1261" s="27">
        <v>1500</v>
      </c>
      <c r="O1261" s="27">
        <v>0</v>
      </c>
      <c r="P1261" s="27" t="s">
        <v>13</v>
      </c>
      <c r="Q1261" s="27">
        <v>1993</v>
      </c>
      <c r="R1261" s="27">
        <v>1</v>
      </c>
      <c r="S1261" s="27">
        <v>0</v>
      </c>
      <c r="T1261" s="27">
        <v>-1.8E-3</v>
      </c>
      <c r="U1261" s="27">
        <v>-1.2E-2</v>
      </c>
      <c r="V1261" s="27">
        <v>0</v>
      </c>
      <c r="W1261" s="27">
        <v>0</v>
      </c>
      <c r="X1261" s="27" t="s">
        <v>39</v>
      </c>
    </row>
    <row r="1262" spans="1:24">
      <c r="A1262" s="27">
        <v>2</v>
      </c>
      <c r="B1262" s="27">
        <v>4</v>
      </c>
      <c r="C1262" s="27">
        <v>12</v>
      </c>
      <c r="D1262" s="27">
        <v>2010</v>
      </c>
      <c r="E1262" s="27">
        <v>2016</v>
      </c>
      <c r="F1262" s="27">
        <v>9</v>
      </c>
      <c r="G1262" s="27">
        <v>43</v>
      </c>
      <c r="H1262" s="27">
        <v>29</v>
      </c>
      <c r="I1262" s="27">
        <v>0</v>
      </c>
      <c r="J1262" s="27">
        <v>0</v>
      </c>
      <c r="K1262" s="27">
        <v>14.1</v>
      </c>
      <c r="L1262" s="27">
        <v>5000</v>
      </c>
      <c r="M1262" s="27">
        <v>0</v>
      </c>
      <c r="N1262" s="27">
        <v>1500</v>
      </c>
      <c r="O1262" s="27">
        <v>0</v>
      </c>
      <c r="P1262" s="27" t="s">
        <v>13</v>
      </c>
      <c r="Q1262" s="27">
        <v>1993</v>
      </c>
      <c r="R1262" s="27">
        <v>1</v>
      </c>
      <c r="S1262" s="27">
        <v>0</v>
      </c>
      <c r="T1262" s="27">
        <v>-1.8E-3</v>
      </c>
      <c r="U1262" s="27">
        <v>-1.2E-2</v>
      </c>
      <c r="V1262" s="27">
        <v>0</v>
      </c>
      <c r="W1262" s="27">
        <v>0</v>
      </c>
      <c r="X1262" s="27" t="s">
        <v>39</v>
      </c>
    </row>
    <row r="1263" spans="1:24">
      <c r="A1263" s="27">
        <v>2</v>
      </c>
      <c r="B1263" s="27">
        <v>4</v>
      </c>
      <c r="C1263" s="27">
        <v>12</v>
      </c>
      <c r="D1263" s="27">
        <v>2017</v>
      </c>
      <c r="E1263" s="27">
        <v>2050</v>
      </c>
      <c r="F1263" s="27">
        <v>1</v>
      </c>
      <c r="G1263" s="27">
        <v>43</v>
      </c>
      <c r="H1263" s="27">
        <v>29</v>
      </c>
      <c r="I1263" s="27">
        <v>0</v>
      </c>
      <c r="J1263" s="27">
        <v>0</v>
      </c>
      <c r="K1263" s="27">
        <v>14.1</v>
      </c>
      <c r="L1263" s="27">
        <v>5000</v>
      </c>
      <c r="M1263" s="27">
        <v>0</v>
      </c>
      <c r="N1263" s="27">
        <v>0</v>
      </c>
      <c r="O1263" s="27">
        <v>0</v>
      </c>
      <c r="P1263" s="27" t="s">
        <v>13</v>
      </c>
      <c r="Q1263" s="27">
        <v>1993</v>
      </c>
      <c r="R1263" s="27">
        <v>1</v>
      </c>
      <c r="S1263" s="27">
        <v>0</v>
      </c>
      <c r="T1263" s="27">
        <v>-1.8E-3</v>
      </c>
      <c r="U1263" s="27">
        <v>-1.2E-2</v>
      </c>
      <c r="V1263" s="27">
        <v>0</v>
      </c>
      <c r="W1263" s="27">
        <v>0</v>
      </c>
      <c r="X1263" s="27" t="s">
        <v>39</v>
      </c>
    </row>
    <row r="1264" spans="1:24">
      <c r="A1264" s="27">
        <v>2</v>
      </c>
      <c r="B1264" s="27">
        <v>4</v>
      </c>
      <c r="C1264" s="27">
        <v>12</v>
      </c>
      <c r="D1264" s="27">
        <v>2017</v>
      </c>
      <c r="E1264" s="27">
        <v>2050</v>
      </c>
      <c r="F1264" s="27">
        <v>2</v>
      </c>
      <c r="G1264" s="27">
        <v>43</v>
      </c>
      <c r="H1264" s="27">
        <v>29</v>
      </c>
      <c r="I1264" s="27">
        <v>0</v>
      </c>
      <c r="J1264" s="27">
        <v>0</v>
      </c>
      <c r="K1264" s="27">
        <v>14.1</v>
      </c>
      <c r="L1264" s="27">
        <v>5000</v>
      </c>
      <c r="M1264" s="27">
        <v>0</v>
      </c>
      <c r="N1264" s="27">
        <v>0</v>
      </c>
      <c r="O1264" s="27">
        <v>0</v>
      </c>
      <c r="P1264" s="27" t="s">
        <v>13</v>
      </c>
      <c r="Q1264" s="27">
        <v>1993</v>
      </c>
      <c r="R1264" s="27">
        <v>1</v>
      </c>
      <c r="S1264" s="27">
        <v>0</v>
      </c>
      <c r="T1264" s="27">
        <v>-1.8E-3</v>
      </c>
      <c r="U1264" s="27">
        <v>-1.2E-2</v>
      </c>
      <c r="V1264" s="27">
        <v>0</v>
      </c>
      <c r="W1264" s="27">
        <v>0</v>
      </c>
      <c r="X1264" s="27" t="s">
        <v>39</v>
      </c>
    </row>
    <row r="1265" spans="1:24">
      <c r="A1265" s="27">
        <v>2</v>
      </c>
      <c r="B1265" s="27">
        <v>4</v>
      </c>
      <c r="C1265" s="27">
        <v>12</v>
      </c>
      <c r="D1265" s="27">
        <v>2017</v>
      </c>
      <c r="E1265" s="27">
        <v>2050</v>
      </c>
      <c r="F1265" s="27">
        <v>3</v>
      </c>
      <c r="G1265" s="27">
        <v>43</v>
      </c>
      <c r="H1265" s="27">
        <v>29</v>
      </c>
      <c r="I1265" s="27">
        <v>0</v>
      </c>
      <c r="J1265" s="27">
        <v>0</v>
      </c>
      <c r="K1265" s="27">
        <v>14.1</v>
      </c>
      <c r="L1265" s="27">
        <v>5000</v>
      </c>
      <c r="M1265" s="27">
        <v>0</v>
      </c>
      <c r="N1265" s="27">
        <v>0</v>
      </c>
      <c r="O1265" s="27">
        <v>0</v>
      </c>
      <c r="P1265" s="27" t="s">
        <v>13</v>
      </c>
      <c r="Q1265" s="27">
        <v>1993</v>
      </c>
      <c r="R1265" s="27">
        <v>1</v>
      </c>
      <c r="S1265" s="27">
        <v>0</v>
      </c>
      <c r="T1265" s="27">
        <v>-1.8E-3</v>
      </c>
      <c r="U1265" s="27">
        <v>-1.2E-2</v>
      </c>
      <c r="V1265" s="27">
        <v>0</v>
      </c>
      <c r="W1265" s="27">
        <v>0</v>
      </c>
      <c r="X1265" s="27" t="s">
        <v>39</v>
      </c>
    </row>
    <row r="1266" spans="1:24">
      <c r="A1266" s="27">
        <v>2</v>
      </c>
      <c r="B1266" s="27">
        <v>4</v>
      </c>
      <c r="C1266" s="27">
        <v>12</v>
      </c>
      <c r="D1266" s="27">
        <v>2017</v>
      </c>
      <c r="E1266" s="27">
        <v>2050</v>
      </c>
      <c r="F1266" s="27">
        <v>4</v>
      </c>
      <c r="G1266" s="27">
        <v>43</v>
      </c>
      <c r="H1266" s="27">
        <v>29</v>
      </c>
      <c r="I1266" s="27">
        <v>0</v>
      </c>
      <c r="J1266" s="27">
        <v>0</v>
      </c>
      <c r="K1266" s="27">
        <v>14.1</v>
      </c>
      <c r="L1266" s="27">
        <v>5000</v>
      </c>
      <c r="M1266" s="27">
        <v>0</v>
      </c>
      <c r="N1266" s="27">
        <v>0</v>
      </c>
      <c r="O1266" s="27">
        <v>0</v>
      </c>
      <c r="P1266" s="27" t="s">
        <v>13</v>
      </c>
      <c r="Q1266" s="27">
        <v>1993</v>
      </c>
      <c r="R1266" s="27">
        <v>1</v>
      </c>
      <c r="S1266" s="27">
        <v>0</v>
      </c>
      <c r="T1266" s="27">
        <v>-1.8E-3</v>
      </c>
      <c r="U1266" s="27">
        <v>-1.2E-2</v>
      </c>
      <c r="V1266" s="27">
        <v>0</v>
      </c>
      <c r="W1266" s="27">
        <v>0</v>
      </c>
      <c r="X1266" s="27" t="s">
        <v>39</v>
      </c>
    </row>
    <row r="1267" spans="1:24">
      <c r="A1267" s="27">
        <v>2</v>
      </c>
      <c r="B1267" s="27">
        <v>4</v>
      </c>
      <c r="C1267" s="27">
        <v>12</v>
      </c>
      <c r="D1267" s="27">
        <v>2017</v>
      </c>
      <c r="E1267" s="27">
        <v>2050</v>
      </c>
      <c r="F1267" s="27">
        <v>5</v>
      </c>
      <c r="G1267" s="27">
        <v>43</v>
      </c>
      <c r="H1267" s="27">
        <v>29</v>
      </c>
      <c r="I1267" s="27">
        <v>0</v>
      </c>
      <c r="J1267" s="27">
        <v>0</v>
      </c>
      <c r="K1267" s="27">
        <v>14.1</v>
      </c>
      <c r="L1267" s="27">
        <v>5000</v>
      </c>
      <c r="M1267" s="27">
        <v>0</v>
      </c>
      <c r="N1267" s="27">
        <v>0</v>
      </c>
      <c r="O1267" s="27">
        <v>0</v>
      </c>
      <c r="P1267" s="27" t="s">
        <v>13</v>
      </c>
      <c r="Q1267" s="27">
        <v>1993</v>
      </c>
      <c r="R1267" s="27">
        <v>1</v>
      </c>
      <c r="S1267" s="27">
        <v>0</v>
      </c>
      <c r="T1267" s="27">
        <v>-1.8E-3</v>
      </c>
      <c r="U1267" s="27">
        <v>-1.2E-2</v>
      </c>
      <c r="V1267" s="27">
        <v>0</v>
      </c>
      <c r="W1267" s="27">
        <v>0</v>
      </c>
      <c r="X1267" s="27" t="s">
        <v>39</v>
      </c>
    </row>
    <row r="1268" spans="1:24">
      <c r="A1268" s="27">
        <v>2</v>
      </c>
      <c r="B1268" s="27">
        <v>4</v>
      </c>
      <c r="C1268" s="27">
        <v>12</v>
      </c>
      <c r="D1268" s="27">
        <v>2017</v>
      </c>
      <c r="E1268" s="27">
        <v>2050</v>
      </c>
      <c r="F1268" s="27">
        <v>6</v>
      </c>
      <c r="G1268" s="27">
        <v>43</v>
      </c>
      <c r="H1268" s="27">
        <v>29</v>
      </c>
      <c r="I1268" s="27">
        <v>0</v>
      </c>
      <c r="J1268" s="27">
        <v>0</v>
      </c>
      <c r="K1268" s="27">
        <v>14.1</v>
      </c>
      <c r="L1268" s="27">
        <v>5000</v>
      </c>
      <c r="M1268" s="27">
        <v>0</v>
      </c>
      <c r="N1268" s="27">
        <v>0</v>
      </c>
      <c r="O1268" s="27">
        <v>0</v>
      </c>
      <c r="P1268" s="27" t="s">
        <v>13</v>
      </c>
      <c r="Q1268" s="27">
        <v>1993</v>
      </c>
      <c r="R1268" s="27">
        <v>1</v>
      </c>
      <c r="S1268" s="27">
        <v>0</v>
      </c>
      <c r="T1268" s="27">
        <v>-1.8E-3</v>
      </c>
      <c r="U1268" s="27">
        <v>-1.2E-2</v>
      </c>
      <c r="V1268" s="27">
        <v>0</v>
      </c>
      <c r="W1268" s="27">
        <v>0</v>
      </c>
      <c r="X1268" s="27" t="s">
        <v>39</v>
      </c>
    </row>
    <row r="1269" spans="1:24">
      <c r="A1269" s="27">
        <v>2</v>
      </c>
      <c r="B1269" s="27">
        <v>4</v>
      </c>
      <c r="C1269" s="27">
        <v>12</v>
      </c>
      <c r="D1269" s="27">
        <v>2017</v>
      </c>
      <c r="E1269" s="27">
        <v>2050</v>
      </c>
      <c r="F1269" s="27">
        <v>7</v>
      </c>
      <c r="G1269" s="27">
        <v>43</v>
      </c>
      <c r="H1269" s="27">
        <v>29</v>
      </c>
      <c r="I1269" s="27">
        <v>0</v>
      </c>
      <c r="J1269" s="27">
        <v>0</v>
      </c>
      <c r="K1269" s="27">
        <v>14.1</v>
      </c>
      <c r="L1269" s="27">
        <v>5000</v>
      </c>
      <c r="M1269" s="27">
        <v>0</v>
      </c>
      <c r="N1269" s="27">
        <v>0</v>
      </c>
      <c r="O1269" s="27">
        <v>0</v>
      </c>
      <c r="P1269" s="27" t="s">
        <v>13</v>
      </c>
      <c r="Q1269" s="27">
        <v>1993</v>
      </c>
      <c r="R1269" s="27">
        <v>1</v>
      </c>
      <c r="S1269" s="27">
        <v>0</v>
      </c>
      <c r="T1269" s="27">
        <v>-1.8E-3</v>
      </c>
      <c r="U1269" s="27">
        <v>-1.2E-2</v>
      </c>
      <c r="V1269" s="27">
        <v>0</v>
      </c>
      <c r="W1269" s="27">
        <v>0</v>
      </c>
      <c r="X1269" s="27" t="s">
        <v>39</v>
      </c>
    </row>
    <row r="1270" spans="1:24">
      <c r="A1270" s="27">
        <v>2</v>
      </c>
      <c r="B1270" s="27">
        <v>4</v>
      </c>
      <c r="C1270" s="27">
        <v>12</v>
      </c>
      <c r="D1270" s="27">
        <v>2017</v>
      </c>
      <c r="E1270" s="27">
        <v>2050</v>
      </c>
      <c r="F1270" s="27">
        <v>8</v>
      </c>
      <c r="G1270" s="27">
        <v>43</v>
      </c>
      <c r="H1270" s="27">
        <v>29</v>
      </c>
      <c r="I1270" s="27">
        <v>0</v>
      </c>
      <c r="J1270" s="27">
        <v>0</v>
      </c>
      <c r="K1270" s="27">
        <v>14.1</v>
      </c>
      <c r="L1270" s="27">
        <v>5000</v>
      </c>
      <c r="M1270" s="27">
        <v>0</v>
      </c>
      <c r="N1270" s="27">
        <v>0</v>
      </c>
      <c r="O1270" s="27">
        <v>0</v>
      </c>
      <c r="P1270" s="27" t="s">
        <v>13</v>
      </c>
      <c r="Q1270" s="27">
        <v>1993</v>
      </c>
      <c r="R1270" s="27">
        <v>1</v>
      </c>
      <c r="S1270" s="27">
        <v>0</v>
      </c>
      <c r="T1270" s="27">
        <v>-1.8E-3</v>
      </c>
      <c r="U1270" s="27">
        <v>-1.2E-2</v>
      </c>
      <c r="V1270" s="27">
        <v>0</v>
      </c>
      <c r="W1270" s="27">
        <v>0</v>
      </c>
      <c r="X1270" s="27" t="s">
        <v>39</v>
      </c>
    </row>
    <row r="1271" spans="1:24">
      <c r="A1271" s="27">
        <v>2</v>
      </c>
      <c r="B1271" s="27">
        <v>4</v>
      </c>
      <c r="C1271" s="27">
        <v>12</v>
      </c>
      <c r="D1271" s="27">
        <v>2017</v>
      </c>
      <c r="E1271" s="27">
        <v>2050</v>
      </c>
      <c r="F1271" s="27">
        <v>9</v>
      </c>
      <c r="G1271" s="27">
        <v>43</v>
      </c>
      <c r="H1271" s="27">
        <v>29</v>
      </c>
      <c r="I1271" s="27">
        <v>0</v>
      </c>
      <c r="J1271" s="27">
        <v>0</v>
      </c>
      <c r="K1271" s="27">
        <v>14.1</v>
      </c>
      <c r="L1271" s="27">
        <v>5000</v>
      </c>
      <c r="M1271" s="27">
        <v>0</v>
      </c>
      <c r="N1271" s="27">
        <v>0</v>
      </c>
      <c r="O1271" s="27">
        <v>0</v>
      </c>
      <c r="P1271" s="27" t="s">
        <v>13</v>
      </c>
      <c r="Q1271" s="27">
        <v>1993</v>
      </c>
      <c r="R1271" s="27">
        <v>1</v>
      </c>
      <c r="S1271" s="27">
        <v>0</v>
      </c>
      <c r="T1271" s="27">
        <v>-1.8E-3</v>
      </c>
      <c r="U1271" s="27">
        <v>-1.2E-2</v>
      </c>
      <c r="V1271" s="27">
        <v>0</v>
      </c>
      <c r="W1271" s="27">
        <v>0</v>
      </c>
      <c r="X1271" s="27" t="s">
        <v>39</v>
      </c>
    </row>
    <row r="1272" spans="1:24">
      <c r="A1272" s="27">
        <v>2</v>
      </c>
      <c r="B1272" s="27">
        <v>4</v>
      </c>
      <c r="C1272" s="27">
        <v>13</v>
      </c>
      <c r="D1272" s="27">
        <v>2010</v>
      </c>
      <c r="E1272" s="27">
        <v>2016</v>
      </c>
      <c r="F1272" s="27">
        <v>1</v>
      </c>
      <c r="G1272" s="27">
        <v>44</v>
      </c>
      <c r="H1272" s="27">
        <v>30</v>
      </c>
      <c r="I1272" s="27">
        <v>0</v>
      </c>
      <c r="J1272" s="27">
        <v>0</v>
      </c>
      <c r="K1272" s="27">
        <v>23</v>
      </c>
      <c r="L1272" s="27">
        <v>6500</v>
      </c>
      <c r="M1272" s="27">
        <v>0</v>
      </c>
      <c r="N1272" s="27">
        <v>1950</v>
      </c>
      <c r="O1272" s="27">
        <v>0</v>
      </c>
      <c r="P1272" s="27" t="s">
        <v>13</v>
      </c>
      <c r="Q1272" s="27">
        <v>1993</v>
      </c>
      <c r="R1272" s="27">
        <v>1</v>
      </c>
      <c r="S1272" s="27">
        <v>0</v>
      </c>
      <c r="T1272" s="27">
        <v>-1.8E-3</v>
      </c>
      <c r="U1272" s="27">
        <v>-1.2E-2</v>
      </c>
      <c r="V1272" s="27">
        <v>0</v>
      </c>
      <c r="W1272" s="27">
        <v>0</v>
      </c>
      <c r="X1272" s="27" t="s">
        <v>40</v>
      </c>
    </row>
    <row r="1273" spans="1:24">
      <c r="A1273" s="27">
        <v>2</v>
      </c>
      <c r="B1273" s="27">
        <v>4</v>
      </c>
      <c r="C1273" s="27">
        <v>13</v>
      </c>
      <c r="D1273" s="27">
        <v>2010</v>
      </c>
      <c r="E1273" s="27">
        <v>2016</v>
      </c>
      <c r="F1273" s="27">
        <v>2</v>
      </c>
      <c r="G1273" s="27">
        <v>44</v>
      </c>
      <c r="H1273" s="27">
        <v>30</v>
      </c>
      <c r="I1273" s="27">
        <v>0</v>
      </c>
      <c r="J1273" s="27">
        <v>0</v>
      </c>
      <c r="K1273" s="27">
        <v>23</v>
      </c>
      <c r="L1273" s="27">
        <v>6500</v>
      </c>
      <c r="M1273" s="27">
        <v>0</v>
      </c>
      <c r="N1273" s="27">
        <v>1950</v>
      </c>
      <c r="O1273" s="27">
        <v>0</v>
      </c>
      <c r="P1273" s="27" t="s">
        <v>13</v>
      </c>
      <c r="Q1273" s="27">
        <v>1993</v>
      </c>
      <c r="R1273" s="27">
        <v>1</v>
      </c>
      <c r="S1273" s="27">
        <v>0</v>
      </c>
      <c r="T1273" s="27">
        <v>-1.8E-3</v>
      </c>
      <c r="U1273" s="27">
        <v>-1.2E-2</v>
      </c>
      <c r="V1273" s="27">
        <v>0</v>
      </c>
      <c r="W1273" s="27">
        <v>0</v>
      </c>
      <c r="X1273" s="27" t="s">
        <v>40</v>
      </c>
    </row>
    <row r="1274" spans="1:24">
      <c r="A1274" s="27">
        <v>2</v>
      </c>
      <c r="B1274" s="27">
        <v>4</v>
      </c>
      <c r="C1274" s="27">
        <v>13</v>
      </c>
      <c r="D1274" s="27">
        <v>2010</v>
      </c>
      <c r="E1274" s="27">
        <v>2016</v>
      </c>
      <c r="F1274" s="27">
        <v>3</v>
      </c>
      <c r="G1274" s="27">
        <v>44</v>
      </c>
      <c r="H1274" s="27">
        <v>30</v>
      </c>
      <c r="I1274" s="27">
        <v>0</v>
      </c>
      <c r="J1274" s="27">
        <v>0</v>
      </c>
      <c r="K1274" s="27">
        <v>23</v>
      </c>
      <c r="L1274" s="27">
        <v>6500</v>
      </c>
      <c r="M1274" s="27">
        <v>0</v>
      </c>
      <c r="N1274" s="27">
        <v>1950</v>
      </c>
      <c r="O1274" s="27">
        <v>0</v>
      </c>
      <c r="P1274" s="27" t="s">
        <v>13</v>
      </c>
      <c r="Q1274" s="27">
        <v>1993</v>
      </c>
      <c r="R1274" s="27">
        <v>1</v>
      </c>
      <c r="S1274" s="27">
        <v>0</v>
      </c>
      <c r="T1274" s="27">
        <v>-1.8E-3</v>
      </c>
      <c r="U1274" s="27">
        <v>-1.2E-2</v>
      </c>
      <c r="V1274" s="27">
        <v>0</v>
      </c>
      <c r="W1274" s="27">
        <v>0</v>
      </c>
      <c r="X1274" s="27" t="s">
        <v>40</v>
      </c>
    </row>
    <row r="1275" spans="1:24">
      <c r="A1275" s="27">
        <v>2</v>
      </c>
      <c r="B1275" s="27">
        <v>4</v>
      </c>
      <c r="C1275" s="27">
        <v>13</v>
      </c>
      <c r="D1275" s="27">
        <v>2010</v>
      </c>
      <c r="E1275" s="27">
        <v>2016</v>
      </c>
      <c r="F1275" s="27">
        <v>4</v>
      </c>
      <c r="G1275" s="27">
        <v>44</v>
      </c>
      <c r="H1275" s="27">
        <v>30</v>
      </c>
      <c r="I1275" s="27">
        <v>0</v>
      </c>
      <c r="J1275" s="27">
        <v>0</v>
      </c>
      <c r="K1275" s="27">
        <v>23</v>
      </c>
      <c r="L1275" s="27">
        <v>6500</v>
      </c>
      <c r="M1275" s="27">
        <v>0</v>
      </c>
      <c r="N1275" s="27">
        <v>1950</v>
      </c>
      <c r="O1275" s="27">
        <v>0</v>
      </c>
      <c r="P1275" s="27" t="s">
        <v>13</v>
      </c>
      <c r="Q1275" s="27">
        <v>1993</v>
      </c>
      <c r="R1275" s="27">
        <v>1</v>
      </c>
      <c r="S1275" s="27">
        <v>0</v>
      </c>
      <c r="T1275" s="27">
        <v>-1.8E-3</v>
      </c>
      <c r="U1275" s="27">
        <v>-1.2E-2</v>
      </c>
      <c r="V1275" s="27">
        <v>0</v>
      </c>
      <c r="W1275" s="27">
        <v>0</v>
      </c>
      <c r="X1275" s="27" t="s">
        <v>40</v>
      </c>
    </row>
    <row r="1276" spans="1:24">
      <c r="A1276" s="27">
        <v>2</v>
      </c>
      <c r="B1276" s="27">
        <v>4</v>
      </c>
      <c r="C1276" s="27">
        <v>13</v>
      </c>
      <c r="D1276" s="27">
        <v>2010</v>
      </c>
      <c r="E1276" s="27">
        <v>2016</v>
      </c>
      <c r="F1276" s="27">
        <v>5</v>
      </c>
      <c r="G1276" s="27">
        <v>44</v>
      </c>
      <c r="H1276" s="27">
        <v>30</v>
      </c>
      <c r="I1276" s="27">
        <v>0</v>
      </c>
      <c r="J1276" s="27">
        <v>0</v>
      </c>
      <c r="K1276" s="27">
        <v>23</v>
      </c>
      <c r="L1276" s="27">
        <v>6500</v>
      </c>
      <c r="M1276" s="27">
        <v>0</v>
      </c>
      <c r="N1276" s="27">
        <v>1950</v>
      </c>
      <c r="O1276" s="27">
        <v>0</v>
      </c>
      <c r="P1276" s="27" t="s">
        <v>13</v>
      </c>
      <c r="Q1276" s="27">
        <v>1993</v>
      </c>
      <c r="R1276" s="27">
        <v>1</v>
      </c>
      <c r="S1276" s="27">
        <v>0</v>
      </c>
      <c r="T1276" s="27">
        <v>-1.8E-3</v>
      </c>
      <c r="U1276" s="27">
        <v>-1.2E-2</v>
      </c>
      <c r="V1276" s="27">
        <v>0</v>
      </c>
      <c r="W1276" s="27">
        <v>0</v>
      </c>
      <c r="X1276" s="27" t="s">
        <v>40</v>
      </c>
    </row>
    <row r="1277" spans="1:24">
      <c r="A1277" s="27">
        <v>2</v>
      </c>
      <c r="B1277" s="27">
        <v>4</v>
      </c>
      <c r="C1277" s="27">
        <v>13</v>
      </c>
      <c r="D1277" s="27">
        <v>2010</v>
      </c>
      <c r="E1277" s="27">
        <v>2016</v>
      </c>
      <c r="F1277" s="27">
        <v>6</v>
      </c>
      <c r="G1277" s="27">
        <v>44</v>
      </c>
      <c r="H1277" s="27">
        <v>30</v>
      </c>
      <c r="I1277" s="27">
        <v>0</v>
      </c>
      <c r="J1277" s="27">
        <v>0</v>
      </c>
      <c r="K1277" s="27">
        <v>23</v>
      </c>
      <c r="L1277" s="27">
        <v>6500</v>
      </c>
      <c r="M1277" s="27">
        <v>0</v>
      </c>
      <c r="N1277" s="27">
        <v>1950</v>
      </c>
      <c r="O1277" s="27">
        <v>0</v>
      </c>
      <c r="P1277" s="27" t="s">
        <v>13</v>
      </c>
      <c r="Q1277" s="27">
        <v>1993</v>
      </c>
      <c r="R1277" s="27">
        <v>1</v>
      </c>
      <c r="S1277" s="27">
        <v>0</v>
      </c>
      <c r="T1277" s="27">
        <v>-1.8E-3</v>
      </c>
      <c r="U1277" s="27">
        <v>-1.2E-2</v>
      </c>
      <c r="V1277" s="27">
        <v>0</v>
      </c>
      <c r="W1277" s="27">
        <v>0</v>
      </c>
      <c r="X1277" s="27" t="s">
        <v>40</v>
      </c>
    </row>
    <row r="1278" spans="1:24">
      <c r="A1278" s="27">
        <v>2</v>
      </c>
      <c r="B1278" s="27">
        <v>4</v>
      </c>
      <c r="C1278" s="27">
        <v>13</v>
      </c>
      <c r="D1278" s="27">
        <v>2010</v>
      </c>
      <c r="E1278" s="27">
        <v>2016</v>
      </c>
      <c r="F1278" s="27">
        <v>7</v>
      </c>
      <c r="G1278" s="27">
        <v>44</v>
      </c>
      <c r="H1278" s="27">
        <v>30</v>
      </c>
      <c r="I1278" s="27">
        <v>0</v>
      </c>
      <c r="J1278" s="27">
        <v>0</v>
      </c>
      <c r="K1278" s="27">
        <v>23</v>
      </c>
      <c r="L1278" s="27">
        <v>6500</v>
      </c>
      <c r="M1278" s="27">
        <v>0</v>
      </c>
      <c r="N1278" s="27">
        <v>1950</v>
      </c>
      <c r="O1278" s="27">
        <v>0</v>
      </c>
      <c r="P1278" s="27" t="s">
        <v>13</v>
      </c>
      <c r="Q1278" s="27">
        <v>1993</v>
      </c>
      <c r="R1278" s="27">
        <v>1</v>
      </c>
      <c r="S1278" s="27">
        <v>0</v>
      </c>
      <c r="T1278" s="27">
        <v>-1.8E-3</v>
      </c>
      <c r="U1278" s="27">
        <v>-1.2E-2</v>
      </c>
      <c r="V1278" s="27">
        <v>0</v>
      </c>
      <c r="W1278" s="27">
        <v>0</v>
      </c>
      <c r="X1278" s="27" t="s">
        <v>40</v>
      </c>
    </row>
    <row r="1279" spans="1:24">
      <c r="A1279" s="27">
        <v>2</v>
      </c>
      <c r="B1279" s="27">
        <v>4</v>
      </c>
      <c r="C1279" s="27">
        <v>13</v>
      </c>
      <c r="D1279" s="27">
        <v>2010</v>
      </c>
      <c r="E1279" s="27">
        <v>2016</v>
      </c>
      <c r="F1279" s="27">
        <v>8</v>
      </c>
      <c r="G1279" s="27">
        <v>44</v>
      </c>
      <c r="H1279" s="27">
        <v>30</v>
      </c>
      <c r="I1279" s="27">
        <v>0</v>
      </c>
      <c r="J1279" s="27">
        <v>0</v>
      </c>
      <c r="K1279" s="27">
        <v>23</v>
      </c>
      <c r="L1279" s="27">
        <v>6500</v>
      </c>
      <c r="M1279" s="27">
        <v>0</v>
      </c>
      <c r="N1279" s="27">
        <v>1950</v>
      </c>
      <c r="O1279" s="27">
        <v>0</v>
      </c>
      <c r="P1279" s="27" t="s">
        <v>13</v>
      </c>
      <c r="Q1279" s="27">
        <v>1993</v>
      </c>
      <c r="R1279" s="27">
        <v>1</v>
      </c>
      <c r="S1279" s="27">
        <v>0</v>
      </c>
      <c r="T1279" s="27">
        <v>-1.8E-3</v>
      </c>
      <c r="U1279" s="27">
        <v>-1.2E-2</v>
      </c>
      <c r="V1279" s="27">
        <v>0</v>
      </c>
      <c r="W1279" s="27">
        <v>0</v>
      </c>
      <c r="X1279" s="27" t="s">
        <v>40</v>
      </c>
    </row>
    <row r="1280" spans="1:24">
      <c r="A1280" s="27">
        <v>2</v>
      </c>
      <c r="B1280" s="27">
        <v>4</v>
      </c>
      <c r="C1280" s="27">
        <v>13</v>
      </c>
      <c r="D1280" s="27">
        <v>2010</v>
      </c>
      <c r="E1280" s="27">
        <v>2016</v>
      </c>
      <c r="F1280" s="27">
        <v>9</v>
      </c>
      <c r="G1280" s="27">
        <v>44</v>
      </c>
      <c r="H1280" s="27">
        <v>30</v>
      </c>
      <c r="I1280" s="27">
        <v>0</v>
      </c>
      <c r="J1280" s="27">
        <v>0</v>
      </c>
      <c r="K1280" s="27">
        <v>23</v>
      </c>
      <c r="L1280" s="27">
        <v>6500</v>
      </c>
      <c r="M1280" s="27">
        <v>0</v>
      </c>
      <c r="N1280" s="27">
        <v>1950</v>
      </c>
      <c r="O1280" s="27">
        <v>0</v>
      </c>
      <c r="P1280" s="27" t="s">
        <v>13</v>
      </c>
      <c r="Q1280" s="27">
        <v>1993</v>
      </c>
      <c r="R1280" s="27">
        <v>1</v>
      </c>
      <c r="S1280" s="27">
        <v>0</v>
      </c>
      <c r="T1280" s="27">
        <v>-1.8E-3</v>
      </c>
      <c r="U1280" s="27">
        <v>-1.2E-2</v>
      </c>
      <c r="V1280" s="27">
        <v>0</v>
      </c>
      <c r="W1280" s="27">
        <v>0</v>
      </c>
      <c r="X1280" s="27" t="s">
        <v>40</v>
      </c>
    </row>
    <row r="1281" spans="1:24">
      <c r="A1281" s="27">
        <v>2</v>
      </c>
      <c r="B1281" s="27">
        <v>4</v>
      </c>
      <c r="C1281" s="27">
        <v>13</v>
      </c>
      <c r="D1281" s="27">
        <v>2017</v>
      </c>
      <c r="E1281" s="27">
        <v>2019</v>
      </c>
      <c r="F1281" s="27">
        <v>1</v>
      </c>
      <c r="G1281" s="27">
        <v>44</v>
      </c>
      <c r="H1281" s="27">
        <v>30</v>
      </c>
      <c r="I1281" s="27">
        <v>0</v>
      </c>
      <c r="J1281" s="27">
        <v>0</v>
      </c>
      <c r="K1281" s="27">
        <v>23</v>
      </c>
      <c r="L1281" s="27">
        <v>6500</v>
      </c>
      <c r="M1281" s="27">
        <v>0</v>
      </c>
      <c r="N1281" s="27">
        <v>0</v>
      </c>
      <c r="O1281" s="27">
        <v>0</v>
      </c>
      <c r="P1281" s="27" t="s">
        <v>13</v>
      </c>
      <c r="Q1281" s="27">
        <v>1993</v>
      </c>
      <c r="R1281" s="27">
        <v>1</v>
      </c>
      <c r="S1281" s="27">
        <v>0</v>
      </c>
      <c r="T1281" s="27">
        <v>-1.8E-3</v>
      </c>
      <c r="U1281" s="27">
        <v>-1.2E-2</v>
      </c>
      <c r="V1281" s="27">
        <v>0</v>
      </c>
      <c r="W1281" s="27">
        <v>0</v>
      </c>
      <c r="X1281" s="27" t="s">
        <v>40</v>
      </c>
    </row>
    <row r="1282" spans="1:24">
      <c r="A1282" s="27">
        <v>2</v>
      </c>
      <c r="B1282" s="27">
        <v>4</v>
      </c>
      <c r="C1282" s="27">
        <v>13</v>
      </c>
      <c r="D1282" s="27">
        <v>2017</v>
      </c>
      <c r="E1282" s="27">
        <v>2019</v>
      </c>
      <c r="F1282" s="27">
        <v>2</v>
      </c>
      <c r="G1282" s="27">
        <v>44</v>
      </c>
      <c r="H1282" s="27">
        <v>30</v>
      </c>
      <c r="I1282" s="27">
        <v>0</v>
      </c>
      <c r="J1282" s="27">
        <v>0</v>
      </c>
      <c r="K1282" s="27">
        <v>23</v>
      </c>
      <c r="L1282" s="27">
        <v>6500</v>
      </c>
      <c r="M1282" s="27">
        <v>0</v>
      </c>
      <c r="N1282" s="27">
        <v>0</v>
      </c>
      <c r="O1282" s="27">
        <v>0</v>
      </c>
      <c r="P1282" s="27" t="s">
        <v>13</v>
      </c>
      <c r="Q1282" s="27">
        <v>1993</v>
      </c>
      <c r="R1282" s="27">
        <v>1</v>
      </c>
      <c r="S1282" s="27">
        <v>0</v>
      </c>
      <c r="T1282" s="27">
        <v>-1.8E-3</v>
      </c>
      <c r="U1282" s="27">
        <v>-1.2E-2</v>
      </c>
      <c r="V1282" s="27">
        <v>0</v>
      </c>
      <c r="W1282" s="27">
        <v>0</v>
      </c>
      <c r="X1282" s="27" t="s">
        <v>40</v>
      </c>
    </row>
    <row r="1283" spans="1:24">
      <c r="A1283" s="27">
        <v>2</v>
      </c>
      <c r="B1283" s="27">
        <v>4</v>
      </c>
      <c r="C1283" s="27">
        <v>13</v>
      </c>
      <c r="D1283" s="27">
        <v>2017</v>
      </c>
      <c r="E1283" s="27">
        <v>2019</v>
      </c>
      <c r="F1283" s="27">
        <v>3</v>
      </c>
      <c r="G1283" s="27">
        <v>44</v>
      </c>
      <c r="H1283" s="27">
        <v>30</v>
      </c>
      <c r="I1283" s="27">
        <v>0</v>
      </c>
      <c r="J1283" s="27">
        <v>0</v>
      </c>
      <c r="K1283" s="27">
        <v>23</v>
      </c>
      <c r="L1283" s="27">
        <v>6500</v>
      </c>
      <c r="M1283" s="27">
        <v>0</v>
      </c>
      <c r="N1283" s="27">
        <v>0</v>
      </c>
      <c r="O1283" s="27">
        <v>0</v>
      </c>
      <c r="P1283" s="27" t="s">
        <v>13</v>
      </c>
      <c r="Q1283" s="27">
        <v>1993</v>
      </c>
      <c r="R1283" s="27">
        <v>1</v>
      </c>
      <c r="S1283" s="27">
        <v>0</v>
      </c>
      <c r="T1283" s="27">
        <v>-1.8E-3</v>
      </c>
      <c r="U1283" s="27">
        <v>-1.2E-2</v>
      </c>
      <c r="V1283" s="27">
        <v>0</v>
      </c>
      <c r="W1283" s="27">
        <v>0</v>
      </c>
      <c r="X1283" s="27" t="s">
        <v>40</v>
      </c>
    </row>
    <row r="1284" spans="1:24">
      <c r="A1284" s="27">
        <v>2</v>
      </c>
      <c r="B1284" s="27">
        <v>4</v>
      </c>
      <c r="C1284" s="27">
        <v>13</v>
      </c>
      <c r="D1284" s="27">
        <v>2017</v>
      </c>
      <c r="E1284" s="27">
        <v>2019</v>
      </c>
      <c r="F1284" s="27">
        <v>4</v>
      </c>
      <c r="G1284" s="27">
        <v>44</v>
      </c>
      <c r="H1284" s="27">
        <v>30</v>
      </c>
      <c r="I1284" s="27">
        <v>0</v>
      </c>
      <c r="J1284" s="27">
        <v>0</v>
      </c>
      <c r="K1284" s="27">
        <v>23</v>
      </c>
      <c r="L1284" s="27">
        <v>6500</v>
      </c>
      <c r="M1284" s="27">
        <v>0</v>
      </c>
      <c r="N1284" s="27">
        <v>0</v>
      </c>
      <c r="O1284" s="27">
        <v>0</v>
      </c>
      <c r="P1284" s="27" t="s">
        <v>13</v>
      </c>
      <c r="Q1284" s="27">
        <v>1993</v>
      </c>
      <c r="R1284" s="27">
        <v>1</v>
      </c>
      <c r="S1284" s="27">
        <v>0</v>
      </c>
      <c r="T1284" s="27">
        <v>-1.8E-3</v>
      </c>
      <c r="U1284" s="27">
        <v>-1.2E-2</v>
      </c>
      <c r="V1284" s="27">
        <v>0</v>
      </c>
      <c r="W1284" s="27">
        <v>0</v>
      </c>
      <c r="X1284" s="27" t="s">
        <v>40</v>
      </c>
    </row>
    <row r="1285" spans="1:24">
      <c r="A1285" s="27">
        <v>2</v>
      </c>
      <c r="B1285" s="27">
        <v>4</v>
      </c>
      <c r="C1285" s="27">
        <v>13</v>
      </c>
      <c r="D1285" s="27">
        <v>2017</v>
      </c>
      <c r="E1285" s="27">
        <v>2019</v>
      </c>
      <c r="F1285" s="27">
        <v>5</v>
      </c>
      <c r="G1285" s="27">
        <v>44</v>
      </c>
      <c r="H1285" s="27">
        <v>30</v>
      </c>
      <c r="I1285" s="27">
        <v>0</v>
      </c>
      <c r="J1285" s="27">
        <v>0</v>
      </c>
      <c r="K1285" s="27">
        <v>23</v>
      </c>
      <c r="L1285" s="27">
        <v>6500</v>
      </c>
      <c r="M1285" s="27">
        <v>0</v>
      </c>
      <c r="N1285" s="27">
        <v>0</v>
      </c>
      <c r="O1285" s="27">
        <v>0</v>
      </c>
      <c r="P1285" s="27" t="s">
        <v>13</v>
      </c>
      <c r="Q1285" s="27">
        <v>1993</v>
      </c>
      <c r="R1285" s="27">
        <v>1</v>
      </c>
      <c r="S1285" s="27">
        <v>0</v>
      </c>
      <c r="T1285" s="27">
        <v>-1.8E-3</v>
      </c>
      <c r="U1285" s="27">
        <v>-1.2E-2</v>
      </c>
      <c r="V1285" s="27">
        <v>0</v>
      </c>
      <c r="W1285" s="27">
        <v>0</v>
      </c>
      <c r="X1285" s="27" t="s">
        <v>40</v>
      </c>
    </row>
    <row r="1286" spans="1:24">
      <c r="A1286" s="27">
        <v>2</v>
      </c>
      <c r="B1286" s="27">
        <v>4</v>
      </c>
      <c r="C1286" s="27">
        <v>13</v>
      </c>
      <c r="D1286" s="27">
        <v>2017</v>
      </c>
      <c r="E1286" s="27">
        <v>2019</v>
      </c>
      <c r="F1286" s="27">
        <v>6</v>
      </c>
      <c r="G1286" s="27">
        <v>44</v>
      </c>
      <c r="H1286" s="27">
        <v>30</v>
      </c>
      <c r="I1286" s="27">
        <v>0</v>
      </c>
      <c r="J1286" s="27">
        <v>0</v>
      </c>
      <c r="K1286" s="27">
        <v>23</v>
      </c>
      <c r="L1286" s="27">
        <v>6500</v>
      </c>
      <c r="M1286" s="27">
        <v>0</v>
      </c>
      <c r="N1286" s="27">
        <v>0</v>
      </c>
      <c r="O1286" s="27">
        <v>0</v>
      </c>
      <c r="P1286" s="27" t="s">
        <v>13</v>
      </c>
      <c r="Q1286" s="27">
        <v>1993</v>
      </c>
      <c r="R1286" s="27">
        <v>1</v>
      </c>
      <c r="S1286" s="27">
        <v>0</v>
      </c>
      <c r="T1286" s="27">
        <v>-1.8E-3</v>
      </c>
      <c r="U1286" s="27">
        <v>-1.2E-2</v>
      </c>
      <c r="V1286" s="27">
        <v>0</v>
      </c>
      <c r="W1286" s="27">
        <v>0</v>
      </c>
      <c r="X1286" s="27" t="s">
        <v>40</v>
      </c>
    </row>
    <row r="1287" spans="1:24">
      <c r="A1287" s="27">
        <v>2</v>
      </c>
      <c r="B1287" s="27">
        <v>4</v>
      </c>
      <c r="C1287" s="27">
        <v>13</v>
      </c>
      <c r="D1287" s="27">
        <v>2017</v>
      </c>
      <c r="E1287" s="27">
        <v>2019</v>
      </c>
      <c r="F1287" s="27">
        <v>7</v>
      </c>
      <c r="G1287" s="27">
        <v>44</v>
      </c>
      <c r="H1287" s="27">
        <v>30</v>
      </c>
      <c r="I1287" s="27">
        <v>0</v>
      </c>
      <c r="J1287" s="27">
        <v>0</v>
      </c>
      <c r="K1287" s="27">
        <v>23</v>
      </c>
      <c r="L1287" s="27">
        <v>6500</v>
      </c>
      <c r="M1287" s="27">
        <v>0</v>
      </c>
      <c r="N1287" s="27">
        <v>0</v>
      </c>
      <c r="O1287" s="27">
        <v>0</v>
      </c>
      <c r="P1287" s="27" t="s">
        <v>13</v>
      </c>
      <c r="Q1287" s="27">
        <v>1993</v>
      </c>
      <c r="R1287" s="27">
        <v>1</v>
      </c>
      <c r="S1287" s="27">
        <v>0</v>
      </c>
      <c r="T1287" s="27">
        <v>-1.8E-3</v>
      </c>
      <c r="U1287" s="27">
        <v>-1.2E-2</v>
      </c>
      <c r="V1287" s="27">
        <v>0</v>
      </c>
      <c r="W1287" s="27">
        <v>0</v>
      </c>
      <c r="X1287" s="27" t="s">
        <v>40</v>
      </c>
    </row>
    <row r="1288" spans="1:24">
      <c r="A1288" s="27">
        <v>2</v>
      </c>
      <c r="B1288" s="27">
        <v>4</v>
      </c>
      <c r="C1288" s="27">
        <v>13</v>
      </c>
      <c r="D1288" s="27">
        <v>2017</v>
      </c>
      <c r="E1288" s="27">
        <v>2019</v>
      </c>
      <c r="F1288" s="27">
        <v>8</v>
      </c>
      <c r="G1288" s="27">
        <v>44</v>
      </c>
      <c r="H1288" s="27">
        <v>30</v>
      </c>
      <c r="I1288" s="27">
        <v>0</v>
      </c>
      <c r="J1288" s="27">
        <v>0</v>
      </c>
      <c r="K1288" s="27">
        <v>23</v>
      </c>
      <c r="L1288" s="27">
        <v>6500</v>
      </c>
      <c r="M1288" s="27">
        <v>0</v>
      </c>
      <c r="N1288" s="27">
        <v>0</v>
      </c>
      <c r="O1288" s="27">
        <v>0</v>
      </c>
      <c r="P1288" s="27" t="s">
        <v>13</v>
      </c>
      <c r="Q1288" s="27">
        <v>1993</v>
      </c>
      <c r="R1288" s="27">
        <v>1</v>
      </c>
      <c r="S1288" s="27">
        <v>0</v>
      </c>
      <c r="T1288" s="27">
        <v>-1.8E-3</v>
      </c>
      <c r="U1288" s="27">
        <v>-1.2E-2</v>
      </c>
      <c r="V1288" s="27">
        <v>0</v>
      </c>
      <c r="W1288" s="27">
        <v>0</v>
      </c>
      <c r="X1288" s="27" t="s">
        <v>40</v>
      </c>
    </row>
    <row r="1289" spans="1:24">
      <c r="A1289" s="27">
        <v>2</v>
      </c>
      <c r="B1289" s="27">
        <v>4</v>
      </c>
      <c r="C1289" s="27">
        <v>13</v>
      </c>
      <c r="D1289" s="27">
        <v>2017</v>
      </c>
      <c r="E1289" s="27">
        <v>2019</v>
      </c>
      <c r="F1289" s="27">
        <v>9</v>
      </c>
      <c r="G1289" s="27">
        <v>44</v>
      </c>
      <c r="H1289" s="27">
        <v>30</v>
      </c>
      <c r="I1289" s="27">
        <v>0</v>
      </c>
      <c r="J1289" s="27">
        <v>0</v>
      </c>
      <c r="K1289" s="27">
        <v>23</v>
      </c>
      <c r="L1289" s="27">
        <v>6500</v>
      </c>
      <c r="M1289" s="27">
        <v>0</v>
      </c>
      <c r="N1289" s="27">
        <v>0</v>
      </c>
      <c r="O1289" s="27">
        <v>0</v>
      </c>
      <c r="P1289" s="27" t="s">
        <v>13</v>
      </c>
      <c r="Q1289" s="27">
        <v>1993</v>
      </c>
      <c r="R1289" s="27">
        <v>1</v>
      </c>
      <c r="S1289" s="27">
        <v>0</v>
      </c>
      <c r="T1289" s="27">
        <v>-1.8E-3</v>
      </c>
      <c r="U1289" s="27">
        <v>-1.2E-2</v>
      </c>
      <c r="V1289" s="27">
        <v>0</v>
      </c>
      <c r="W1289" s="27">
        <v>0</v>
      </c>
      <c r="X1289" s="27" t="s">
        <v>40</v>
      </c>
    </row>
    <row r="1290" spans="1:24">
      <c r="A1290" s="27">
        <v>2</v>
      </c>
      <c r="B1290" s="27">
        <v>4</v>
      </c>
      <c r="C1290" s="27">
        <v>13</v>
      </c>
      <c r="D1290" s="27">
        <v>2020</v>
      </c>
      <c r="E1290" s="27">
        <v>2050</v>
      </c>
      <c r="F1290" s="27">
        <v>1</v>
      </c>
      <c r="G1290" s="27">
        <v>44</v>
      </c>
      <c r="H1290" s="27">
        <v>30</v>
      </c>
      <c r="I1290" s="27">
        <v>0</v>
      </c>
      <c r="J1290" s="27">
        <v>0</v>
      </c>
      <c r="K1290" s="27">
        <v>30</v>
      </c>
      <c r="L1290" s="27">
        <v>6500</v>
      </c>
      <c r="M1290" s="27">
        <v>0</v>
      </c>
      <c r="N1290" s="27">
        <v>0</v>
      </c>
      <c r="O1290" s="27">
        <v>0</v>
      </c>
      <c r="P1290" s="27" t="s">
        <v>13</v>
      </c>
      <c r="Q1290" s="27">
        <v>1993</v>
      </c>
      <c r="R1290" s="27">
        <v>1</v>
      </c>
      <c r="S1290" s="27">
        <v>0</v>
      </c>
      <c r="T1290" s="27">
        <v>-1.8E-3</v>
      </c>
      <c r="U1290" s="27">
        <v>-1.2E-2</v>
      </c>
      <c r="V1290" s="27">
        <v>0</v>
      </c>
      <c r="W1290" s="27">
        <v>0</v>
      </c>
      <c r="X1290" s="27" t="s">
        <v>40</v>
      </c>
    </row>
    <row r="1291" spans="1:24">
      <c r="A1291" s="27">
        <v>2</v>
      </c>
      <c r="B1291" s="27">
        <v>4</v>
      </c>
      <c r="C1291" s="27">
        <v>13</v>
      </c>
      <c r="D1291" s="27">
        <v>2020</v>
      </c>
      <c r="E1291" s="27">
        <v>2050</v>
      </c>
      <c r="F1291" s="27">
        <v>2</v>
      </c>
      <c r="G1291" s="27">
        <v>44</v>
      </c>
      <c r="H1291" s="27">
        <v>30</v>
      </c>
      <c r="I1291" s="27">
        <v>0</v>
      </c>
      <c r="J1291" s="27">
        <v>0</v>
      </c>
      <c r="K1291" s="27">
        <v>30</v>
      </c>
      <c r="L1291" s="27">
        <v>6500</v>
      </c>
      <c r="M1291" s="27">
        <v>0</v>
      </c>
      <c r="N1291" s="27">
        <v>0</v>
      </c>
      <c r="O1291" s="27">
        <v>0</v>
      </c>
      <c r="P1291" s="27" t="s">
        <v>13</v>
      </c>
      <c r="Q1291" s="27">
        <v>1993</v>
      </c>
      <c r="R1291" s="27">
        <v>1</v>
      </c>
      <c r="S1291" s="27">
        <v>0</v>
      </c>
      <c r="T1291" s="27">
        <v>-1.8E-3</v>
      </c>
      <c r="U1291" s="27">
        <v>-1.2E-2</v>
      </c>
      <c r="V1291" s="27">
        <v>0</v>
      </c>
      <c r="W1291" s="27">
        <v>0</v>
      </c>
      <c r="X1291" s="27" t="s">
        <v>40</v>
      </c>
    </row>
    <row r="1292" spans="1:24">
      <c r="A1292" s="27">
        <v>2</v>
      </c>
      <c r="B1292" s="27">
        <v>4</v>
      </c>
      <c r="C1292" s="27">
        <v>13</v>
      </c>
      <c r="D1292" s="27">
        <v>2020</v>
      </c>
      <c r="E1292" s="27">
        <v>2050</v>
      </c>
      <c r="F1292" s="27">
        <v>3</v>
      </c>
      <c r="G1292" s="27">
        <v>44</v>
      </c>
      <c r="H1292" s="27">
        <v>30</v>
      </c>
      <c r="I1292" s="27">
        <v>0</v>
      </c>
      <c r="J1292" s="27">
        <v>0</v>
      </c>
      <c r="K1292" s="27">
        <v>30</v>
      </c>
      <c r="L1292" s="27">
        <v>6500</v>
      </c>
      <c r="M1292" s="27">
        <v>0</v>
      </c>
      <c r="N1292" s="27">
        <v>0</v>
      </c>
      <c r="O1292" s="27">
        <v>0</v>
      </c>
      <c r="P1292" s="27" t="s">
        <v>13</v>
      </c>
      <c r="Q1292" s="27">
        <v>1993</v>
      </c>
      <c r="R1292" s="27">
        <v>1</v>
      </c>
      <c r="S1292" s="27">
        <v>0</v>
      </c>
      <c r="T1292" s="27">
        <v>-1.8E-3</v>
      </c>
      <c r="U1292" s="27">
        <v>-1.2E-2</v>
      </c>
      <c r="V1292" s="27">
        <v>0</v>
      </c>
      <c r="W1292" s="27">
        <v>0</v>
      </c>
      <c r="X1292" s="27" t="s">
        <v>40</v>
      </c>
    </row>
    <row r="1293" spans="1:24">
      <c r="A1293" s="27">
        <v>2</v>
      </c>
      <c r="B1293" s="27">
        <v>4</v>
      </c>
      <c r="C1293" s="27">
        <v>13</v>
      </c>
      <c r="D1293" s="27">
        <v>2020</v>
      </c>
      <c r="E1293" s="27">
        <v>2050</v>
      </c>
      <c r="F1293" s="27">
        <v>4</v>
      </c>
      <c r="G1293" s="27">
        <v>44</v>
      </c>
      <c r="H1293" s="27">
        <v>30</v>
      </c>
      <c r="I1293" s="27">
        <v>0</v>
      </c>
      <c r="J1293" s="27">
        <v>0</v>
      </c>
      <c r="K1293" s="27">
        <v>30</v>
      </c>
      <c r="L1293" s="27">
        <v>6500</v>
      </c>
      <c r="M1293" s="27">
        <v>0</v>
      </c>
      <c r="N1293" s="27">
        <v>0</v>
      </c>
      <c r="O1293" s="27">
        <v>0</v>
      </c>
      <c r="P1293" s="27" t="s">
        <v>13</v>
      </c>
      <c r="Q1293" s="27">
        <v>1993</v>
      </c>
      <c r="R1293" s="27">
        <v>1</v>
      </c>
      <c r="S1293" s="27">
        <v>0</v>
      </c>
      <c r="T1293" s="27">
        <v>-1.8E-3</v>
      </c>
      <c r="U1293" s="27">
        <v>-1.2E-2</v>
      </c>
      <c r="V1293" s="27">
        <v>0</v>
      </c>
      <c r="W1293" s="27">
        <v>0</v>
      </c>
      <c r="X1293" s="27" t="s">
        <v>40</v>
      </c>
    </row>
    <row r="1294" spans="1:24">
      <c r="A1294" s="27">
        <v>2</v>
      </c>
      <c r="B1294" s="27">
        <v>4</v>
      </c>
      <c r="C1294" s="27">
        <v>13</v>
      </c>
      <c r="D1294" s="27">
        <v>2020</v>
      </c>
      <c r="E1294" s="27">
        <v>2050</v>
      </c>
      <c r="F1294" s="27">
        <v>5</v>
      </c>
      <c r="G1294" s="27">
        <v>44</v>
      </c>
      <c r="H1294" s="27">
        <v>30</v>
      </c>
      <c r="I1294" s="27">
        <v>0</v>
      </c>
      <c r="J1294" s="27">
        <v>0</v>
      </c>
      <c r="K1294" s="27">
        <v>30</v>
      </c>
      <c r="L1294" s="27">
        <v>6500</v>
      </c>
      <c r="M1294" s="27">
        <v>0</v>
      </c>
      <c r="N1294" s="27">
        <v>0</v>
      </c>
      <c r="O1294" s="27">
        <v>0</v>
      </c>
      <c r="P1294" s="27" t="s">
        <v>13</v>
      </c>
      <c r="Q1294" s="27">
        <v>1993</v>
      </c>
      <c r="R1294" s="27">
        <v>1</v>
      </c>
      <c r="S1294" s="27">
        <v>0</v>
      </c>
      <c r="T1294" s="27">
        <v>-1.8E-3</v>
      </c>
      <c r="U1294" s="27">
        <v>-1.2E-2</v>
      </c>
      <c r="V1294" s="27">
        <v>0</v>
      </c>
      <c r="W1294" s="27">
        <v>0</v>
      </c>
      <c r="X1294" s="27" t="s">
        <v>40</v>
      </c>
    </row>
    <row r="1295" spans="1:24">
      <c r="A1295" s="27">
        <v>2</v>
      </c>
      <c r="B1295" s="27">
        <v>4</v>
      </c>
      <c r="C1295" s="27">
        <v>13</v>
      </c>
      <c r="D1295" s="27">
        <v>2020</v>
      </c>
      <c r="E1295" s="27">
        <v>2050</v>
      </c>
      <c r="F1295" s="27">
        <v>6</v>
      </c>
      <c r="G1295" s="27">
        <v>44</v>
      </c>
      <c r="H1295" s="27">
        <v>30</v>
      </c>
      <c r="I1295" s="27">
        <v>0</v>
      </c>
      <c r="J1295" s="27">
        <v>0</v>
      </c>
      <c r="K1295" s="27">
        <v>30</v>
      </c>
      <c r="L1295" s="27">
        <v>6500</v>
      </c>
      <c r="M1295" s="27">
        <v>0</v>
      </c>
      <c r="N1295" s="27">
        <v>0</v>
      </c>
      <c r="O1295" s="27">
        <v>0</v>
      </c>
      <c r="P1295" s="27" t="s">
        <v>13</v>
      </c>
      <c r="Q1295" s="27">
        <v>1993</v>
      </c>
      <c r="R1295" s="27">
        <v>1</v>
      </c>
      <c r="S1295" s="27">
        <v>0</v>
      </c>
      <c r="T1295" s="27">
        <v>-1.8E-3</v>
      </c>
      <c r="U1295" s="27">
        <v>-1.2E-2</v>
      </c>
      <c r="V1295" s="27">
        <v>0</v>
      </c>
      <c r="W1295" s="27">
        <v>0</v>
      </c>
      <c r="X1295" s="27" t="s">
        <v>40</v>
      </c>
    </row>
    <row r="1296" spans="1:24">
      <c r="A1296" s="27">
        <v>2</v>
      </c>
      <c r="B1296" s="27">
        <v>4</v>
      </c>
      <c r="C1296" s="27">
        <v>13</v>
      </c>
      <c r="D1296" s="27">
        <v>2020</v>
      </c>
      <c r="E1296" s="27">
        <v>2050</v>
      </c>
      <c r="F1296" s="27">
        <v>7</v>
      </c>
      <c r="G1296" s="27">
        <v>44</v>
      </c>
      <c r="H1296" s="27">
        <v>30</v>
      </c>
      <c r="I1296" s="27">
        <v>0</v>
      </c>
      <c r="J1296" s="27">
        <v>0</v>
      </c>
      <c r="K1296" s="27">
        <v>30</v>
      </c>
      <c r="L1296" s="27">
        <v>6500</v>
      </c>
      <c r="M1296" s="27">
        <v>0</v>
      </c>
      <c r="N1296" s="27">
        <v>0</v>
      </c>
      <c r="O1296" s="27">
        <v>0</v>
      </c>
      <c r="P1296" s="27" t="s">
        <v>13</v>
      </c>
      <c r="Q1296" s="27">
        <v>1993</v>
      </c>
      <c r="R1296" s="27">
        <v>1</v>
      </c>
      <c r="S1296" s="27">
        <v>0</v>
      </c>
      <c r="T1296" s="27">
        <v>-1.8E-3</v>
      </c>
      <c r="U1296" s="27">
        <v>-1.2E-2</v>
      </c>
      <c r="V1296" s="27">
        <v>0</v>
      </c>
      <c r="W1296" s="27">
        <v>0</v>
      </c>
      <c r="X1296" s="27" t="s">
        <v>40</v>
      </c>
    </row>
    <row r="1297" spans="1:24">
      <c r="A1297" s="27">
        <v>2</v>
      </c>
      <c r="B1297" s="27">
        <v>4</v>
      </c>
      <c r="C1297" s="27">
        <v>13</v>
      </c>
      <c r="D1297" s="27">
        <v>2020</v>
      </c>
      <c r="E1297" s="27">
        <v>2050</v>
      </c>
      <c r="F1297" s="27">
        <v>8</v>
      </c>
      <c r="G1297" s="27">
        <v>44</v>
      </c>
      <c r="H1297" s="27">
        <v>30</v>
      </c>
      <c r="I1297" s="27">
        <v>0</v>
      </c>
      <c r="J1297" s="27">
        <v>0</v>
      </c>
      <c r="K1297" s="27">
        <v>30</v>
      </c>
      <c r="L1297" s="27">
        <v>6500</v>
      </c>
      <c r="M1297" s="27">
        <v>0</v>
      </c>
      <c r="N1297" s="27">
        <v>0</v>
      </c>
      <c r="O1297" s="27">
        <v>0</v>
      </c>
      <c r="P1297" s="27" t="s">
        <v>13</v>
      </c>
      <c r="Q1297" s="27">
        <v>1993</v>
      </c>
      <c r="R1297" s="27">
        <v>1</v>
      </c>
      <c r="S1297" s="27">
        <v>0</v>
      </c>
      <c r="T1297" s="27">
        <v>-1.8E-3</v>
      </c>
      <c r="U1297" s="27">
        <v>-1.2E-2</v>
      </c>
      <c r="V1297" s="27">
        <v>0</v>
      </c>
      <c r="W1297" s="27">
        <v>0</v>
      </c>
      <c r="X1297" s="27" t="s">
        <v>40</v>
      </c>
    </row>
    <row r="1298" spans="1:24">
      <c r="A1298" s="27">
        <v>2</v>
      </c>
      <c r="B1298" s="27">
        <v>4</v>
      </c>
      <c r="C1298" s="27">
        <v>13</v>
      </c>
      <c r="D1298" s="27">
        <v>2020</v>
      </c>
      <c r="E1298" s="27">
        <v>2050</v>
      </c>
      <c r="F1298" s="27">
        <v>9</v>
      </c>
      <c r="G1298" s="27">
        <v>44</v>
      </c>
      <c r="H1298" s="27">
        <v>30</v>
      </c>
      <c r="I1298" s="27">
        <v>0</v>
      </c>
      <c r="J1298" s="27">
        <v>0</v>
      </c>
      <c r="K1298" s="27">
        <v>30</v>
      </c>
      <c r="L1298" s="27">
        <v>6500</v>
      </c>
      <c r="M1298" s="27">
        <v>0</v>
      </c>
      <c r="N1298" s="27">
        <v>0</v>
      </c>
      <c r="O1298" s="27">
        <v>0</v>
      </c>
      <c r="P1298" s="27" t="s">
        <v>13</v>
      </c>
      <c r="Q1298" s="27">
        <v>1993</v>
      </c>
      <c r="R1298" s="27">
        <v>1</v>
      </c>
      <c r="S1298" s="27">
        <v>0</v>
      </c>
      <c r="T1298" s="27">
        <v>-1.8E-3</v>
      </c>
      <c r="U1298" s="27">
        <v>-1.2E-2</v>
      </c>
      <c r="V1298" s="27">
        <v>0</v>
      </c>
      <c r="W1298" s="27">
        <v>0</v>
      </c>
      <c r="X1298" s="27" t="s">
        <v>40</v>
      </c>
    </row>
    <row r="1299" spans="1:24">
      <c r="A1299" s="27">
        <v>2</v>
      </c>
      <c r="B1299" s="27">
        <v>5</v>
      </c>
      <c r="C1299" s="27">
        <v>14</v>
      </c>
      <c r="D1299" s="27">
        <v>2010</v>
      </c>
      <c r="E1299" s="27">
        <v>2019</v>
      </c>
      <c r="F1299" s="27">
        <v>1</v>
      </c>
      <c r="G1299" s="27">
        <v>45</v>
      </c>
      <c r="H1299" s="27">
        <v>31</v>
      </c>
      <c r="I1299" s="27">
        <v>0</v>
      </c>
      <c r="J1299" s="27">
        <v>0</v>
      </c>
      <c r="K1299" s="27">
        <v>0.6</v>
      </c>
      <c r="L1299" s="27">
        <v>4500</v>
      </c>
      <c r="M1299" s="27">
        <v>0</v>
      </c>
      <c r="N1299" s="27">
        <v>0</v>
      </c>
      <c r="O1299" s="27">
        <v>0</v>
      </c>
      <c r="P1299" s="27" t="s">
        <v>13</v>
      </c>
      <c r="Q1299" s="27">
        <v>1993</v>
      </c>
      <c r="R1299" s="27">
        <v>1</v>
      </c>
      <c r="S1299" s="27">
        <v>0</v>
      </c>
      <c r="T1299" s="27">
        <v>-1.8E-3</v>
      </c>
      <c r="U1299" s="27">
        <v>-1.2E-2</v>
      </c>
      <c r="V1299" s="27">
        <v>0</v>
      </c>
      <c r="W1299" s="27">
        <v>0</v>
      </c>
      <c r="X1299" s="27" t="s">
        <v>41</v>
      </c>
    </row>
    <row r="1300" spans="1:24">
      <c r="A1300" s="27">
        <v>2</v>
      </c>
      <c r="B1300" s="27">
        <v>5</v>
      </c>
      <c r="C1300" s="27">
        <v>14</v>
      </c>
      <c r="D1300" s="27">
        <v>2010</v>
      </c>
      <c r="E1300" s="27">
        <v>2019</v>
      </c>
      <c r="F1300" s="27">
        <v>2</v>
      </c>
      <c r="G1300" s="27">
        <v>45</v>
      </c>
      <c r="H1300" s="27">
        <v>31</v>
      </c>
      <c r="I1300" s="27">
        <v>0</v>
      </c>
      <c r="J1300" s="27">
        <v>0</v>
      </c>
      <c r="K1300" s="27">
        <v>0.6</v>
      </c>
      <c r="L1300" s="27">
        <v>4500</v>
      </c>
      <c r="M1300" s="27">
        <v>0</v>
      </c>
      <c r="N1300" s="27">
        <v>0</v>
      </c>
      <c r="O1300" s="27">
        <v>0</v>
      </c>
      <c r="P1300" s="27" t="s">
        <v>13</v>
      </c>
      <c r="Q1300" s="27">
        <v>1993</v>
      </c>
      <c r="R1300" s="27">
        <v>1</v>
      </c>
      <c r="S1300" s="27">
        <v>0</v>
      </c>
      <c r="T1300" s="27">
        <v>-1.8E-3</v>
      </c>
      <c r="U1300" s="27">
        <v>-1.2E-2</v>
      </c>
      <c r="V1300" s="27">
        <v>0</v>
      </c>
      <c r="W1300" s="27">
        <v>0</v>
      </c>
      <c r="X1300" s="27" t="s">
        <v>41</v>
      </c>
    </row>
    <row r="1301" spans="1:24">
      <c r="A1301" s="27">
        <v>2</v>
      </c>
      <c r="B1301" s="27">
        <v>5</v>
      </c>
      <c r="C1301" s="27">
        <v>14</v>
      </c>
      <c r="D1301" s="27">
        <v>2010</v>
      </c>
      <c r="E1301" s="27">
        <v>2019</v>
      </c>
      <c r="F1301" s="27">
        <v>3</v>
      </c>
      <c r="G1301" s="27">
        <v>45</v>
      </c>
      <c r="H1301" s="27">
        <v>31</v>
      </c>
      <c r="I1301" s="27">
        <v>0</v>
      </c>
      <c r="J1301" s="27">
        <v>0</v>
      </c>
      <c r="K1301" s="27">
        <v>0.6</v>
      </c>
      <c r="L1301" s="27">
        <v>4500</v>
      </c>
      <c r="M1301" s="27">
        <v>0</v>
      </c>
      <c r="N1301" s="27">
        <v>0</v>
      </c>
      <c r="O1301" s="27">
        <v>0</v>
      </c>
      <c r="P1301" s="27" t="s">
        <v>13</v>
      </c>
      <c r="Q1301" s="27">
        <v>1993</v>
      </c>
      <c r="R1301" s="27">
        <v>1</v>
      </c>
      <c r="S1301" s="27">
        <v>0</v>
      </c>
      <c r="T1301" s="27">
        <v>-1.8E-3</v>
      </c>
      <c r="U1301" s="27">
        <v>-1.2E-2</v>
      </c>
      <c r="V1301" s="27">
        <v>0</v>
      </c>
      <c r="W1301" s="27">
        <v>0</v>
      </c>
      <c r="X1301" s="27" t="s">
        <v>41</v>
      </c>
    </row>
    <row r="1302" spans="1:24">
      <c r="A1302" s="27">
        <v>2</v>
      </c>
      <c r="B1302" s="27">
        <v>5</v>
      </c>
      <c r="C1302" s="27">
        <v>14</v>
      </c>
      <c r="D1302" s="27">
        <v>2010</v>
      </c>
      <c r="E1302" s="27">
        <v>2019</v>
      </c>
      <c r="F1302" s="27">
        <v>4</v>
      </c>
      <c r="G1302" s="27">
        <v>45</v>
      </c>
      <c r="H1302" s="27">
        <v>31</v>
      </c>
      <c r="I1302" s="27">
        <v>0</v>
      </c>
      <c r="J1302" s="27">
        <v>0</v>
      </c>
      <c r="K1302" s="27">
        <v>0.6</v>
      </c>
      <c r="L1302" s="27">
        <v>4500</v>
      </c>
      <c r="M1302" s="27">
        <v>0</v>
      </c>
      <c r="N1302" s="27">
        <v>0</v>
      </c>
      <c r="O1302" s="27">
        <v>0</v>
      </c>
      <c r="P1302" s="27" t="s">
        <v>13</v>
      </c>
      <c r="Q1302" s="27">
        <v>1993</v>
      </c>
      <c r="R1302" s="27">
        <v>1</v>
      </c>
      <c r="S1302" s="27">
        <v>0</v>
      </c>
      <c r="T1302" s="27">
        <v>-1.8E-3</v>
      </c>
      <c r="U1302" s="27">
        <v>-1.2E-2</v>
      </c>
      <c r="V1302" s="27">
        <v>0</v>
      </c>
      <c r="W1302" s="27">
        <v>0</v>
      </c>
      <c r="X1302" s="27" t="s">
        <v>41</v>
      </c>
    </row>
    <row r="1303" spans="1:24">
      <c r="A1303" s="27">
        <v>2</v>
      </c>
      <c r="B1303" s="27">
        <v>5</v>
      </c>
      <c r="C1303" s="27">
        <v>14</v>
      </c>
      <c r="D1303" s="27">
        <v>2010</v>
      </c>
      <c r="E1303" s="27">
        <v>2019</v>
      </c>
      <c r="F1303" s="27">
        <v>5</v>
      </c>
      <c r="G1303" s="27">
        <v>45</v>
      </c>
      <c r="H1303" s="27">
        <v>31</v>
      </c>
      <c r="I1303" s="27">
        <v>0</v>
      </c>
      <c r="J1303" s="27">
        <v>0</v>
      </c>
      <c r="K1303" s="27">
        <v>0.6</v>
      </c>
      <c r="L1303" s="27">
        <v>4500</v>
      </c>
      <c r="M1303" s="27">
        <v>0</v>
      </c>
      <c r="N1303" s="27">
        <v>0</v>
      </c>
      <c r="O1303" s="27">
        <v>0</v>
      </c>
      <c r="P1303" s="27" t="s">
        <v>13</v>
      </c>
      <c r="Q1303" s="27">
        <v>1993</v>
      </c>
      <c r="R1303" s="27">
        <v>1</v>
      </c>
      <c r="S1303" s="27">
        <v>0</v>
      </c>
      <c r="T1303" s="27">
        <v>-1.8E-3</v>
      </c>
      <c r="U1303" s="27">
        <v>-1.2E-2</v>
      </c>
      <c r="V1303" s="27">
        <v>0</v>
      </c>
      <c r="W1303" s="27">
        <v>0</v>
      </c>
      <c r="X1303" s="27" t="s">
        <v>41</v>
      </c>
    </row>
    <row r="1304" spans="1:24">
      <c r="A1304" s="27">
        <v>2</v>
      </c>
      <c r="B1304" s="27">
        <v>5</v>
      </c>
      <c r="C1304" s="27">
        <v>14</v>
      </c>
      <c r="D1304" s="27">
        <v>2010</v>
      </c>
      <c r="E1304" s="27">
        <v>2019</v>
      </c>
      <c r="F1304" s="27">
        <v>6</v>
      </c>
      <c r="G1304" s="27">
        <v>45</v>
      </c>
      <c r="H1304" s="27">
        <v>31</v>
      </c>
      <c r="I1304" s="27">
        <v>0</v>
      </c>
      <c r="J1304" s="27">
        <v>0</v>
      </c>
      <c r="K1304" s="27">
        <v>0.6</v>
      </c>
      <c r="L1304" s="27">
        <v>4500</v>
      </c>
      <c r="M1304" s="27">
        <v>0</v>
      </c>
      <c r="N1304" s="27">
        <v>0</v>
      </c>
      <c r="O1304" s="27">
        <v>0</v>
      </c>
      <c r="P1304" s="27" t="s">
        <v>13</v>
      </c>
      <c r="Q1304" s="27">
        <v>1993</v>
      </c>
      <c r="R1304" s="27">
        <v>1</v>
      </c>
      <c r="S1304" s="27">
        <v>0</v>
      </c>
      <c r="T1304" s="27">
        <v>-1.8E-3</v>
      </c>
      <c r="U1304" s="27">
        <v>-1.2E-2</v>
      </c>
      <c r="V1304" s="27">
        <v>0</v>
      </c>
      <c r="W1304" s="27">
        <v>0</v>
      </c>
      <c r="X1304" s="27" t="s">
        <v>41</v>
      </c>
    </row>
    <row r="1305" spans="1:24">
      <c r="A1305" s="27">
        <v>2</v>
      </c>
      <c r="B1305" s="27">
        <v>5</v>
      </c>
      <c r="C1305" s="27">
        <v>14</v>
      </c>
      <c r="D1305" s="27">
        <v>2010</v>
      </c>
      <c r="E1305" s="27">
        <v>2019</v>
      </c>
      <c r="F1305" s="27">
        <v>7</v>
      </c>
      <c r="G1305" s="27">
        <v>45</v>
      </c>
      <c r="H1305" s="27">
        <v>31</v>
      </c>
      <c r="I1305" s="27">
        <v>0</v>
      </c>
      <c r="J1305" s="27">
        <v>0</v>
      </c>
      <c r="K1305" s="27">
        <v>0.6</v>
      </c>
      <c r="L1305" s="27">
        <v>4500</v>
      </c>
      <c r="M1305" s="27">
        <v>0</v>
      </c>
      <c r="N1305" s="27">
        <v>0</v>
      </c>
      <c r="O1305" s="27">
        <v>0</v>
      </c>
      <c r="P1305" s="27" t="s">
        <v>13</v>
      </c>
      <c r="Q1305" s="27">
        <v>1993</v>
      </c>
      <c r="R1305" s="27">
        <v>1</v>
      </c>
      <c r="S1305" s="27">
        <v>0</v>
      </c>
      <c r="T1305" s="27">
        <v>-1.8E-3</v>
      </c>
      <c r="U1305" s="27">
        <v>-1.2E-2</v>
      </c>
      <c r="V1305" s="27">
        <v>0</v>
      </c>
      <c r="W1305" s="27">
        <v>0</v>
      </c>
      <c r="X1305" s="27" t="s">
        <v>41</v>
      </c>
    </row>
    <row r="1306" spans="1:24">
      <c r="A1306" s="27">
        <v>2</v>
      </c>
      <c r="B1306" s="27">
        <v>5</v>
      </c>
      <c r="C1306" s="27">
        <v>14</v>
      </c>
      <c r="D1306" s="27">
        <v>2010</v>
      </c>
      <c r="E1306" s="27">
        <v>2019</v>
      </c>
      <c r="F1306" s="27">
        <v>8</v>
      </c>
      <c r="G1306" s="27">
        <v>45</v>
      </c>
      <c r="H1306" s="27">
        <v>31</v>
      </c>
      <c r="I1306" s="27">
        <v>0</v>
      </c>
      <c r="J1306" s="27">
        <v>0</v>
      </c>
      <c r="K1306" s="27">
        <v>0.6</v>
      </c>
      <c r="L1306" s="27">
        <v>4500</v>
      </c>
      <c r="M1306" s="27">
        <v>0</v>
      </c>
      <c r="N1306" s="27">
        <v>0</v>
      </c>
      <c r="O1306" s="27">
        <v>0</v>
      </c>
      <c r="P1306" s="27" t="s">
        <v>13</v>
      </c>
      <c r="Q1306" s="27">
        <v>1993</v>
      </c>
      <c r="R1306" s="27">
        <v>1</v>
      </c>
      <c r="S1306" s="27">
        <v>0</v>
      </c>
      <c r="T1306" s="27">
        <v>-1.8E-3</v>
      </c>
      <c r="U1306" s="27">
        <v>-1.2E-2</v>
      </c>
      <c r="V1306" s="27">
        <v>0</v>
      </c>
      <c r="W1306" s="27">
        <v>0</v>
      </c>
      <c r="X1306" s="27" t="s">
        <v>41</v>
      </c>
    </row>
    <row r="1307" spans="1:24">
      <c r="A1307" s="27">
        <v>2</v>
      </c>
      <c r="B1307" s="27">
        <v>5</v>
      </c>
      <c r="C1307" s="27">
        <v>14</v>
      </c>
      <c r="D1307" s="27">
        <v>2010</v>
      </c>
      <c r="E1307" s="27">
        <v>2019</v>
      </c>
      <c r="F1307" s="27">
        <v>9</v>
      </c>
      <c r="G1307" s="27">
        <v>45</v>
      </c>
      <c r="H1307" s="27">
        <v>31</v>
      </c>
      <c r="I1307" s="27">
        <v>0</v>
      </c>
      <c r="J1307" s="27">
        <v>0</v>
      </c>
      <c r="K1307" s="27">
        <v>0.6</v>
      </c>
      <c r="L1307" s="27">
        <v>4500</v>
      </c>
      <c r="M1307" s="27">
        <v>0</v>
      </c>
      <c r="N1307" s="27">
        <v>0</v>
      </c>
      <c r="O1307" s="27">
        <v>0</v>
      </c>
      <c r="P1307" s="27" t="s">
        <v>13</v>
      </c>
      <c r="Q1307" s="27">
        <v>1993</v>
      </c>
      <c r="R1307" s="27">
        <v>1</v>
      </c>
      <c r="S1307" s="27">
        <v>0</v>
      </c>
      <c r="T1307" s="27">
        <v>-1.8E-3</v>
      </c>
      <c r="U1307" s="27">
        <v>-1.2E-2</v>
      </c>
      <c r="V1307" s="27">
        <v>0</v>
      </c>
      <c r="W1307" s="27">
        <v>0</v>
      </c>
      <c r="X1307" s="27" t="s">
        <v>41</v>
      </c>
    </row>
    <row r="1308" spans="1:24">
      <c r="A1308" s="27">
        <v>2</v>
      </c>
      <c r="B1308" s="27">
        <v>5</v>
      </c>
      <c r="C1308" s="27">
        <v>14</v>
      </c>
      <c r="D1308" s="27">
        <v>2020</v>
      </c>
      <c r="E1308" s="27">
        <v>2050</v>
      </c>
      <c r="F1308" s="27">
        <v>1</v>
      </c>
      <c r="G1308" s="27">
        <v>45</v>
      </c>
      <c r="H1308" s="27">
        <v>31</v>
      </c>
      <c r="I1308" s="27">
        <v>0</v>
      </c>
      <c r="J1308" s="27">
        <v>0</v>
      </c>
      <c r="K1308" s="27">
        <v>0.7</v>
      </c>
      <c r="L1308" s="27">
        <v>4500</v>
      </c>
      <c r="M1308" s="27">
        <v>0</v>
      </c>
      <c r="N1308" s="27">
        <v>0</v>
      </c>
      <c r="O1308" s="27">
        <v>0</v>
      </c>
      <c r="P1308" s="27" t="s">
        <v>13</v>
      </c>
      <c r="Q1308" s="27">
        <v>1993</v>
      </c>
      <c r="R1308" s="27">
        <v>1</v>
      </c>
      <c r="S1308" s="27">
        <v>0</v>
      </c>
      <c r="T1308" s="27">
        <v>-1.8E-3</v>
      </c>
      <c r="U1308" s="27">
        <v>-1.2E-2</v>
      </c>
      <c r="V1308" s="27">
        <v>0</v>
      </c>
      <c r="W1308" s="27">
        <v>0</v>
      </c>
      <c r="X1308" s="27" t="s">
        <v>41</v>
      </c>
    </row>
    <row r="1309" spans="1:24">
      <c r="A1309" s="27">
        <v>2</v>
      </c>
      <c r="B1309" s="27">
        <v>5</v>
      </c>
      <c r="C1309" s="27">
        <v>14</v>
      </c>
      <c r="D1309" s="27">
        <v>2020</v>
      </c>
      <c r="E1309" s="27">
        <v>2050</v>
      </c>
      <c r="F1309" s="27">
        <v>2</v>
      </c>
      <c r="G1309" s="27">
        <v>45</v>
      </c>
      <c r="H1309" s="27">
        <v>31</v>
      </c>
      <c r="I1309" s="27">
        <v>0</v>
      </c>
      <c r="J1309" s="27">
        <v>0</v>
      </c>
      <c r="K1309" s="27">
        <v>0.7</v>
      </c>
      <c r="L1309" s="27">
        <v>4500</v>
      </c>
      <c r="M1309" s="27">
        <v>0</v>
      </c>
      <c r="N1309" s="27">
        <v>0</v>
      </c>
      <c r="O1309" s="27">
        <v>0</v>
      </c>
      <c r="P1309" s="27" t="s">
        <v>13</v>
      </c>
      <c r="Q1309" s="27">
        <v>1993</v>
      </c>
      <c r="R1309" s="27">
        <v>1</v>
      </c>
      <c r="S1309" s="27">
        <v>0</v>
      </c>
      <c r="T1309" s="27">
        <v>-1.8E-3</v>
      </c>
      <c r="U1309" s="27">
        <v>-1.2E-2</v>
      </c>
      <c r="V1309" s="27">
        <v>0</v>
      </c>
      <c r="W1309" s="27">
        <v>0</v>
      </c>
      <c r="X1309" s="27" t="s">
        <v>41</v>
      </c>
    </row>
    <row r="1310" spans="1:24">
      <c r="A1310" s="27">
        <v>2</v>
      </c>
      <c r="B1310" s="27">
        <v>5</v>
      </c>
      <c r="C1310" s="27">
        <v>14</v>
      </c>
      <c r="D1310" s="27">
        <v>2020</v>
      </c>
      <c r="E1310" s="27">
        <v>2050</v>
      </c>
      <c r="F1310" s="27">
        <v>3</v>
      </c>
      <c r="G1310" s="27">
        <v>45</v>
      </c>
      <c r="H1310" s="27">
        <v>31</v>
      </c>
      <c r="I1310" s="27">
        <v>0</v>
      </c>
      <c r="J1310" s="27">
        <v>0</v>
      </c>
      <c r="K1310" s="27">
        <v>0.7</v>
      </c>
      <c r="L1310" s="27">
        <v>4500</v>
      </c>
      <c r="M1310" s="27">
        <v>0</v>
      </c>
      <c r="N1310" s="27">
        <v>0</v>
      </c>
      <c r="O1310" s="27">
        <v>0</v>
      </c>
      <c r="P1310" s="27" t="s">
        <v>13</v>
      </c>
      <c r="Q1310" s="27">
        <v>1993</v>
      </c>
      <c r="R1310" s="27">
        <v>1</v>
      </c>
      <c r="S1310" s="27">
        <v>0</v>
      </c>
      <c r="T1310" s="27">
        <v>-1.8E-3</v>
      </c>
      <c r="U1310" s="27">
        <v>-1.2E-2</v>
      </c>
      <c r="V1310" s="27">
        <v>0</v>
      </c>
      <c r="W1310" s="27">
        <v>0</v>
      </c>
      <c r="X1310" s="27" t="s">
        <v>41</v>
      </c>
    </row>
    <row r="1311" spans="1:24">
      <c r="A1311" s="27">
        <v>2</v>
      </c>
      <c r="B1311" s="27">
        <v>5</v>
      </c>
      <c r="C1311" s="27">
        <v>14</v>
      </c>
      <c r="D1311" s="27">
        <v>2020</v>
      </c>
      <c r="E1311" s="27">
        <v>2050</v>
      </c>
      <c r="F1311" s="27">
        <v>4</v>
      </c>
      <c r="G1311" s="27">
        <v>45</v>
      </c>
      <c r="H1311" s="27">
        <v>31</v>
      </c>
      <c r="I1311" s="27">
        <v>0</v>
      </c>
      <c r="J1311" s="27">
        <v>0</v>
      </c>
      <c r="K1311" s="27">
        <v>0.7</v>
      </c>
      <c r="L1311" s="27">
        <v>4500</v>
      </c>
      <c r="M1311" s="27">
        <v>0</v>
      </c>
      <c r="N1311" s="27">
        <v>0</v>
      </c>
      <c r="O1311" s="27">
        <v>0</v>
      </c>
      <c r="P1311" s="27" t="s">
        <v>13</v>
      </c>
      <c r="Q1311" s="27">
        <v>1993</v>
      </c>
      <c r="R1311" s="27">
        <v>1</v>
      </c>
      <c r="S1311" s="27">
        <v>0</v>
      </c>
      <c r="T1311" s="27">
        <v>-1.8E-3</v>
      </c>
      <c r="U1311" s="27">
        <v>-1.2E-2</v>
      </c>
      <c r="V1311" s="27">
        <v>0</v>
      </c>
      <c r="W1311" s="27">
        <v>0</v>
      </c>
      <c r="X1311" s="27" t="s">
        <v>41</v>
      </c>
    </row>
    <row r="1312" spans="1:24">
      <c r="A1312" s="27">
        <v>2</v>
      </c>
      <c r="B1312" s="27">
        <v>5</v>
      </c>
      <c r="C1312" s="27">
        <v>14</v>
      </c>
      <c r="D1312" s="27">
        <v>2020</v>
      </c>
      <c r="E1312" s="27">
        <v>2050</v>
      </c>
      <c r="F1312" s="27">
        <v>5</v>
      </c>
      <c r="G1312" s="27">
        <v>45</v>
      </c>
      <c r="H1312" s="27">
        <v>31</v>
      </c>
      <c r="I1312" s="27">
        <v>0</v>
      </c>
      <c r="J1312" s="27">
        <v>0</v>
      </c>
      <c r="K1312" s="27">
        <v>0.7</v>
      </c>
      <c r="L1312" s="27">
        <v>4500</v>
      </c>
      <c r="M1312" s="27">
        <v>0</v>
      </c>
      <c r="N1312" s="27">
        <v>0</v>
      </c>
      <c r="O1312" s="27">
        <v>0</v>
      </c>
      <c r="P1312" s="27" t="s">
        <v>13</v>
      </c>
      <c r="Q1312" s="27">
        <v>1993</v>
      </c>
      <c r="R1312" s="27">
        <v>1</v>
      </c>
      <c r="S1312" s="27">
        <v>0</v>
      </c>
      <c r="T1312" s="27">
        <v>-1.8E-3</v>
      </c>
      <c r="U1312" s="27">
        <v>-1.2E-2</v>
      </c>
      <c r="V1312" s="27">
        <v>0</v>
      </c>
      <c r="W1312" s="27">
        <v>0</v>
      </c>
      <c r="X1312" s="27" t="s">
        <v>41</v>
      </c>
    </row>
    <row r="1313" spans="1:24">
      <c r="A1313" s="27">
        <v>2</v>
      </c>
      <c r="B1313" s="27">
        <v>5</v>
      </c>
      <c r="C1313" s="27">
        <v>14</v>
      </c>
      <c r="D1313" s="27">
        <v>2020</v>
      </c>
      <c r="E1313" s="27">
        <v>2050</v>
      </c>
      <c r="F1313" s="27">
        <v>6</v>
      </c>
      <c r="G1313" s="27">
        <v>45</v>
      </c>
      <c r="H1313" s="27">
        <v>31</v>
      </c>
      <c r="I1313" s="27">
        <v>0</v>
      </c>
      <c r="J1313" s="27">
        <v>0</v>
      </c>
      <c r="K1313" s="27">
        <v>0.7</v>
      </c>
      <c r="L1313" s="27">
        <v>4500</v>
      </c>
      <c r="M1313" s="27">
        <v>0</v>
      </c>
      <c r="N1313" s="27">
        <v>0</v>
      </c>
      <c r="O1313" s="27">
        <v>0</v>
      </c>
      <c r="P1313" s="27" t="s">
        <v>13</v>
      </c>
      <c r="Q1313" s="27">
        <v>1993</v>
      </c>
      <c r="R1313" s="27">
        <v>1</v>
      </c>
      <c r="S1313" s="27">
        <v>0</v>
      </c>
      <c r="T1313" s="27">
        <v>-1.8E-3</v>
      </c>
      <c r="U1313" s="27">
        <v>-1.2E-2</v>
      </c>
      <c r="V1313" s="27">
        <v>0</v>
      </c>
      <c r="W1313" s="27">
        <v>0</v>
      </c>
      <c r="X1313" s="27" t="s">
        <v>41</v>
      </c>
    </row>
    <row r="1314" spans="1:24">
      <c r="A1314" s="27">
        <v>2</v>
      </c>
      <c r="B1314" s="27">
        <v>5</v>
      </c>
      <c r="C1314" s="27">
        <v>14</v>
      </c>
      <c r="D1314" s="27">
        <v>2020</v>
      </c>
      <c r="E1314" s="27">
        <v>2050</v>
      </c>
      <c r="F1314" s="27">
        <v>7</v>
      </c>
      <c r="G1314" s="27">
        <v>45</v>
      </c>
      <c r="H1314" s="27">
        <v>31</v>
      </c>
      <c r="I1314" s="27">
        <v>0</v>
      </c>
      <c r="J1314" s="27">
        <v>0</v>
      </c>
      <c r="K1314" s="27">
        <v>0.7</v>
      </c>
      <c r="L1314" s="27">
        <v>4500</v>
      </c>
      <c r="M1314" s="27">
        <v>0</v>
      </c>
      <c r="N1314" s="27">
        <v>0</v>
      </c>
      <c r="O1314" s="27">
        <v>0</v>
      </c>
      <c r="P1314" s="27" t="s">
        <v>13</v>
      </c>
      <c r="Q1314" s="27">
        <v>1993</v>
      </c>
      <c r="R1314" s="27">
        <v>1</v>
      </c>
      <c r="S1314" s="27">
        <v>0</v>
      </c>
      <c r="T1314" s="27">
        <v>-1.8E-3</v>
      </c>
      <c r="U1314" s="27">
        <v>-1.2E-2</v>
      </c>
      <c r="V1314" s="27">
        <v>0</v>
      </c>
      <c r="W1314" s="27">
        <v>0</v>
      </c>
      <c r="X1314" s="27" t="s">
        <v>41</v>
      </c>
    </row>
    <row r="1315" spans="1:24">
      <c r="A1315" s="27">
        <v>2</v>
      </c>
      <c r="B1315" s="27">
        <v>5</v>
      </c>
      <c r="C1315" s="27">
        <v>14</v>
      </c>
      <c r="D1315" s="27">
        <v>2020</v>
      </c>
      <c r="E1315" s="27">
        <v>2050</v>
      </c>
      <c r="F1315" s="27">
        <v>8</v>
      </c>
      <c r="G1315" s="27">
        <v>45</v>
      </c>
      <c r="H1315" s="27">
        <v>31</v>
      </c>
      <c r="I1315" s="27">
        <v>0</v>
      </c>
      <c r="J1315" s="27">
        <v>0</v>
      </c>
      <c r="K1315" s="27">
        <v>0.7</v>
      </c>
      <c r="L1315" s="27">
        <v>4500</v>
      </c>
      <c r="M1315" s="27">
        <v>0</v>
      </c>
      <c r="N1315" s="27">
        <v>0</v>
      </c>
      <c r="O1315" s="27">
        <v>0</v>
      </c>
      <c r="P1315" s="27" t="s">
        <v>13</v>
      </c>
      <c r="Q1315" s="27">
        <v>1993</v>
      </c>
      <c r="R1315" s="27">
        <v>1</v>
      </c>
      <c r="S1315" s="27">
        <v>0</v>
      </c>
      <c r="T1315" s="27">
        <v>-1.8E-3</v>
      </c>
      <c r="U1315" s="27">
        <v>-1.2E-2</v>
      </c>
      <c r="V1315" s="27">
        <v>0</v>
      </c>
      <c r="W1315" s="27">
        <v>0</v>
      </c>
      <c r="X1315" s="27" t="s">
        <v>41</v>
      </c>
    </row>
    <row r="1316" spans="1:24">
      <c r="A1316" s="27">
        <v>2</v>
      </c>
      <c r="B1316" s="27">
        <v>5</v>
      </c>
      <c r="C1316" s="27">
        <v>14</v>
      </c>
      <c r="D1316" s="27">
        <v>2020</v>
      </c>
      <c r="E1316" s="27">
        <v>2050</v>
      </c>
      <c r="F1316" s="27">
        <v>9</v>
      </c>
      <c r="G1316" s="27">
        <v>45</v>
      </c>
      <c r="H1316" s="27">
        <v>31</v>
      </c>
      <c r="I1316" s="27">
        <v>0</v>
      </c>
      <c r="J1316" s="27">
        <v>0</v>
      </c>
      <c r="K1316" s="27">
        <v>0.7</v>
      </c>
      <c r="L1316" s="27">
        <v>4500</v>
      </c>
      <c r="M1316" s="27">
        <v>0</v>
      </c>
      <c r="N1316" s="27">
        <v>0</v>
      </c>
      <c r="O1316" s="27">
        <v>0</v>
      </c>
      <c r="P1316" s="27" t="s">
        <v>13</v>
      </c>
      <c r="Q1316" s="27">
        <v>1993</v>
      </c>
      <c r="R1316" s="27">
        <v>1</v>
      </c>
      <c r="S1316" s="27">
        <v>0</v>
      </c>
      <c r="T1316" s="27">
        <v>-1.8E-3</v>
      </c>
      <c r="U1316" s="27">
        <v>-1.2E-2</v>
      </c>
      <c r="V1316" s="27">
        <v>0</v>
      </c>
      <c r="W1316" s="27">
        <v>0</v>
      </c>
      <c r="X1316" s="27" t="s">
        <v>41</v>
      </c>
    </row>
    <row r="1317" spans="1:24">
      <c r="A1317" s="27">
        <v>3</v>
      </c>
      <c r="B1317" s="27">
        <v>1</v>
      </c>
      <c r="C1317" s="27">
        <v>1</v>
      </c>
      <c r="D1317" s="27">
        <v>2010</v>
      </c>
      <c r="E1317" s="27">
        <v>2014</v>
      </c>
      <c r="F1317" s="27">
        <v>1</v>
      </c>
      <c r="G1317" s="27">
        <v>0</v>
      </c>
      <c r="H1317" s="27">
        <v>0</v>
      </c>
      <c r="I1317" s="27">
        <v>1.26</v>
      </c>
      <c r="J1317" s="27">
        <v>1</v>
      </c>
      <c r="K1317" s="27">
        <v>0.19800000000000001</v>
      </c>
      <c r="L1317" s="27">
        <v>500</v>
      </c>
      <c r="M1317" s="27">
        <v>400</v>
      </c>
      <c r="N1317" s="27">
        <v>0</v>
      </c>
      <c r="O1317" s="27">
        <v>0</v>
      </c>
      <c r="P1317" s="27" t="s">
        <v>13</v>
      </c>
      <c r="Q1317" s="27">
        <v>1993</v>
      </c>
      <c r="R1317" s="27">
        <v>1</v>
      </c>
      <c r="S1317" s="27">
        <v>0</v>
      </c>
      <c r="T1317" s="27">
        <v>-2.7380000000000002E-2</v>
      </c>
      <c r="U1317" s="27">
        <v>-9.1270000000000004E-2</v>
      </c>
      <c r="V1317" s="27">
        <v>0</v>
      </c>
      <c r="W1317" s="27">
        <v>0</v>
      </c>
      <c r="X1317" s="27" t="s">
        <v>49</v>
      </c>
    </row>
    <row r="1318" spans="1:24">
      <c r="A1318" s="27">
        <v>3</v>
      </c>
      <c r="B1318" s="27">
        <v>1</v>
      </c>
      <c r="C1318" s="27">
        <v>1</v>
      </c>
      <c r="D1318" s="27">
        <v>2010</v>
      </c>
      <c r="E1318" s="27">
        <v>2014</v>
      </c>
      <c r="F1318" s="27">
        <v>2</v>
      </c>
      <c r="G1318" s="27">
        <v>0</v>
      </c>
      <c r="H1318" s="27">
        <v>0</v>
      </c>
      <c r="I1318" s="27">
        <v>1.26</v>
      </c>
      <c r="J1318" s="27">
        <v>1</v>
      </c>
      <c r="K1318" s="27">
        <v>0.19800000000000001</v>
      </c>
      <c r="L1318" s="27">
        <v>500</v>
      </c>
      <c r="M1318" s="27">
        <v>400</v>
      </c>
      <c r="N1318" s="27">
        <v>0</v>
      </c>
      <c r="O1318" s="27">
        <v>0</v>
      </c>
      <c r="P1318" s="27" t="s">
        <v>13</v>
      </c>
      <c r="Q1318" s="27">
        <v>1993</v>
      </c>
      <c r="R1318" s="27">
        <v>1</v>
      </c>
      <c r="S1318" s="27">
        <v>0</v>
      </c>
      <c r="T1318" s="27">
        <v>-2.7380000000000002E-2</v>
      </c>
      <c r="U1318" s="27">
        <v>-9.1270000000000004E-2</v>
      </c>
      <c r="V1318" s="27">
        <v>0</v>
      </c>
      <c r="W1318" s="27">
        <v>0</v>
      </c>
      <c r="X1318" s="27" t="s">
        <v>49</v>
      </c>
    </row>
    <row r="1319" spans="1:24">
      <c r="A1319" s="27">
        <v>3</v>
      </c>
      <c r="B1319" s="27">
        <v>1</v>
      </c>
      <c r="C1319" s="27">
        <v>1</v>
      </c>
      <c r="D1319" s="27">
        <v>2010</v>
      </c>
      <c r="E1319" s="27">
        <v>2014</v>
      </c>
      <c r="F1319" s="27">
        <v>3</v>
      </c>
      <c r="G1319" s="27">
        <v>0</v>
      </c>
      <c r="H1319" s="27">
        <v>0</v>
      </c>
      <c r="I1319" s="27">
        <v>1.26</v>
      </c>
      <c r="J1319" s="27">
        <v>1</v>
      </c>
      <c r="K1319" s="27">
        <v>0.19800000000000001</v>
      </c>
      <c r="L1319" s="27">
        <v>500</v>
      </c>
      <c r="M1319" s="27">
        <v>400</v>
      </c>
      <c r="N1319" s="27">
        <v>0</v>
      </c>
      <c r="O1319" s="27">
        <v>0</v>
      </c>
      <c r="P1319" s="27" t="s">
        <v>13</v>
      </c>
      <c r="Q1319" s="27">
        <v>1993</v>
      </c>
      <c r="R1319" s="27">
        <v>1</v>
      </c>
      <c r="S1319" s="27">
        <v>0</v>
      </c>
      <c r="T1319" s="27">
        <v>-2.7380000000000002E-2</v>
      </c>
      <c r="U1319" s="27">
        <v>-9.1270000000000004E-2</v>
      </c>
      <c r="V1319" s="27">
        <v>0</v>
      </c>
      <c r="W1319" s="27">
        <v>0</v>
      </c>
      <c r="X1319" s="27" t="s">
        <v>49</v>
      </c>
    </row>
    <row r="1320" spans="1:24">
      <c r="A1320" s="27">
        <v>3</v>
      </c>
      <c r="B1320" s="27">
        <v>1</v>
      </c>
      <c r="C1320" s="27">
        <v>1</v>
      </c>
      <c r="D1320" s="27">
        <v>2010</v>
      </c>
      <c r="E1320" s="27">
        <v>2014</v>
      </c>
      <c r="F1320" s="27">
        <v>4</v>
      </c>
      <c r="G1320" s="27">
        <v>0</v>
      </c>
      <c r="H1320" s="27">
        <v>0</v>
      </c>
      <c r="I1320" s="27">
        <v>1.26</v>
      </c>
      <c r="J1320" s="27">
        <v>1</v>
      </c>
      <c r="K1320" s="27">
        <v>0.19800000000000001</v>
      </c>
      <c r="L1320" s="27">
        <v>500</v>
      </c>
      <c r="M1320" s="27">
        <v>400</v>
      </c>
      <c r="N1320" s="27">
        <v>0</v>
      </c>
      <c r="O1320" s="27">
        <v>0</v>
      </c>
      <c r="P1320" s="27" t="s">
        <v>13</v>
      </c>
      <c r="Q1320" s="27">
        <v>1993</v>
      </c>
      <c r="R1320" s="27">
        <v>1</v>
      </c>
      <c r="S1320" s="27">
        <v>0</v>
      </c>
      <c r="T1320" s="27">
        <v>-2.7380000000000002E-2</v>
      </c>
      <c r="U1320" s="27">
        <v>-9.1270000000000004E-2</v>
      </c>
      <c r="V1320" s="27">
        <v>0</v>
      </c>
      <c r="W1320" s="27">
        <v>0</v>
      </c>
      <c r="X1320" s="27" t="s">
        <v>49</v>
      </c>
    </row>
    <row r="1321" spans="1:24">
      <c r="A1321" s="27">
        <v>3</v>
      </c>
      <c r="B1321" s="27">
        <v>1</v>
      </c>
      <c r="C1321" s="27">
        <v>1</v>
      </c>
      <c r="D1321" s="27">
        <v>2010</v>
      </c>
      <c r="E1321" s="27">
        <v>2014</v>
      </c>
      <c r="F1321" s="27">
        <v>5</v>
      </c>
      <c r="G1321" s="27">
        <v>0</v>
      </c>
      <c r="H1321" s="27">
        <v>0</v>
      </c>
      <c r="I1321" s="27">
        <v>1.26</v>
      </c>
      <c r="J1321" s="27">
        <v>1</v>
      </c>
      <c r="K1321" s="27">
        <v>0.19800000000000001</v>
      </c>
      <c r="L1321" s="27">
        <v>500</v>
      </c>
      <c r="M1321" s="27">
        <v>400</v>
      </c>
      <c r="N1321" s="27">
        <v>0</v>
      </c>
      <c r="O1321" s="27">
        <v>0</v>
      </c>
      <c r="P1321" s="27" t="s">
        <v>13</v>
      </c>
      <c r="Q1321" s="27">
        <v>1993</v>
      </c>
      <c r="R1321" s="27">
        <v>1</v>
      </c>
      <c r="S1321" s="27">
        <v>0</v>
      </c>
      <c r="T1321" s="27">
        <v>-2.7380000000000002E-2</v>
      </c>
      <c r="U1321" s="27">
        <v>-9.1270000000000004E-2</v>
      </c>
      <c r="V1321" s="27">
        <v>0</v>
      </c>
      <c r="W1321" s="27">
        <v>0</v>
      </c>
      <c r="X1321" s="27" t="s">
        <v>49</v>
      </c>
    </row>
    <row r="1322" spans="1:24">
      <c r="A1322" s="27">
        <v>3</v>
      </c>
      <c r="B1322" s="27">
        <v>1</v>
      </c>
      <c r="C1322" s="27">
        <v>1</v>
      </c>
      <c r="D1322" s="27">
        <v>2010</v>
      </c>
      <c r="E1322" s="27">
        <v>2014</v>
      </c>
      <c r="F1322" s="27">
        <v>6</v>
      </c>
      <c r="G1322" s="27">
        <v>0</v>
      </c>
      <c r="H1322" s="27">
        <v>0</v>
      </c>
      <c r="I1322" s="27">
        <v>1.26</v>
      </c>
      <c r="J1322" s="27">
        <v>1</v>
      </c>
      <c r="K1322" s="27">
        <v>0.19800000000000001</v>
      </c>
      <c r="L1322" s="27">
        <v>500</v>
      </c>
      <c r="M1322" s="27">
        <v>400</v>
      </c>
      <c r="N1322" s="27">
        <v>0</v>
      </c>
      <c r="O1322" s="27">
        <v>0</v>
      </c>
      <c r="P1322" s="27" t="s">
        <v>13</v>
      </c>
      <c r="Q1322" s="27">
        <v>1993</v>
      </c>
      <c r="R1322" s="27">
        <v>1</v>
      </c>
      <c r="S1322" s="27">
        <v>0</v>
      </c>
      <c r="T1322" s="27">
        <v>-2.7380000000000002E-2</v>
      </c>
      <c r="U1322" s="27">
        <v>-9.1270000000000004E-2</v>
      </c>
      <c r="V1322" s="27">
        <v>0</v>
      </c>
      <c r="W1322" s="27">
        <v>0</v>
      </c>
      <c r="X1322" s="27" t="s">
        <v>49</v>
      </c>
    </row>
    <row r="1323" spans="1:24">
      <c r="A1323" s="27">
        <v>3</v>
      </c>
      <c r="B1323" s="27">
        <v>1</v>
      </c>
      <c r="C1323" s="27">
        <v>1</v>
      </c>
      <c r="D1323" s="27">
        <v>2010</v>
      </c>
      <c r="E1323" s="27">
        <v>2014</v>
      </c>
      <c r="F1323" s="27">
        <v>7</v>
      </c>
      <c r="G1323" s="27">
        <v>0</v>
      </c>
      <c r="H1323" s="27">
        <v>0</v>
      </c>
      <c r="I1323" s="27">
        <v>1.26</v>
      </c>
      <c r="J1323" s="27">
        <v>1</v>
      </c>
      <c r="K1323" s="27">
        <v>0.19800000000000001</v>
      </c>
      <c r="L1323" s="27">
        <v>500</v>
      </c>
      <c r="M1323" s="27">
        <v>400</v>
      </c>
      <c r="N1323" s="27">
        <v>0</v>
      </c>
      <c r="O1323" s="27">
        <v>0</v>
      </c>
      <c r="P1323" s="27" t="s">
        <v>13</v>
      </c>
      <c r="Q1323" s="27">
        <v>1993</v>
      </c>
      <c r="R1323" s="27">
        <v>1</v>
      </c>
      <c r="S1323" s="27">
        <v>0</v>
      </c>
      <c r="T1323" s="27">
        <v>-2.7380000000000002E-2</v>
      </c>
      <c r="U1323" s="27">
        <v>-9.1270000000000004E-2</v>
      </c>
      <c r="V1323" s="27">
        <v>0</v>
      </c>
      <c r="W1323" s="27">
        <v>0</v>
      </c>
      <c r="X1323" s="27" t="s">
        <v>49</v>
      </c>
    </row>
    <row r="1324" spans="1:24">
      <c r="A1324" s="27">
        <v>3</v>
      </c>
      <c r="B1324" s="27">
        <v>1</v>
      </c>
      <c r="C1324" s="27">
        <v>1</v>
      </c>
      <c r="D1324" s="27">
        <v>2010</v>
      </c>
      <c r="E1324" s="27">
        <v>2014</v>
      </c>
      <c r="F1324" s="27">
        <v>8</v>
      </c>
      <c r="G1324" s="27">
        <v>0</v>
      </c>
      <c r="H1324" s="27">
        <v>0</v>
      </c>
      <c r="I1324" s="27">
        <v>1.26</v>
      </c>
      <c r="J1324" s="27">
        <v>1</v>
      </c>
      <c r="K1324" s="27">
        <v>0.19800000000000001</v>
      </c>
      <c r="L1324" s="27">
        <v>500</v>
      </c>
      <c r="M1324" s="27">
        <v>400</v>
      </c>
      <c r="N1324" s="27">
        <v>0</v>
      </c>
      <c r="O1324" s="27">
        <v>0</v>
      </c>
      <c r="P1324" s="27" t="s">
        <v>13</v>
      </c>
      <c r="Q1324" s="27">
        <v>1993</v>
      </c>
      <c r="R1324" s="27">
        <v>1</v>
      </c>
      <c r="S1324" s="27">
        <v>0</v>
      </c>
      <c r="T1324" s="27">
        <v>-2.7380000000000002E-2</v>
      </c>
      <c r="U1324" s="27">
        <v>-9.1270000000000004E-2</v>
      </c>
      <c r="V1324" s="27">
        <v>0</v>
      </c>
      <c r="W1324" s="27">
        <v>0</v>
      </c>
      <c r="X1324" s="27" t="s">
        <v>49</v>
      </c>
    </row>
    <row r="1325" spans="1:24">
      <c r="A1325" s="27">
        <v>3</v>
      </c>
      <c r="B1325" s="27">
        <v>1</v>
      </c>
      <c r="C1325" s="27">
        <v>1</v>
      </c>
      <c r="D1325" s="27">
        <v>2010</v>
      </c>
      <c r="E1325" s="27">
        <v>2014</v>
      </c>
      <c r="F1325" s="27">
        <v>9</v>
      </c>
      <c r="G1325" s="27">
        <v>0</v>
      </c>
      <c r="H1325" s="27">
        <v>0</v>
      </c>
      <c r="I1325" s="27">
        <v>1.26</v>
      </c>
      <c r="J1325" s="27">
        <v>1</v>
      </c>
      <c r="K1325" s="27">
        <v>0.19800000000000001</v>
      </c>
      <c r="L1325" s="27">
        <v>500</v>
      </c>
      <c r="M1325" s="27">
        <v>400</v>
      </c>
      <c r="N1325" s="27">
        <v>0</v>
      </c>
      <c r="O1325" s="27">
        <v>0</v>
      </c>
      <c r="P1325" s="27" t="s">
        <v>13</v>
      </c>
      <c r="Q1325" s="27">
        <v>1993</v>
      </c>
      <c r="R1325" s="27">
        <v>1</v>
      </c>
      <c r="S1325" s="27">
        <v>0</v>
      </c>
      <c r="T1325" s="27">
        <v>-2.7380000000000002E-2</v>
      </c>
      <c r="U1325" s="27">
        <v>-9.1270000000000004E-2</v>
      </c>
      <c r="V1325" s="27">
        <v>0</v>
      </c>
      <c r="W1325" s="27">
        <v>0</v>
      </c>
      <c r="X1325" s="27" t="s">
        <v>49</v>
      </c>
    </row>
    <row r="1326" spans="1:24">
      <c r="A1326" s="27">
        <v>3</v>
      </c>
      <c r="B1326" s="27">
        <v>1</v>
      </c>
      <c r="C1326" s="27">
        <v>1</v>
      </c>
      <c r="D1326" s="27">
        <v>2015</v>
      </c>
      <c r="E1326" s="27">
        <v>2017</v>
      </c>
      <c r="F1326" s="27">
        <v>1</v>
      </c>
      <c r="G1326" s="27">
        <v>0</v>
      </c>
      <c r="H1326" s="27">
        <v>0</v>
      </c>
      <c r="I1326" s="27">
        <v>1.72</v>
      </c>
      <c r="J1326" s="27">
        <v>0.84</v>
      </c>
      <c r="K1326" s="27">
        <v>0.13</v>
      </c>
      <c r="L1326" s="27">
        <v>750</v>
      </c>
      <c r="M1326" s="27">
        <v>650</v>
      </c>
      <c r="N1326" s="27">
        <v>0</v>
      </c>
      <c r="O1326" s="27">
        <v>0</v>
      </c>
      <c r="P1326" s="27" t="s">
        <v>13</v>
      </c>
      <c r="Q1326" s="27">
        <v>1993</v>
      </c>
      <c r="R1326" s="27">
        <v>1</v>
      </c>
      <c r="S1326" s="27">
        <v>0</v>
      </c>
      <c r="T1326" s="27">
        <v>-2.7380000000000002E-2</v>
      </c>
      <c r="U1326" s="27">
        <v>-9.1270000000000004E-2</v>
      </c>
      <c r="V1326" s="27">
        <v>0</v>
      </c>
      <c r="W1326" s="27">
        <v>0</v>
      </c>
      <c r="X1326" s="27" t="s">
        <v>49</v>
      </c>
    </row>
    <row r="1327" spans="1:24">
      <c r="A1327" s="27">
        <v>3</v>
      </c>
      <c r="B1327" s="27">
        <v>1</v>
      </c>
      <c r="C1327" s="27">
        <v>1</v>
      </c>
      <c r="D1327" s="27">
        <v>2015</v>
      </c>
      <c r="E1327" s="27">
        <v>2017</v>
      </c>
      <c r="F1327" s="27">
        <v>2</v>
      </c>
      <c r="G1327" s="27">
        <v>0</v>
      </c>
      <c r="H1327" s="27">
        <v>0</v>
      </c>
      <c r="I1327" s="27">
        <v>1.72</v>
      </c>
      <c r="J1327" s="27">
        <v>0.84</v>
      </c>
      <c r="K1327" s="27">
        <v>0.13</v>
      </c>
      <c r="L1327" s="27">
        <v>750</v>
      </c>
      <c r="M1327" s="27">
        <v>650</v>
      </c>
      <c r="N1327" s="27">
        <v>0</v>
      </c>
      <c r="O1327" s="27">
        <v>0</v>
      </c>
      <c r="P1327" s="27" t="s">
        <v>13</v>
      </c>
      <c r="Q1327" s="27">
        <v>1993</v>
      </c>
      <c r="R1327" s="27">
        <v>1</v>
      </c>
      <c r="S1327" s="27">
        <v>0</v>
      </c>
      <c r="T1327" s="27">
        <v>-2.7380000000000002E-2</v>
      </c>
      <c r="U1327" s="27">
        <v>-9.1270000000000004E-2</v>
      </c>
      <c r="V1327" s="27">
        <v>0</v>
      </c>
      <c r="W1327" s="27">
        <v>0</v>
      </c>
      <c r="X1327" s="27" t="s">
        <v>49</v>
      </c>
    </row>
    <row r="1328" spans="1:24">
      <c r="A1328" s="27">
        <v>3</v>
      </c>
      <c r="B1328" s="27">
        <v>1</v>
      </c>
      <c r="C1328" s="27">
        <v>1</v>
      </c>
      <c r="D1328" s="27">
        <v>2015</v>
      </c>
      <c r="E1328" s="27">
        <v>2017</v>
      </c>
      <c r="F1328" s="27">
        <v>3</v>
      </c>
      <c r="G1328" s="27">
        <v>0</v>
      </c>
      <c r="H1328" s="27">
        <v>0</v>
      </c>
      <c r="I1328" s="27">
        <v>1.72</v>
      </c>
      <c r="J1328" s="27">
        <v>0.84</v>
      </c>
      <c r="K1328" s="27">
        <v>0.13</v>
      </c>
      <c r="L1328" s="27">
        <v>750</v>
      </c>
      <c r="M1328" s="27">
        <v>650</v>
      </c>
      <c r="N1328" s="27">
        <v>0</v>
      </c>
      <c r="O1328" s="27">
        <v>0</v>
      </c>
      <c r="P1328" s="27" t="s">
        <v>13</v>
      </c>
      <c r="Q1328" s="27">
        <v>1993</v>
      </c>
      <c r="R1328" s="27">
        <v>1</v>
      </c>
      <c r="S1328" s="27">
        <v>0</v>
      </c>
      <c r="T1328" s="27">
        <v>-2.7380000000000002E-2</v>
      </c>
      <c r="U1328" s="27">
        <v>-9.1270000000000004E-2</v>
      </c>
      <c r="V1328" s="27">
        <v>0</v>
      </c>
      <c r="W1328" s="27">
        <v>0</v>
      </c>
      <c r="X1328" s="27" t="s">
        <v>49</v>
      </c>
    </row>
    <row r="1329" spans="1:24">
      <c r="A1329" s="27">
        <v>3</v>
      </c>
      <c r="B1329" s="27">
        <v>1</v>
      </c>
      <c r="C1329" s="27">
        <v>1</v>
      </c>
      <c r="D1329" s="27">
        <v>2015</v>
      </c>
      <c r="E1329" s="27">
        <v>2017</v>
      </c>
      <c r="F1329" s="27">
        <v>4</v>
      </c>
      <c r="G1329" s="27">
        <v>0</v>
      </c>
      <c r="H1329" s="27">
        <v>0</v>
      </c>
      <c r="I1329" s="27">
        <v>1.72</v>
      </c>
      <c r="J1329" s="27">
        <v>0.84</v>
      </c>
      <c r="K1329" s="27">
        <v>0.13</v>
      </c>
      <c r="L1329" s="27">
        <v>750</v>
      </c>
      <c r="M1329" s="27">
        <v>650</v>
      </c>
      <c r="N1329" s="27">
        <v>0</v>
      </c>
      <c r="O1329" s="27">
        <v>0</v>
      </c>
      <c r="P1329" s="27" t="s">
        <v>13</v>
      </c>
      <c r="Q1329" s="27">
        <v>1993</v>
      </c>
      <c r="R1329" s="27">
        <v>1</v>
      </c>
      <c r="S1329" s="27">
        <v>0</v>
      </c>
      <c r="T1329" s="27">
        <v>-2.7380000000000002E-2</v>
      </c>
      <c r="U1329" s="27">
        <v>-9.1270000000000004E-2</v>
      </c>
      <c r="V1329" s="27">
        <v>0</v>
      </c>
      <c r="W1329" s="27">
        <v>0</v>
      </c>
      <c r="X1329" s="27" t="s">
        <v>49</v>
      </c>
    </row>
    <row r="1330" spans="1:24">
      <c r="A1330" s="27">
        <v>3</v>
      </c>
      <c r="B1330" s="27">
        <v>1</v>
      </c>
      <c r="C1330" s="27">
        <v>1</v>
      </c>
      <c r="D1330" s="27">
        <v>2015</v>
      </c>
      <c r="E1330" s="27">
        <v>2017</v>
      </c>
      <c r="F1330" s="27">
        <v>5</v>
      </c>
      <c r="G1330" s="27">
        <v>0</v>
      </c>
      <c r="H1330" s="27">
        <v>0</v>
      </c>
      <c r="I1330" s="27">
        <v>1.72</v>
      </c>
      <c r="J1330" s="27">
        <v>0.84</v>
      </c>
      <c r="K1330" s="27">
        <v>0.13</v>
      </c>
      <c r="L1330" s="27">
        <v>750</v>
      </c>
      <c r="M1330" s="27">
        <v>650</v>
      </c>
      <c r="N1330" s="27">
        <v>0</v>
      </c>
      <c r="O1330" s="27">
        <v>0</v>
      </c>
      <c r="P1330" s="27" t="s">
        <v>13</v>
      </c>
      <c r="Q1330" s="27">
        <v>1993</v>
      </c>
      <c r="R1330" s="27">
        <v>1</v>
      </c>
      <c r="S1330" s="27">
        <v>0</v>
      </c>
      <c r="T1330" s="27">
        <v>-2.7380000000000002E-2</v>
      </c>
      <c r="U1330" s="27">
        <v>-9.1270000000000004E-2</v>
      </c>
      <c r="V1330" s="27">
        <v>0</v>
      </c>
      <c r="W1330" s="27">
        <v>0</v>
      </c>
      <c r="X1330" s="27" t="s">
        <v>49</v>
      </c>
    </row>
    <row r="1331" spans="1:24">
      <c r="A1331" s="27">
        <v>3</v>
      </c>
      <c r="B1331" s="27">
        <v>1</v>
      </c>
      <c r="C1331" s="27">
        <v>1</v>
      </c>
      <c r="D1331" s="27">
        <v>2015</v>
      </c>
      <c r="E1331" s="27">
        <v>2017</v>
      </c>
      <c r="F1331" s="27">
        <v>6</v>
      </c>
      <c r="G1331" s="27">
        <v>0</v>
      </c>
      <c r="H1331" s="27">
        <v>0</v>
      </c>
      <c r="I1331" s="27">
        <v>1.72</v>
      </c>
      <c r="J1331" s="27">
        <v>0.84</v>
      </c>
      <c r="K1331" s="27">
        <v>0.13</v>
      </c>
      <c r="L1331" s="27">
        <v>750</v>
      </c>
      <c r="M1331" s="27">
        <v>650</v>
      </c>
      <c r="N1331" s="27">
        <v>0</v>
      </c>
      <c r="O1331" s="27">
        <v>0</v>
      </c>
      <c r="P1331" s="27" t="s">
        <v>13</v>
      </c>
      <c r="Q1331" s="27">
        <v>1993</v>
      </c>
      <c r="R1331" s="27">
        <v>1</v>
      </c>
      <c r="S1331" s="27">
        <v>0</v>
      </c>
      <c r="T1331" s="27">
        <v>-2.7380000000000002E-2</v>
      </c>
      <c r="U1331" s="27">
        <v>-9.1270000000000004E-2</v>
      </c>
      <c r="V1331" s="27">
        <v>0</v>
      </c>
      <c r="W1331" s="27">
        <v>0</v>
      </c>
      <c r="X1331" s="27" t="s">
        <v>49</v>
      </c>
    </row>
    <row r="1332" spans="1:24">
      <c r="A1332" s="27">
        <v>3</v>
      </c>
      <c r="B1332" s="27">
        <v>1</v>
      </c>
      <c r="C1332" s="27">
        <v>1</v>
      </c>
      <c r="D1332" s="27">
        <v>2015</v>
      </c>
      <c r="E1332" s="27">
        <v>2017</v>
      </c>
      <c r="F1332" s="27">
        <v>7</v>
      </c>
      <c r="G1332" s="27">
        <v>0</v>
      </c>
      <c r="H1332" s="27">
        <v>0</v>
      </c>
      <c r="I1332" s="27">
        <v>1.72</v>
      </c>
      <c r="J1332" s="27">
        <v>0.84</v>
      </c>
      <c r="K1332" s="27">
        <v>0.13</v>
      </c>
      <c r="L1332" s="27">
        <v>750</v>
      </c>
      <c r="M1332" s="27">
        <v>650</v>
      </c>
      <c r="N1332" s="27">
        <v>0</v>
      </c>
      <c r="O1332" s="27">
        <v>0</v>
      </c>
      <c r="P1332" s="27" t="s">
        <v>13</v>
      </c>
      <c r="Q1332" s="27">
        <v>1993</v>
      </c>
      <c r="R1332" s="27">
        <v>1</v>
      </c>
      <c r="S1332" s="27">
        <v>0</v>
      </c>
      <c r="T1332" s="27">
        <v>-2.7380000000000002E-2</v>
      </c>
      <c r="U1332" s="27">
        <v>-9.1270000000000004E-2</v>
      </c>
      <c r="V1332" s="27">
        <v>0</v>
      </c>
      <c r="W1332" s="27">
        <v>0</v>
      </c>
      <c r="X1332" s="27" t="s">
        <v>49</v>
      </c>
    </row>
    <row r="1333" spans="1:24">
      <c r="A1333" s="27">
        <v>3</v>
      </c>
      <c r="B1333" s="27">
        <v>1</v>
      </c>
      <c r="C1333" s="27">
        <v>1</v>
      </c>
      <c r="D1333" s="27">
        <v>2015</v>
      </c>
      <c r="E1333" s="27">
        <v>2017</v>
      </c>
      <c r="F1333" s="27">
        <v>8</v>
      </c>
      <c r="G1333" s="27">
        <v>0</v>
      </c>
      <c r="H1333" s="27">
        <v>0</v>
      </c>
      <c r="I1333" s="27">
        <v>1.72</v>
      </c>
      <c r="J1333" s="27">
        <v>0.84</v>
      </c>
      <c r="K1333" s="27">
        <v>0.13</v>
      </c>
      <c r="L1333" s="27">
        <v>750</v>
      </c>
      <c r="M1333" s="27">
        <v>650</v>
      </c>
      <c r="N1333" s="27">
        <v>0</v>
      </c>
      <c r="O1333" s="27">
        <v>0</v>
      </c>
      <c r="P1333" s="27" t="s">
        <v>13</v>
      </c>
      <c r="Q1333" s="27">
        <v>1993</v>
      </c>
      <c r="R1333" s="27">
        <v>1</v>
      </c>
      <c r="S1333" s="27">
        <v>0</v>
      </c>
      <c r="T1333" s="27">
        <v>-2.7380000000000002E-2</v>
      </c>
      <c r="U1333" s="27">
        <v>-9.1270000000000004E-2</v>
      </c>
      <c r="V1333" s="27">
        <v>0</v>
      </c>
      <c r="W1333" s="27">
        <v>0</v>
      </c>
      <c r="X1333" s="27" t="s">
        <v>49</v>
      </c>
    </row>
    <row r="1334" spans="1:24">
      <c r="A1334" s="27">
        <v>3</v>
      </c>
      <c r="B1334" s="27">
        <v>1</v>
      </c>
      <c r="C1334" s="27">
        <v>1</v>
      </c>
      <c r="D1334" s="27">
        <v>2015</v>
      </c>
      <c r="E1334" s="27">
        <v>2017</v>
      </c>
      <c r="F1334" s="27">
        <v>9</v>
      </c>
      <c r="G1334" s="27">
        <v>0</v>
      </c>
      <c r="H1334" s="27">
        <v>0</v>
      </c>
      <c r="I1334" s="27">
        <v>1.72</v>
      </c>
      <c r="J1334" s="27">
        <v>0.84</v>
      </c>
      <c r="K1334" s="27">
        <v>0.13</v>
      </c>
      <c r="L1334" s="27">
        <v>750</v>
      </c>
      <c r="M1334" s="27">
        <v>650</v>
      </c>
      <c r="N1334" s="27">
        <v>0</v>
      </c>
      <c r="O1334" s="27">
        <v>0</v>
      </c>
      <c r="P1334" s="27" t="s">
        <v>13</v>
      </c>
      <c r="Q1334" s="27">
        <v>1993</v>
      </c>
      <c r="R1334" s="27">
        <v>1</v>
      </c>
      <c r="S1334" s="27">
        <v>0</v>
      </c>
      <c r="T1334" s="27">
        <v>-2.7380000000000002E-2</v>
      </c>
      <c r="U1334" s="27">
        <v>-9.1270000000000004E-2</v>
      </c>
      <c r="V1334" s="27">
        <v>0</v>
      </c>
      <c r="W1334" s="27">
        <v>0</v>
      </c>
      <c r="X1334" s="27" t="s">
        <v>49</v>
      </c>
    </row>
    <row r="1335" spans="1:24">
      <c r="A1335" s="27">
        <v>3</v>
      </c>
      <c r="B1335" s="27">
        <v>1</v>
      </c>
      <c r="C1335" s="27">
        <v>1</v>
      </c>
      <c r="D1335" s="27">
        <v>2018</v>
      </c>
      <c r="E1335" s="27">
        <v>2050</v>
      </c>
      <c r="F1335" s="27">
        <v>1</v>
      </c>
      <c r="G1335" s="27">
        <v>0</v>
      </c>
      <c r="H1335" s="27">
        <v>0</v>
      </c>
      <c r="I1335" s="27">
        <v>2</v>
      </c>
      <c r="J1335" s="27">
        <v>0.63</v>
      </c>
      <c r="K1335" s="27">
        <v>0.111</v>
      </c>
      <c r="L1335" s="27">
        <v>850</v>
      </c>
      <c r="M1335" s="27">
        <v>750</v>
      </c>
      <c r="N1335" s="27">
        <v>0</v>
      </c>
      <c r="O1335" s="27">
        <v>0</v>
      </c>
      <c r="P1335" s="27" t="s">
        <v>13</v>
      </c>
      <c r="Q1335" s="27">
        <v>1993</v>
      </c>
      <c r="R1335" s="27">
        <v>1</v>
      </c>
      <c r="S1335" s="27">
        <v>0</v>
      </c>
      <c r="T1335" s="27">
        <v>-2.7380000000000002E-2</v>
      </c>
      <c r="U1335" s="27">
        <v>-9.1270000000000004E-2</v>
      </c>
      <c r="V1335" s="27">
        <v>0</v>
      </c>
      <c r="W1335" s="27">
        <v>0</v>
      </c>
      <c r="X1335" s="27" t="s">
        <v>49</v>
      </c>
    </row>
    <row r="1336" spans="1:24">
      <c r="A1336" s="27">
        <v>3</v>
      </c>
      <c r="B1336" s="27">
        <v>1</v>
      </c>
      <c r="C1336" s="27">
        <v>1</v>
      </c>
      <c r="D1336" s="27">
        <v>2018</v>
      </c>
      <c r="E1336" s="27">
        <v>2050</v>
      </c>
      <c r="F1336" s="27">
        <v>2</v>
      </c>
      <c r="G1336" s="27">
        <v>0</v>
      </c>
      <c r="H1336" s="27">
        <v>0</v>
      </c>
      <c r="I1336" s="27">
        <v>2</v>
      </c>
      <c r="J1336" s="27">
        <v>0.63</v>
      </c>
      <c r="K1336" s="27">
        <v>0.111</v>
      </c>
      <c r="L1336" s="27">
        <v>850</v>
      </c>
      <c r="M1336" s="27">
        <v>750</v>
      </c>
      <c r="N1336" s="27">
        <v>0</v>
      </c>
      <c r="O1336" s="27">
        <v>0</v>
      </c>
      <c r="P1336" s="27" t="s">
        <v>13</v>
      </c>
      <c r="Q1336" s="27">
        <v>1993</v>
      </c>
      <c r="R1336" s="27">
        <v>1</v>
      </c>
      <c r="S1336" s="27">
        <v>0</v>
      </c>
      <c r="T1336" s="27">
        <v>-2.7380000000000002E-2</v>
      </c>
      <c r="U1336" s="27">
        <v>-9.1270000000000004E-2</v>
      </c>
      <c r="V1336" s="27">
        <v>0</v>
      </c>
      <c r="W1336" s="27">
        <v>0</v>
      </c>
      <c r="X1336" s="27" t="s">
        <v>49</v>
      </c>
    </row>
    <row r="1337" spans="1:24">
      <c r="A1337" s="27">
        <v>3</v>
      </c>
      <c r="B1337" s="27">
        <v>1</v>
      </c>
      <c r="C1337" s="27">
        <v>1</v>
      </c>
      <c r="D1337" s="27">
        <v>2018</v>
      </c>
      <c r="E1337" s="27">
        <v>2050</v>
      </c>
      <c r="F1337" s="27">
        <v>3</v>
      </c>
      <c r="G1337" s="27">
        <v>0</v>
      </c>
      <c r="H1337" s="27">
        <v>0</v>
      </c>
      <c r="I1337" s="27">
        <v>2</v>
      </c>
      <c r="J1337" s="27">
        <v>0.63</v>
      </c>
      <c r="K1337" s="27">
        <v>0.111</v>
      </c>
      <c r="L1337" s="27">
        <v>850</v>
      </c>
      <c r="M1337" s="27">
        <v>750</v>
      </c>
      <c r="N1337" s="27">
        <v>0</v>
      </c>
      <c r="O1337" s="27">
        <v>0</v>
      </c>
      <c r="P1337" s="27" t="s">
        <v>13</v>
      </c>
      <c r="Q1337" s="27">
        <v>1993</v>
      </c>
      <c r="R1337" s="27">
        <v>1</v>
      </c>
      <c r="S1337" s="27">
        <v>0</v>
      </c>
      <c r="T1337" s="27">
        <v>-2.7380000000000002E-2</v>
      </c>
      <c r="U1337" s="27">
        <v>-9.1270000000000004E-2</v>
      </c>
      <c r="V1337" s="27">
        <v>0</v>
      </c>
      <c r="W1337" s="27">
        <v>0</v>
      </c>
      <c r="X1337" s="27" t="s">
        <v>49</v>
      </c>
    </row>
    <row r="1338" spans="1:24">
      <c r="A1338" s="27">
        <v>3</v>
      </c>
      <c r="B1338" s="27">
        <v>1</v>
      </c>
      <c r="C1338" s="27">
        <v>1</v>
      </c>
      <c r="D1338" s="27">
        <v>2018</v>
      </c>
      <c r="E1338" s="27">
        <v>2050</v>
      </c>
      <c r="F1338" s="27">
        <v>4</v>
      </c>
      <c r="G1338" s="27">
        <v>0</v>
      </c>
      <c r="H1338" s="27">
        <v>0</v>
      </c>
      <c r="I1338" s="27">
        <v>2</v>
      </c>
      <c r="J1338" s="27">
        <v>0.63</v>
      </c>
      <c r="K1338" s="27">
        <v>0.111</v>
      </c>
      <c r="L1338" s="27">
        <v>850</v>
      </c>
      <c r="M1338" s="27">
        <v>750</v>
      </c>
      <c r="N1338" s="27">
        <v>0</v>
      </c>
      <c r="O1338" s="27">
        <v>0</v>
      </c>
      <c r="P1338" s="27" t="s">
        <v>13</v>
      </c>
      <c r="Q1338" s="27">
        <v>1993</v>
      </c>
      <c r="R1338" s="27">
        <v>1</v>
      </c>
      <c r="S1338" s="27">
        <v>0</v>
      </c>
      <c r="T1338" s="27">
        <v>-2.7380000000000002E-2</v>
      </c>
      <c r="U1338" s="27">
        <v>-9.1270000000000004E-2</v>
      </c>
      <c r="V1338" s="27">
        <v>0</v>
      </c>
      <c r="W1338" s="27">
        <v>0</v>
      </c>
      <c r="X1338" s="27" t="s">
        <v>49</v>
      </c>
    </row>
    <row r="1339" spans="1:24">
      <c r="A1339" s="27">
        <v>3</v>
      </c>
      <c r="B1339" s="27">
        <v>1</v>
      </c>
      <c r="C1339" s="27">
        <v>1</v>
      </c>
      <c r="D1339" s="27">
        <v>2018</v>
      </c>
      <c r="E1339" s="27">
        <v>2050</v>
      </c>
      <c r="F1339" s="27">
        <v>5</v>
      </c>
      <c r="G1339" s="27">
        <v>0</v>
      </c>
      <c r="H1339" s="27">
        <v>0</v>
      </c>
      <c r="I1339" s="27">
        <v>2</v>
      </c>
      <c r="J1339" s="27">
        <v>0.63</v>
      </c>
      <c r="K1339" s="27">
        <v>0.111</v>
      </c>
      <c r="L1339" s="27">
        <v>850</v>
      </c>
      <c r="M1339" s="27">
        <v>750</v>
      </c>
      <c r="N1339" s="27">
        <v>0</v>
      </c>
      <c r="O1339" s="27">
        <v>0</v>
      </c>
      <c r="P1339" s="27" t="s">
        <v>13</v>
      </c>
      <c r="Q1339" s="27">
        <v>1993</v>
      </c>
      <c r="R1339" s="27">
        <v>1</v>
      </c>
      <c r="S1339" s="27">
        <v>0</v>
      </c>
      <c r="T1339" s="27">
        <v>-2.7380000000000002E-2</v>
      </c>
      <c r="U1339" s="27">
        <v>-9.1270000000000004E-2</v>
      </c>
      <c r="V1339" s="27">
        <v>0</v>
      </c>
      <c r="W1339" s="27">
        <v>0</v>
      </c>
      <c r="X1339" s="27" t="s">
        <v>49</v>
      </c>
    </row>
    <row r="1340" spans="1:24">
      <c r="A1340" s="27">
        <v>3</v>
      </c>
      <c r="B1340" s="27">
        <v>1</v>
      </c>
      <c r="C1340" s="27">
        <v>1</v>
      </c>
      <c r="D1340" s="27">
        <v>2018</v>
      </c>
      <c r="E1340" s="27">
        <v>2050</v>
      </c>
      <c r="F1340" s="27">
        <v>6</v>
      </c>
      <c r="G1340" s="27">
        <v>0</v>
      </c>
      <c r="H1340" s="27">
        <v>0</v>
      </c>
      <c r="I1340" s="27">
        <v>2</v>
      </c>
      <c r="J1340" s="27">
        <v>0.63</v>
      </c>
      <c r="K1340" s="27">
        <v>0.111</v>
      </c>
      <c r="L1340" s="27">
        <v>850</v>
      </c>
      <c r="M1340" s="27">
        <v>750</v>
      </c>
      <c r="N1340" s="27">
        <v>0</v>
      </c>
      <c r="O1340" s="27">
        <v>0</v>
      </c>
      <c r="P1340" s="27" t="s">
        <v>13</v>
      </c>
      <c r="Q1340" s="27">
        <v>1993</v>
      </c>
      <c r="R1340" s="27">
        <v>1</v>
      </c>
      <c r="S1340" s="27">
        <v>0</v>
      </c>
      <c r="T1340" s="27">
        <v>-2.7380000000000002E-2</v>
      </c>
      <c r="U1340" s="27">
        <v>-9.1270000000000004E-2</v>
      </c>
      <c r="V1340" s="27">
        <v>0</v>
      </c>
      <c r="W1340" s="27">
        <v>0</v>
      </c>
      <c r="X1340" s="27" t="s">
        <v>49</v>
      </c>
    </row>
    <row r="1341" spans="1:24">
      <c r="A1341" s="27">
        <v>3</v>
      </c>
      <c r="B1341" s="27">
        <v>1</v>
      </c>
      <c r="C1341" s="27">
        <v>1</v>
      </c>
      <c r="D1341" s="27">
        <v>2018</v>
      </c>
      <c r="E1341" s="27">
        <v>2050</v>
      </c>
      <c r="F1341" s="27">
        <v>7</v>
      </c>
      <c r="G1341" s="27">
        <v>0</v>
      </c>
      <c r="H1341" s="27">
        <v>0</v>
      </c>
      <c r="I1341" s="27">
        <v>2</v>
      </c>
      <c r="J1341" s="27">
        <v>0.63</v>
      </c>
      <c r="K1341" s="27">
        <v>0.111</v>
      </c>
      <c r="L1341" s="27">
        <v>850</v>
      </c>
      <c r="M1341" s="27">
        <v>750</v>
      </c>
      <c r="N1341" s="27">
        <v>0</v>
      </c>
      <c r="O1341" s="27">
        <v>0</v>
      </c>
      <c r="P1341" s="27" t="s">
        <v>13</v>
      </c>
      <c r="Q1341" s="27">
        <v>1993</v>
      </c>
      <c r="R1341" s="27">
        <v>1</v>
      </c>
      <c r="S1341" s="27">
        <v>0</v>
      </c>
      <c r="T1341" s="27">
        <v>-2.7380000000000002E-2</v>
      </c>
      <c r="U1341" s="27">
        <v>-9.1270000000000004E-2</v>
      </c>
      <c r="V1341" s="27">
        <v>0</v>
      </c>
      <c r="W1341" s="27">
        <v>0</v>
      </c>
      <c r="X1341" s="27" t="s">
        <v>49</v>
      </c>
    </row>
    <row r="1342" spans="1:24">
      <c r="A1342" s="27">
        <v>3</v>
      </c>
      <c r="B1342" s="27">
        <v>1</v>
      </c>
      <c r="C1342" s="27">
        <v>1</v>
      </c>
      <c r="D1342" s="27">
        <v>2018</v>
      </c>
      <c r="E1342" s="27">
        <v>2050</v>
      </c>
      <c r="F1342" s="27">
        <v>8</v>
      </c>
      <c r="G1342" s="27">
        <v>0</v>
      </c>
      <c r="H1342" s="27">
        <v>0</v>
      </c>
      <c r="I1342" s="27">
        <v>2</v>
      </c>
      <c r="J1342" s="27">
        <v>0.63</v>
      </c>
      <c r="K1342" s="27">
        <v>0.111</v>
      </c>
      <c r="L1342" s="27">
        <v>850</v>
      </c>
      <c r="M1342" s="27">
        <v>750</v>
      </c>
      <c r="N1342" s="27">
        <v>0</v>
      </c>
      <c r="O1342" s="27">
        <v>0</v>
      </c>
      <c r="P1342" s="27" t="s">
        <v>13</v>
      </c>
      <c r="Q1342" s="27">
        <v>1993</v>
      </c>
      <c r="R1342" s="27">
        <v>1</v>
      </c>
      <c r="S1342" s="27">
        <v>0</v>
      </c>
      <c r="T1342" s="27">
        <v>-2.7380000000000002E-2</v>
      </c>
      <c r="U1342" s="27">
        <v>-9.1270000000000004E-2</v>
      </c>
      <c r="V1342" s="27">
        <v>0</v>
      </c>
      <c r="W1342" s="27">
        <v>0</v>
      </c>
      <c r="X1342" s="27" t="s">
        <v>49</v>
      </c>
    </row>
    <row r="1343" spans="1:24">
      <c r="A1343" s="27">
        <v>3</v>
      </c>
      <c r="B1343" s="27">
        <v>1</v>
      </c>
      <c r="C1343" s="27">
        <v>1</v>
      </c>
      <c r="D1343" s="27">
        <v>2018</v>
      </c>
      <c r="E1343" s="27">
        <v>2050</v>
      </c>
      <c r="F1343" s="27">
        <v>9</v>
      </c>
      <c r="G1343" s="27">
        <v>0</v>
      </c>
      <c r="H1343" s="27">
        <v>0</v>
      </c>
      <c r="I1343" s="27">
        <v>2</v>
      </c>
      <c r="J1343" s="27">
        <v>0.63</v>
      </c>
      <c r="K1343" s="27">
        <v>0.111</v>
      </c>
      <c r="L1343" s="27">
        <v>850</v>
      </c>
      <c r="M1343" s="27">
        <v>750</v>
      </c>
      <c r="N1343" s="27">
        <v>0</v>
      </c>
      <c r="O1343" s="27">
        <v>0</v>
      </c>
      <c r="P1343" s="27" t="s">
        <v>13</v>
      </c>
      <c r="Q1343" s="27">
        <v>1993</v>
      </c>
      <c r="R1343" s="27">
        <v>1</v>
      </c>
      <c r="S1343" s="27">
        <v>0</v>
      </c>
      <c r="T1343" s="27">
        <v>-2.7380000000000002E-2</v>
      </c>
      <c r="U1343" s="27">
        <v>-9.1270000000000004E-2</v>
      </c>
      <c r="V1343" s="27">
        <v>0</v>
      </c>
      <c r="W1343" s="27">
        <v>0</v>
      </c>
      <c r="X1343" s="27" t="s">
        <v>49</v>
      </c>
    </row>
    <row r="1344" spans="1:24">
      <c r="A1344" s="27">
        <v>3</v>
      </c>
      <c r="B1344" s="27">
        <v>1</v>
      </c>
      <c r="C1344" s="27">
        <v>2</v>
      </c>
      <c r="D1344" s="27">
        <v>2010</v>
      </c>
      <c r="E1344" s="27">
        <v>2010</v>
      </c>
      <c r="F1344" s="27">
        <v>1</v>
      </c>
      <c r="G1344" s="27">
        <v>0</v>
      </c>
      <c r="H1344" s="27">
        <v>0</v>
      </c>
      <c r="I1344" s="27">
        <v>2</v>
      </c>
      <c r="J1344" s="27">
        <v>0.63</v>
      </c>
      <c r="K1344" s="27">
        <v>0.12</v>
      </c>
      <c r="L1344" s="27">
        <v>700</v>
      </c>
      <c r="M1344" s="27">
        <v>600</v>
      </c>
      <c r="N1344" s="27">
        <v>150</v>
      </c>
      <c r="O1344" s="27">
        <v>150</v>
      </c>
      <c r="P1344" s="27" t="s">
        <v>13</v>
      </c>
      <c r="Q1344" s="27">
        <v>1993</v>
      </c>
      <c r="R1344" s="27">
        <v>1</v>
      </c>
      <c r="S1344" s="27">
        <v>0</v>
      </c>
      <c r="T1344" s="27">
        <v>-2.7380000000000002E-2</v>
      </c>
      <c r="U1344" s="27">
        <v>-9.1270000000000004E-2</v>
      </c>
      <c r="V1344" s="27">
        <v>0</v>
      </c>
      <c r="W1344" s="27">
        <v>0</v>
      </c>
      <c r="X1344" s="27" t="s">
        <v>50</v>
      </c>
    </row>
    <row r="1345" spans="1:24">
      <c r="A1345" s="27">
        <v>3</v>
      </c>
      <c r="B1345" s="27">
        <v>1</v>
      </c>
      <c r="C1345" s="27">
        <v>2</v>
      </c>
      <c r="D1345" s="27">
        <v>2010</v>
      </c>
      <c r="E1345" s="27">
        <v>2010</v>
      </c>
      <c r="F1345" s="27">
        <v>2</v>
      </c>
      <c r="G1345" s="27">
        <v>0</v>
      </c>
      <c r="H1345" s="27">
        <v>0</v>
      </c>
      <c r="I1345" s="27">
        <v>2</v>
      </c>
      <c r="J1345" s="27">
        <v>0.63</v>
      </c>
      <c r="K1345" s="27">
        <v>0.12</v>
      </c>
      <c r="L1345" s="27">
        <v>700</v>
      </c>
      <c r="M1345" s="27">
        <v>600</v>
      </c>
      <c r="N1345" s="27">
        <v>150</v>
      </c>
      <c r="O1345" s="27">
        <v>150</v>
      </c>
      <c r="P1345" s="27" t="s">
        <v>13</v>
      </c>
      <c r="Q1345" s="27">
        <v>1993</v>
      </c>
      <c r="R1345" s="27">
        <v>1</v>
      </c>
      <c r="S1345" s="27">
        <v>0</v>
      </c>
      <c r="T1345" s="27">
        <v>-2.7380000000000002E-2</v>
      </c>
      <c r="U1345" s="27">
        <v>-9.1270000000000004E-2</v>
      </c>
      <c r="V1345" s="27">
        <v>0</v>
      </c>
      <c r="W1345" s="27">
        <v>0</v>
      </c>
      <c r="X1345" s="27" t="s">
        <v>50</v>
      </c>
    </row>
    <row r="1346" spans="1:24">
      <c r="A1346" s="27">
        <v>3</v>
      </c>
      <c r="B1346" s="27">
        <v>1</v>
      </c>
      <c r="C1346" s="27">
        <v>2</v>
      </c>
      <c r="D1346" s="27">
        <v>2010</v>
      </c>
      <c r="E1346" s="27">
        <v>2010</v>
      </c>
      <c r="F1346" s="27">
        <v>3</v>
      </c>
      <c r="G1346" s="27">
        <v>0</v>
      </c>
      <c r="H1346" s="27">
        <v>0</v>
      </c>
      <c r="I1346" s="27">
        <v>2</v>
      </c>
      <c r="J1346" s="27">
        <v>0.63</v>
      </c>
      <c r="K1346" s="27">
        <v>0.12</v>
      </c>
      <c r="L1346" s="27">
        <v>700</v>
      </c>
      <c r="M1346" s="27">
        <v>600</v>
      </c>
      <c r="N1346" s="27">
        <v>150</v>
      </c>
      <c r="O1346" s="27">
        <v>150</v>
      </c>
      <c r="P1346" s="27" t="s">
        <v>13</v>
      </c>
      <c r="Q1346" s="27">
        <v>1993</v>
      </c>
      <c r="R1346" s="27">
        <v>1</v>
      </c>
      <c r="S1346" s="27">
        <v>0</v>
      </c>
      <c r="T1346" s="27">
        <v>-2.7380000000000002E-2</v>
      </c>
      <c r="U1346" s="27">
        <v>-9.1270000000000004E-2</v>
      </c>
      <c r="V1346" s="27">
        <v>0</v>
      </c>
      <c r="W1346" s="27">
        <v>0</v>
      </c>
      <c r="X1346" s="27" t="s">
        <v>50</v>
      </c>
    </row>
    <row r="1347" spans="1:24">
      <c r="A1347" s="27">
        <v>3</v>
      </c>
      <c r="B1347" s="27">
        <v>1</v>
      </c>
      <c r="C1347" s="27">
        <v>2</v>
      </c>
      <c r="D1347" s="27">
        <v>2010</v>
      </c>
      <c r="E1347" s="27">
        <v>2010</v>
      </c>
      <c r="F1347" s="27">
        <v>4</v>
      </c>
      <c r="G1347" s="27">
        <v>0</v>
      </c>
      <c r="H1347" s="27">
        <v>0</v>
      </c>
      <c r="I1347" s="27">
        <v>2</v>
      </c>
      <c r="J1347" s="27">
        <v>0.63</v>
      </c>
      <c r="K1347" s="27">
        <v>0.12</v>
      </c>
      <c r="L1347" s="27">
        <v>700</v>
      </c>
      <c r="M1347" s="27">
        <v>600</v>
      </c>
      <c r="N1347" s="27">
        <v>150</v>
      </c>
      <c r="O1347" s="27">
        <v>150</v>
      </c>
      <c r="P1347" s="27" t="s">
        <v>13</v>
      </c>
      <c r="Q1347" s="27">
        <v>1993</v>
      </c>
      <c r="R1347" s="27">
        <v>1</v>
      </c>
      <c r="S1347" s="27">
        <v>0</v>
      </c>
      <c r="T1347" s="27">
        <v>-2.7380000000000002E-2</v>
      </c>
      <c r="U1347" s="27">
        <v>-9.1270000000000004E-2</v>
      </c>
      <c r="V1347" s="27">
        <v>0</v>
      </c>
      <c r="W1347" s="27">
        <v>0</v>
      </c>
      <c r="X1347" s="27" t="s">
        <v>50</v>
      </c>
    </row>
    <row r="1348" spans="1:24">
      <c r="A1348" s="27">
        <v>3</v>
      </c>
      <c r="B1348" s="27">
        <v>1</v>
      </c>
      <c r="C1348" s="27">
        <v>2</v>
      </c>
      <c r="D1348" s="27">
        <v>2010</v>
      </c>
      <c r="E1348" s="27">
        <v>2010</v>
      </c>
      <c r="F1348" s="27">
        <v>5</v>
      </c>
      <c r="G1348" s="27">
        <v>0</v>
      </c>
      <c r="H1348" s="27">
        <v>0</v>
      </c>
      <c r="I1348" s="27">
        <v>2</v>
      </c>
      <c r="J1348" s="27">
        <v>0.63</v>
      </c>
      <c r="K1348" s="27">
        <v>0.12</v>
      </c>
      <c r="L1348" s="27">
        <v>700</v>
      </c>
      <c r="M1348" s="27">
        <v>600</v>
      </c>
      <c r="N1348" s="27">
        <v>150</v>
      </c>
      <c r="O1348" s="27">
        <v>150</v>
      </c>
      <c r="P1348" s="27" t="s">
        <v>13</v>
      </c>
      <c r="Q1348" s="27">
        <v>1993</v>
      </c>
      <c r="R1348" s="27">
        <v>1</v>
      </c>
      <c r="S1348" s="27">
        <v>0</v>
      </c>
      <c r="T1348" s="27">
        <v>-2.7380000000000002E-2</v>
      </c>
      <c r="U1348" s="27">
        <v>-9.1270000000000004E-2</v>
      </c>
      <c r="V1348" s="27">
        <v>0</v>
      </c>
      <c r="W1348" s="27">
        <v>0</v>
      </c>
      <c r="X1348" s="27" t="s">
        <v>50</v>
      </c>
    </row>
    <row r="1349" spans="1:24">
      <c r="A1349" s="27">
        <v>3</v>
      </c>
      <c r="B1349" s="27">
        <v>1</v>
      </c>
      <c r="C1349" s="27">
        <v>2</v>
      </c>
      <c r="D1349" s="27">
        <v>2010</v>
      </c>
      <c r="E1349" s="27">
        <v>2010</v>
      </c>
      <c r="F1349" s="27">
        <v>6</v>
      </c>
      <c r="G1349" s="27">
        <v>0</v>
      </c>
      <c r="H1349" s="27">
        <v>0</v>
      </c>
      <c r="I1349" s="27">
        <v>2</v>
      </c>
      <c r="J1349" s="27">
        <v>0.63</v>
      </c>
      <c r="K1349" s="27">
        <v>0.12</v>
      </c>
      <c r="L1349" s="27">
        <v>700</v>
      </c>
      <c r="M1349" s="27">
        <v>600</v>
      </c>
      <c r="N1349" s="27">
        <v>150</v>
      </c>
      <c r="O1349" s="27">
        <v>150</v>
      </c>
      <c r="P1349" s="27" t="s">
        <v>13</v>
      </c>
      <c r="Q1349" s="27">
        <v>1993</v>
      </c>
      <c r="R1349" s="27">
        <v>1</v>
      </c>
      <c r="S1349" s="27">
        <v>0</v>
      </c>
      <c r="T1349" s="27">
        <v>-2.7380000000000002E-2</v>
      </c>
      <c r="U1349" s="27">
        <v>-9.1270000000000004E-2</v>
      </c>
      <c r="V1349" s="27">
        <v>0</v>
      </c>
      <c r="W1349" s="27">
        <v>0</v>
      </c>
      <c r="X1349" s="27" t="s">
        <v>50</v>
      </c>
    </row>
    <row r="1350" spans="1:24">
      <c r="A1350" s="27">
        <v>3</v>
      </c>
      <c r="B1350" s="27">
        <v>1</v>
      </c>
      <c r="C1350" s="27">
        <v>2</v>
      </c>
      <c r="D1350" s="27">
        <v>2010</v>
      </c>
      <c r="E1350" s="27">
        <v>2010</v>
      </c>
      <c r="F1350" s="27">
        <v>7</v>
      </c>
      <c r="G1350" s="27">
        <v>0</v>
      </c>
      <c r="H1350" s="27">
        <v>0</v>
      </c>
      <c r="I1350" s="27">
        <v>2</v>
      </c>
      <c r="J1350" s="27">
        <v>0.63</v>
      </c>
      <c r="K1350" s="27">
        <v>0.12</v>
      </c>
      <c r="L1350" s="27">
        <v>700</v>
      </c>
      <c r="M1350" s="27">
        <v>600</v>
      </c>
      <c r="N1350" s="27">
        <v>150</v>
      </c>
      <c r="O1350" s="27">
        <v>150</v>
      </c>
      <c r="P1350" s="27" t="s">
        <v>13</v>
      </c>
      <c r="Q1350" s="27">
        <v>1993</v>
      </c>
      <c r="R1350" s="27">
        <v>1</v>
      </c>
      <c r="S1350" s="27">
        <v>0</v>
      </c>
      <c r="T1350" s="27">
        <v>-2.7380000000000002E-2</v>
      </c>
      <c r="U1350" s="27">
        <v>-9.1270000000000004E-2</v>
      </c>
      <c r="V1350" s="27">
        <v>0</v>
      </c>
      <c r="W1350" s="27">
        <v>0</v>
      </c>
      <c r="X1350" s="27" t="s">
        <v>50</v>
      </c>
    </row>
    <row r="1351" spans="1:24">
      <c r="A1351" s="27">
        <v>3</v>
      </c>
      <c r="B1351" s="27">
        <v>1</v>
      </c>
      <c r="C1351" s="27">
        <v>2</v>
      </c>
      <c r="D1351" s="27">
        <v>2010</v>
      </c>
      <c r="E1351" s="27">
        <v>2010</v>
      </c>
      <c r="F1351" s="27">
        <v>8</v>
      </c>
      <c r="G1351" s="27">
        <v>0</v>
      </c>
      <c r="H1351" s="27">
        <v>0</v>
      </c>
      <c r="I1351" s="27">
        <v>2</v>
      </c>
      <c r="J1351" s="27">
        <v>0.63</v>
      </c>
      <c r="K1351" s="27">
        <v>0.12</v>
      </c>
      <c r="L1351" s="27">
        <v>700</v>
      </c>
      <c r="M1351" s="27">
        <v>600</v>
      </c>
      <c r="N1351" s="27">
        <v>150</v>
      </c>
      <c r="O1351" s="27">
        <v>150</v>
      </c>
      <c r="P1351" s="27" t="s">
        <v>13</v>
      </c>
      <c r="Q1351" s="27">
        <v>1993</v>
      </c>
      <c r="R1351" s="27">
        <v>1</v>
      </c>
      <c r="S1351" s="27">
        <v>0</v>
      </c>
      <c r="T1351" s="27">
        <v>-2.7380000000000002E-2</v>
      </c>
      <c r="U1351" s="27">
        <v>-9.1270000000000004E-2</v>
      </c>
      <c r="V1351" s="27">
        <v>0</v>
      </c>
      <c r="W1351" s="27">
        <v>0</v>
      </c>
      <c r="X1351" s="27" t="s">
        <v>50</v>
      </c>
    </row>
    <row r="1352" spans="1:24">
      <c r="A1352" s="27">
        <v>3</v>
      </c>
      <c r="B1352" s="27">
        <v>1</v>
      </c>
      <c r="C1352" s="27">
        <v>2</v>
      </c>
      <c r="D1352" s="27">
        <v>2010</v>
      </c>
      <c r="E1352" s="27">
        <v>2010</v>
      </c>
      <c r="F1352" s="27">
        <v>9</v>
      </c>
      <c r="G1352" s="27">
        <v>0</v>
      </c>
      <c r="H1352" s="27">
        <v>0</v>
      </c>
      <c r="I1352" s="27">
        <v>2</v>
      </c>
      <c r="J1352" s="27">
        <v>0.63</v>
      </c>
      <c r="K1352" s="27">
        <v>0.12</v>
      </c>
      <c r="L1352" s="27">
        <v>700</v>
      </c>
      <c r="M1352" s="27">
        <v>600</v>
      </c>
      <c r="N1352" s="27">
        <v>150</v>
      </c>
      <c r="O1352" s="27">
        <v>150</v>
      </c>
      <c r="P1352" s="27" t="s">
        <v>13</v>
      </c>
      <c r="Q1352" s="27">
        <v>1993</v>
      </c>
      <c r="R1352" s="27">
        <v>1</v>
      </c>
      <c r="S1352" s="27">
        <v>0</v>
      </c>
      <c r="T1352" s="27">
        <v>-2.7380000000000002E-2</v>
      </c>
      <c r="U1352" s="27">
        <v>-9.1270000000000004E-2</v>
      </c>
      <c r="V1352" s="27">
        <v>0</v>
      </c>
      <c r="W1352" s="27">
        <v>0</v>
      </c>
      <c r="X1352" s="27" t="s">
        <v>50</v>
      </c>
    </row>
    <row r="1353" spans="1:24">
      <c r="A1353" s="27">
        <v>3</v>
      </c>
      <c r="B1353" s="27">
        <v>1</v>
      </c>
      <c r="C1353" s="27">
        <v>2</v>
      </c>
      <c r="D1353" s="27">
        <v>2011</v>
      </c>
      <c r="E1353" s="27">
        <v>2014</v>
      </c>
      <c r="F1353" s="27">
        <v>1</v>
      </c>
      <c r="G1353" s="27">
        <v>0</v>
      </c>
      <c r="H1353" s="27">
        <v>0</v>
      </c>
      <c r="I1353" s="27">
        <v>2</v>
      </c>
      <c r="J1353" s="27">
        <v>0.63</v>
      </c>
      <c r="K1353" s="27">
        <v>0.12</v>
      </c>
      <c r="L1353" s="27">
        <v>700</v>
      </c>
      <c r="M1353" s="27">
        <v>600</v>
      </c>
      <c r="N1353" s="27">
        <v>0</v>
      </c>
      <c r="O1353" s="27">
        <v>0</v>
      </c>
      <c r="P1353" s="27" t="s">
        <v>13</v>
      </c>
      <c r="Q1353" s="27">
        <v>1993</v>
      </c>
      <c r="R1353" s="27">
        <v>1</v>
      </c>
      <c r="S1353" s="27">
        <v>0</v>
      </c>
      <c r="T1353" s="27">
        <v>-2.7380000000000002E-2</v>
      </c>
      <c r="U1353" s="27">
        <v>-9.1270000000000004E-2</v>
      </c>
      <c r="V1353" s="27">
        <v>0</v>
      </c>
      <c r="W1353" s="27">
        <v>0</v>
      </c>
      <c r="X1353" s="27" t="s">
        <v>50</v>
      </c>
    </row>
    <row r="1354" spans="1:24">
      <c r="A1354" s="27">
        <v>3</v>
      </c>
      <c r="B1354" s="27">
        <v>1</v>
      </c>
      <c r="C1354" s="27">
        <v>2</v>
      </c>
      <c r="D1354" s="27">
        <v>2011</v>
      </c>
      <c r="E1354" s="27">
        <v>2014</v>
      </c>
      <c r="F1354" s="27">
        <v>2</v>
      </c>
      <c r="G1354" s="27">
        <v>0</v>
      </c>
      <c r="H1354" s="27">
        <v>0</v>
      </c>
      <c r="I1354" s="27">
        <v>2</v>
      </c>
      <c r="J1354" s="27">
        <v>0.63</v>
      </c>
      <c r="K1354" s="27">
        <v>0.12</v>
      </c>
      <c r="L1354" s="27">
        <v>700</v>
      </c>
      <c r="M1354" s="27">
        <v>600</v>
      </c>
      <c r="N1354" s="27">
        <v>0</v>
      </c>
      <c r="O1354" s="27">
        <v>0</v>
      </c>
      <c r="P1354" s="27" t="s">
        <v>13</v>
      </c>
      <c r="Q1354" s="27">
        <v>1993</v>
      </c>
      <c r="R1354" s="27">
        <v>1</v>
      </c>
      <c r="S1354" s="27">
        <v>0</v>
      </c>
      <c r="T1354" s="27">
        <v>-2.7380000000000002E-2</v>
      </c>
      <c r="U1354" s="27">
        <v>-9.1270000000000004E-2</v>
      </c>
      <c r="V1354" s="27">
        <v>0</v>
      </c>
      <c r="W1354" s="27">
        <v>0</v>
      </c>
      <c r="X1354" s="27" t="s">
        <v>50</v>
      </c>
    </row>
    <row r="1355" spans="1:24">
      <c r="A1355" s="27">
        <v>3</v>
      </c>
      <c r="B1355" s="27">
        <v>1</v>
      </c>
      <c r="C1355" s="27">
        <v>2</v>
      </c>
      <c r="D1355" s="27">
        <v>2011</v>
      </c>
      <c r="E1355" s="27">
        <v>2014</v>
      </c>
      <c r="F1355" s="27">
        <v>3</v>
      </c>
      <c r="G1355" s="27">
        <v>0</v>
      </c>
      <c r="H1355" s="27">
        <v>0</v>
      </c>
      <c r="I1355" s="27">
        <v>2</v>
      </c>
      <c r="J1355" s="27">
        <v>0.63</v>
      </c>
      <c r="K1355" s="27">
        <v>0.12</v>
      </c>
      <c r="L1355" s="27">
        <v>700</v>
      </c>
      <c r="M1355" s="27">
        <v>600</v>
      </c>
      <c r="N1355" s="27">
        <v>0</v>
      </c>
      <c r="O1355" s="27">
        <v>0</v>
      </c>
      <c r="P1355" s="27" t="s">
        <v>13</v>
      </c>
      <c r="Q1355" s="27">
        <v>1993</v>
      </c>
      <c r="R1355" s="27">
        <v>1</v>
      </c>
      <c r="S1355" s="27">
        <v>0</v>
      </c>
      <c r="T1355" s="27">
        <v>-2.7380000000000002E-2</v>
      </c>
      <c r="U1355" s="27">
        <v>-9.1270000000000004E-2</v>
      </c>
      <c r="V1355" s="27">
        <v>0</v>
      </c>
      <c r="W1355" s="27">
        <v>0</v>
      </c>
      <c r="X1355" s="27" t="s">
        <v>50</v>
      </c>
    </row>
    <row r="1356" spans="1:24">
      <c r="A1356" s="27">
        <v>3</v>
      </c>
      <c r="B1356" s="27">
        <v>1</v>
      </c>
      <c r="C1356" s="27">
        <v>2</v>
      </c>
      <c r="D1356" s="27">
        <v>2011</v>
      </c>
      <c r="E1356" s="27">
        <v>2014</v>
      </c>
      <c r="F1356" s="27">
        <v>4</v>
      </c>
      <c r="G1356" s="27">
        <v>0</v>
      </c>
      <c r="H1356" s="27">
        <v>0</v>
      </c>
      <c r="I1356" s="27">
        <v>2</v>
      </c>
      <c r="J1356" s="27">
        <v>0.63</v>
      </c>
      <c r="K1356" s="27">
        <v>0.12</v>
      </c>
      <c r="L1356" s="27">
        <v>700</v>
      </c>
      <c r="M1356" s="27">
        <v>600</v>
      </c>
      <c r="N1356" s="27">
        <v>0</v>
      </c>
      <c r="O1356" s="27">
        <v>0</v>
      </c>
      <c r="P1356" s="27" t="s">
        <v>13</v>
      </c>
      <c r="Q1356" s="27">
        <v>1993</v>
      </c>
      <c r="R1356" s="27">
        <v>1</v>
      </c>
      <c r="S1356" s="27">
        <v>0</v>
      </c>
      <c r="T1356" s="27">
        <v>-2.7380000000000002E-2</v>
      </c>
      <c r="U1356" s="27">
        <v>-9.1270000000000004E-2</v>
      </c>
      <c r="V1356" s="27">
        <v>0</v>
      </c>
      <c r="W1356" s="27">
        <v>0</v>
      </c>
      <c r="X1356" s="27" t="s">
        <v>50</v>
      </c>
    </row>
    <row r="1357" spans="1:24">
      <c r="A1357" s="27">
        <v>3</v>
      </c>
      <c r="B1357" s="27">
        <v>1</v>
      </c>
      <c r="C1357" s="27">
        <v>2</v>
      </c>
      <c r="D1357" s="27">
        <v>2011</v>
      </c>
      <c r="E1357" s="27">
        <v>2014</v>
      </c>
      <c r="F1357" s="27">
        <v>5</v>
      </c>
      <c r="G1357" s="27">
        <v>0</v>
      </c>
      <c r="H1357" s="27">
        <v>0</v>
      </c>
      <c r="I1357" s="27">
        <v>2</v>
      </c>
      <c r="J1357" s="27">
        <v>0.63</v>
      </c>
      <c r="K1357" s="27">
        <v>0.12</v>
      </c>
      <c r="L1357" s="27">
        <v>700</v>
      </c>
      <c r="M1357" s="27">
        <v>600</v>
      </c>
      <c r="N1357" s="27">
        <v>0</v>
      </c>
      <c r="O1357" s="27">
        <v>0</v>
      </c>
      <c r="P1357" s="27" t="s">
        <v>13</v>
      </c>
      <c r="Q1357" s="27">
        <v>1993</v>
      </c>
      <c r="R1357" s="27">
        <v>1</v>
      </c>
      <c r="S1357" s="27">
        <v>0</v>
      </c>
      <c r="T1357" s="27">
        <v>-2.7380000000000002E-2</v>
      </c>
      <c r="U1357" s="27">
        <v>-9.1270000000000004E-2</v>
      </c>
      <c r="V1357" s="27">
        <v>0</v>
      </c>
      <c r="W1357" s="27">
        <v>0</v>
      </c>
      <c r="X1357" s="27" t="s">
        <v>50</v>
      </c>
    </row>
    <row r="1358" spans="1:24">
      <c r="A1358" s="27">
        <v>3</v>
      </c>
      <c r="B1358" s="27">
        <v>1</v>
      </c>
      <c r="C1358" s="27">
        <v>2</v>
      </c>
      <c r="D1358" s="27">
        <v>2011</v>
      </c>
      <c r="E1358" s="27">
        <v>2014</v>
      </c>
      <c r="F1358" s="27">
        <v>6</v>
      </c>
      <c r="G1358" s="27">
        <v>0</v>
      </c>
      <c r="H1358" s="27">
        <v>0</v>
      </c>
      <c r="I1358" s="27">
        <v>2</v>
      </c>
      <c r="J1358" s="27">
        <v>0.63</v>
      </c>
      <c r="K1358" s="27">
        <v>0.12</v>
      </c>
      <c r="L1358" s="27">
        <v>700</v>
      </c>
      <c r="M1358" s="27">
        <v>600</v>
      </c>
      <c r="N1358" s="27">
        <v>0</v>
      </c>
      <c r="O1358" s="27">
        <v>0</v>
      </c>
      <c r="P1358" s="27" t="s">
        <v>13</v>
      </c>
      <c r="Q1358" s="27">
        <v>1993</v>
      </c>
      <c r="R1358" s="27">
        <v>1</v>
      </c>
      <c r="S1358" s="27">
        <v>0</v>
      </c>
      <c r="T1358" s="27">
        <v>-2.7380000000000002E-2</v>
      </c>
      <c r="U1358" s="27">
        <v>-9.1270000000000004E-2</v>
      </c>
      <c r="V1358" s="27">
        <v>0</v>
      </c>
      <c r="W1358" s="27">
        <v>0</v>
      </c>
      <c r="X1358" s="27" t="s">
        <v>50</v>
      </c>
    </row>
    <row r="1359" spans="1:24">
      <c r="A1359" s="27">
        <v>3</v>
      </c>
      <c r="B1359" s="27">
        <v>1</v>
      </c>
      <c r="C1359" s="27">
        <v>2</v>
      </c>
      <c r="D1359" s="27">
        <v>2011</v>
      </c>
      <c r="E1359" s="27">
        <v>2014</v>
      </c>
      <c r="F1359" s="27">
        <v>7</v>
      </c>
      <c r="G1359" s="27">
        <v>0</v>
      </c>
      <c r="H1359" s="27">
        <v>0</v>
      </c>
      <c r="I1359" s="27">
        <v>2</v>
      </c>
      <c r="J1359" s="27">
        <v>0.63</v>
      </c>
      <c r="K1359" s="27">
        <v>0.12</v>
      </c>
      <c r="L1359" s="27">
        <v>700</v>
      </c>
      <c r="M1359" s="27">
        <v>600</v>
      </c>
      <c r="N1359" s="27">
        <v>0</v>
      </c>
      <c r="O1359" s="27">
        <v>0</v>
      </c>
      <c r="P1359" s="27" t="s">
        <v>13</v>
      </c>
      <c r="Q1359" s="27">
        <v>1993</v>
      </c>
      <c r="R1359" s="27">
        <v>1</v>
      </c>
      <c r="S1359" s="27">
        <v>0</v>
      </c>
      <c r="T1359" s="27">
        <v>-2.7380000000000002E-2</v>
      </c>
      <c r="U1359" s="27">
        <v>-9.1270000000000004E-2</v>
      </c>
      <c r="V1359" s="27">
        <v>0</v>
      </c>
      <c r="W1359" s="27">
        <v>0</v>
      </c>
      <c r="X1359" s="27" t="s">
        <v>50</v>
      </c>
    </row>
    <row r="1360" spans="1:24">
      <c r="A1360" s="27">
        <v>3</v>
      </c>
      <c r="B1360" s="27">
        <v>1</v>
      </c>
      <c r="C1360" s="27">
        <v>2</v>
      </c>
      <c r="D1360" s="27">
        <v>2011</v>
      </c>
      <c r="E1360" s="27">
        <v>2014</v>
      </c>
      <c r="F1360" s="27">
        <v>8</v>
      </c>
      <c r="G1360" s="27">
        <v>0</v>
      </c>
      <c r="H1360" s="27">
        <v>0</v>
      </c>
      <c r="I1360" s="27">
        <v>2</v>
      </c>
      <c r="J1360" s="27">
        <v>0.63</v>
      </c>
      <c r="K1360" s="27">
        <v>0.12</v>
      </c>
      <c r="L1360" s="27">
        <v>700</v>
      </c>
      <c r="M1360" s="27">
        <v>600</v>
      </c>
      <c r="N1360" s="27">
        <v>0</v>
      </c>
      <c r="O1360" s="27">
        <v>0</v>
      </c>
      <c r="P1360" s="27" t="s">
        <v>13</v>
      </c>
      <c r="Q1360" s="27">
        <v>1993</v>
      </c>
      <c r="R1360" s="27">
        <v>1</v>
      </c>
      <c r="S1360" s="27">
        <v>0</v>
      </c>
      <c r="T1360" s="27">
        <v>-2.7380000000000002E-2</v>
      </c>
      <c r="U1360" s="27">
        <v>-9.1270000000000004E-2</v>
      </c>
      <c r="V1360" s="27">
        <v>0</v>
      </c>
      <c r="W1360" s="27">
        <v>0</v>
      </c>
      <c r="X1360" s="27" t="s">
        <v>50</v>
      </c>
    </row>
    <row r="1361" spans="1:24">
      <c r="A1361" s="27">
        <v>3</v>
      </c>
      <c r="B1361" s="27">
        <v>1</v>
      </c>
      <c r="C1361" s="27">
        <v>2</v>
      </c>
      <c r="D1361" s="27">
        <v>2011</v>
      </c>
      <c r="E1361" s="27">
        <v>2014</v>
      </c>
      <c r="F1361" s="27">
        <v>9</v>
      </c>
      <c r="G1361" s="27">
        <v>0</v>
      </c>
      <c r="H1361" s="27">
        <v>0</v>
      </c>
      <c r="I1361" s="27">
        <v>2</v>
      </c>
      <c r="J1361" s="27">
        <v>0.63</v>
      </c>
      <c r="K1361" s="27">
        <v>0.12</v>
      </c>
      <c r="L1361" s="27">
        <v>700</v>
      </c>
      <c r="M1361" s="27">
        <v>600</v>
      </c>
      <c r="N1361" s="27">
        <v>0</v>
      </c>
      <c r="O1361" s="27">
        <v>0</v>
      </c>
      <c r="P1361" s="27" t="s">
        <v>13</v>
      </c>
      <c r="Q1361" s="27">
        <v>1993</v>
      </c>
      <c r="R1361" s="27">
        <v>1</v>
      </c>
      <c r="S1361" s="27">
        <v>0</v>
      </c>
      <c r="T1361" s="27">
        <v>-2.7380000000000002E-2</v>
      </c>
      <c r="U1361" s="27">
        <v>-9.1270000000000004E-2</v>
      </c>
      <c r="V1361" s="27">
        <v>0</v>
      </c>
      <c r="W1361" s="27">
        <v>0</v>
      </c>
      <c r="X1361" s="27" t="s">
        <v>50</v>
      </c>
    </row>
    <row r="1362" spans="1:24">
      <c r="A1362" s="27">
        <v>3</v>
      </c>
      <c r="B1362" s="27">
        <v>1</v>
      </c>
      <c r="C1362" s="27">
        <v>2</v>
      </c>
      <c r="D1362" s="27">
        <v>2015</v>
      </c>
      <c r="E1362" s="27">
        <v>2050</v>
      </c>
      <c r="F1362" s="27">
        <v>1</v>
      </c>
      <c r="G1362" s="27">
        <v>0</v>
      </c>
      <c r="H1362" s="27">
        <v>0</v>
      </c>
      <c r="I1362" s="27">
        <v>2.2000000000000002</v>
      </c>
      <c r="J1362" s="27">
        <v>0.47</v>
      </c>
      <c r="K1362" s="27">
        <v>0.109</v>
      </c>
      <c r="L1362" s="27">
        <v>725</v>
      </c>
      <c r="M1362" s="27">
        <v>625</v>
      </c>
      <c r="N1362" s="27">
        <v>0</v>
      </c>
      <c r="O1362" s="27">
        <v>0</v>
      </c>
      <c r="P1362" s="27" t="s">
        <v>13</v>
      </c>
      <c r="Q1362" s="27">
        <v>1993</v>
      </c>
      <c r="R1362" s="27">
        <v>1</v>
      </c>
      <c r="S1362" s="27">
        <v>0</v>
      </c>
      <c r="T1362" s="27">
        <v>-2.7380000000000002E-2</v>
      </c>
      <c r="U1362" s="27">
        <v>-9.1270000000000004E-2</v>
      </c>
      <c r="V1362" s="27">
        <v>0</v>
      </c>
      <c r="W1362" s="27">
        <v>0</v>
      </c>
      <c r="X1362" s="27" t="s">
        <v>50</v>
      </c>
    </row>
    <row r="1363" spans="1:24">
      <c r="A1363" s="27">
        <v>3</v>
      </c>
      <c r="B1363" s="27">
        <v>1</v>
      </c>
      <c r="C1363" s="27">
        <v>2</v>
      </c>
      <c r="D1363" s="27">
        <v>2015</v>
      </c>
      <c r="E1363" s="27">
        <v>2050</v>
      </c>
      <c r="F1363" s="27">
        <v>2</v>
      </c>
      <c r="G1363" s="27">
        <v>0</v>
      </c>
      <c r="H1363" s="27">
        <v>0</v>
      </c>
      <c r="I1363" s="27">
        <v>2.2000000000000002</v>
      </c>
      <c r="J1363" s="27">
        <v>0.47</v>
      </c>
      <c r="K1363" s="27">
        <v>0.109</v>
      </c>
      <c r="L1363" s="27">
        <v>725</v>
      </c>
      <c r="M1363" s="27">
        <v>625</v>
      </c>
      <c r="N1363" s="27">
        <v>0</v>
      </c>
      <c r="O1363" s="27">
        <v>0</v>
      </c>
      <c r="P1363" s="27" t="s">
        <v>13</v>
      </c>
      <c r="Q1363" s="27">
        <v>1993</v>
      </c>
      <c r="R1363" s="27">
        <v>1</v>
      </c>
      <c r="S1363" s="27">
        <v>0</v>
      </c>
      <c r="T1363" s="27">
        <v>-2.7380000000000002E-2</v>
      </c>
      <c r="U1363" s="27">
        <v>-9.1270000000000004E-2</v>
      </c>
      <c r="V1363" s="27">
        <v>0</v>
      </c>
      <c r="W1363" s="27">
        <v>0</v>
      </c>
      <c r="X1363" s="27" t="s">
        <v>50</v>
      </c>
    </row>
    <row r="1364" spans="1:24">
      <c r="A1364" s="27">
        <v>3</v>
      </c>
      <c r="B1364" s="27">
        <v>1</v>
      </c>
      <c r="C1364" s="27">
        <v>2</v>
      </c>
      <c r="D1364" s="27">
        <v>2015</v>
      </c>
      <c r="E1364" s="27">
        <v>2050</v>
      </c>
      <c r="F1364" s="27">
        <v>3</v>
      </c>
      <c r="G1364" s="27">
        <v>0</v>
      </c>
      <c r="H1364" s="27">
        <v>0</v>
      </c>
      <c r="I1364" s="27">
        <v>2.2000000000000002</v>
      </c>
      <c r="J1364" s="27">
        <v>0.47</v>
      </c>
      <c r="K1364" s="27">
        <v>0.109</v>
      </c>
      <c r="L1364" s="27">
        <v>725</v>
      </c>
      <c r="M1364" s="27">
        <v>625</v>
      </c>
      <c r="N1364" s="27">
        <v>0</v>
      </c>
      <c r="O1364" s="27">
        <v>0</v>
      </c>
      <c r="P1364" s="27" t="s">
        <v>13</v>
      </c>
      <c r="Q1364" s="27">
        <v>1993</v>
      </c>
      <c r="R1364" s="27">
        <v>1</v>
      </c>
      <c r="S1364" s="27">
        <v>0</v>
      </c>
      <c r="T1364" s="27">
        <v>-2.7380000000000002E-2</v>
      </c>
      <c r="U1364" s="27">
        <v>-9.1270000000000004E-2</v>
      </c>
      <c r="V1364" s="27">
        <v>0</v>
      </c>
      <c r="W1364" s="27">
        <v>0</v>
      </c>
      <c r="X1364" s="27" t="s">
        <v>50</v>
      </c>
    </row>
    <row r="1365" spans="1:24">
      <c r="A1365" s="27">
        <v>3</v>
      </c>
      <c r="B1365" s="27">
        <v>1</v>
      </c>
      <c r="C1365" s="27">
        <v>2</v>
      </c>
      <c r="D1365" s="27">
        <v>2015</v>
      </c>
      <c r="E1365" s="27">
        <v>2050</v>
      </c>
      <c r="F1365" s="27">
        <v>4</v>
      </c>
      <c r="G1365" s="27">
        <v>0</v>
      </c>
      <c r="H1365" s="27">
        <v>0</v>
      </c>
      <c r="I1365" s="27">
        <v>2.2000000000000002</v>
      </c>
      <c r="J1365" s="27">
        <v>0.47</v>
      </c>
      <c r="K1365" s="27">
        <v>0.109</v>
      </c>
      <c r="L1365" s="27">
        <v>725</v>
      </c>
      <c r="M1365" s="27">
        <v>625</v>
      </c>
      <c r="N1365" s="27">
        <v>0</v>
      </c>
      <c r="O1365" s="27">
        <v>0</v>
      </c>
      <c r="P1365" s="27" t="s">
        <v>13</v>
      </c>
      <c r="Q1365" s="27">
        <v>1993</v>
      </c>
      <c r="R1365" s="27">
        <v>1</v>
      </c>
      <c r="S1365" s="27">
        <v>0</v>
      </c>
      <c r="T1365" s="27">
        <v>-2.7380000000000002E-2</v>
      </c>
      <c r="U1365" s="27">
        <v>-9.1270000000000004E-2</v>
      </c>
      <c r="V1365" s="27">
        <v>0</v>
      </c>
      <c r="W1365" s="27">
        <v>0</v>
      </c>
      <c r="X1365" s="27" t="s">
        <v>50</v>
      </c>
    </row>
    <row r="1366" spans="1:24">
      <c r="A1366" s="27">
        <v>3</v>
      </c>
      <c r="B1366" s="27">
        <v>1</v>
      </c>
      <c r="C1366" s="27">
        <v>2</v>
      </c>
      <c r="D1366" s="27">
        <v>2015</v>
      </c>
      <c r="E1366" s="27">
        <v>2050</v>
      </c>
      <c r="F1366" s="27">
        <v>5</v>
      </c>
      <c r="G1366" s="27">
        <v>0</v>
      </c>
      <c r="H1366" s="27">
        <v>0</v>
      </c>
      <c r="I1366" s="27">
        <v>2.2000000000000002</v>
      </c>
      <c r="J1366" s="27">
        <v>0.47</v>
      </c>
      <c r="K1366" s="27">
        <v>0.109</v>
      </c>
      <c r="L1366" s="27">
        <v>725</v>
      </c>
      <c r="M1366" s="27">
        <v>625</v>
      </c>
      <c r="N1366" s="27">
        <v>0</v>
      </c>
      <c r="O1366" s="27">
        <v>0</v>
      </c>
      <c r="P1366" s="27" t="s">
        <v>13</v>
      </c>
      <c r="Q1366" s="27">
        <v>1993</v>
      </c>
      <c r="R1366" s="27">
        <v>1</v>
      </c>
      <c r="S1366" s="27">
        <v>0</v>
      </c>
      <c r="T1366" s="27">
        <v>-2.7380000000000002E-2</v>
      </c>
      <c r="U1366" s="27">
        <v>-9.1270000000000004E-2</v>
      </c>
      <c r="V1366" s="27">
        <v>0</v>
      </c>
      <c r="W1366" s="27">
        <v>0</v>
      </c>
      <c r="X1366" s="27" t="s">
        <v>50</v>
      </c>
    </row>
    <row r="1367" spans="1:24">
      <c r="A1367" s="27">
        <v>3</v>
      </c>
      <c r="B1367" s="27">
        <v>1</v>
      </c>
      <c r="C1367" s="27">
        <v>2</v>
      </c>
      <c r="D1367" s="27">
        <v>2015</v>
      </c>
      <c r="E1367" s="27">
        <v>2050</v>
      </c>
      <c r="F1367" s="27">
        <v>6</v>
      </c>
      <c r="G1367" s="27">
        <v>0</v>
      </c>
      <c r="H1367" s="27">
        <v>0</v>
      </c>
      <c r="I1367" s="27">
        <v>2.2000000000000002</v>
      </c>
      <c r="J1367" s="27">
        <v>0.47</v>
      </c>
      <c r="K1367" s="27">
        <v>0.109</v>
      </c>
      <c r="L1367" s="27">
        <v>725</v>
      </c>
      <c r="M1367" s="27">
        <v>625</v>
      </c>
      <c r="N1367" s="27">
        <v>0</v>
      </c>
      <c r="O1367" s="27">
        <v>0</v>
      </c>
      <c r="P1367" s="27" t="s">
        <v>13</v>
      </c>
      <c r="Q1367" s="27">
        <v>1993</v>
      </c>
      <c r="R1367" s="27">
        <v>1</v>
      </c>
      <c r="S1367" s="27">
        <v>0</v>
      </c>
      <c r="T1367" s="27">
        <v>-2.7380000000000002E-2</v>
      </c>
      <c r="U1367" s="27">
        <v>-9.1270000000000004E-2</v>
      </c>
      <c r="V1367" s="27">
        <v>0</v>
      </c>
      <c r="W1367" s="27">
        <v>0</v>
      </c>
      <c r="X1367" s="27" t="s">
        <v>50</v>
      </c>
    </row>
    <row r="1368" spans="1:24">
      <c r="A1368" s="27">
        <v>3</v>
      </c>
      <c r="B1368" s="27">
        <v>1</v>
      </c>
      <c r="C1368" s="27">
        <v>2</v>
      </c>
      <c r="D1368" s="27">
        <v>2015</v>
      </c>
      <c r="E1368" s="27">
        <v>2050</v>
      </c>
      <c r="F1368" s="27">
        <v>7</v>
      </c>
      <c r="G1368" s="27">
        <v>0</v>
      </c>
      <c r="H1368" s="27">
        <v>0</v>
      </c>
      <c r="I1368" s="27">
        <v>2.2000000000000002</v>
      </c>
      <c r="J1368" s="27">
        <v>0.47</v>
      </c>
      <c r="K1368" s="27">
        <v>0.109</v>
      </c>
      <c r="L1368" s="27">
        <v>725</v>
      </c>
      <c r="M1368" s="27">
        <v>625</v>
      </c>
      <c r="N1368" s="27">
        <v>0</v>
      </c>
      <c r="O1368" s="27">
        <v>0</v>
      </c>
      <c r="P1368" s="27" t="s">
        <v>13</v>
      </c>
      <c r="Q1368" s="27">
        <v>1993</v>
      </c>
      <c r="R1368" s="27">
        <v>1</v>
      </c>
      <c r="S1368" s="27">
        <v>0</v>
      </c>
      <c r="T1368" s="27">
        <v>-2.7380000000000002E-2</v>
      </c>
      <c r="U1368" s="27">
        <v>-9.1270000000000004E-2</v>
      </c>
      <c r="V1368" s="27">
        <v>0</v>
      </c>
      <c r="W1368" s="27">
        <v>0</v>
      </c>
      <c r="X1368" s="27" t="s">
        <v>50</v>
      </c>
    </row>
    <row r="1369" spans="1:24">
      <c r="A1369" s="27">
        <v>3</v>
      </c>
      <c r="B1369" s="27">
        <v>1</v>
      </c>
      <c r="C1369" s="27">
        <v>2</v>
      </c>
      <c r="D1369" s="27">
        <v>2015</v>
      </c>
      <c r="E1369" s="27">
        <v>2050</v>
      </c>
      <c r="F1369" s="27">
        <v>8</v>
      </c>
      <c r="G1369" s="27">
        <v>0</v>
      </c>
      <c r="H1369" s="27">
        <v>0</v>
      </c>
      <c r="I1369" s="27">
        <v>2.2000000000000002</v>
      </c>
      <c r="J1369" s="27">
        <v>0.47</v>
      </c>
      <c r="K1369" s="27">
        <v>0.109</v>
      </c>
      <c r="L1369" s="27">
        <v>725</v>
      </c>
      <c r="M1369" s="27">
        <v>625</v>
      </c>
      <c r="N1369" s="27">
        <v>0</v>
      </c>
      <c r="O1369" s="27">
        <v>0</v>
      </c>
      <c r="P1369" s="27" t="s">
        <v>13</v>
      </c>
      <c r="Q1369" s="27">
        <v>1993</v>
      </c>
      <c r="R1369" s="27">
        <v>1</v>
      </c>
      <c r="S1369" s="27">
        <v>0</v>
      </c>
      <c r="T1369" s="27">
        <v>-2.7380000000000002E-2</v>
      </c>
      <c r="U1369" s="27">
        <v>-9.1270000000000004E-2</v>
      </c>
      <c r="V1369" s="27">
        <v>0</v>
      </c>
      <c r="W1369" s="27">
        <v>0</v>
      </c>
      <c r="X1369" s="27" t="s">
        <v>50</v>
      </c>
    </row>
    <row r="1370" spans="1:24">
      <c r="A1370" s="27">
        <v>3</v>
      </c>
      <c r="B1370" s="27">
        <v>1</v>
      </c>
      <c r="C1370" s="27">
        <v>2</v>
      </c>
      <c r="D1370" s="27">
        <v>2015</v>
      </c>
      <c r="E1370" s="27">
        <v>2050</v>
      </c>
      <c r="F1370" s="27">
        <v>9</v>
      </c>
      <c r="G1370" s="27">
        <v>0</v>
      </c>
      <c r="H1370" s="27">
        <v>0</v>
      </c>
      <c r="I1370" s="27">
        <v>2.2000000000000002</v>
      </c>
      <c r="J1370" s="27">
        <v>0.47</v>
      </c>
      <c r="K1370" s="27">
        <v>0.109</v>
      </c>
      <c r="L1370" s="27">
        <v>725</v>
      </c>
      <c r="M1370" s="27">
        <v>625</v>
      </c>
      <c r="N1370" s="27">
        <v>0</v>
      </c>
      <c r="O1370" s="27">
        <v>0</v>
      </c>
      <c r="P1370" s="27" t="s">
        <v>13</v>
      </c>
      <c r="Q1370" s="27">
        <v>1993</v>
      </c>
      <c r="R1370" s="27">
        <v>1</v>
      </c>
      <c r="S1370" s="27">
        <v>0</v>
      </c>
      <c r="T1370" s="27">
        <v>-2.7380000000000002E-2</v>
      </c>
      <c r="U1370" s="27">
        <v>-9.1270000000000004E-2</v>
      </c>
      <c r="V1370" s="27">
        <v>0</v>
      </c>
      <c r="W1370" s="27">
        <v>0</v>
      </c>
      <c r="X1370" s="27" t="s">
        <v>50</v>
      </c>
    </row>
    <row r="1371" spans="1:24">
      <c r="A1371" s="27">
        <v>3</v>
      </c>
      <c r="B1371" s="27">
        <v>1</v>
      </c>
      <c r="C1371" s="27">
        <v>3</v>
      </c>
      <c r="D1371" s="27">
        <v>2010</v>
      </c>
      <c r="E1371" s="27">
        <v>2010</v>
      </c>
      <c r="F1371" s="27">
        <v>1</v>
      </c>
      <c r="G1371" s="27">
        <v>0</v>
      </c>
      <c r="H1371" s="27">
        <v>0</v>
      </c>
      <c r="I1371" s="27">
        <v>2.4</v>
      </c>
      <c r="J1371" s="27">
        <v>0.44</v>
      </c>
      <c r="K1371" s="27">
        <v>0.111</v>
      </c>
      <c r="L1371" s="27">
        <v>950</v>
      </c>
      <c r="M1371" s="27">
        <v>850</v>
      </c>
      <c r="N1371" s="27">
        <v>250</v>
      </c>
      <c r="O1371" s="27">
        <v>250</v>
      </c>
      <c r="P1371" s="27" t="s">
        <v>13</v>
      </c>
      <c r="Q1371" s="27">
        <v>1993</v>
      </c>
      <c r="R1371" s="27">
        <v>1</v>
      </c>
      <c r="S1371" s="27">
        <v>0</v>
      </c>
      <c r="T1371" s="27">
        <v>-2.7380000000000002E-2</v>
      </c>
      <c r="U1371" s="27">
        <v>-9.1270000000000004E-2</v>
      </c>
      <c r="V1371" s="27">
        <v>0</v>
      </c>
      <c r="W1371" s="27">
        <v>0</v>
      </c>
      <c r="X1371" s="27" t="s">
        <v>51</v>
      </c>
    </row>
    <row r="1372" spans="1:24">
      <c r="A1372" s="27">
        <v>3</v>
      </c>
      <c r="B1372" s="27">
        <v>1</v>
      </c>
      <c r="C1372" s="27">
        <v>3</v>
      </c>
      <c r="D1372" s="27">
        <v>2010</v>
      </c>
      <c r="E1372" s="27">
        <v>2010</v>
      </c>
      <c r="F1372" s="27">
        <v>2</v>
      </c>
      <c r="G1372" s="27">
        <v>0</v>
      </c>
      <c r="H1372" s="27">
        <v>0</v>
      </c>
      <c r="I1372" s="27">
        <v>2.4</v>
      </c>
      <c r="J1372" s="27">
        <v>0.44</v>
      </c>
      <c r="K1372" s="27">
        <v>0.111</v>
      </c>
      <c r="L1372" s="27">
        <v>950</v>
      </c>
      <c r="M1372" s="27">
        <v>850</v>
      </c>
      <c r="N1372" s="27">
        <v>250</v>
      </c>
      <c r="O1372" s="27">
        <v>250</v>
      </c>
      <c r="P1372" s="27" t="s">
        <v>13</v>
      </c>
      <c r="Q1372" s="27">
        <v>1993</v>
      </c>
      <c r="R1372" s="27">
        <v>1</v>
      </c>
      <c r="S1372" s="27">
        <v>0</v>
      </c>
      <c r="T1372" s="27">
        <v>-2.7380000000000002E-2</v>
      </c>
      <c r="U1372" s="27">
        <v>-9.1270000000000004E-2</v>
      </c>
      <c r="V1372" s="27">
        <v>0</v>
      </c>
      <c r="W1372" s="27">
        <v>0</v>
      </c>
      <c r="X1372" s="27" t="s">
        <v>51</v>
      </c>
    </row>
    <row r="1373" spans="1:24">
      <c r="A1373" s="27">
        <v>3</v>
      </c>
      <c r="B1373" s="27">
        <v>1</v>
      </c>
      <c r="C1373" s="27">
        <v>3</v>
      </c>
      <c r="D1373" s="27">
        <v>2010</v>
      </c>
      <c r="E1373" s="27">
        <v>2010</v>
      </c>
      <c r="F1373" s="27">
        <v>3</v>
      </c>
      <c r="G1373" s="27">
        <v>0</v>
      </c>
      <c r="H1373" s="27">
        <v>0</v>
      </c>
      <c r="I1373" s="27">
        <v>2.4</v>
      </c>
      <c r="J1373" s="27">
        <v>0.44</v>
      </c>
      <c r="K1373" s="27">
        <v>0.111</v>
      </c>
      <c r="L1373" s="27">
        <v>950</v>
      </c>
      <c r="M1373" s="27">
        <v>850</v>
      </c>
      <c r="N1373" s="27">
        <v>250</v>
      </c>
      <c r="O1373" s="27">
        <v>250</v>
      </c>
      <c r="P1373" s="27" t="s">
        <v>13</v>
      </c>
      <c r="Q1373" s="27">
        <v>1993</v>
      </c>
      <c r="R1373" s="27">
        <v>1</v>
      </c>
      <c r="S1373" s="27">
        <v>0</v>
      </c>
      <c r="T1373" s="27">
        <v>-2.7380000000000002E-2</v>
      </c>
      <c r="U1373" s="27">
        <v>-9.1270000000000004E-2</v>
      </c>
      <c r="V1373" s="27">
        <v>0</v>
      </c>
      <c r="W1373" s="27">
        <v>0</v>
      </c>
      <c r="X1373" s="27" t="s">
        <v>51</v>
      </c>
    </row>
    <row r="1374" spans="1:24">
      <c r="A1374" s="27">
        <v>3</v>
      </c>
      <c r="B1374" s="27">
        <v>1</v>
      </c>
      <c r="C1374" s="27">
        <v>3</v>
      </c>
      <c r="D1374" s="27">
        <v>2010</v>
      </c>
      <c r="E1374" s="27">
        <v>2010</v>
      </c>
      <c r="F1374" s="27">
        <v>4</v>
      </c>
      <c r="G1374" s="27">
        <v>0</v>
      </c>
      <c r="H1374" s="27">
        <v>0</v>
      </c>
      <c r="I1374" s="27">
        <v>2.4</v>
      </c>
      <c r="J1374" s="27">
        <v>0.44</v>
      </c>
      <c r="K1374" s="27">
        <v>0.111</v>
      </c>
      <c r="L1374" s="27">
        <v>950</v>
      </c>
      <c r="M1374" s="27">
        <v>850</v>
      </c>
      <c r="N1374" s="27">
        <v>250</v>
      </c>
      <c r="O1374" s="27">
        <v>250</v>
      </c>
      <c r="P1374" s="27" t="s">
        <v>13</v>
      </c>
      <c r="Q1374" s="27">
        <v>1993</v>
      </c>
      <c r="R1374" s="27">
        <v>1</v>
      </c>
      <c r="S1374" s="27">
        <v>0</v>
      </c>
      <c r="T1374" s="27">
        <v>-2.7380000000000002E-2</v>
      </c>
      <c r="U1374" s="27">
        <v>-9.1270000000000004E-2</v>
      </c>
      <c r="V1374" s="27">
        <v>0</v>
      </c>
      <c r="W1374" s="27">
        <v>0</v>
      </c>
      <c r="X1374" s="27" t="s">
        <v>51</v>
      </c>
    </row>
    <row r="1375" spans="1:24">
      <c r="A1375" s="27">
        <v>3</v>
      </c>
      <c r="B1375" s="27">
        <v>1</v>
      </c>
      <c r="C1375" s="27">
        <v>3</v>
      </c>
      <c r="D1375" s="27">
        <v>2010</v>
      </c>
      <c r="E1375" s="27">
        <v>2010</v>
      </c>
      <c r="F1375" s="27">
        <v>5</v>
      </c>
      <c r="G1375" s="27">
        <v>0</v>
      </c>
      <c r="H1375" s="27">
        <v>0</v>
      </c>
      <c r="I1375" s="27">
        <v>2.4</v>
      </c>
      <c r="J1375" s="27">
        <v>0.44</v>
      </c>
      <c r="K1375" s="27">
        <v>0.111</v>
      </c>
      <c r="L1375" s="27">
        <v>950</v>
      </c>
      <c r="M1375" s="27">
        <v>850</v>
      </c>
      <c r="N1375" s="27">
        <v>250</v>
      </c>
      <c r="O1375" s="27">
        <v>250</v>
      </c>
      <c r="P1375" s="27" t="s">
        <v>13</v>
      </c>
      <c r="Q1375" s="27">
        <v>1993</v>
      </c>
      <c r="R1375" s="27">
        <v>1</v>
      </c>
      <c r="S1375" s="27">
        <v>0</v>
      </c>
      <c r="T1375" s="27">
        <v>-2.7380000000000002E-2</v>
      </c>
      <c r="U1375" s="27">
        <v>-9.1270000000000004E-2</v>
      </c>
      <c r="V1375" s="27">
        <v>0</v>
      </c>
      <c r="W1375" s="27">
        <v>0</v>
      </c>
      <c r="X1375" s="27" t="s">
        <v>51</v>
      </c>
    </row>
    <row r="1376" spans="1:24">
      <c r="A1376" s="27">
        <v>3</v>
      </c>
      <c r="B1376" s="27">
        <v>1</v>
      </c>
      <c r="C1376" s="27">
        <v>3</v>
      </c>
      <c r="D1376" s="27">
        <v>2010</v>
      </c>
      <c r="E1376" s="27">
        <v>2010</v>
      </c>
      <c r="F1376" s="27">
        <v>6</v>
      </c>
      <c r="G1376" s="27">
        <v>0</v>
      </c>
      <c r="H1376" s="27">
        <v>0</v>
      </c>
      <c r="I1376" s="27">
        <v>2.4</v>
      </c>
      <c r="J1376" s="27">
        <v>0.44</v>
      </c>
      <c r="K1376" s="27">
        <v>0.111</v>
      </c>
      <c r="L1376" s="27">
        <v>950</v>
      </c>
      <c r="M1376" s="27">
        <v>850</v>
      </c>
      <c r="N1376" s="27">
        <v>250</v>
      </c>
      <c r="O1376" s="27">
        <v>250</v>
      </c>
      <c r="P1376" s="27" t="s">
        <v>13</v>
      </c>
      <c r="Q1376" s="27">
        <v>1993</v>
      </c>
      <c r="R1376" s="27">
        <v>1</v>
      </c>
      <c r="S1376" s="27">
        <v>0</v>
      </c>
      <c r="T1376" s="27">
        <v>-2.7380000000000002E-2</v>
      </c>
      <c r="U1376" s="27">
        <v>-9.1270000000000004E-2</v>
      </c>
      <c r="V1376" s="27">
        <v>0</v>
      </c>
      <c r="W1376" s="27">
        <v>0</v>
      </c>
      <c r="X1376" s="27" t="s">
        <v>51</v>
      </c>
    </row>
    <row r="1377" spans="1:24">
      <c r="A1377" s="27">
        <v>3</v>
      </c>
      <c r="B1377" s="27">
        <v>1</v>
      </c>
      <c r="C1377" s="27">
        <v>3</v>
      </c>
      <c r="D1377" s="27">
        <v>2010</v>
      </c>
      <c r="E1377" s="27">
        <v>2010</v>
      </c>
      <c r="F1377" s="27">
        <v>7</v>
      </c>
      <c r="G1377" s="27">
        <v>0</v>
      </c>
      <c r="H1377" s="27">
        <v>0</v>
      </c>
      <c r="I1377" s="27">
        <v>2.4</v>
      </c>
      <c r="J1377" s="27">
        <v>0.44</v>
      </c>
      <c r="K1377" s="27">
        <v>0.111</v>
      </c>
      <c r="L1377" s="27">
        <v>950</v>
      </c>
      <c r="M1377" s="27">
        <v>850</v>
      </c>
      <c r="N1377" s="27">
        <v>250</v>
      </c>
      <c r="O1377" s="27">
        <v>250</v>
      </c>
      <c r="P1377" s="27" t="s">
        <v>13</v>
      </c>
      <c r="Q1377" s="27">
        <v>1993</v>
      </c>
      <c r="R1377" s="27">
        <v>1</v>
      </c>
      <c r="S1377" s="27">
        <v>0</v>
      </c>
      <c r="T1377" s="27">
        <v>-2.7380000000000002E-2</v>
      </c>
      <c r="U1377" s="27">
        <v>-9.1270000000000004E-2</v>
      </c>
      <c r="V1377" s="27">
        <v>0</v>
      </c>
      <c r="W1377" s="27">
        <v>0</v>
      </c>
      <c r="X1377" s="27" t="s">
        <v>51</v>
      </c>
    </row>
    <row r="1378" spans="1:24">
      <c r="A1378" s="27">
        <v>3</v>
      </c>
      <c r="B1378" s="27">
        <v>1</v>
      </c>
      <c r="C1378" s="27">
        <v>3</v>
      </c>
      <c r="D1378" s="27">
        <v>2010</v>
      </c>
      <c r="E1378" s="27">
        <v>2010</v>
      </c>
      <c r="F1378" s="27">
        <v>8</v>
      </c>
      <c r="G1378" s="27">
        <v>0</v>
      </c>
      <c r="H1378" s="27">
        <v>0</v>
      </c>
      <c r="I1378" s="27">
        <v>2.4</v>
      </c>
      <c r="J1378" s="27">
        <v>0.44</v>
      </c>
      <c r="K1378" s="27">
        <v>0.111</v>
      </c>
      <c r="L1378" s="27">
        <v>950</v>
      </c>
      <c r="M1378" s="27">
        <v>850</v>
      </c>
      <c r="N1378" s="27">
        <v>250</v>
      </c>
      <c r="O1378" s="27">
        <v>250</v>
      </c>
      <c r="P1378" s="27" t="s">
        <v>13</v>
      </c>
      <c r="Q1378" s="27">
        <v>1993</v>
      </c>
      <c r="R1378" s="27">
        <v>1</v>
      </c>
      <c r="S1378" s="27">
        <v>0</v>
      </c>
      <c r="T1378" s="27">
        <v>-2.7380000000000002E-2</v>
      </c>
      <c r="U1378" s="27">
        <v>-9.1270000000000004E-2</v>
      </c>
      <c r="V1378" s="27">
        <v>0</v>
      </c>
      <c r="W1378" s="27">
        <v>0</v>
      </c>
      <c r="X1378" s="27" t="s">
        <v>51</v>
      </c>
    </row>
    <row r="1379" spans="1:24">
      <c r="A1379" s="27">
        <v>3</v>
      </c>
      <c r="B1379" s="27">
        <v>1</v>
      </c>
      <c r="C1379" s="27">
        <v>3</v>
      </c>
      <c r="D1379" s="27">
        <v>2010</v>
      </c>
      <c r="E1379" s="27">
        <v>2010</v>
      </c>
      <c r="F1379" s="27">
        <v>9</v>
      </c>
      <c r="G1379" s="27">
        <v>0</v>
      </c>
      <c r="H1379" s="27">
        <v>0</v>
      </c>
      <c r="I1379" s="27">
        <v>2.4</v>
      </c>
      <c r="J1379" s="27">
        <v>0.44</v>
      </c>
      <c r="K1379" s="27">
        <v>0.111</v>
      </c>
      <c r="L1379" s="27">
        <v>950</v>
      </c>
      <c r="M1379" s="27">
        <v>850</v>
      </c>
      <c r="N1379" s="27">
        <v>250</v>
      </c>
      <c r="O1379" s="27">
        <v>250</v>
      </c>
      <c r="P1379" s="27" t="s">
        <v>13</v>
      </c>
      <c r="Q1379" s="27">
        <v>1993</v>
      </c>
      <c r="R1379" s="27">
        <v>1</v>
      </c>
      <c r="S1379" s="27">
        <v>0</v>
      </c>
      <c r="T1379" s="27">
        <v>-2.7380000000000002E-2</v>
      </c>
      <c r="U1379" s="27">
        <v>-9.1270000000000004E-2</v>
      </c>
      <c r="V1379" s="27">
        <v>0</v>
      </c>
      <c r="W1379" s="27">
        <v>0</v>
      </c>
      <c r="X1379" s="27" t="s">
        <v>51</v>
      </c>
    </row>
    <row r="1380" spans="1:24">
      <c r="A1380" s="27">
        <v>3</v>
      </c>
      <c r="B1380" s="27">
        <v>1</v>
      </c>
      <c r="C1380" s="27">
        <v>3</v>
      </c>
      <c r="D1380" s="27">
        <v>2011</v>
      </c>
      <c r="E1380" s="27">
        <v>2011</v>
      </c>
      <c r="F1380" s="27">
        <v>1</v>
      </c>
      <c r="G1380" s="27">
        <v>0</v>
      </c>
      <c r="H1380" s="27">
        <v>0</v>
      </c>
      <c r="I1380" s="27">
        <v>2.89</v>
      </c>
      <c r="J1380" s="27">
        <v>0.35</v>
      </c>
      <c r="K1380" s="27">
        <v>9.1999999999999998E-2</v>
      </c>
      <c r="L1380" s="27">
        <v>950</v>
      </c>
      <c r="M1380" s="27">
        <v>850</v>
      </c>
      <c r="N1380" s="27">
        <v>225</v>
      </c>
      <c r="O1380" s="27">
        <v>225</v>
      </c>
      <c r="P1380" s="27" t="s">
        <v>13</v>
      </c>
      <c r="Q1380" s="27">
        <v>1993</v>
      </c>
      <c r="R1380" s="27">
        <v>1</v>
      </c>
      <c r="S1380" s="27">
        <v>0</v>
      </c>
      <c r="T1380" s="27">
        <v>-2.7380000000000002E-2</v>
      </c>
      <c r="U1380" s="27">
        <v>-9.1270000000000004E-2</v>
      </c>
      <c r="V1380" s="27">
        <v>0</v>
      </c>
      <c r="W1380" s="27">
        <v>0</v>
      </c>
      <c r="X1380" s="27" t="s">
        <v>51</v>
      </c>
    </row>
    <row r="1381" spans="1:24">
      <c r="A1381" s="27">
        <v>3</v>
      </c>
      <c r="B1381" s="27">
        <v>1</v>
      </c>
      <c r="C1381" s="27">
        <v>3</v>
      </c>
      <c r="D1381" s="27">
        <v>2011</v>
      </c>
      <c r="E1381" s="27">
        <v>2011</v>
      </c>
      <c r="F1381" s="27">
        <v>2</v>
      </c>
      <c r="G1381" s="27">
        <v>0</v>
      </c>
      <c r="H1381" s="27">
        <v>0</v>
      </c>
      <c r="I1381" s="27">
        <v>2.89</v>
      </c>
      <c r="J1381" s="27">
        <v>0.35</v>
      </c>
      <c r="K1381" s="27">
        <v>9.1999999999999998E-2</v>
      </c>
      <c r="L1381" s="27">
        <v>950</v>
      </c>
      <c r="M1381" s="27">
        <v>850</v>
      </c>
      <c r="N1381" s="27">
        <v>225</v>
      </c>
      <c r="O1381" s="27">
        <v>225</v>
      </c>
      <c r="P1381" s="27" t="s">
        <v>13</v>
      </c>
      <c r="Q1381" s="27">
        <v>1993</v>
      </c>
      <c r="R1381" s="27">
        <v>1</v>
      </c>
      <c r="S1381" s="27">
        <v>0</v>
      </c>
      <c r="T1381" s="27">
        <v>-2.7380000000000002E-2</v>
      </c>
      <c r="U1381" s="27">
        <v>-9.1270000000000004E-2</v>
      </c>
      <c r="V1381" s="27">
        <v>0</v>
      </c>
      <c r="W1381" s="27">
        <v>0</v>
      </c>
      <c r="X1381" s="27" t="s">
        <v>51</v>
      </c>
    </row>
    <row r="1382" spans="1:24">
      <c r="A1382" s="27">
        <v>3</v>
      </c>
      <c r="B1382" s="27">
        <v>1</v>
      </c>
      <c r="C1382" s="27">
        <v>3</v>
      </c>
      <c r="D1382" s="27">
        <v>2011</v>
      </c>
      <c r="E1382" s="27">
        <v>2011</v>
      </c>
      <c r="F1382" s="27">
        <v>3</v>
      </c>
      <c r="G1382" s="27">
        <v>0</v>
      </c>
      <c r="H1382" s="27">
        <v>0</v>
      </c>
      <c r="I1382" s="27">
        <v>2.89</v>
      </c>
      <c r="J1382" s="27">
        <v>0.35</v>
      </c>
      <c r="K1382" s="27">
        <v>9.1999999999999998E-2</v>
      </c>
      <c r="L1382" s="27">
        <v>950</v>
      </c>
      <c r="M1382" s="27">
        <v>850</v>
      </c>
      <c r="N1382" s="27">
        <v>225</v>
      </c>
      <c r="O1382" s="27">
        <v>225</v>
      </c>
      <c r="P1382" s="27" t="s">
        <v>13</v>
      </c>
      <c r="Q1382" s="27">
        <v>1993</v>
      </c>
      <c r="R1382" s="27">
        <v>1</v>
      </c>
      <c r="S1382" s="27">
        <v>0</v>
      </c>
      <c r="T1382" s="27">
        <v>-2.7380000000000002E-2</v>
      </c>
      <c r="U1382" s="27">
        <v>-9.1270000000000004E-2</v>
      </c>
      <c r="V1382" s="27">
        <v>0</v>
      </c>
      <c r="W1382" s="27">
        <v>0</v>
      </c>
      <c r="X1382" s="27" t="s">
        <v>51</v>
      </c>
    </row>
    <row r="1383" spans="1:24">
      <c r="A1383" s="27">
        <v>3</v>
      </c>
      <c r="B1383" s="27">
        <v>1</v>
      </c>
      <c r="C1383" s="27">
        <v>3</v>
      </c>
      <c r="D1383" s="27">
        <v>2011</v>
      </c>
      <c r="E1383" s="27">
        <v>2011</v>
      </c>
      <c r="F1383" s="27">
        <v>4</v>
      </c>
      <c r="G1383" s="27">
        <v>0</v>
      </c>
      <c r="H1383" s="27">
        <v>0</v>
      </c>
      <c r="I1383" s="27">
        <v>2.89</v>
      </c>
      <c r="J1383" s="27">
        <v>0.35</v>
      </c>
      <c r="K1383" s="27">
        <v>9.1999999999999998E-2</v>
      </c>
      <c r="L1383" s="27">
        <v>950</v>
      </c>
      <c r="M1383" s="27">
        <v>850</v>
      </c>
      <c r="N1383" s="27">
        <v>225</v>
      </c>
      <c r="O1383" s="27">
        <v>225</v>
      </c>
      <c r="P1383" s="27" t="s">
        <v>13</v>
      </c>
      <c r="Q1383" s="27">
        <v>1993</v>
      </c>
      <c r="R1383" s="27">
        <v>1</v>
      </c>
      <c r="S1383" s="27">
        <v>0</v>
      </c>
      <c r="T1383" s="27">
        <v>-2.7380000000000002E-2</v>
      </c>
      <c r="U1383" s="27">
        <v>-9.1270000000000004E-2</v>
      </c>
      <c r="V1383" s="27">
        <v>0</v>
      </c>
      <c r="W1383" s="27">
        <v>0</v>
      </c>
      <c r="X1383" s="27" t="s">
        <v>51</v>
      </c>
    </row>
    <row r="1384" spans="1:24">
      <c r="A1384" s="27">
        <v>3</v>
      </c>
      <c r="B1384" s="27">
        <v>1</v>
      </c>
      <c r="C1384" s="27">
        <v>3</v>
      </c>
      <c r="D1384" s="27">
        <v>2011</v>
      </c>
      <c r="E1384" s="27">
        <v>2011</v>
      </c>
      <c r="F1384" s="27">
        <v>5</v>
      </c>
      <c r="G1384" s="27">
        <v>0</v>
      </c>
      <c r="H1384" s="27">
        <v>0</v>
      </c>
      <c r="I1384" s="27">
        <v>2.89</v>
      </c>
      <c r="J1384" s="27">
        <v>0.35</v>
      </c>
      <c r="K1384" s="27">
        <v>9.1999999999999998E-2</v>
      </c>
      <c r="L1384" s="27">
        <v>950</v>
      </c>
      <c r="M1384" s="27">
        <v>850</v>
      </c>
      <c r="N1384" s="27">
        <v>225</v>
      </c>
      <c r="O1384" s="27">
        <v>225</v>
      </c>
      <c r="P1384" s="27" t="s">
        <v>13</v>
      </c>
      <c r="Q1384" s="27">
        <v>1993</v>
      </c>
      <c r="R1384" s="27">
        <v>1</v>
      </c>
      <c r="S1384" s="27">
        <v>0</v>
      </c>
      <c r="T1384" s="27">
        <v>-2.7380000000000002E-2</v>
      </c>
      <c r="U1384" s="27">
        <v>-9.1270000000000004E-2</v>
      </c>
      <c r="V1384" s="27">
        <v>0</v>
      </c>
      <c r="W1384" s="27">
        <v>0</v>
      </c>
      <c r="X1384" s="27" t="s">
        <v>51</v>
      </c>
    </row>
    <row r="1385" spans="1:24">
      <c r="A1385" s="27">
        <v>3</v>
      </c>
      <c r="B1385" s="27">
        <v>1</v>
      </c>
      <c r="C1385" s="27">
        <v>3</v>
      </c>
      <c r="D1385" s="27">
        <v>2011</v>
      </c>
      <c r="E1385" s="27">
        <v>2011</v>
      </c>
      <c r="F1385" s="27">
        <v>6</v>
      </c>
      <c r="G1385" s="27">
        <v>0</v>
      </c>
      <c r="H1385" s="27">
        <v>0</v>
      </c>
      <c r="I1385" s="27">
        <v>2.89</v>
      </c>
      <c r="J1385" s="27">
        <v>0.35</v>
      </c>
      <c r="K1385" s="27">
        <v>9.1999999999999998E-2</v>
      </c>
      <c r="L1385" s="27">
        <v>950</v>
      </c>
      <c r="M1385" s="27">
        <v>850</v>
      </c>
      <c r="N1385" s="27">
        <v>225</v>
      </c>
      <c r="O1385" s="27">
        <v>225</v>
      </c>
      <c r="P1385" s="27" t="s">
        <v>13</v>
      </c>
      <c r="Q1385" s="27">
        <v>1993</v>
      </c>
      <c r="R1385" s="27">
        <v>1</v>
      </c>
      <c r="S1385" s="27">
        <v>0</v>
      </c>
      <c r="T1385" s="27">
        <v>-2.7380000000000002E-2</v>
      </c>
      <c r="U1385" s="27">
        <v>-9.1270000000000004E-2</v>
      </c>
      <c r="V1385" s="27">
        <v>0</v>
      </c>
      <c r="W1385" s="27">
        <v>0</v>
      </c>
      <c r="X1385" s="27" t="s">
        <v>51</v>
      </c>
    </row>
    <row r="1386" spans="1:24">
      <c r="A1386" s="27">
        <v>3</v>
      </c>
      <c r="B1386" s="27">
        <v>1</v>
      </c>
      <c r="C1386" s="27">
        <v>3</v>
      </c>
      <c r="D1386" s="27">
        <v>2011</v>
      </c>
      <c r="E1386" s="27">
        <v>2011</v>
      </c>
      <c r="F1386" s="27">
        <v>7</v>
      </c>
      <c r="G1386" s="27">
        <v>0</v>
      </c>
      <c r="H1386" s="27">
        <v>0</v>
      </c>
      <c r="I1386" s="27">
        <v>2.89</v>
      </c>
      <c r="J1386" s="27">
        <v>0.35</v>
      </c>
      <c r="K1386" s="27">
        <v>9.1999999999999998E-2</v>
      </c>
      <c r="L1386" s="27">
        <v>950</v>
      </c>
      <c r="M1386" s="27">
        <v>850</v>
      </c>
      <c r="N1386" s="27">
        <v>225</v>
      </c>
      <c r="O1386" s="27">
        <v>225</v>
      </c>
      <c r="P1386" s="27" t="s">
        <v>13</v>
      </c>
      <c r="Q1386" s="27">
        <v>1993</v>
      </c>
      <c r="R1386" s="27">
        <v>1</v>
      </c>
      <c r="S1386" s="27">
        <v>0</v>
      </c>
      <c r="T1386" s="27">
        <v>-2.7380000000000002E-2</v>
      </c>
      <c r="U1386" s="27">
        <v>-9.1270000000000004E-2</v>
      </c>
      <c r="V1386" s="27">
        <v>0</v>
      </c>
      <c r="W1386" s="27">
        <v>0</v>
      </c>
      <c r="X1386" s="27" t="s">
        <v>51</v>
      </c>
    </row>
    <row r="1387" spans="1:24">
      <c r="A1387" s="27">
        <v>3</v>
      </c>
      <c r="B1387" s="27">
        <v>1</v>
      </c>
      <c r="C1387" s="27">
        <v>3</v>
      </c>
      <c r="D1387" s="27">
        <v>2011</v>
      </c>
      <c r="E1387" s="27">
        <v>2011</v>
      </c>
      <c r="F1387" s="27">
        <v>8</v>
      </c>
      <c r="G1387" s="27">
        <v>0</v>
      </c>
      <c r="H1387" s="27">
        <v>0</v>
      </c>
      <c r="I1387" s="27">
        <v>2.89</v>
      </c>
      <c r="J1387" s="27">
        <v>0.35</v>
      </c>
      <c r="K1387" s="27">
        <v>9.1999999999999998E-2</v>
      </c>
      <c r="L1387" s="27">
        <v>950</v>
      </c>
      <c r="M1387" s="27">
        <v>850</v>
      </c>
      <c r="N1387" s="27">
        <v>225</v>
      </c>
      <c r="O1387" s="27">
        <v>225</v>
      </c>
      <c r="P1387" s="27" t="s">
        <v>13</v>
      </c>
      <c r="Q1387" s="27">
        <v>1993</v>
      </c>
      <c r="R1387" s="27">
        <v>1</v>
      </c>
      <c r="S1387" s="27">
        <v>0</v>
      </c>
      <c r="T1387" s="27">
        <v>-2.7380000000000002E-2</v>
      </c>
      <c r="U1387" s="27">
        <v>-9.1270000000000004E-2</v>
      </c>
      <c r="V1387" s="27">
        <v>0</v>
      </c>
      <c r="W1387" s="27">
        <v>0</v>
      </c>
      <c r="X1387" s="27" t="s">
        <v>51</v>
      </c>
    </row>
    <row r="1388" spans="1:24">
      <c r="A1388" s="27">
        <v>3</v>
      </c>
      <c r="B1388" s="27">
        <v>1</v>
      </c>
      <c r="C1388" s="27">
        <v>3</v>
      </c>
      <c r="D1388" s="27">
        <v>2011</v>
      </c>
      <c r="E1388" s="27">
        <v>2011</v>
      </c>
      <c r="F1388" s="27">
        <v>9</v>
      </c>
      <c r="G1388" s="27">
        <v>0</v>
      </c>
      <c r="H1388" s="27">
        <v>0</v>
      </c>
      <c r="I1388" s="27">
        <v>2.89</v>
      </c>
      <c r="J1388" s="27">
        <v>0.35</v>
      </c>
      <c r="K1388" s="27">
        <v>9.1999999999999998E-2</v>
      </c>
      <c r="L1388" s="27">
        <v>950</v>
      </c>
      <c r="M1388" s="27">
        <v>850</v>
      </c>
      <c r="N1388" s="27">
        <v>225</v>
      </c>
      <c r="O1388" s="27">
        <v>225</v>
      </c>
      <c r="P1388" s="27" t="s">
        <v>13</v>
      </c>
      <c r="Q1388" s="27">
        <v>1993</v>
      </c>
      <c r="R1388" s="27">
        <v>1</v>
      </c>
      <c r="S1388" s="27">
        <v>0</v>
      </c>
      <c r="T1388" s="27">
        <v>-2.7380000000000002E-2</v>
      </c>
      <c r="U1388" s="27">
        <v>-9.1270000000000004E-2</v>
      </c>
      <c r="V1388" s="27">
        <v>0</v>
      </c>
      <c r="W1388" s="27">
        <v>0</v>
      </c>
      <c r="X1388" s="27" t="s">
        <v>51</v>
      </c>
    </row>
    <row r="1389" spans="1:24">
      <c r="A1389" s="27">
        <v>3</v>
      </c>
      <c r="B1389" s="27">
        <v>1</v>
      </c>
      <c r="C1389" s="27">
        <v>3</v>
      </c>
      <c r="D1389" s="27">
        <v>2012</v>
      </c>
      <c r="E1389" s="27">
        <v>2012</v>
      </c>
      <c r="F1389" s="27">
        <v>1</v>
      </c>
      <c r="G1389" s="27">
        <v>0</v>
      </c>
      <c r="H1389" s="27">
        <v>0</v>
      </c>
      <c r="I1389" s="27">
        <v>2.89</v>
      </c>
      <c r="J1389" s="27">
        <v>0.35</v>
      </c>
      <c r="K1389" s="27">
        <v>9.1999999999999998E-2</v>
      </c>
      <c r="L1389" s="27">
        <v>950</v>
      </c>
      <c r="M1389" s="27">
        <v>850</v>
      </c>
      <c r="N1389" s="27">
        <v>0</v>
      </c>
      <c r="O1389" s="27">
        <v>0</v>
      </c>
      <c r="P1389" s="27" t="s">
        <v>13</v>
      </c>
      <c r="Q1389" s="27">
        <v>1993</v>
      </c>
      <c r="R1389" s="27">
        <v>1</v>
      </c>
      <c r="S1389" s="27">
        <v>0</v>
      </c>
      <c r="T1389" s="27">
        <v>-2.7380000000000002E-2</v>
      </c>
      <c r="U1389" s="27">
        <v>-9.1270000000000004E-2</v>
      </c>
      <c r="V1389" s="27">
        <v>0</v>
      </c>
      <c r="W1389" s="27">
        <v>0</v>
      </c>
      <c r="X1389" s="27" t="s">
        <v>51</v>
      </c>
    </row>
    <row r="1390" spans="1:24">
      <c r="A1390" s="27">
        <v>3</v>
      </c>
      <c r="B1390" s="27">
        <v>1</v>
      </c>
      <c r="C1390" s="27">
        <v>3</v>
      </c>
      <c r="D1390" s="27">
        <v>2012</v>
      </c>
      <c r="E1390" s="27">
        <v>2012</v>
      </c>
      <c r="F1390" s="27">
        <v>2</v>
      </c>
      <c r="G1390" s="27">
        <v>0</v>
      </c>
      <c r="H1390" s="27">
        <v>0</v>
      </c>
      <c r="I1390" s="27">
        <v>2.89</v>
      </c>
      <c r="J1390" s="27">
        <v>0.35</v>
      </c>
      <c r="K1390" s="27">
        <v>9.1999999999999998E-2</v>
      </c>
      <c r="L1390" s="27">
        <v>950</v>
      </c>
      <c r="M1390" s="27">
        <v>850</v>
      </c>
      <c r="N1390" s="27">
        <v>0</v>
      </c>
      <c r="O1390" s="27">
        <v>0</v>
      </c>
      <c r="P1390" s="27" t="s">
        <v>13</v>
      </c>
      <c r="Q1390" s="27">
        <v>1993</v>
      </c>
      <c r="R1390" s="27">
        <v>1</v>
      </c>
      <c r="S1390" s="27">
        <v>0</v>
      </c>
      <c r="T1390" s="27">
        <v>-2.7380000000000002E-2</v>
      </c>
      <c r="U1390" s="27">
        <v>-9.1270000000000004E-2</v>
      </c>
      <c r="V1390" s="27">
        <v>0</v>
      </c>
      <c r="W1390" s="27">
        <v>0</v>
      </c>
      <c r="X1390" s="27" t="s">
        <v>51</v>
      </c>
    </row>
    <row r="1391" spans="1:24">
      <c r="A1391" s="27">
        <v>3</v>
      </c>
      <c r="B1391" s="27">
        <v>1</v>
      </c>
      <c r="C1391" s="27">
        <v>3</v>
      </c>
      <c r="D1391" s="27">
        <v>2012</v>
      </c>
      <c r="E1391" s="27">
        <v>2012</v>
      </c>
      <c r="F1391" s="27">
        <v>3</v>
      </c>
      <c r="G1391" s="27">
        <v>0</v>
      </c>
      <c r="H1391" s="27">
        <v>0</v>
      </c>
      <c r="I1391" s="27">
        <v>2.89</v>
      </c>
      <c r="J1391" s="27">
        <v>0.35</v>
      </c>
      <c r="K1391" s="27">
        <v>9.1999999999999998E-2</v>
      </c>
      <c r="L1391" s="27">
        <v>950</v>
      </c>
      <c r="M1391" s="27">
        <v>850</v>
      </c>
      <c r="N1391" s="27">
        <v>0</v>
      </c>
      <c r="O1391" s="27">
        <v>0</v>
      </c>
      <c r="P1391" s="27" t="s">
        <v>13</v>
      </c>
      <c r="Q1391" s="27">
        <v>1993</v>
      </c>
      <c r="R1391" s="27">
        <v>1</v>
      </c>
      <c r="S1391" s="27">
        <v>0</v>
      </c>
      <c r="T1391" s="27">
        <v>-2.7380000000000002E-2</v>
      </c>
      <c r="U1391" s="27">
        <v>-9.1270000000000004E-2</v>
      </c>
      <c r="V1391" s="27">
        <v>0</v>
      </c>
      <c r="W1391" s="27">
        <v>0</v>
      </c>
      <c r="X1391" s="27" t="s">
        <v>51</v>
      </c>
    </row>
    <row r="1392" spans="1:24">
      <c r="A1392" s="27">
        <v>3</v>
      </c>
      <c r="B1392" s="27">
        <v>1</v>
      </c>
      <c r="C1392" s="27">
        <v>3</v>
      </c>
      <c r="D1392" s="27">
        <v>2012</v>
      </c>
      <c r="E1392" s="27">
        <v>2012</v>
      </c>
      <c r="F1392" s="27">
        <v>4</v>
      </c>
      <c r="G1392" s="27">
        <v>0</v>
      </c>
      <c r="H1392" s="27">
        <v>0</v>
      </c>
      <c r="I1392" s="27">
        <v>2.89</v>
      </c>
      <c r="J1392" s="27">
        <v>0.35</v>
      </c>
      <c r="K1392" s="27">
        <v>9.1999999999999998E-2</v>
      </c>
      <c r="L1392" s="27">
        <v>950</v>
      </c>
      <c r="M1392" s="27">
        <v>850</v>
      </c>
      <c r="N1392" s="27">
        <v>0</v>
      </c>
      <c r="O1392" s="27">
        <v>0</v>
      </c>
      <c r="P1392" s="27" t="s">
        <v>13</v>
      </c>
      <c r="Q1392" s="27">
        <v>1993</v>
      </c>
      <c r="R1392" s="27">
        <v>1</v>
      </c>
      <c r="S1392" s="27">
        <v>0</v>
      </c>
      <c r="T1392" s="27">
        <v>-2.7380000000000002E-2</v>
      </c>
      <c r="U1392" s="27">
        <v>-9.1270000000000004E-2</v>
      </c>
      <c r="V1392" s="27">
        <v>0</v>
      </c>
      <c r="W1392" s="27">
        <v>0</v>
      </c>
      <c r="X1392" s="27" t="s">
        <v>51</v>
      </c>
    </row>
    <row r="1393" spans="1:24">
      <c r="A1393" s="27">
        <v>3</v>
      </c>
      <c r="B1393" s="27">
        <v>1</v>
      </c>
      <c r="C1393" s="27">
        <v>3</v>
      </c>
      <c r="D1393" s="27">
        <v>2012</v>
      </c>
      <c r="E1393" s="27">
        <v>2012</v>
      </c>
      <c r="F1393" s="27">
        <v>5</v>
      </c>
      <c r="G1393" s="27">
        <v>0</v>
      </c>
      <c r="H1393" s="27">
        <v>0</v>
      </c>
      <c r="I1393" s="27">
        <v>2.89</v>
      </c>
      <c r="J1393" s="27">
        <v>0.35</v>
      </c>
      <c r="K1393" s="27">
        <v>9.1999999999999998E-2</v>
      </c>
      <c r="L1393" s="27">
        <v>950</v>
      </c>
      <c r="M1393" s="27">
        <v>850</v>
      </c>
      <c r="N1393" s="27">
        <v>0</v>
      </c>
      <c r="O1393" s="27">
        <v>0</v>
      </c>
      <c r="P1393" s="27" t="s">
        <v>13</v>
      </c>
      <c r="Q1393" s="27">
        <v>1993</v>
      </c>
      <c r="R1393" s="27">
        <v>1</v>
      </c>
      <c r="S1393" s="27">
        <v>0</v>
      </c>
      <c r="T1393" s="27">
        <v>-2.7380000000000002E-2</v>
      </c>
      <c r="U1393" s="27">
        <v>-9.1270000000000004E-2</v>
      </c>
      <c r="V1393" s="27">
        <v>0</v>
      </c>
      <c r="W1393" s="27">
        <v>0</v>
      </c>
      <c r="X1393" s="27" t="s">
        <v>51</v>
      </c>
    </row>
    <row r="1394" spans="1:24">
      <c r="A1394" s="27">
        <v>3</v>
      </c>
      <c r="B1394" s="27">
        <v>1</v>
      </c>
      <c r="C1394" s="27">
        <v>3</v>
      </c>
      <c r="D1394" s="27">
        <v>2012</v>
      </c>
      <c r="E1394" s="27">
        <v>2012</v>
      </c>
      <c r="F1394" s="27">
        <v>6</v>
      </c>
      <c r="G1394" s="27">
        <v>0</v>
      </c>
      <c r="H1394" s="27">
        <v>0</v>
      </c>
      <c r="I1394" s="27">
        <v>2.89</v>
      </c>
      <c r="J1394" s="27">
        <v>0.35</v>
      </c>
      <c r="K1394" s="27">
        <v>9.1999999999999998E-2</v>
      </c>
      <c r="L1394" s="27">
        <v>950</v>
      </c>
      <c r="M1394" s="27">
        <v>850</v>
      </c>
      <c r="N1394" s="27">
        <v>0</v>
      </c>
      <c r="O1394" s="27">
        <v>0</v>
      </c>
      <c r="P1394" s="27" t="s">
        <v>13</v>
      </c>
      <c r="Q1394" s="27">
        <v>1993</v>
      </c>
      <c r="R1394" s="27">
        <v>1</v>
      </c>
      <c r="S1394" s="27">
        <v>0</v>
      </c>
      <c r="T1394" s="27">
        <v>-2.7380000000000002E-2</v>
      </c>
      <c r="U1394" s="27">
        <v>-9.1270000000000004E-2</v>
      </c>
      <c r="V1394" s="27">
        <v>0</v>
      </c>
      <c r="W1394" s="27">
        <v>0</v>
      </c>
      <c r="X1394" s="27" t="s">
        <v>51</v>
      </c>
    </row>
    <row r="1395" spans="1:24">
      <c r="A1395" s="27">
        <v>3</v>
      </c>
      <c r="B1395" s="27">
        <v>1</v>
      </c>
      <c r="C1395" s="27">
        <v>3</v>
      </c>
      <c r="D1395" s="27">
        <v>2012</v>
      </c>
      <c r="E1395" s="27">
        <v>2012</v>
      </c>
      <c r="F1395" s="27">
        <v>7</v>
      </c>
      <c r="G1395" s="27">
        <v>0</v>
      </c>
      <c r="H1395" s="27">
        <v>0</v>
      </c>
      <c r="I1395" s="27">
        <v>2.89</v>
      </c>
      <c r="J1395" s="27">
        <v>0.35</v>
      </c>
      <c r="K1395" s="27">
        <v>9.1999999999999998E-2</v>
      </c>
      <c r="L1395" s="27">
        <v>950</v>
      </c>
      <c r="M1395" s="27">
        <v>850</v>
      </c>
      <c r="N1395" s="27">
        <v>0</v>
      </c>
      <c r="O1395" s="27">
        <v>0</v>
      </c>
      <c r="P1395" s="27" t="s">
        <v>13</v>
      </c>
      <c r="Q1395" s="27">
        <v>1993</v>
      </c>
      <c r="R1395" s="27">
        <v>1</v>
      </c>
      <c r="S1395" s="27">
        <v>0</v>
      </c>
      <c r="T1395" s="27">
        <v>-2.7380000000000002E-2</v>
      </c>
      <c r="U1395" s="27">
        <v>-9.1270000000000004E-2</v>
      </c>
      <c r="V1395" s="27">
        <v>0</v>
      </c>
      <c r="W1395" s="27">
        <v>0</v>
      </c>
      <c r="X1395" s="27" t="s">
        <v>51</v>
      </c>
    </row>
    <row r="1396" spans="1:24">
      <c r="A1396" s="27">
        <v>3</v>
      </c>
      <c r="B1396" s="27">
        <v>1</v>
      </c>
      <c r="C1396" s="27">
        <v>3</v>
      </c>
      <c r="D1396" s="27">
        <v>2012</v>
      </c>
      <c r="E1396" s="27">
        <v>2012</v>
      </c>
      <c r="F1396" s="27">
        <v>8</v>
      </c>
      <c r="G1396" s="27">
        <v>0</v>
      </c>
      <c r="H1396" s="27">
        <v>0</v>
      </c>
      <c r="I1396" s="27">
        <v>2.89</v>
      </c>
      <c r="J1396" s="27">
        <v>0.35</v>
      </c>
      <c r="K1396" s="27">
        <v>9.1999999999999998E-2</v>
      </c>
      <c r="L1396" s="27">
        <v>950</v>
      </c>
      <c r="M1396" s="27">
        <v>850</v>
      </c>
      <c r="N1396" s="27">
        <v>0</v>
      </c>
      <c r="O1396" s="27">
        <v>0</v>
      </c>
      <c r="P1396" s="27" t="s">
        <v>13</v>
      </c>
      <c r="Q1396" s="27">
        <v>1993</v>
      </c>
      <c r="R1396" s="27">
        <v>1</v>
      </c>
      <c r="S1396" s="27">
        <v>0</v>
      </c>
      <c r="T1396" s="27">
        <v>-2.7380000000000002E-2</v>
      </c>
      <c r="U1396" s="27">
        <v>-9.1270000000000004E-2</v>
      </c>
      <c r="V1396" s="27">
        <v>0</v>
      </c>
      <c r="W1396" s="27">
        <v>0</v>
      </c>
      <c r="X1396" s="27" t="s">
        <v>51</v>
      </c>
    </row>
    <row r="1397" spans="1:24">
      <c r="A1397" s="27">
        <v>3</v>
      </c>
      <c r="B1397" s="27">
        <v>1</v>
      </c>
      <c r="C1397" s="27">
        <v>3</v>
      </c>
      <c r="D1397" s="27">
        <v>2012</v>
      </c>
      <c r="E1397" s="27">
        <v>2012</v>
      </c>
      <c r="F1397" s="27">
        <v>9</v>
      </c>
      <c r="G1397" s="27">
        <v>0</v>
      </c>
      <c r="H1397" s="27">
        <v>0</v>
      </c>
      <c r="I1397" s="27">
        <v>2.89</v>
      </c>
      <c r="J1397" s="27">
        <v>0.35</v>
      </c>
      <c r="K1397" s="27">
        <v>9.1999999999999998E-2</v>
      </c>
      <c r="L1397" s="27">
        <v>950</v>
      </c>
      <c r="M1397" s="27">
        <v>850</v>
      </c>
      <c r="N1397" s="27">
        <v>0</v>
      </c>
      <c r="O1397" s="27">
        <v>0</v>
      </c>
      <c r="P1397" s="27" t="s">
        <v>13</v>
      </c>
      <c r="Q1397" s="27">
        <v>1993</v>
      </c>
      <c r="R1397" s="27">
        <v>1</v>
      </c>
      <c r="S1397" s="27">
        <v>0</v>
      </c>
      <c r="T1397" s="27">
        <v>-2.7380000000000002E-2</v>
      </c>
      <c r="U1397" s="27">
        <v>-9.1270000000000004E-2</v>
      </c>
      <c r="V1397" s="27">
        <v>0</v>
      </c>
      <c r="W1397" s="27">
        <v>0</v>
      </c>
      <c r="X1397" s="27" t="s">
        <v>51</v>
      </c>
    </row>
    <row r="1398" spans="1:24">
      <c r="A1398" s="27">
        <v>3</v>
      </c>
      <c r="B1398" s="27">
        <v>1</v>
      </c>
      <c r="C1398" s="27">
        <v>3</v>
      </c>
      <c r="D1398" s="27">
        <v>2013</v>
      </c>
      <c r="E1398" s="27">
        <v>2013</v>
      </c>
      <c r="F1398" s="27">
        <v>1</v>
      </c>
      <c r="G1398" s="27">
        <v>0</v>
      </c>
      <c r="H1398" s="27">
        <v>0</v>
      </c>
      <c r="I1398" s="27">
        <v>2.89</v>
      </c>
      <c r="J1398" s="27">
        <v>0.35</v>
      </c>
      <c r="K1398" s="27">
        <v>9.1999999999999998E-2</v>
      </c>
      <c r="L1398" s="27">
        <v>950</v>
      </c>
      <c r="M1398" s="27">
        <v>850</v>
      </c>
      <c r="N1398" s="27">
        <v>225</v>
      </c>
      <c r="O1398" s="27">
        <v>225</v>
      </c>
      <c r="P1398" s="27" t="s">
        <v>13</v>
      </c>
      <c r="Q1398" s="27">
        <v>1993</v>
      </c>
      <c r="R1398" s="27">
        <v>1</v>
      </c>
      <c r="S1398" s="27">
        <v>0</v>
      </c>
      <c r="T1398" s="27">
        <v>-2.7380000000000002E-2</v>
      </c>
      <c r="U1398" s="27">
        <v>-9.1270000000000004E-2</v>
      </c>
      <c r="V1398" s="27">
        <v>0</v>
      </c>
      <c r="W1398" s="27">
        <v>0</v>
      </c>
      <c r="X1398" s="27" t="s">
        <v>51</v>
      </c>
    </row>
    <row r="1399" spans="1:24">
      <c r="A1399" s="27">
        <v>3</v>
      </c>
      <c r="B1399" s="27">
        <v>1</v>
      </c>
      <c r="C1399" s="27">
        <v>3</v>
      </c>
      <c r="D1399" s="27">
        <v>2013</v>
      </c>
      <c r="E1399" s="27">
        <v>2013</v>
      </c>
      <c r="F1399" s="27">
        <v>2</v>
      </c>
      <c r="G1399" s="27">
        <v>0</v>
      </c>
      <c r="H1399" s="27">
        <v>0</v>
      </c>
      <c r="I1399" s="27">
        <v>2.89</v>
      </c>
      <c r="J1399" s="27">
        <v>0.35</v>
      </c>
      <c r="K1399" s="27">
        <v>9.1999999999999998E-2</v>
      </c>
      <c r="L1399" s="27">
        <v>950</v>
      </c>
      <c r="M1399" s="27">
        <v>850</v>
      </c>
      <c r="N1399" s="27">
        <v>225</v>
      </c>
      <c r="O1399" s="27">
        <v>225</v>
      </c>
      <c r="P1399" s="27" t="s">
        <v>13</v>
      </c>
      <c r="Q1399" s="27">
        <v>1993</v>
      </c>
      <c r="R1399" s="27">
        <v>1</v>
      </c>
      <c r="S1399" s="27">
        <v>0</v>
      </c>
      <c r="T1399" s="27">
        <v>-2.7380000000000002E-2</v>
      </c>
      <c r="U1399" s="27">
        <v>-9.1270000000000004E-2</v>
      </c>
      <c r="V1399" s="27">
        <v>0</v>
      </c>
      <c r="W1399" s="27">
        <v>0</v>
      </c>
      <c r="X1399" s="27" t="s">
        <v>51</v>
      </c>
    </row>
    <row r="1400" spans="1:24">
      <c r="A1400" s="27">
        <v>3</v>
      </c>
      <c r="B1400" s="27">
        <v>1</v>
      </c>
      <c r="C1400" s="27">
        <v>3</v>
      </c>
      <c r="D1400" s="27">
        <v>2013</v>
      </c>
      <c r="E1400" s="27">
        <v>2013</v>
      </c>
      <c r="F1400" s="27">
        <v>3</v>
      </c>
      <c r="G1400" s="27">
        <v>0</v>
      </c>
      <c r="H1400" s="27">
        <v>0</v>
      </c>
      <c r="I1400" s="27">
        <v>2.89</v>
      </c>
      <c r="J1400" s="27">
        <v>0.35</v>
      </c>
      <c r="K1400" s="27">
        <v>9.1999999999999998E-2</v>
      </c>
      <c r="L1400" s="27">
        <v>950</v>
      </c>
      <c r="M1400" s="27">
        <v>850</v>
      </c>
      <c r="N1400" s="27">
        <v>225</v>
      </c>
      <c r="O1400" s="27">
        <v>225</v>
      </c>
      <c r="P1400" s="27" t="s">
        <v>13</v>
      </c>
      <c r="Q1400" s="27">
        <v>1993</v>
      </c>
      <c r="R1400" s="27">
        <v>1</v>
      </c>
      <c r="S1400" s="27">
        <v>0</v>
      </c>
      <c r="T1400" s="27">
        <v>-2.7380000000000002E-2</v>
      </c>
      <c r="U1400" s="27">
        <v>-9.1270000000000004E-2</v>
      </c>
      <c r="V1400" s="27">
        <v>0</v>
      </c>
      <c r="W1400" s="27">
        <v>0</v>
      </c>
      <c r="X1400" s="27" t="s">
        <v>51</v>
      </c>
    </row>
    <row r="1401" spans="1:24">
      <c r="A1401" s="27">
        <v>3</v>
      </c>
      <c r="B1401" s="27">
        <v>1</v>
      </c>
      <c r="C1401" s="27">
        <v>3</v>
      </c>
      <c r="D1401" s="27">
        <v>2013</v>
      </c>
      <c r="E1401" s="27">
        <v>2013</v>
      </c>
      <c r="F1401" s="27">
        <v>4</v>
      </c>
      <c r="G1401" s="27">
        <v>0</v>
      </c>
      <c r="H1401" s="27">
        <v>0</v>
      </c>
      <c r="I1401" s="27">
        <v>2.89</v>
      </c>
      <c r="J1401" s="27">
        <v>0.35</v>
      </c>
      <c r="K1401" s="27">
        <v>9.1999999999999998E-2</v>
      </c>
      <c r="L1401" s="27">
        <v>950</v>
      </c>
      <c r="M1401" s="27">
        <v>850</v>
      </c>
      <c r="N1401" s="27">
        <v>225</v>
      </c>
      <c r="O1401" s="27">
        <v>225</v>
      </c>
      <c r="P1401" s="27" t="s">
        <v>13</v>
      </c>
      <c r="Q1401" s="27">
        <v>1993</v>
      </c>
      <c r="R1401" s="27">
        <v>1</v>
      </c>
      <c r="S1401" s="27">
        <v>0</v>
      </c>
      <c r="T1401" s="27">
        <v>-2.7380000000000002E-2</v>
      </c>
      <c r="U1401" s="27">
        <v>-9.1270000000000004E-2</v>
      </c>
      <c r="V1401" s="27">
        <v>0</v>
      </c>
      <c r="W1401" s="27">
        <v>0</v>
      </c>
      <c r="X1401" s="27" t="s">
        <v>51</v>
      </c>
    </row>
    <row r="1402" spans="1:24">
      <c r="A1402" s="27">
        <v>3</v>
      </c>
      <c r="B1402" s="27">
        <v>1</v>
      </c>
      <c r="C1402" s="27">
        <v>3</v>
      </c>
      <c r="D1402" s="27">
        <v>2013</v>
      </c>
      <c r="E1402" s="27">
        <v>2013</v>
      </c>
      <c r="F1402" s="27">
        <v>5</v>
      </c>
      <c r="G1402" s="27">
        <v>0</v>
      </c>
      <c r="H1402" s="27">
        <v>0</v>
      </c>
      <c r="I1402" s="27">
        <v>2.89</v>
      </c>
      <c r="J1402" s="27">
        <v>0.35</v>
      </c>
      <c r="K1402" s="27">
        <v>9.1999999999999998E-2</v>
      </c>
      <c r="L1402" s="27">
        <v>950</v>
      </c>
      <c r="M1402" s="27">
        <v>850</v>
      </c>
      <c r="N1402" s="27">
        <v>225</v>
      </c>
      <c r="O1402" s="27">
        <v>225</v>
      </c>
      <c r="P1402" s="27" t="s">
        <v>13</v>
      </c>
      <c r="Q1402" s="27">
        <v>1993</v>
      </c>
      <c r="R1402" s="27">
        <v>1</v>
      </c>
      <c r="S1402" s="27">
        <v>0</v>
      </c>
      <c r="T1402" s="27">
        <v>-2.7380000000000002E-2</v>
      </c>
      <c r="U1402" s="27">
        <v>-9.1270000000000004E-2</v>
      </c>
      <c r="V1402" s="27">
        <v>0</v>
      </c>
      <c r="W1402" s="27">
        <v>0</v>
      </c>
      <c r="X1402" s="27" t="s">
        <v>51</v>
      </c>
    </row>
    <row r="1403" spans="1:24">
      <c r="A1403" s="27">
        <v>3</v>
      </c>
      <c r="B1403" s="27">
        <v>1</v>
      </c>
      <c r="C1403" s="27">
        <v>3</v>
      </c>
      <c r="D1403" s="27">
        <v>2013</v>
      </c>
      <c r="E1403" s="27">
        <v>2013</v>
      </c>
      <c r="F1403" s="27">
        <v>6</v>
      </c>
      <c r="G1403" s="27">
        <v>0</v>
      </c>
      <c r="H1403" s="27">
        <v>0</v>
      </c>
      <c r="I1403" s="27">
        <v>2.89</v>
      </c>
      <c r="J1403" s="27">
        <v>0.35</v>
      </c>
      <c r="K1403" s="27">
        <v>9.1999999999999998E-2</v>
      </c>
      <c r="L1403" s="27">
        <v>950</v>
      </c>
      <c r="M1403" s="27">
        <v>850</v>
      </c>
      <c r="N1403" s="27">
        <v>225</v>
      </c>
      <c r="O1403" s="27">
        <v>225</v>
      </c>
      <c r="P1403" s="27" t="s">
        <v>13</v>
      </c>
      <c r="Q1403" s="27">
        <v>1993</v>
      </c>
      <c r="R1403" s="27">
        <v>1</v>
      </c>
      <c r="S1403" s="27">
        <v>0</v>
      </c>
      <c r="T1403" s="27">
        <v>-2.7380000000000002E-2</v>
      </c>
      <c r="U1403" s="27">
        <v>-9.1270000000000004E-2</v>
      </c>
      <c r="V1403" s="27">
        <v>0</v>
      </c>
      <c r="W1403" s="27">
        <v>0</v>
      </c>
      <c r="X1403" s="27" t="s">
        <v>51</v>
      </c>
    </row>
    <row r="1404" spans="1:24">
      <c r="A1404" s="27">
        <v>3</v>
      </c>
      <c r="B1404" s="27">
        <v>1</v>
      </c>
      <c r="C1404" s="27">
        <v>3</v>
      </c>
      <c r="D1404" s="27">
        <v>2013</v>
      </c>
      <c r="E1404" s="27">
        <v>2013</v>
      </c>
      <c r="F1404" s="27">
        <v>7</v>
      </c>
      <c r="G1404" s="27">
        <v>0</v>
      </c>
      <c r="H1404" s="27">
        <v>0</v>
      </c>
      <c r="I1404" s="27">
        <v>2.89</v>
      </c>
      <c r="J1404" s="27">
        <v>0.35</v>
      </c>
      <c r="K1404" s="27">
        <v>9.1999999999999998E-2</v>
      </c>
      <c r="L1404" s="27">
        <v>950</v>
      </c>
      <c r="M1404" s="27">
        <v>850</v>
      </c>
      <c r="N1404" s="27">
        <v>225</v>
      </c>
      <c r="O1404" s="27">
        <v>225</v>
      </c>
      <c r="P1404" s="27" t="s">
        <v>13</v>
      </c>
      <c r="Q1404" s="27">
        <v>1993</v>
      </c>
      <c r="R1404" s="27">
        <v>1</v>
      </c>
      <c r="S1404" s="27">
        <v>0</v>
      </c>
      <c r="T1404" s="27">
        <v>-2.7380000000000002E-2</v>
      </c>
      <c r="U1404" s="27">
        <v>-9.1270000000000004E-2</v>
      </c>
      <c r="V1404" s="27">
        <v>0</v>
      </c>
      <c r="W1404" s="27">
        <v>0</v>
      </c>
      <c r="X1404" s="27" t="s">
        <v>51</v>
      </c>
    </row>
    <row r="1405" spans="1:24">
      <c r="A1405" s="27">
        <v>3</v>
      </c>
      <c r="B1405" s="27">
        <v>1</v>
      </c>
      <c r="C1405" s="27">
        <v>3</v>
      </c>
      <c r="D1405" s="27">
        <v>2013</v>
      </c>
      <c r="E1405" s="27">
        <v>2013</v>
      </c>
      <c r="F1405" s="27">
        <v>8</v>
      </c>
      <c r="G1405" s="27">
        <v>0</v>
      </c>
      <c r="H1405" s="27">
        <v>0</v>
      </c>
      <c r="I1405" s="27">
        <v>2.89</v>
      </c>
      <c r="J1405" s="27">
        <v>0.35</v>
      </c>
      <c r="K1405" s="27">
        <v>9.1999999999999998E-2</v>
      </c>
      <c r="L1405" s="27">
        <v>950</v>
      </c>
      <c r="M1405" s="27">
        <v>850</v>
      </c>
      <c r="N1405" s="27">
        <v>225</v>
      </c>
      <c r="O1405" s="27">
        <v>225</v>
      </c>
      <c r="P1405" s="27" t="s">
        <v>13</v>
      </c>
      <c r="Q1405" s="27">
        <v>1993</v>
      </c>
      <c r="R1405" s="27">
        <v>1</v>
      </c>
      <c r="S1405" s="27">
        <v>0</v>
      </c>
      <c r="T1405" s="27">
        <v>-2.7380000000000002E-2</v>
      </c>
      <c r="U1405" s="27">
        <v>-9.1270000000000004E-2</v>
      </c>
      <c r="V1405" s="27">
        <v>0</v>
      </c>
      <c r="W1405" s="27">
        <v>0</v>
      </c>
      <c r="X1405" s="27" t="s">
        <v>51</v>
      </c>
    </row>
    <row r="1406" spans="1:24">
      <c r="A1406" s="27">
        <v>3</v>
      </c>
      <c r="B1406" s="27">
        <v>1</v>
      </c>
      <c r="C1406" s="27">
        <v>3</v>
      </c>
      <c r="D1406" s="27">
        <v>2013</v>
      </c>
      <c r="E1406" s="27">
        <v>2013</v>
      </c>
      <c r="F1406" s="27">
        <v>9</v>
      </c>
      <c r="G1406" s="27">
        <v>0</v>
      </c>
      <c r="H1406" s="27">
        <v>0</v>
      </c>
      <c r="I1406" s="27">
        <v>2.89</v>
      </c>
      <c r="J1406" s="27">
        <v>0.35</v>
      </c>
      <c r="K1406" s="27">
        <v>9.1999999999999998E-2</v>
      </c>
      <c r="L1406" s="27">
        <v>950</v>
      </c>
      <c r="M1406" s="27">
        <v>850</v>
      </c>
      <c r="N1406" s="27">
        <v>225</v>
      </c>
      <c r="O1406" s="27">
        <v>225</v>
      </c>
      <c r="P1406" s="27" t="s">
        <v>13</v>
      </c>
      <c r="Q1406" s="27">
        <v>1993</v>
      </c>
      <c r="R1406" s="27">
        <v>1</v>
      </c>
      <c r="S1406" s="27">
        <v>0</v>
      </c>
      <c r="T1406" s="27">
        <v>-2.7380000000000002E-2</v>
      </c>
      <c r="U1406" s="27">
        <v>-9.1270000000000004E-2</v>
      </c>
      <c r="V1406" s="27">
        <v>0</v>
      </c>
      <c r="W1406" s="27">
        <v>0</v>
      </c>
      <c r="X1406" s="27" t="s">
        <v>51</v>
      </c>
    </row>
    <row r="1407" spans="1:24">
      <c r="A1407" s="27">
        <v>3</v>
      </c>
      <c r="B1407" s="27">
        <v>1</v>
      </c>
      <c r="C1407" s="27">
        <v>3</v>
      </c>
      <c r="D1407" s="27">
        <v>2014</v>
      </c>
      <c r="E1407" s="27">
        <v>2050</v>
      </c>
      <c r="F1407" s="27">
        <v>1</v>
      </c>
      <c r="G1407" s="27">
        <v>0</v>
      </c>
      <c r="H1407" s="27">
        <v>0</v>
      </c>
      <c r="I1407" s="27">
        <v>2.89</v>
      </c>
      <c r="J1407" s="27">
        <v>0.35</v>
      </c>
      <c r="K1407" s="27">
        <v>9.1999999999999998E-2</v>
      </c>
      <c r="L1407" s="27">
        <v>950</v>
      </c>
      <c r="M1407" s="27">
        <v>850</v>
      </c>
      <c r="N1407" s="27">
        <v>0</v>
      </c>
      <c r="O1407" s="27">
        <v>0</v>
      </c>
      <c r="P1407" s="27" t="s">
        <v>13</v>
      </c>
      <c r="Q1407" s="27">
        <v>1993</v>
      </c>
      <c r="R1407" s="27">
        <v>1</v>
      </c>
      <c r="S1407" s="27">
        <v>0</v>
      </c>
      <c r="T1407" s="27">
        <v>-2.7380000000000002E-2</v>
      </c>
      <c r="U1407" s="27">
        <v>-9.1270000000000004E-2</v>
      </c>
      <c r="V1407" s="27">
        <v>0</v>
      </c>
      <c r="W1407" s="27">
        <v>0</v>
      </c>
      <c r="X1407" s="27" t="s">
        <v>51</v>
      </c>
    </row>
    <row r="1408" spans="1:24">
      <c r="A1408" s="27">
        <v>3</v>
      </c>
      <c r="B1408" s="27">
        <v>1</v>
      </c>
      <c r="C1408" s="27">
        <v>3</v>
      </c>
      <c r="D1408" s="27">
        <v>2014</v>
      </c>
      <c r="E1408" s="27">
        <v>2050</v>
      </c>
      <c r="F1408" s="27">
        <v>2</v>
      </c>
      <c r="G1408" s="27">
        <v>0</v>
      </c>
      <c r="H1408" s="27">
        <v>0</v>
      </c>
      <c r="I1408" s="27">
        <v>2.89</v>
      </c>
      <c r="J1408" s="27">
        <v>0.35</v>
      </c>
      <c r="K1408" s="27">
        <v>9.1999999999999998E-2</v>
      </c>
      <c r="L1408" s="27">
        <v>950</v>
      </c>
      <c r="M1408" s="27">
        <v>850</v>
      </c>
      <c r="N1408" s="27">
        <v>0</v>
      </c>
      <c r="O1408" s="27">
        <v>0</v>
      </c>
      <c r="P1408" s="27" t="s">
        <v>13</v>
      </c>
      <c r="Q1408" s="27">
        <v>1993</v>
      </c>
      <c r="R1408" s="27">
        <v>1</v>
      </c>
      <c r="S1408" s="27">
        <v>0</v>
      </c>
      <c r="T1408" s="27">
        <v>-2.7380000000000002E-2</v>
      </c>
      <c r="U1408" s="27">
        <v>-9.1270000000000004E-2</v>
      </c>
      <c r="V1408" s="27">
        <v>0</v>
      </c>
      <c r="W1408" s="27">
        <v>0</v>
      </c>
      <c r="X1408" s="27" t="s">
        <v>51</v>
      </c>
    </row>
    <row r="1409" spans="1:24">
      <c r="A1409" s="27">
        <v>3</v>
      </c>
      <c r="B1409" s="27">
        <v>1</v>
      </c>
      <c r="C1409" s="27">
        <v>3</v>
      </c>
      <c r="D1409" s="27">
        <v>2014</v>
      </c>
      <c r="E1409" s="27">
        <v>2050</v>
      </c>
      <c r="F1409" s="27">
        <v>3</v>
      </c>
      <c r="G1409" s="27">
        <v>0</v>
      </c>
      <c r="H1409" s="27">
        <v>0</v>
      </c>
      <c r="I1409" s="27">
        <v>2.89</v>
      </c>
      <c r="J1409" s="27">
        <v>0.35</v>
      </c>
      <c r="K1409" s="27">
        <v>9.1999999999999998E-2</v>
      </c>
      <c r="L1409" s="27">
        <v>950</v>
      </c>
      <c r="M1409" s="27">
        <v>850</v>
      </c>
      <c r="N1409" s="27">
        <v>0</v>
      </c>
      <c r="O1409" s="27">
        <v>0</v>
      </c>
      <c r="P1409" s="27" t="s">
        <v>13</v>
      </c>
      <c r="Q1409" s="27">
        <v>1993</v>
      </c>
      <c r="R1409" s="27">
        <v>1</v>
      </c>
      <c r="S1409" s="27">
        <v>0</v>
      </c>
      <c r="T1409" s="27">
        <v>-2.7380000000000002E-2</v>
      </c>
      <c r="U1409" s="27">
        <v>-9.1270000000000004E-2</v>
      </c>
      <c r="V1409" s="27">
        <v>0</v>
      </c>
      <c r="W1409" s="27">
        <v>0</v>
      </c>
      <c r="X1409" s="27" t="s">
        <v>51</v>
      </c>
    </row>
    <row r="1410" spans="1:24">
      <c r="A1410" s="27">
        <v>3</v>
      </c>
      <c r="B1410" s="27">
        <v>1</v>
      </c>
      <c r="C1410" s="27">
        <v>3</v>
      </c>
      <c r="D1410" s="27">
        <v>2014</v>
      </c>
      <c r="E1410" s="27">
        <v>2050</v>
      </c>
      <c r="F1410" s="27">
        <v>4</v>
      </c>
      <c r="G1410" s="27">
        <v>0</v>
      </c>
      <c r="H1410" s="27">
        <v>0</v>
      </c>
      <c r="I1410" s="27">
        <v>2.89</v>
      </c>
      <c r="J1410" s="27">
        <v>0.35</v>
      </c>
      <c r="K1410" s="27">
        <v>9.1999999999999998E-2</v>
      </c>
      <c r="L1410" s="27">
        <v>950</v>
      </c>
      <c r="M1410" s="27">
        <v>850</v>
      </c>
      <c r="N1410" s="27">
        <v>0</v>
      </c>
      <c r="O1410" s="27">
        <v>0</v>
      </c>
      <c r="P1410" s="27" t="s">
        <v>13</v>
      </c>
      <c r="Q1410" s="27">
        <v>1993</v>
      </c>
      <c r="R1410" s="27">
        <v>1</v>
      </c>
      <c r="S1410" s="27">
        <v>0</v>
      </c>
      <c r="T1410" s="27">
        <v>-2.7380000000000002E-2</v>
      </c>
      <c r="U1410" s="27">
        <v>-9.1270000000000004E-2</v>
      </c>
      <c r="V1410" s="27">
        <v>0</v>
      </c>
      <c r="W1410" s="27">
        <v>0</v>
      </c>
      <c r="X1410" s="27" t="s">
        <v>51</v>
      </c>
    </row>
    <row r="1411" spans="1:24">
      <c r="A1411" s="27">
        <v>3</v>
      </c>
      <c r="B1411" s="27">
        <v>1</v>
      </c>
      <c r="C1411" s="27">
        <v>3</v>
      </c>
      <c r="D1411" s="27">
        <v>2014</v>
      </c>
      <c r="E1411" s="27">
        <v>2050</v>
      </c>
      <c r="F1411" s="27">
        <v>5</v>
      </c>
      <c r="G1411" s="27">
        <v>0</v>
      </c>
      <c r="H1411" s="27">
        <v>0</v>
      </c>
      <c r="I1411" s="27">
        <v>2.89</v>
      </c>
      <c r="J1411" s="27">
        <v>0.35</v>
      </c>
      <c r="K1411" s="27">
        <v>9.1999999999999998E-2</v>
      </c>
      <c r="L1411" s="27">
        <v>950</v>
      </c>
      <c r="M1411" s="27">
        <v>850</v>
      </c>
      <c r="N1411" s="27">
        <v>0</v>
      </c>
      <c r="O1411" s="27">
        <v>0</v>
      </c>
      <c r="P1411" s="27" t="s">
        <v>13</v>
      </c>
      <c r="Q1411" s="27">
        <v>1993</v>
      </c>
      <c r="R1411" s="27">
        <v>1</v>
      </c>
      <c r="S1411" s="27">
        <v>0</v>
      </c>
      <c r="T1411" s="27">
        <v>-2.7380000000000002E-2</v>
      </c>
      <c r="U1411" s="27">
        <v>-9.1270000000000004E-2</v>
      </c>
      <c r="V1411" s="27">
        <v>0</v>
      </c>
      <c r="W1411" s="27">
        <v>0</v>
      </c>
      <c r="X1411" s="27" t="s">
        <v>51</v>
      </c>
    </row>
    <row r="1412" spans="1:24">
      <c r="A1412" s="27">
        <v>3</v>
      </c>
      <c r="B1412" s="27">
        <v>1</v>
      </c>
      <c r="C1412" s="27">
        <v>3</v>
      </c>
      <c r="D1412" s="27">
        <v>2014</v>
      </c>
      <c r="E1412" s="27">
        <v>2050</v>
      </c>
      <c r="F1412" s="27">
        <v>6</v>
      </c>
      <c r="G1412" s="27">
        <v>0</v>
      </c>
      <c r="H1412" s="27">
        <v>0</v>
      </c>
      <c r="I1412" s="27">
        <v>2.89</v>
      </c>
      <c r="J1412" s="27">
        <v>0.35</v>
      </c>
      <c r="K1412" s="27">
        <v>9.1999999999999998E-2</v>
      </c>
      <c r="L1412" s="27">
        <v>950</v>
      </c>
      <c r="M1412" s="27">
        <v>850</v>
      </c>
      <c r="N1412" s="27">
        <v>0</v>
      </c>
      <c r="O1412" s="27">
        <v>0</v>
      </c>
      <c r="P1412" s="27" t="s">
        <v>13</v>
      </c>
      <c r="Q1412" s="27">
        <v>1993</v>
      </c>
      <c r="R1412" s="27">
        <v>1</v>
      </c>
      <c r="S1412" s="27">
        <v>0</v>
      </c>
      <c r="T1412" s="27">
        <v>-2.7380000000000002E-2</v>
      </c>
      <c r="U1412" s="27">
        <v>-9.1270000000000004E-2</v>
      </c>
      <c r="V1412" s="27">
        <v>0</v>
      </c>
      <c r="W1412" s="27">
        <v>0</v>
      </c>
      <c r="X1412" s="27" t="s">
        <v>51</v>
      </c>
    </row>
    <row r="1413" spans="1:24">
      <c r="A1413" s="27">
        <v>3</v>
      </c>
      <c r="B1413" s="27">
        <v>1</v>
      </c>
      <c r="C1413" s="27">
        <v>3</v>
      </c>
      <c r="D1413" s="27">
        <v>2014</v>
      </c>
      <c r="E1413" s="27">
        <v>2050</v>
      </c>
      <c r="F1413" s="27">
        <v>7</v>
      </c>
      <c r="G1413" s="27">
        <v>0</v>
      </c>
      <c r="H1413" s="27">
        <v>0</v>
      </c>
      <c r="I1413" s="27">
        <v>2.89</v>
      </c>
      <c r="J1413" s="27">
        <v>0.35</v>
      </c>
      <c r="K1413" s="27">
        <v>9.1999999999999998E-2</v>
      </c>
      <c r="L1413" s="27">
        <v>950</v>
      </c>
      <c r="M1413" s="27">
        <v>850</v>
      </c>
      <c r="N1413" s="27">
        <v>0</v>
      </c>
      <c r="O1413" s="27">
        <v>0</v>
      </c>
      <c r="P1413" s="27" t="s">
        <v>13</v>
      </c>
      <c r="Q1413" s="27">
        <v>1993</v>
      </c>
      <c r="R1413" s="27">
        <v>1</v>
      </c>
      <c r="S1413" s="27">
        <v>0</v>
      </c>
      <c r="T1413" s="27">
        <v>-2.7380000000000002E-2</v>
      </c>
      <c r="U1413" s="27">
        <v>-9.1270000000000004E-2</v>
      </c>
      <c r="V1413" s="27">
        <v>0</v>
      </c>
      <c r="W1413" s="27">
        <v>0</v>
      </c>
      <c r="X1413" s="27" t="s">
        <v>51</v>
      </c>
    </row>
    <row r="1414" spans="1:24">
      <c r="A1414" s="27">
        <v>3</v>
      </c>
      <c r="B1414" s="27">
        <v>1</v>
      </c>
      <c r="C1414" s="27">
        <v>3</v>
      </c>
      <c r="D1414" s="27">
        <v>2014</v>
      </c>
      <c r="E1414" s="27">
        <v>2050</v>
      </c>
      <c r="F1414" s="27">
        <v>8</v>
      </c>
      <c r="G1414" s="27">
        <v>0</v>
      </c>
      <c r="H1414" s="27">
        <v>0</v>
      </c>
      <c r="I1414" s="27">
        <v>2.89</v>
      </c>
      <c r="J1414" s="27">
        <v>0.35</v>
      </c>
      <c r="K1414" s="27">
        <v>9.1999999999999998E-2</v>
      </c>
      <c r="L1414" s="27">
        <v>950</v>
      </c>
      <c r="M1414" s="27">
        <v>850</v>
      </c>
      <c r="N1414" s="27">
        <v>0</v>
      </c>
      <c r="O1414" s="27">
        <v>0</v>
      </c>
      <c r="P1414" s="27" t="s">
        <v>13</v>
      </c>
      <c r="Q1414" s="27">
        <v>1993</v>
      </c>
      <c r="R1414" s="27">
        <v>1</v>
      </c>
      <c r="S1414" s="27">
        <v>0</v>
      </c>
      <c r="T1414" s="27">
        <v>-2.7380000000000002E-2</v>
      </c>
      <c r="U1414" s="27">
        <v>-9.1270000000000004E-2</v>
      </c>
      <c r="V1414" s="27">
        <v>0</v>
      </c>
      <c r="W1414" s="27">
        <v>0</v>
      </c>
      <c r="X1414" s="27" t="s">
        <v>51</v>
      </c>
    </row>
    <row r="1415" spans="1:24">
      <c r="A1415" s="27">
        <v>3</v>
      </c>
      <c r="B1415" s="27">
        <v>1</v>
      </c>
      <c r="C1415" s="27">
        <v>3</v>
      </c>
      <c r="D1415" s="27">
        <v>2014</v>
      </c>
      <c r="E1415" s="27">
        <v>2050</v>
      </c>
      <c r="F1415" s="27">
        <v>9</v>
      </c>
      <c r="G1415" s="27">
        <v>0</v>
      </c>
      <c r="H1415" s="27">
        <v>0</v>
      </c>
      <c r="I1415" s="27">
        <v>2.89</v>
      </c>
      <c r="J1415" s="27">
        <v>0.35</v>
      </c>
      <c r="K1415" s="27">
        <v>9.1999999999999998E-2</v>
      </c>
      <c r="L1415" s="27">
        <v>950</v>
      </c>
      <c r="M1415" s="27">
        <v>850</v>
      </c>
      <c r="N1415" s="27">
        <v>0</v>
      </c>
      <c r="O1415" s="27">
        <v>0</v>
      </c>
      <c r="P1415" s="27" t="s">
        <v>13</v>
      </c>
      <c r="Q1415" s="27">
        <v>1993</v>
      </c>
      <c r="R1415" s="27">
        <v>1</v>
      </c>
      <c r="S1415" s="27">
        <v>0</v>
      </c>
      <c r="T1415" s="27">
        <v>-2.7380000000000002E-2</v>
      </c>
      <c r="U1415" s="27">
        <v>-9.1270000000000004E-2</v>
      </c>
      <c r="V1415" s="27">
        <v>0</v>
      </c>
      <c r="W1415" s="27">
        <v>0</v>
      </c>
      <c r="X1415" s="27" t="s">
        <v>51</v>
      </c>
    </row>
    <row r="1416" spans="1:24">
      <c r="A1416" s="27">
        <v>4</v>
      </c>
      <c r="B1416" s="27">
        <v>1</v>
      </c>
      <c r="C1416" s="27">
        <v>1</v>
      </c>
      <c r="D1416" s="27">
        <v>2010</v>
      </c>
      <c r="E1416" s="27">
        <v>2012</v>
      </c>
      <c r="F1416" s="27">
        <v>1</v>
      </c>
      <c r="G1416" s="27">
        <v>0</v>
      </c>
      <c r="H1416" s="27">
        <v>0</v>
      </c>
      <c r="I1416" s="27">
        <v>0</v>
      </c>
      <c r="J1416" s="27">
        <v>0.91</v>
      </c>
      <c r="K1416" s="27">
        <v>0.61</v>
      </c>
      <c r="L1416" s="27">
        <v>350</v>
      </c>
      <c r="M1416" s="27">
        <v>250</v>
      </c>
      <c r="N1416" s="27">
        <v>0</v>
      </c>
      <c r="O1416" s="27">
        <v>0</v>
      </c>
      <c r="P1416" s="27" t="s">
        <v>13</v>
      </c>
      <c r="Q1416" s="27">
        <v>1993</v>
      </c>
      <c r="R1416" s="27">
        <v>1</v>
      </c>
      <c r="S1416" s="27">
        <v>0</v>
      </c>
      <c r="T1416" s="27">
        <v>-2.7380000000000002E-2</v>
      </c>
      <c r="U1416" s="27">
        <v>-0.18253</v>
      </c>
      <c r="V1416" s="27">
        <v>0</v>
      </c>
      <c r="W1416" s="27">
        <v>0</v>
      </c>
      <c r="X1416" s="27" t="s">
        <v>52</v>
      </c>
    </row>
    <row r="1417" spans="1:24">
      <c r="A1417" s="27">
        <v>4</v>
      </c>
      <c r="B1417" s="27">
        <v>1</v>
      </c>
      <c r="C1417" s="27">
        <v>1</v>
      </c>
      <c r="D1417" s="27">
        <v>2010</v>
      </c>
      <c r="E1417" s="27">
        <v>2012</v>
      </c>
      <c r="F1417" s="27">
        <v>2</v>
      </c>
      <c r="G1417" s="27">
        <v>0</v>
      </c>
      <c r="H1417" s="27">
        <v>0</v>
      </c>
      <c r="I1417" s="27">
        <v>0</v>
      </c>
      <c r="J1417" s="27">
        <v>0.91</v>
      </c>
      <c r="K1417" s="27">
        <v>0.61</v>
      </c>
      <c r="L1417" s="27">
        <v>350</v>
      </c>
      <c r="M1417" s="27">
        <v>250</v>
      </c>
      <c r="N1417" s="27">
        <v>0</v>
      </c>
      <c r="O1417" s="27">
        <v>0</v>
      </c>
      <c r="P1417" s="27" t="s">
        <v>13</v>
      </c>
      <c r="Q1417" s="27">
        <v>1993</v>
      </c>
      <c r="R1417" s="27">
        <v>1</v>
      </c>
      <c r="S1417" s="27">
        <v>0</v>
      </c>
      <c r="T1417" s="27">
        <v>-2.7380000000000002E-2</v>
      </c>
      <c r="U1417" s="27">
        <v>-0.18253</v>
      </c>
      <c r="V1417" s="27">
        <v>0</v>
      </c>
      <c r="W1417" s="27">
        <v>0</v>
      </c>
      <c r="X1417" s="27" t="s">
        <v>52</v>
      </c>
    </row>
    <row r="1418" spans="1:24">
      <c r="A1418" s="27">
        <v>4</v>
      </c>
      <c r="B1418" s="27">
        <v>1</v>
      </c>
      <c r="C1418" s="27">
        <v>1</v>
      </c>
      <c r="D1418" s="27">
        <v>2010</v>
      </c>
      <c r="E1418" s="27">
        <v>2012</v>
      </c>
      <c r="F1418" s="27">
        <v>3</v>
      </c>
      <c r="G1418" s="27">
        <v>0</v>
      </c>
      <c r="H1418" s="27">
        <v>0</v>
      </c>
      <c r="I1418" s="27">
        <v>0</v>
      </c>
      <c r="J1418" s="27">
        <v>0.91</v>
      </c>
      <c r="K1418" s="27">
        <v>0.61</v>
      </c>
      <c r="L1418" s="27">
        <v>350</v>
      </c>
      <c r="M1418" s="27">
        <v>250</v>
      </c>
      <c r="N1418" s="27">
        <v>0</v>
      </c>
      <c r="O1418" s="27">
        <v>0</v>
      </c>
      <c r="P1418" s="27" t="s">
        <v>13</v>
      </c>
      <c r="Q1418" s="27">
        <v>1993</v>
      </c>
      <c r="R1418" s="27">
        <v>1</v>
      </c>
      <c r="S1418" s="27">
        <v>0</v>
      </c>
      <c r="T1418" s="27">
        <v>-2.7380000000000002E-2</v>
      </c>
      <c r="U1418" s="27">
        <v>-0.18253</v>
      </c>
      <c r="V1418" s="27">
        <v>0</v>
      </c>
      <c r="W1418" s="27">
        <v>0</v>
      </c>
      <c r="X1418" s="27" t="s">
        <v>52</v>
      </c>
    </row>
    <row r="1419" spans="1:24">
      <c r="A1419" s="27">
        <v>4</v>
      </c>
      <c r="B1419" s="27">
        <v>1</v>
      </c>
      <c r="C1419" s="27">
        <v>1</v>
      </c>
      <c r="D1419" s="27">
        <v>2010</v>
      </c>
      <c r="E1419" s="27">
        <v>2012</v>
      </c>
      <c r="F1419" s="27">
        <v>4</v>
      </c>
      <c r="G1419" s="27">
        <v>0</v>
      </c>
      <c r="H1419" s="27">
        <v>0</v>
      </c>
      <c r="I1419" s="27">
        <v>0</v>
      </c>
      <c r="J1419" s="27">
        <v>0.91</v>
      </c>
      <c r="K1419" s="27">
        <v>0.61</v>
      </c>
      <c r="L1419" s="27">
        <v>350</v>
      </c>
      <c r="M1419" s="27">
        <v>250</v>
      </c>
      <c r="N1419" s="27">
        <v>0</v>
      </c>
      <c r="O1419" s="27">
        <v>0</v>
      </c>
      <c r="P1419" s="27" t="s">
        <v>13</v>
      </c>
      <c r="Q1419" s="27">
        <v>1993</v>
      </c>
      <c r="R1419" s="27">
        <v>1</v>
      </c>
      <c r="S1419" s="27">
        <v>0</v>
      </c>
      <c r="T1419" s="27">
        <v>-2.7380000000000002E-2</v>
      </c>
      <c r="U1419" s="27">
        <v>-0.18253</v>
      </c>
      <c r="V1419" s="27">
        <v>0</v>
      </c>
      <c r="W1419" s="27">
        <v>0</v>
      </c>
      <c r="X1419" s="27" t="s">
        <v>52</v>
      </c>
    </row>
    <row r="1420" spans="1:24">
      <c r="A1420" s="27">
        <v>4</v>
      </c>
      <c r="B1420" s="27">
        <v>1</v>
      </c>
      <c r="C1420" s="27">
        <v>1</v>
      </c>
      <c r="D1420" s="27">
        <v>2010</v>
      </c>
      <c r="E1420" s="27">
        <v>2012</v>
      </c>
      <c r="F1420" s="27">
        <v>5</v>
      </c>
      <c r="G1420" s="27">
        <v>0</v>
      </c>
      <c r="H1420" s="27">
        <v>0</v>
      </c>
      <c r="I1420" s="27">
        <v>0</v>
      </c>
      <c r="J1420" s="27">
        <v>0.91</v>
      </c>
      <c r="K1420" s="27">
        <v>0.61</v>
      </c>
      <c r="L1420" s="27">
        <v>350</v>
      </c>
      <c r="M1420" s="27">
        <v>250</v>
      </c>
      <c r="N1420" s="27">
        <v>0</v>
      </c>
      <c r="O1420" s="27">
        <v>0</v>
      </c>
      <c r="P1420" s="27" t="s">
        <v>13</v>
      </c>
      <c r="Q1420" s="27">
        <v>1993</v>
      </c>
      <c r="R1420" s="27">
        <v>1</v>
      </c>
      <c r="S1420" s="27">
        <v>0</v>
      </c>
      <c r="T1420" s="27">
        <v>-2.7380000000000002E-2</v>
      </c>
      <c r="U1420" s="27">
        <v>-0.18253</v>
      </c>
      <c r="V1420" s="27">
        <v>0</v>
      </c>
      <c r="W1420" s="27">
        <v>0</v>
      </c>
      <c r="X1420" s="27" t="s">
        <v>52</v>
      </c>
    </row>
    <row r="1421" spans="1:24">
      <c r="A1421" s="27">
        <v>4</v>
      </c>
      <c r="B1421" s="27">
        <v>1</v>
      </c>
      <c r="C1421" s="27">
        <v>1</v>
      </c>
      <c r="D1421" s="27">
        <v>2010</v>
      </c>
      <c r="E1421" s="27">
        <v>2012</v>
      </c>
      <c r="F1421" s="27">
        <v>6</v>
      </c>
      <c r="G1421" s="27">
        <v>0</v>
      </c>
      <c r="H1421" s="27">
        <v>0</v>
      </c>
      <c r="I1421" s="27">
        <v>0</v>
      </c>
      <c r="J1421" s="27">
        <v>0.91</v>
      </c>
      <c r="K1421" s="27">
        <v>0.61</v>
      </c>
      <c r="L1421" s="27">
        <v>350</v>
      </c>
      <c r="M1421" s="27">
        <v>250</v>
      </c>
      <c r="N1421" s="27">
        <v>0</v>
      </c>
      <c r="O1421" s="27">
        <v>0</v>
      </c>
      <c r="P1421" s="27" t="s">
        <v>13</v>
      </c>
      <c r="Q1421" s="27">
        <v>1993</v>
      </c>
      <c r="R1421" s="27">
        <v>1</v>
      </c>
      <c r="S1421" s="27">
        <v>0</v>
      </c>
      <c r="T1421" s="27">
        <v>-2.7380000000000002E-2</v>
      </c>
      <c r="U1421" s="27">
        <v>-0.18253</v>
      </c>
      <c r="V1421" s="27">
        <v>0</v>
      </c>
      <c r="W1421" s="27">
        <v>0</v>
      </c>
      <c r="X1421" s="27" t="s">
        <v>52</v>
      </c>
    </row>
    <row r="1422" spans="1:24">
      <c r="A1422" s="27">
        <v>4</v>
      </c>
      <c r="B1422" s="27">
        <v>1</v>
      </c>
      <c r="C1422" s="27">
        <v>1</v>
      </c>
      <c r="D1422" s="27">
        <v>2010</v>
      </c>
      <c r="E1422" s="27">
        <v>2012</v>
      </c>
      <c r="F1422" s="27">
        <v>7</v>
      </c>
      <c r="G1422" s="27">
        <v>0</v>
      </c>
      <c r="H1422" s="27">
        <v>0</v>
      </c>
      <c r="I1422" s="27">
        <v>0</v>
      </c>
      <c r="J1422" s="27">
        <v>0.91</v>
      </c>
      <c r="K1422" s="27">
        <v>0.61</v>
      </c>
      <c r="L1422" s="27">
        <v>350</v>
      </c>
      <c r="M1422" s="27">
        <v>250</v>
      </c>
      <c r="N1422" s="27">
        <v>0</v>
      </c>
      <c r="O1422" s="27">
        <v>0</v>
      </c>
      <c r="P1422" s="27" t="s">
        <v>13</v>
      </c>
      <c r="Q1422" s="27">
        <v>1993</v>
      </c>
      <c r="R1422" s="27">
        <v>1</v>
      </c>
      <c r="S1422" s="27">
        <v>0</v>
      </c>
      <c r="T1422" s="27">
        <v>-2.7380000000000002E-2</v>
      </c>
      <c r="U1422" s="27">
        <v>-0.18253</v>
      </c>
      <c r="V1422" s="27">
        <v>0</v>
      </c>
      <c r="W1422" s="27">
        <v>0</v>
      </c>
      <c r="X1422" s="27" t="s">
        <v>52</v>
      </c>
    </row>
    <row r="1423" spans="1:24">
      <c r="A1423" s="27">
        <v>4</v>
      </c>
      <c r="B1423" s="27">
        <v>1</v>
      </c>
      <c r="C1423" s="27">
        <v>1</v>
      </c>
      <c r="D1423" s="27">
        <v>2010</v>
      </c>
      <c r="E1423" s="27">
        <v>2012</v>
      </c>
      <c r="F1423" s="27">
        <v>8</v>
      </c>
      <c r="G1423" s="27">
        <v>0</v>
      </c>
      <c r="H1423" s="27">
        <v>0</v>
      </c>
      <c r="I1423" s="27">
        <v>0</v>
      </c>
      <c r="J1423" s="27">
        <v>0.91</v>
      </c>
      <c r="K1423" s="27">
        <v>0.61</v>
      </c>
      <c r="L1423" s="27">
        <v>350</v>
      </c>
      <c r="M1423" s="27">
        <v>250</v>
      </c>
      <c r="N1423" s="27">
        <v>0</v>
      </c>
      <c r="O1423" s="27">
        <v>0</v>
      </c>
      <c r="P1423" s="27" t="s">
        <v>13</v>
      </c>
      <c r="Q1423" s="27">
        <v>1993</v>
      </c>
      <c r="R1423" s="27">
        <v>1</v>
      </c>
      <c r="S1423" s="27">
        <v>0</v>
      </c>
      <c r="T1423" s="27">
        <v>-2.7380000000000002E-2</v>
      </c>
      <c r="U1423" s="27">
        <v>-0.18253</v>
      </c>
      <c r="V1423" s="27">
        <v>0</v>
      </c>
      <c r="W1423" s="27">
        <v>0</v>
      </c>
      <c r="X1423" s="27" t="s">
        <v>52</v>
      </c>
    </row>
    <row r="1424" spans="1:24">
      <c r="A1424" s="27">
        <v>4</v>
      </c>
      <c r="B1424" s="27">
        <v>1</v>
      </c>
      <c r="C1424" s="27">
        <v>1</v>
      </c>
      <c r="D1424" s="27">
        <v>2010</v>
      </c>
      <c r="E1424" s="27">
        <v>2012</v>
      </c>
      <c r="F1424" s="27">
        <v>9</v>
      </c>
      <c r="G1424" s="27">
        <v>0</v>
      </c>
      <c r="H1424" s="27">
        <v>0</v>
      </c>
      <c r="I1424" s="27">
        <v>0</v>
      </c>
      <c r="J1424" s="27">
        <v>0.91</v>
      </c>
      <c r="K1424" s="27">
        <v>0.61</v>
      </c>
      <c r="L1424" s="27">
        <v>350</v>
      </c>
      <c r="M1424" s="27">
        <v>250</v>
      </c>
      <c r="N1424" s="27">
        <v>0</v>
      </c>
      <c r="O1424" s="27">
        <v>0</v>
      </c>
      <c r="P1424" s="27" t="s">
        <v>13</v>
      </c>
      <c r="Q1424" s="27">
        <v>1993</v>
      </c>
      <c r="R1424" s="27">
        <v>1</v>
      </c>
      <c r="S1424" s="27">
        <v>0</v>
      </c>
      <c r="T1424" s="27">
        <v>-2.7380000000000002E-2</v>
      </c>
      <c r="U1424" s="27">
        <v>-0.18253</v>
      </c>
      <c r="V1424" s="27">
        <v>0</v>
      </c>
      <c r="W1424" s="27">
        <v>0</v>
      </c>
      <c r="X1424" s="27" t="s">
        <v>52</v>
      </c>
    </row>
    <row r="1425" spans="1:24">
      <c r="A1425" s="27">
        <v>4</v>
      </c>
      <c r="B1425" s="27">
        <v>1</v>
      </c>
      <c r="C1425" s="27">
        <v>1</v>
      </c>
      <c r="D1425" s="27">
        <v>2013</v>
      </c>
      <c r="E1425" s="27">
        <v>2050</v>
      </c>
      <c r="F1425" s="27">
        <v>1</v>
      </c>
      <c r="G1425" s="27">
        <v>0</v>
      </c>
      <c r="H1425" s="27">
        <v>0</v>
      </c>
      <c r="I1425" s="27">
        <v>0</v>
      </c>
      <c r="J1425" s="27">
        <v>0.63</v>
      </c>
      <c r="K1425" s="27">
        <v>0.7</v>
      </c>
      <c r="L1425" s="27">
        <v>350</v>
      </c>
      <c r="M1425" s="27">
        <v>250</v>
      </c>
      <c r="N1425" s="27">
        <v>0</v>
      </c>
      <c r="O1425" s="27">
        <v>0</v>
      </c>
      <c r="P1425" s="27" t="s">
        <v>13</v>
      </c>
      <c r="Q1425" s="27">
        <v>1993</v>
      </c>
      <c r="R1425" s="27">
        <v>1</v>
      </c>
      <c r="S1425" s="27">
        <v>0</v>
      </c>
      <c r="T1425" s="27">
        <v>-2.7380000000000002E-2</v>
      </c>
      <c r="U1425" s="27">
        <v>-0.18253</v>
      </c>
      <c r="V1425" s="27">
        <v>0</v>
      </c>
      <c r="W1425" s="27">
        <v>0</v>
      </c>
      <c r="X1425" s="27" t="s">
        <v>52</v>
      </c>
    </row>
    <row r="1426" spans="1:24">
      <c r="A1426" s="27">
        <v>4</v>
      </c>
      <c r="B1426" s="27">
        <v>1</v>
      </c>
      <c r="C1426" s="27">
        <v>1</v>
      </c>
      <c r="D1426" s="27">
        <v>2013</v>
      </c>
      <c r="E1426" s="27">
        <v>2050</v>
      </c>
      <c r="F1426" s="27">
        <v>2</v>
      </c>
      <c r="G1426" s="27">
        <v>0</v>
      </c>
      <c r="H1426" s="27">
        <v>0</v>
      </c>
      <c r="I1426" s="27">
        <v>0</v>
      </c>
      <c r="J1426" s="27">
        <v>0.63</v>
      </c>
      <c r="K1426" s="27">
        <v>0.7</v>
      </c>
      <c r="L1426" s="27">
        <v>350</v>
      </c>
      <c r="M1426" s="27">
        <v>250</v>
      </c>
      <c r="N1426" s="27">
        <v>0</v>
      </c>
      <c r="O1426" s="27">
        <v>0</v>
      </c>
      <c r="P1426" s="27" t="s">
        <v>13</v>
      </c>
      <c r="Q1426" s="27">
        <v>1993</v>
      </c>
      <c r="R1426" s="27">
        <v>1</v>
      </c>
      <c r="S1426" s="27">
        <v>0</v>
      </c>
      <c r="T1426" s="27">
        <v>-2.7380000000000002E-2</v>
      </c>
      <c r="U1426" s="27">
        <v>-0.18253</v>
      </c>
      <c r="V1426" s="27">
        <v>0</v>
      </c>
      <c r="W1426" s="27">
        <v>0</v>
      </c>
      <c r="X1426" s="27" t="s">
        <v>52</v>
      </c>
    </row>
    <row r="1427" spans="1:24">
      <c r="A1427" s="27">
        <v>4</v>
      </c>
      <c r="B1427" s="27">
        <v>1</v>
      </c>
      <c r="C1427" s="27">
        <v>1</v>
      </c>
      <c r="D1427" s="27">
        <v>2013</v>
      </c>
      <c r="E1427" s="27">
        <v>2050</v>
      </c>
      <c r="F1427" s="27">
        <v>3</v>
      </c>
      <c r="G1427" s="27">
        <v>0</v>
      </c>
      <c r="H1427" s="27">
        <v>0</v>
      </c>
      <c r="I1427" s="27">
        <v>0</v>
      </c>
      <c r="J1427" s="27">
        <v>0.63</v>
      </c>
      <c r="K1427" s="27">
        <v>0.7</v>
      </c>
      <c r="L1427" s="27">
        <v>350</v>
      </c>
      <c r="M1427" s="27">
        <v>250</v>
      </c>
      <c r="N1427" s="27">
        <v>0</v>
      </c>
      <c r="O1427" s="27">
        <v>0</v>
      </c>
      <c r="P1427" s="27" t="s">
        <v>13</v>
      </c>
      <c r="Q1427" s="27">
        <v>1993</v>
      </c>
      <c r="R1427" s="27">
        <v>1</v>
      </c>
      <c r="S1427" s="27">
        <v>0</v>
      </c>
      <c r="T1427" s="27">
        <v>-2.7380000000000002E-2</v>
      </c>
      <c r="U1427" s="27">
        <v>-0.18253</v>
      </c>
      <c r="V1427" s="27">
        <v>0</v>
      </c>
      <c r="W1427" s="27">
        <v>0</v>
      </c>
      <c r="X1427" s="27" t="s">
        <v>52</v>
      </c>
    </row>
    <row r="1428" spans="1:24">
      <c r="A1428" s="27">
        <v>4</v>
      </c>
      <c r="B1428" s="27">
        <v>1</v>
      </c>
      <c r="C1428" s="27">
        <v>1</v>
      </c>
      <c r="D1428" s="27">
        <v>2013</v>
      </c>
      <c r="E1428" s="27">
        <v>2050</v>
      </c>
      <c r="F1428" s="27">
        <v>4</v>
      </c>
      <c r="G1428" s="27">
        <v>0</v>
      </c>
      <c r="H1428" s="27">
        <v>0</v>
      </c>
      <c r="I1428" s="27">
        <v>0</v>
      </c>
      <c r="J1428" s="27">
        <v>0.63</v>
      </c>
      <c r="K1428" s="27">
        <v>0.7</v>
      </c>
      <c r="L1428" s="27">
        <v>350</v>
      </c>
      <c r="M1428" s="27">
        <v>250</v>
      </c>
      <c r="N1428" s="27">
        <v>0</v>
      </c>
      <c r="O1428" s="27">
        <v>0</v>
      </c>
      <c r="P1428" s="27" t="s">
        <v>13</v>
      </c>
      <c r="Q1428" s="27">
        <v>1993</v>
      </c>
      <c r="R1428" s="27">
        <v>1</v>
      </c>
      <c r="S1428" s="27">
        <v>0</v>
      </c>
      <c r="T1428" s="27">
        <v>-2.7380000000000002E-2</v>
      </c>
      <c r="U1428" s="27">
        <v>-0.18253</v>
      </c>
      <c r="V1428" s="27">
        <v>0</v>
      </c>
      <c r="W1428" s="27">
        <v>0</v>
      </c>
      <c r="X1428" s="27" t="s">
        <v>52</v>
      </c>
    </row>
    <row r="1429" spans="1:24">
      <c r="A1429" s="27">
        <v>4</v>
      </c>
      <c r="B1429" s="27">
        <v>1</v>
      </c>
      <c r="C1429" s="27">
        <v>1</v>
      </c>
      <c r="D1429" s="27">
        <v>2013</v>
      </c>
      <c r="E1429" s="27">
        <v>2050</v>
      </c>
      <c r="F1429" s="27">
        <v>5</v>
      </c>
      <c r="G1429" s="27">
        <v>0</v>
      </c>
      <c r="H1429" s="27">
        <v>0</v>
      </c>
      <c r="I1429" s="27">
        <v>0</v>
      </c>
      <c r="J1429" s="27">
        <v>0.63</v>
      </c>
      <c r="K1429" s="27">
        <v>0.7</v>
      </c>
      <c r="L1429" s="27">
        <v>350</v>
      </c>
      <c r="M1429" s="27">
        <v>250</v>
      </c>
      <c r="N1429" s="27">
        <v>0</v>
      </c>
      <c r="O1429" s="27">
        <v>0</v>
      </c>
      <c r="P1429" s="27" t="s">
        <v>13</v>
      </c>
      <c r="Q1429" s="27">
        <v>1993</v>
      </c>
      <c r="R1429" s="27">
        <v>1</v>
      </c>
      <c r="S1429" s="27">
        <v>0</v>
      </c>
      <c r="T1429" s="27">
        <v>-2.7380000000000002E-2</v>
      </c>
      <c r="U1429" s="27">
        <v>-0.18253</v>
      </c>
      <c r="V1429" s="27">
        <v>0</v>
      </c>
      <c r="W1429" s="27">
        <v>0</v>
      </c>
      <c r="X1429" s="27" t="s">
        <v>52</v>
      </c>
    </row>
    <row r="1430" spans="1:24">
      <c r="A1430" s="27">
        <v>4</v>
      </c>
      <c r="B1430" s="27">
        <v>1</v>
      </c>
      <c r="C1430" s="27">
        <v>1</v>
      </c>
      <c r="D1430" s="27">
        <v>2013</v>
      </c>
      <c r="E1430" s="27">
        <v>2050</v>
      </c>
      <c r="F1430" s="27">
        <v>6</v>
      </c>
      <c r="G1430" s="27">
        <v>0</v>
      </c>
      <c r="H1430" s="27">
        <v>0</v>
      </c>
      <c r="I1430" s="27">
        <v>0</v>
      </c>
      <c r="J1430" s="27">
        <v>0.63</v>
      </c>
      <c r="K1430" s="27">
        <v>0.7</v>
      </c>
      <c r="L1430" s="27">
        <v>350</v>
      </c>
      <c r="M1430" s="27">
        <v>250</v>
      </c>
      <c r="N1430" s="27">
        <v>0</v>
      </c>
      <c r="O1430" s="27">
        <v>0</v>
      </c>
      <c r="P1430" s="27" t="s">
        <v>13</v>
      </c>
      <c r="Q1430" s="27">
        <v>1993</v>
      </c>
      <c r="R1430" s="27">
        <v>1</v>
      </c>
      <c r="S1430" s="27">
        <v>0</v>
      </c>
      <c r="T1430" s="27">
        <v>-2.7380000000000002E-2</v>
      </c>
      <c r="U1430" s="27">
        <v>-0.18253</v>
      </c>
      <c r="V1430" s="27">
        <v>0</v>
      </c>
      <c r="W1430" s="27">
        <v>0</v>
      </c>
      <c r="X1430" s="27" t="s">
        <v>52</v>
      </c>
    </row>
    <row r="1431" spans="1:24">
      <c r="A1431" s="27">
        <v>4</v>
      </c>
      <c r="B1431" s="27">
        <v>1</v>
      </c>
      <c r="C1431" s="27">
        <v>1</v>
      </c>
      <c r="D1431" s="27">
        <v>2013</v>
      </c>
      <c r="E1431" s="27">
        <v>2050</v>
      </c>
      <c r="F1431" s="27">
        <v>7</v>
      </c>
      <c r="G1431" s="27">
        <v>0</v>
      </c>
      <c r="H1431" s="27">
        <v>0</v>
      </c>
      <c r="I1431" s="27">
        <v>0</v>
      </c>
      <c r="J1431" s="27">
        <v>0.63</v>
      </c>
      <c r="K1431" s="27">
        <v>0.7</v>
      </c>
      <c r="L1431" s="27">
        <v>350</v>
      </c>
      <c r="M1431" s="27">
        <v>250</v>
      </c>
      <c r="N1431" s="27">
        <v>0</v>
      </c>
      <c r="O1431" s="27">
        <v>0</v>
      </c>
      <c r="P1431" s="27" t="s">
        <v>13</v>
      </c>
      <c r="Q1431" s="27">
        <v>1993</v>
      </c>
      <c r="R1431" s="27">
        <v>1</v>
      </c>
      <c r="S1431" s="27">
        <v>0</v>
      </c>
      <c r="T1431" s="27">
        <v>-2.7380000000000002E-2</v>
      </c>
      <c r="U1431" s="27">
        <v>-0.18253</v>
      </c>
      <c r="V1431" s="27">
        <v>0</v>
      </c>
      <c r="W1431" s="27">
        <v>0</v>
      </c>
      <c r="X1431" s="27" t="s">
        <v>52</v>
      </c>
    </row>
    <row r="1432" spans="1:24">
      <c r="A1432" s="27">
        <v>4</v>
      </c>
      <c r="B1432" s="27">
        <v>1</v>
      </c>
      <c r="C1432" s="27">
        <v>1</v>
      </c>
      <c r="D1432" s="27">
        <v>2013</v>
      </c>
      <c r="E1432" s="27">
        <v>2050</v>
      </c>
      <c r="F1432" s="27">
        <v>8</v>
      </c>
      <c r="G1432" s="27">
        <v>0</v>
      </c>
      <c r="H1432" s="27">
        <v>0</v>
      </c>
      <c r="I1432" s="27">
        <v>0</v>
      </c>
      <c r="J1432" s="27">
        <v>0.63</v>
      </c>
      <c r="K1432" s="27">
        <v>0.7</v>
      </c>
      <c r="L1432" s="27">
        <v>350</v>
      </c>
      <c r="M1432" s="27">
        <v>250</v>
      </c>
      <c r="N1432" s="27">
        <v>0</v>
      </c>
      <c r="O1432" s="27">
        <v>0</v>
      </c>
      <c r="P1432" s="27" t="s">
        <v>13</v>
      </c>
      <c r="Q1432" s="27">
        <v>1993</v>
      </c>
      <c r="R1432" s="27">
        <v>1</v>
      </c>
      <c r="S1432" s="27">
        <v>0</v>
      </c>
      <c r="T1432" s="27">
        <v>-2.7380000000000002E-2</v>
      </c>
      <c r="U1432" s="27">
        <v>-0.18253</v>
      </c>
      <c r="V1432" s="27">
        <v>0</v>
      </c>
      <c r="W1432" s="27">
        <v>0</v>
      </c>
      <c r="X1432" s="27" t="s">
        <v>52</v>
      </c>
    </row>
    <row r="1433" spans="1:24">
      <c r="A1433" s="27">
        <v>4</v>
      </c>
      <c r="B1433" s="27">
        <v>1</v>
      </c>
      <c r="C1433" s="27">
        <v>1</v>
      </c>
      <c r="D1433" s="27">
        <v>2013</v>
      </c>
      <c r="E1433" s="27">
        <v>2050</v>
      </c>
      <c r="F1433" s="27">
        <v>9</v>
      </c>
      <c r="G1433" s="27">
        <v>0</v>
      </c>
      <c r="H1433" s="27">
        <v>0</v>
      </c>
      <c r="I1433" s="27">
        <v>0</v>
      </c>
      <c r="J1433" s="27">
        <v>0.63</v>
      </c>
      <c r="K1433" s="27">
        <v>0.7</v>
      </c>
      <c r="L1433" s="27">
        <v>350</v>
      </c>
      <c r="M1433" s="27">
        <v>250</v>
      </c>
      <c r="N1433" s="27">
        <v>0</v>
      </c>
      <c r="O1433" s="27">
        <v>0</v>
      </c>
      <c r="P1433" s="27" t="s">
        <v>13</v>
      </c>
      <c r="Q1433" s="27">
        <v>1993</v>
      </c>
      <c r="R1433" s="27">
        <v>1</v>
      </c>
      <c r="S1433" s="27">
        <v>0</v>
      </c>
      <c r="T1433" s="27">
        <v>-2.7380000000000002E-2</v>
      </c>
      <c r="U1433" s="27">
        <v>-0.18253</v>
      </c>
      <c r="V1433" s="27">
        <v>0</v>
      </c>
      <c r="W1433" s="27">
        <v>0</v>
      </c>
      <c r="X1433" s="27" t="s">
        <v>52</v>
      </c>
    </row>
    <row r="1434" spans="1:24">
      <c r="A1434" s="27">
        <v>4</v>
      </c>
      <c r="B1434" s="27">
        <v>1</v>
      </c>
      <c r="C1434" s="27">
        <v>2</v>
      </c>
      <c r="D1434" s="27">
        <v>2010</v>
      </c>
      <c r="E1434" s="27">
        <v>2012</v>
      </c>
      <c r="F1434" s="27">
        <v>1</v>
      </c>
      <c r="G1434" s="27">
        <v>0</v>
      </c>
      <c r="H1434" s="27">
        <v>0</v>
      </c>
      <c r="I1434" s="27">
        <v>0</v>
      </c>
      <c r="J1434" s="27">
        <v>0.65</v>
      </c>
      <c r="K1434" s="27">
        <v>0.66</v>
      </c>
      <c r="L1434" s="27">
        <v>750</v>
      </c>
      <c r="M1434" s="27">
        <v>650</v>
      </c>
      <c r="N1434" s="27">
        <v>0</v>
      </c>
      <c r="O1434" s="27">
        <v>0</v>
      </c>
      <c r="P1434" s="27" t="s">
        <v>13</v>
      </c>
      <c r="Q1434" s="27">
        <v>1993</v>
      </c>
      <c r="R1434" s="27">
        <v>1</v>
      </c>
      <c r="S1434" s="27">
        <v>0</v>
      </c>
      <c r="T1434" s="27">
        <v>-2.7380000000000002E-2</v>
      </c>
      <c r="U1434" s="27">
        <v>-0.18253</v>
      </c>
      <c r="V1434" s="27">
        <v>0</v>
      </c>
      <c r="W1434" s="27">
        <v>0</v>
      </c>
      <c r="X1434" s="27" t="s">
        <v>53</v>
      </c>
    </row>
    <row r="1435" spans="1:24">
      <c r="A1435" s="27">
        <v>4</v>
      </c>
      <c r="B1435" s="27">
        <v>1</v>
      </c>
      <c r="C1435" s="27">
        <v>2</v>
      </c>
      <c r="D1435" s="27">
        <v>2010</v>
      </c>
      <c r="E1435" s="27">
        <v>2012</v>
      </c>
      <c r="F1435" s="27">
        <v>2</v>
      </c>
      <c r="G1435" s="27">
        <v>0</v>
      </c>
      <c r="H1435" s="27">
        <v>0</v>
      </c>
      <c r="I1435" s="27">
        <v>0</v>
      </c>
      <c r="J1435" s="27">
        <v>0.65</v>
      </c>
      <c r="K1435" s="27">
        <v>0.66</v>
      </c>
      <c r="L1435" s="27">
        <v>750</v>
      </c>
      <c r="M1435" s="27">
        <v>650</v>
      </c>
      <c r="N1435" s="27">
        <v>0</v>
      </c>
      <c r="O1435" s="27">
        <v>0</v>
      </c>
      <c r="P1435" s="27" t="s">
        <v>13</v>
      </c>
      <c r="Q1435" s="27">
        <v>1993</v>
      </c>
      <c r="R1435" s="27">
        <v>1</v>
      </c>
      <c r="S1435" s="27">
        <v>0</v>
      </c>
      <c r="T1435" s="27">
        <v>-2.7380000000000002E-2</v>
      </c>
      <c r="U1435" s="27">
        <v>-0.18253</v>
      </c>
      <c r="V1435" s="27">
        <v>0</v>
      </c>
      <c r="W1435" s="27">
        <v>0</v>
      </c>
      <c r="X1435" s="27" t="s">
        <v>53</v>
      </c>
    </row>
    <row r="1436" spans="1:24">
      <c r="A1436" s="27">
        <v>4</v>
      </c>
      <c r="B1436" s="27">
        <v>1</v>
      </c>
      <c r="C1436" s="27">
        <v>2</v>
      </c>
      <c r="D1436" s="27">
        <v>2010</v>
      </c>
      <c r="E1436" s="27">
        <v>2012</v>
      </c>
      <c r="F1436" s="27">
        <v>3</v>
      </c>
      <c r="G1436" s="27">
        <v>0</v>
      </c>
      <c r="H1436" s="27">
        <v>0</v>
      </c>
      <c r="I1436" s="27">
        <v>0</v>
      </c>
      <c r="J1436" s="27">
        <v>0.65</v>
      </c>
      <c r="K1436" s="27">
        <v>0.66</v>
      </c>
      <c r="L1436" s="27">
        <v>750</v>
      </c>
      <c r="M1436" s="27">
        <v>650</v>
      </c>
      <c r="N1436" s="27">
        <v>0</v>
      </c>
      <c r="O1436" s="27">
        <v>0</v>
      </c>
      <c r="P1436" s="27" t="s">
        <v>13</v>
      </c>
      <c r="Q1436" s="27">
        <v>1993</v>
      </c>
      <c r="R1436" s="27">
        <v>1</v>
      </c>
      <c r="S1436" s="27">
        <v>0</v>
      </c>
      <c r="T1436" s="27">
        <v>-2.7380000000000002E-2</v>
      </c>
      <c r="U1436" s="27">
        <v>-0.18253</v>
      </c>
      <c r="V1436" s="27">
        <v>0</v>
      </c>
      <c r="W1436" s="27">
        <v>0</v>
      </c>
      <c r="X1436" s="27" t="s">
        <v>53</v>
      </c>
    </row>
    <row r="1437" spans="1:24">
      <c r="A1437" s="27">
        <v>4</v>
      </c>
      <c r="B1437" s="27">
        <v>1</v>
      </c>
      <c r="C1437" s="27">
        <v>2</v>
      </c>
      <c r="D1437" s="27">
        <v>2010</v>
      </c>
      <c r="E1437" s="27">
        <v>2012</v>
      </c>
      <c r="F1437" s="27">
        <v>4</v>
      </c>
      <c r="G1437" s="27">
        <v>0</v>
      </c>
      <c r="H1437" s="27">
        <v>0</v>
      </c>
      <c r="I1437" s="27">
        <v>0</v>
      </c>
      <c r="J1437" s="27">
        <v>0.65</v>
      </c>
      <c r="K1437" s="27">
        <v>0.66</v>
      </c>
      <c r="L1437" s="27">
        <v>750</v>
      </c>
      <c r="M1437" s="27">
        <v>650</v>
      </c>
      <c r="N1437" s="27">
        <v>0</v>
      </c>
      <c r="O1437" s="27">
        <v>0</v>
      </c>
      <c r="P1437" s="27" t="s">
        <v>13</v>
      </c>
      <c r="Q1437" s="27">
        <v>1993</v>
      </c>
      <c r="R1437" s="27">
        <v>1</v>
      </c>
      <c r="S1437" s="27">
        <v>0</v>
      </c>
      <c r="T1437" s="27">
        <v>-2.7380000000000002E-2</v>
      </c>
      <c r="U1437" s="27">
        <v>-0.18253</v>
      </c>
      <c r="V1437" s="27">
        <v>0</v>
      </c>
      <c r="W1437" s="27">
        <v>0</v>
      </c>
      <c r="X1437" s="27" t="s">
        <v>53</v>
      </c>
    </row>
    <row r="1438" spans="1:24">
      <c r="A1438" s="27">
        <v>4</v>
      </c>
      <c r="B1438" s="27">
        <v>1</v>
      </c>
      <c r="C1438" s="27">
        <v>2</v>
      </c>
      <c r="D1438" s="27">
        <v>2010</v>
      </c>
      <c r="E1438" s="27">
        <v>2012</v>
      </c>
      <c r="F1438" s="27">
        <v>5</v>
      </c>
      <c r="G1438" s="27">
        <v>0</v>
      </c>
      <c r="H1438" s="27">
        <v>0</v>
      </c>
      <c r="I1438" s="27">
        <v>0</v>
      </c>
      <c r="J1438" s="27">
        <v>0.65</v>
      </c>
      <c r="K1438" s="27">
        <v>0.66</v>
      </c>
      <c r="L1438" s="27">
        <v>750</v>
      </c>
      <c r="M1438" s="27">
        <v>650</v>
      </c>
      <c r="N1438" s="27">
        <v>0</v>
      </c>
      <c r="O1438" s="27">
        <v>0</v>
      </c>
      <c r="P1438" s="27" t="s">
        <v>13</v>
      </c>
      <c r="Q1438" s="27">
        <v>1993</v>
      </c>
      <c r="R1438" s="27">
        <v>1</v>
      </c>
      <c r="S1438" s="27">
        <v>0</v>
      </c>
      <c r="T1438" s="27">
        <v>-2.7380000000000002E-2</v>
      </c>
      <c r="U1438" s="27">
        <v>-0.18253</v>
      </c>
      <c r="V1438" s="27">
        <v>0</v>
      </c>
      <c r="W1438" s="27">
        <v>0</v>
      </c>
      <c r="X1438" s="27" t="s">
        <v>53</v>
      </c>
    </row>
    <row r="1439" spans="1:24">
      <c r="A1439" s="27">
        <v>4</v>
      </c>
      <c r="B1439" s="27">
        <v>1</v>
      </c>
      <c r="C1439" s="27">
        <v>2</v>
      </c>
      <c r="D1439" s="27">
        <v>2010</v>
      </c>
      <c r="E1439" s="27">
        <v>2012</v>
      </c>
      <c r="F1439" s="27">
        <v>6</v>
      </c>
      <c r="G1439" s="27">
        <v>0</v>
      </c>
      <c r="H1439" s="27">
        <v>0</v>
      </c>
      <c r="I1439" s="27">
        <v>0</v>
      </c>
      <c r="J1439" s="27">
        <v>0.65</v>
      </c>
      <c r="K1439" s="27">
        <v>0.66</v>
      </c>
      <c r="L1439" s="27">
        <v>750</v>
      </c>
      <c r="M1439" s="27">
        <v>650</v>
      </c>
      <c r="N1439" s="27">
        <v>0</v>
      </c>
      <c r="O1439" s="27">
        <v>0</v>
      </c>
      <c r="P1439" s="27" t="s">
        <v>13</v>
      </c>
      <c r="Q1439" s="27">
        <v>1993</v>
      </c>
      <c r="R1439" s="27">
        <v>1</v>
      </c>
      <c r="S1439" s="27">
        <v>0</v>
      </c>
      <c r="T1439" s="27">
        <v>-2.7380000000000002E-2</v>
      </c>
      <c r="U1439" s="27">
        <v>-0.18253</v>
      </c>
      <c r="V1439" s="27">
        <v>0</v>
      </c>
      <c r="W1439" s="27">
        <v>0</v>
      </c>
      <c r="X1439" s="27" t="s">
        <v>53</v>
      </c>
    </row>
    <row r="1440" spans="1:24">
      <c r="A1440" s="27">
        <v>4</v>
      </c>
      <c r="B1440" s="27">
        <v>1</v>
      </c>
      <c r="C1440" s="27">
        <v>2</v>
      </c>
      <c r="D1440" s="27">
        <v>2010</v>
      </c>
      <c r="E1440" s="27">
        <v>2012</v>
      </c>
      <c r="F1440" s="27">
        <v>7</v>
      </c>
      <c r="G1440" s="27">
        <v>0</v>
      </c>
      <c r="H1440" s="27">
        <v>0</v>
      </c>
      <c r="I1440" s="27">
        <v>0</v>
      </c>
      <c r="J1440" s="27">
        <v>0.65</v>
      </c>
      <c r="K1440" s="27">
        <v>0.66</v>
      </c>
      <c r="L1440" s="27">
        <v>750</v>
      </c>
      <c r="M1440" s="27">
        <v>650</v>
      </c>
      <c r="N1440" s="27">
        <v>0</v>
      </c>
      <c r="O1440" s="27">
        <v>0</v>
      </c>
      <c r="P1440" s="27" t="s">
        <v>13</v>
      </c>
      <c r="Q1440" s="27">
        <v>1993</v>
      </c>
      <c r="R1440" s="27">
        <v>1</v>
      </c>
      <c r="S1440" s="27">
        <v>0</v>
      </c>
      <c r="T1440" s="27">
        <v>-2.7380000000000002E-2</v>
      </c>
      <c r="U1440" s="27">
        <v>-0.18253</v>
      </c>
      <c r="V1440" s="27">
        <v>0</v>
      </c>
      <c r="W1440" s="27">
        <v>0</v>
      </c>
      <c r="X1440" s="27" t="s">
        <v>53</v>
      </c>
    </row>
    <row r="1441" spans="1:24">
      <c r="A1441" s="27">
        <v>4</v>
      </c>
      <c r="B1441" s="27">
        <v>1</v>
      </c>
      <c r="C1441" s="27">
        <v>2</v>
      </c>
      <c r="D1441" s="27">
        <v>2010</v>
      </c>
      <c r="E1441" s="27">
        <v>2012</v>
      </c>
      <c r="F1441" s="27">
        <v>8</v>
      </c>
      <c r="G1441" s="27">
        <v>0</v>
      </c>
      <c r="H1441" s="27">
        <v>0</v>
      </c>
      <c r="I1441" s="27">
        <v>0</v>
      </c>
      <c r="J1441" s="27">
        <v>0.65</v>
      </c>
      <c r="K1441" s="27">
        <v>0.66</v>
      </c>
      <c r="L1441" s="27">
        <v>750</v>
      </c>
      <c r="M1441" s="27">
        <v>650</v>
      </c>
      <c r="N1441" s="27">
        <v>0</v>
      </c>
      <c r="O1441" s="27">
        <v>0</v>
      </c>
      <c r="P1441" s="27" t="s">
        <v>13</v>
      </c>
      <c r="Q1441" s="27">
        <v>1993</v>
      </c>
      <c r="R1441" s="27">
        <v>1</v>
      </c>
      <c r="S1441" s="27">
        <v>0</v>
      </c>
      <c r="T1441" s="27">
        <v>-2.7380000000000002E-2</v>
      </c>
      <c r="U1441" s="27">
        <v>-0.18253</v>
      </c>
      <c r="V1441" s="27">
        <v>0</v>
      </c>
      <c r="W1441" s="27">
        <v>0</v>
      </c>
      <c r="X1441" s="27" t="s">
        <v>53</v>
      </c>
    </row>
    <row r="1442" spans="1:24">
      <c r="A1442" s="27">
        <v>4</v>
      </c>
      <c r="B1442" s="27">
        <v>1</v>
      </c>
      <c r="C1442" s="27">
        <v>2</v>
      </c>
      <c r="D1442" s="27">
        <v>2010</v>
      </c>
      <c r="E1442" s="27">
        <v>2012</v>
      </c>
      <c r="F1442" s="27">
        <v>9</v>
      </c>
      <c r="G1442" s="27">
        <v>0</v>
      </c>
      <c r="H1442" s="27">
        <v>0</v>
      </c>
      <c r="I1442" s="27">
        <v>0</v>
      </c>
      <c r="J1442" s="27">
        <v>0.65</v>
      </c>
      <c r="K1442" s="27">
        <v>0.66</v>
      </c>
      <c r="L1442" s="27">
        <v>750</v>
      </c>
      <c r="M1442" s="27">
        <v>650</v>
      </c>
      <c r="N1442" s="27">
        <v>0</v>
      </c>
      <c r="O1442" s="27">
        <v>0</v>
      </c>
      <c r="P1442" s="27" t="s">
        <v>13</v>
      </c>
      <c r="Q1442" s="27">
        <v>1993</v>
      </c>
      <c r="R1442" s="27">
        <v>1</v>
      </c>
      <c r="S1442" s="27">
        <v>0</v>
      </c>
      <c r="T1442" s="27">
        <v>-2.7380000000000002E-2</v>
      </c>
      <c r="U1442" s="27">
        <v>-0.18253</v>
      </c>
      <c r="V1442" s="27">
        <v>0</v>
      </c>
      <c r="W1442" s="27">
        <v>0</v>
      </c>
      <c r="X1442" s="27" t="s">
        <v>53</v>
      </c>
    </row>
    <row r="1443" spans="1:24">
      <c r="A1443" s="27">
        <v>4</v>
      </c>
      <c r="B1443" s="27">
        <v>1</v>
      </c>
      <c r="C1443" s="27">
        <v>2</v>
      </c>
      <c r="D1443" s="27">
        <v>2013</v>
      </c>
      <c r="E1443" s="27">
        <v>2050</v>
      </c>
      <c r="F1443" s="27">
        <v>1</v>
      </c>
      <c r="G1443" s="27">
        <v>0</v>
      </c>
      <c r="H1443" s="27">
        <v>0</v>
      </c>
      <c r="I1443" s="27">
        <v>0</v>
      </c>
      <c r="J1443" s="27">
        <v>0.52</v>
      </c>
      <c r="K1443" s="27">
        <v>0.7</v>
      </c>
      <c r="L1443" s="27">
        <v>850</v>
      </c>
      <c r="M1443" s="27">
        <v>750</v>
      </c>
      <c r="N1443" s="27">
        <v>0</v>
      </c>
      <c r="O1443" s="27">
        <v>0</v>
      </c>
      <c r="P1443" s="27" t="s">
        <v>13</v>
      </c>
      <c r="Q1443" s="27">
        <v>1993</v>
      </c>
      <c r="R1443" s="27">
        <v>1</v>
      </c>
      <c r="S1443" s="27">
        <v>0</v>
      </c>
      <c r="T1443" s="27">
        <v>-2.7380000000000002E-2</v>
      </c>
      <c r="U1443" s="27">
        <v>-0.18253</v>
      </c>
      <c r="V1443" s="27">
        <v>0</v>
      </c>
      <c r="W1443" s="27">
        <v>0</v>
      </c>
      <c r="X1443" s="27" t="s">
        <v>53</v>
      </c>
    </row>
    <row r="1444" spans="1:24">
      <c r="A1444" s="27">
        <v>4</v>
      </c>
      <c r="B1444" s="27">
        <v>1</v>
      </c>
      <c r="C1444" s="27">
        <v>2</v>
      </c>
      <c r="D1444" s="27">
        <v>2013</v>
      </c>
      <c r="E1444" s="27">
        <v>2050</v>
      </c>
      <c r="F1444" s="27">
        <v>2</v>
      </c>
      <c r="G1444" s="27">
        <v>0</v>
      </c>
      <c r="H1444" s="27">
        <v>0</v>
      </c>
      <c r="I1444" s="27">
        <v>0</v>
      </c>
      <c r="J1444" s="27">
        <v>0.52</v>
      </c>
      <c r="K1444" s="27">
        <v>0.7</v>
      </c>
      <c r="L1444" s="27">
        <v>850</v>
      </c>
      <c r="M1444" s="27">
        <v>750</v>
      </c>
      <c r="N1444" s="27">
        <v>0</v>
      </c>
      <c r="O1444" s="27">
        <v>0</v>
      </c>
      <c r="P1444" s="27" t="s">
        <v>13</v>
      </c>
      <c r="Q1444" s="27">
        <v>1993</v>
      </c>
      <c r="R1444" s="27">
        <v>1</v>
      </c>
      <c r="S1444" s="27">
        <v>0</v>
      </c>
      <c r="T1444" s="27">
        <v>-2.7380000000000002E-2</v>
      </c>
      <c r="U1444" s="27">
        <v>-0.18253</v>
      </c>
      <c r="V1444" s="27">
        <v>0</v>
      </c>
      <c r="W1444" s="27">
        <v>0</v>
      </c>
      <c r="X1444" s="27" t="s">
        <v>53</v>
      </c>
    </row>
    <row r="1445" spans="1:24">
      <c r="A1445" s="27">
        <v>4</v>
      </c>
      <c r="B1445" s="27">
        <v>1</v>
      </c>
      <c r="C1445" s="27">
        <v>2</v>
      </c>
      <c r="D1445" s="27">
        <v>2013</v>
      </c>
      <c r="E1445" s="27">
        <v>2050</v>
      </c>
      <c r="F1445" s="27">
        <v>3</v>
      </c>
      <c r="G1445" s="27">
        <v>0</v>
      </c>
      <c r="H1445" s="27">
        <v>0</v>
      </c>
      <c r="I1445" s="27">
        <v>0</v>
      </c>
      <c r="J1445" s="27">
        <v>0.52</v>
      </c>
      <c r="K1445" s="27">
        <v>0.7</v>
      </c>
      <c r="L1445" s="27">
        <v>850</v>
      </c>
      <c r="M1445" s="27">
        <v>750</v>
      </c>
      <c r="N1445" s="27">
        <v>0</v>
      </c>
      <c r="O1445" s="27">
        <v>0</v>
      </c>
      <c r="P1445" s="27" t="s">
        <v>13</v>
      </c>
      <c r="Q1445" s="27">
        <v>1993</v>
      </c>
      <c r="R1445" s="27">
        <v>1</v>
      </c>
      <c r="S1445" s="27">
        <v>0</v>
      </c>
      <c r="T1445" s="27">
        <v>-2.7380000000000002E-2</v>
      </c>
      <c r="U1445" s="27">
        <v>-0.18253</v>
      </c>
      <c r="V1445" s="27">
        <v>0</v>
      </c>
      <c r="W1445" s="27">
        <v>0</v>
      </c>
      <c r="X1445" s="27" t="s">
        <v>53</v>
      </c>
    </row>
    <row r="1446" spans="1:24">
      <c r="A1446" s="27">
        <v>4</v>
      </c>
      <c r="B1446" s="27">
        <v>1</v>
      </c>
      <c r="C1446" s="27">
        <v>2</v>
      </c>
      <c r="D1446" s="27">
        <v>2013</v>
      </c>
      <c r="E1446" s="27">
        <v>2050</v>
      </c>
      <c r="F1446" s="27">
        <v>4</v>
      </c>
      <c r="G1446" s="27">
        <v>0</v>
      </c>
      <c r="H1446" s="27">
        <v>0</v>
      </c>
      <c r="I1446" s="27">
        <v>0</v>
      </c>
      <c r="J1446" s="27">
        <v>0.52</v>
      </c>
      <c r="K1446" s="27">
        <v>0.7</v>
      </c>
      <c r="L1446" s="27">
        <v>850</v>
      </c>
      <c r="M1446" s="27">
        <v>750</v>
      </c>
      <c r="N1446" s="27">
        <v>0</v>
      </c>
      <c r="O1446" s="27">
        <v>0</v>
      </c>
      <c r="P1446" s="27" t="s">
        <v>13</v>
      </c>
      <c r="Q1446" s="27">
        <v>1993</v>
      </c>
      <c r="R1446" s="27">
        <v>1</v>
      </c>
      <c r="S1446" s="27">
        <v>0</v>
      </c>
      <c r="T1446" s="27">
        <v>-2.7380000000000002E-2</v>
      </c>
      <c r="U1446" s="27">
        <v>-0.18253</v>
      </c>
      <c r="V1446" s="27">
        <v>0</v>
      </c>
      <c r="W1446" s="27">
        <v>0</v>
      </c>
      <c r="X1446" s="27" t="s">
        <v>53</v>
      </c>
    </row>
    <row r="1447" spans="1:24">
      <c r="A1447" s="27">
        <v>4</v>
      </c>
      <c r="B1447" s="27">
        <v>1</v>
      </c>
      <c r="C1447" s="27">
        <v>2</v>
      </c>
      <c r="D1447" s="27">
        <v>2013</v>
      </c>
      <c r="E1447" s="27">
        <v>2050</v>
      </c>
      <c r="F1447" s="27">
        <v>5</v>
      </c>
      <c r="G1447" s="27">
        <v>0</v>
      </c>
      <c r="H1447" s="27">
        <v>0</v>
      </c>
      <c r="I1447" s="27">
        <v>0</v>
      </c>
      <c r="J1447" s="27">
        <v>0.52</v>
      </c>
      <c r="K1447" s="27">
        <v>0.7</v>
      </c>
      <c r="L1447" s="27">
        <v>850</v>
      </c>
      <c r="M1447" s="27">
        <v>750</v>
      </c>
      <c r="N1447" s="27">
        <v>0</v>
      </c>
      <c r="O1447" s="27">
        <v>0</v>
      </c>
      <c r="P1447" s="27" t="s">
        <v>13</v>
      </c>
      <c r="Q1447" s="27">
        <v>1993</v>
      </c>
      <c r="R1447" s="27">
        <v>1</v>
      </c>
      <c r="S1447" s="27">
        <v>0</v>
      </c>
      <c r="T1447" s="27">
        <v>-2.7380000000000002E-2</v>
      </c>
      <c r="U1447" s="27">
        <v>-0.18253</v>
      </c>
      <c r="V1447" s="27">
        <v>0</v>
      </c>
      <c r="W1447" s="27">
        <v>0</v>
      </c>
      <c r="X1447" s="27" t="s">
        <v>53</v>
      </c>
    </row>
    <row r="1448" spans="1:24">
      <c r="A1448" s="27">
        <v>4</v>
      </c>
      <c r="B1448" s="27">
        <v>1</v>
      </c>
      <c r="C1448" s="27">
        <v>2</v>
      </c>
      <c r="D1448" s="27">
        <v>2013</v>
      </c>
      <c r="E1448" s="27">
        <v>2050</v>
      </c>
      <c r="F1448" s="27">
        <v>6</v>
      </c>
      <c r="G1448" s="27">
        <v>0</v>
      </c>
      <c r="H1448" s="27">
        <v>0</v>
      </c>
      <c r="I1448" s="27">
        <v>0</v>
      </c>
      <c r="J1448" s="27">
        <v>0.52</v>
      </c>
      <c r="K1448" s="27">
        <v>0.7</v>
      </c>
      <c r="L1448" s="27">
        <v>850</v>
      </c>
      <c r="M1448" s="27">
        <v>750</v>
      </c>
      <c r="N1448" s="27">
        <v>0</v>
      </c>
      <c r="O1448" s="27">
        <v>0</v>
      </c>
      <c r="P1448" s="27" t="s">
        <v>13</v>
      </c>
      <c r="Q1448" s="27">
        <v>1993</v>
      </c>
      <c r="R1448" s="27">
        <v>1</v>
      </c>
      <c r="S1448" s="27">
        <v>0</v>
      </c>
      <c r="T1448" s="27">
        <v>-2.7380000000000002E-2</v>
      </c>
      <c r="U1448" s="27">
        <v>-0.18253</v>
      </c>
      <c r="V1448" s="27">
        <v>0</v>
      </c>
      <c r="W1448" s="27">
        <v>0</v>
      </c>
      <c r="X1448" s="27" t="s">
        <v>53</v>
      </c>
    </row>
    <row r="1449" spans="1:24">
      <c r="A1449" s="27">
        <v>4</v>
      </c>
      <c r="B1449" s="27">
        <v>1</v>
      </c>
      <c r="C1449" s="27">
        <v>2</v>
      </c>
      <c r="D1449" s="27">
        <v>2013</v>
      </c>
      <c r="E1449" s="27">
        <v>2050</v>
      </c>
      <c r="F1449" s="27">
        <v>7</v>
      </c>
      <c r="G1449" s="27">
        <v>0</v>
      </c>
      <c r="H1449" s="27">
        <v>0</v>
      </c>
      <c r="I1449" s="27">
        <v>0</v>
      </c>
      <c r="J1449" s="27">
        <v>0.52</v>
      </c>
      <c r="K1449" s="27">
        <v>0.7</v>
      </c>
      <c r="L1449" s="27">
        <v>850</v>
      </c>
      <c r="M1449" s="27">
        <v>750</v>
      </c>
      <c r="N1449" s="27">
        <v>0</v>
      </c>
      <c r="O1449" s="27">
        <v>0</v>
      </c>
      <c r="P1449" s="27" t="s">
        <v>13</v>
      </c>
      <c r="Q1449" s="27">
        <v>1993</v>
      </c>
      <c r="R1449" s="27">
        <v>1</v>
      </c>
      <c r="S1449" s="27">
        <v>0</v>
      </c>
      <c r="T1449" s="27">
        <v>-2.7380000000000002E-2</v>
      </c>
      <c r="U1449" s="27">
        <v>-0.18253</v>
      </c>
      <c r="V1449" s="27">
        <v>0</v>
      </c>
      <c r="W1449" s="27">
        <v>0</v>
      </c>
      <c r="X1449" s="27" t="s">
        <v>53</v>
      </c>
    </row>
    <row r="1450" spans="1:24">
      <c r="A1450" s="27">
        <v>4</v>
      </c>
      <c r="B1450" s="27">
        <v>1</v>
      </c>
      <c r="C1450" s="27">
        <v>2</v>
      </c>
      <c r="D1450" s="27">
        <v>2013</v>
      </c>
      <c r="E1450" s="27">
        <v>2050</v>
      </c>
      <c r="F1450" s="27">
        <v>8</v>
      </c>
      <c r="G1450" s="27">
        <v>0</v>
      </c>
      <c r="H1450" s="27">
        <v>0</v>
      </c>
      <c r="I1450" s="27">
        <v>0</v>
      </c>
      <c r="J1450" s="27">
        <v>0.52</v>
      </c>
      <c r="K1450" s="27">
        <v>0.7</v>
      </c>
      <c r="L1450" s="27">
        <v>850</v>
      </c>
      <c r="M1450" s="27">
        <v>750</v>
      </c>
      <c r="N1450" s="27">
        <v>0</v>
      </c>
      <c r="O1450" s="27">
        <v>0</v>
      </c>
      <c r="P1450" s="27" t="s">
        <v>13</v>
      </c>
      <c r="Q1450" s="27">
        <v>1993</v>
      </c>
      <c r="R1450" s="27">
        <v>1</v>
      </c>
      <c r="S1450" s="27">
        <v>0</v>
      </c>
      <c r="T1450" s="27">
        <v>-2.7380000000000002E-2</v>
      </c>
      <c r="U1450" s="27">
        <v>-0.18253</v>
      </c>
      <c r="V1450" s="27">
        <v>0</v>
      </c>
      <c r="W1450" s="27">
        <v>0</v>
      </c>
      <c r="X1450" s="27" t="s">
        <v>53</v>
      </c>
    </row>
    <row r="1451" spans="1:24">
      <c r="A1451" s="27">
        <v>4</v>
      </c>
      <c r="B1451" s="27">
        <v>1</v>
      </c>
      <c r="C1451" s="27">
        <v>2</v>
      </c>
      <c r="D1451" s="27">
        <v>2013</v>
      </c>
      <c r="E1451" s="27">
        <v>2050</v>
      </c>
      <c r="F1451" s="27">
        <v>9</v>
      </c>
      <c r="G1451" s="27">
        <v>0</v>
      </c>
      <c r="H1451" s="27">
        <v>0</v>
      </c>
      <c r="I1451" s="27">
        <v>0</v>
      </c>
      <c r="J1451" s="27">
        <v>0.52</v>
      </c>
      <c r="K1451" s="27">
        <v>0.7</v>
      </c>
      <c r="L1451" s="27">
        <v>850</v>
      </c>
      <c r="M1451" s="27">
        <v>750</v>
      </c>
      <c r="N1451" s="27">
        <v>0</v>
      </c>
      <c r="O1451" s="27">
        <v>0</v>
      </c>
      <c r="P1451" s="27" t="s">
        <v>13</v>
      </c>
      <c r="Q1451" s="27">
        <v>1993</v>
      </c>
      <c r="R1451" s="27">
        <v>1</v>
      </c>
      <c r="S1451" s="27">
        <v>0</v>
      </c>
      <c r="T1451" s="27">
        <v>-2.7380000000000002E-2</v>
      </c>
      <c r="U1451" s="27">
        <v>-0.18253</v>
      </c>
      <c r="V1451" s="27">
        <v>0</v>
      </c>
      <c r="W1451" s="27">
        <v>0</v>
      </c>
      <c r="X1451" s="27" t="s">
        <v>53</v>
      </c>
    </row>
    <row r="1452" spans="1:24">
      <c r="A1452" s="27">
        <v>4</v>
      </c>
      <c r="B1452" s="27">
        <v>1</v>
      </c>
      <c r="C1452" s="27">
        <v>3</v>
      </c>
      <c r="D1452" s="27">
        <v>2010</v>
      </c>
      <c r="E1452" s="27">
        <v>2011</v>
      </c>
      <c r="F1452" s="27">
        <v>1</v>
      </c>
      <c r="G1452" s="27">
        <v>0</v>
      </c>
      <c r="H1452" s="27">
        <v>0</v>
      </c>
      <c r="I1452" s="27">
        <v>0</v>
      </c>
      <c r="J1452" s="27">
        <v>0.35</v>
      </c>
      <c r="K1452" s="27">
        <v>1.1299999999999999</v>
      </c>
      <c r="L1452" s="27">
        <v>1000</v>
      </c>
      <c r="M1452" s="27">
        <v>900</v>
      </c>
      <c r="N1452" s="27">
        <v>75</v>
      </c>
      <c r="O1452" s="27">
        <v>75</v>
      </c>
      <c r="P1452" s="27" t="s">
        <v>13</v>
      </c>
      <c r="Q1452" s="27">
        <v>1993</v>
      </c>
      <c r="R1452" s="27">
        <v>1</v>
      </c>
      <c r="S1452" s="27">
        <v>0</v>
      </c>
      <c r="T1452" s="27">
        <v>-2.7380000000000002E-2</v>
      </c>
      <c r="U1452" s="27">
        <v>-0.18253</v>
      </c>
      <c r="V1452" s="27">
        <v>0</v>
      </c>
      <c r="W1452" s="27">
        <v>0</v>
      </c>
      <c r="X1452" s="27" t="s">
        <v>54</v>
      </c>
    </row>
    <row r="1453" spans="1:24">
      <c r="A1453" s="27">
        <v>4</v>
      </c>
      <c r="B1453" s="27">
        <v>1</v>
      </c>
      <c r="C1453" s="27">
        <v>3</v>
      </c>
      <c r="D1453" s="27">
        <v>2010</v>
      </c>
      <c r="E1453" s="27">
        <v>2011</v>
      </c>
      <c r="F1453" s="27">
        <v>2</v>
      </c>
      <c r="G1453" s="27">
        <v>0</v>
      </c>
      <c r="H1453" s="27">
        <v>0</v>
      </c>
      <c r="I1453" s="27">
        <v>0</v>
      </c>
      <c r="J1453" s="27">
        <v>0.35</v>
      </c>
      <c r="K1453" s="27">
        <v>1.1299999999999999</v>
      </c>
      <c r="L1453" s="27">
        <v>1000</v>
      </c>
      <c r="M1453" s="27">
        <v>900</v>
      </c>
      <c r="N1453" s="27">
        <v>75</v>
      </c>
      <c r="O1453" s="27">
        <v>75</v>
      </c>
      <c r="P1453" s="27" t="s">
        <v>13</v>
      </c>
      <c r="Q1453" s="27">
        <v>1993</v>
      </c>
      <c r="R1453" s="27">
        <v>1</v>
      </c>
      <c r="S1453" s="27">
        <v>0</v>
      </c>
      <c r="T1453" s="27">
        <v>-2.7380000000000002E-2</v>
      </c>
      <c r="U1453" s="27">
        <v>-0.18253</v>
      </c>
      <c r="V1453" s="27">
        <v>0</v>
      </c>
      <c r="W1453" s="27">
        <v>0</v>
      </c>
      <c r="X1453" s="27" t="s">
        <v>54</v>
      </c>
    </row>
    <row r="1454" spans="1:24">
      <c r="A1454" s="27">
        <v>4</v>
      </c>
      <c r="B1454" s="27">
        <v>1</v>
      </c>
      <c r="C1454" s="27">
        <v>3</v>
      </c>
      <c r="D1454" s="27">
        <v>2010</v>
      </c>
      <c r="E1454" s="27">
        <v>2011</v>
      </c>
      <c r="F1454" s="27">
        <v>3</v>
      </c>
      <c r="G1454" s="27">
        <v>0</v>
      </c>
      <c r="H1454" s="27">
        <v>0</v>
      </c>
      <c r="I1454" s="27">
        <v>0</v>
      </c>
      <c r="J1454" s="27">
        <v>0.35</v>
      </c>
      <c r="K1454" s="27">
        <v>1.1299999999999999</v>
      </c>
      <c r="L1454" s="27">
        <v>1000</v>
      </c>
      <c r="M1454" s="27">
        <v>900</v>
      </c>
      <c r="N1454" s="27">
        <v>75</v>
      </c>
      <c r="O1454" s="27">
        <v>75</v>
      </c>
      <c r="P1454" s="27" t="s">
        <v>13</v>
      </c>
      <c r="Q1454" s="27">
        <v>1993</v>
      </c>
      <c r="R1454" s="27">
        <v>1</v>
      </c>
      <c r="S1454" s="27">
        <v>0</v>
      </c>
      <c r="T1454" s="27">
        <v>-2.7380000000000002E-2</v>
      </c>
      <c r="U1454" s="27">
        <v>-0.18253</v>
      </c>
      <c r="V1454" s="27">
        <v>0</v>
      </c>
      <c r="W1454" s="27">
        <v>0</v>
      </c>
      <c r="X1454" s="27" t="s">
        <v>54</v>
      </c>
    </row>
    <row r="1455" spans="1:24">
      <c r="A1455" s="27">
        <v>4</v>
      </c>
      <c r="B1455" s="27">
        <v>1</v>
      </c>
      <c r="C1455" s="27">
        <v>3</v>
      </c>
      <c r="D1455" s="27">
        <v>2010</v>
      </c>
      <c r="E1455" s="27">
        <v>2011</v>
      </c>
      <c r="F1455" s="27">
        <v>4</v>
      </c>
      <c r="G1455" s="27">
        <v>0</v>
      </c>
      <c r="H1455" s="27">
        <v>0</v>
      </c>
      <c r="I1455" s="27">
        <v>0</v>
      </c>
      <c r="J1455" s="27">
        <v>0.35</v>
      </c>
      <c r="K1455" s="27">
        <v>1.1299999999999999</v>
      </c>
      <c r="L1455" s="27">
        <v>1000</v>
      </c>
      <c r="M1455" s="27">
        <v>900</v>
      </c>
      <c r="N1455" s="27">
        <v>75</v>
      </c>
      <c r="O1455" s="27">
        <v>75</v>
      </c>
      <c r="P1455" s="27" t="s">
        <v>13</v>
      </c>
      <c r="Q1455" s="27">
        <v>1993</v>
      </c>
      <c r="R1455" s="27">
        <v>1</v>
      </c>
      <c r="S1455" s="27">
        <v>0</v>
      </c>
      <c r="T1455" s="27">
        <v>-2.7380000000000002E-2</v>
      </c>
      <c r="U1455" s="27">
        <v>-0.18253</v>
      </c>
      <c r="V1455" s="27">
        <v>0</v>
      </c>
      <c r="W1455" s="27">
        <v>0</v>
      </c>
      <c r="X1455" s="27" t="s">
        <v>54</v>
      </c>
    </row>
    <row r="1456" spans="1:24">
      <c r="A1456" s="27">
        <v>4</v>
      </c>
      <c r="B1456" s="27">
        <v>1</v>
      </c>
      <c r="C1456" s="27">
        <v>3</v>
      </c>
      <c r="D1456" s="27">
        <v>2010</v>
      </c>
      <c r="E1456" s="27">
        <v>2011</v>
      </c>
      <c r="F1456" s="27">
        <v>5</v>
      </c>
      <c r="G1456" s="27">
        <v>0</v>
      </c>
      <c r="H1456" s="27">
        <v>0</v>
      </c>
      <c r="I1456" s="27">
        <v>0</v>
      </c>
      <c r="J1456" s="27">
        <v>0.35</v>
      </c>
      <c r="K1456" s="27">
        <v>1.1299999999999999</v>
      </c>
      <c r="L1456" s="27">
        <v>1000</v>
      </c>
      <c r="M1456" s="27">
        <v>900</v>
      </c>
      <c r="N1456" s="27">
        <v>75</v>
      </c>
      <c r="O1456" s="27">
        <v>75</v>
      </c>
      <c r="P1456" s="27" t="s">
        <v>13</v>
      </c>
      <c r="Q1456" s="27">
        <v>1993</v>
      </c>
      <c r="R1456" s="27">
        <v>1</v>
      </c>
      <c r="S1456" s="27">
        <v>0</v>
      </c>
      <c r="T1456" s="27">
        <v>-2.7380000000000002E-2</v>
      </c>
      <c r="U1456" s="27">
        <v>-0.18253</v>
      </c>
      <c r="V1456" s="27">
        <v>0</v>
      </c>
      <c r="W1456" s="27">
        <v>0</v>
      </c>
      <c r="X1456" s="27" t="s">
        <v>54</v>
      </c>
    </row>
    <row r="1457" spans="1:24">
      <c r="A1457" s="27">
        <v>4</v>
      </c>
      <c r="B1457" s="27">
        <v>1</v>
      </c>
      <c r="C1457" s="27">
        <v>3</v>
      </c>
      <c r="D1457" s="27">
        <v>2010</v>
      </c>
      <c r="E1457" s="27">
        <v>2011</v>
      </c>
      <c r="F1457" s="27">
        <v>6</v>
      </c>
      <c r="G1457" s="27">
        <v>0</v>
      </c>
      <c r="H1457" s="27">
        <v>0</v>
      </c>
      <c r="I1457" s="27">
        <v>0</v>
      </c>
      <c r="J1457" s="27">
        <v>0.35</v>
      </c>
      <c r="K1457" s="27">
        <v>1.1299999999999999</v>
      </c>
      <c r="L1457" s="27">
        <v>1000</v>
      </c>
      <c r="M1457" s="27">
        <v>900</v>
      </c>
      <c r="N1457" s="27">
        <v>75</v>
      </c>
      <c r="O1457" s="27">
        <v>75</v>
      </c>
      <c r="P1457" s="27" t="s">
        <v>13</v>
      </c>
      <c r="Q1457" s="27">
        <v>1993</v>
      </c>
      <c r="R1457" s="27">
        <v>1</v>
      </c>
      <c r="S1457" s="27">
        <v>0</v>
      </c>
      <c r="T1457" s="27">
        <v>-2.7380000000000002E-2</v>
      </c>
      <c r="U1457" s="27">
        <v>-0.18253</v>
      </c>
      <c r="V1457" s="27">
        <v>0</v>
      </c>
      <c r="W1457" s="27">
        <v>0</v>
      </c>
      <c r="X1457" s="27" t="s">
        <v>54</v>
      </c>
    </row>
    <row r="1458" spans="1:24">
      <c r="A1458" s="27">
        <v>4</v>
      </c>
      <c r="B1458" s="27">
        <v>1</v>
      </c>
      <c r="C1458" s="27">
        <v>3</v>
      </c>
      <c r="D1458" s="27">
        <v>2010</v>
      </c>
      <c r="E1458" s="27">
        <v>2011</v>
      </c>
      <c r="F1458" s="27">
        <v>7</v>
      </c>
      <c r="G1458" s="27">
        <v>0</v>
      </c>
      <c r="H1458" s="27">
        <v>0</v>
      </c>
      <c r="I1458" s="27">
        <v>0</v>
      </c>
      <c r="J1458" s="27">
        <v>0.35</v>
      </c>
      <c r="K1458" s="27">
        <v>1.1299999999999999</v>
      </c>
      <c r="L1458" s="27">
        <v>1000</v>
      </c>
      <c r="M1458" s="27">
        <v>900</v>
      </c>
      <c r="N1458" s="27">
        <v>75</v>
      </c>
      <c r="O1458" s="27">
        <v>75</v>
      </c>
      <c r="P1458" s="27" t="s">
        <v>13</v>
      </c>
      <c r="Q1458" s="27">
        <v>1993</v>
      </c>
      <c r="R1458" s="27">
        <v>1</v>
      </c>
      <c r="S1458" s="27">
        <v>0</v>
      </c>
      <c r="T1458" s="27">
        <v>-2.7380000000000002E-2</v>
      </c>
      <c r="U1458" s="27">
        <v>-0.18253</v>
      </c>
      <c r="V1458" s="27">
        <v>0</v>
      </c>
      <c r="W1458" s="27">
        <v>0</v>
      </c>
      <c r="X1458" s="27" t="s">
        <v>54</v>
      </c>
    </row>
    <row r="1459" spans="1:24">
      <c r="A1459" s="27">
        <v>4</v>
      </c>
      <c r="B1459" s="27">
        <v>1</v>
      </c>
      <c r="C1459" s="27">
        <v>3</v>
      </c>
      <c r="D1459" s="27">
        <v>2010</v>
      </c>
      <c r="E1459" s="27">
        <v>2011</v>
      </c>
      <c r="F1459" s="27">
        <v>8</v>
      </c>
      <c r="G1459" s="27">
        <v>0</v>
      </c>
      <c r="H1459" s="27">
        <v>0</v>
      </c>
      <c r="I1459" s="27">
        <v>0</v>
      </c>
      <c r="J1459" s="27">
        <v>0.35</v>
      </c>
      <c r="K1459" s="27">
        <v>1.1299999999999999</v>
      </c>
      <c r="L1459" s="27">
        <v>1000</v>
      </c>
      <c r="M1459" s="27">
        <v>900</v>
      </c>
      <c r="N1459" s="27">
        <v>75</v>
      </c>
      <c r="O1459" s="27">
        <v>75</v>
      </c>
      <c r="P1459" s="27" t="s">
        <v>13</v>
      </c>
      <c r="Q1459" s="27">
        <v>1993</v>
      </c>
      <c r="R1459" s="27">
        <v>1</v>
      </c>
      <c r="S1459" s="27">
        <v>0</v>
      </c>
      <c r="T1459" s="27">
        <v>-2.7380000000000002E-2</v>
      </c>
      <c r="U1459" s="27">
        <v>-0.18253</v>
      </c>
      <c r="V1459" s="27">
        <v>0</v>
      </c>
      <c r="W1459" s="27">
        <v>0</v>
      </c>
      <c r="X1459" s="27" t="s">
        <v>54</v>
      </c>
    </row>
    <row r="1460" spans="1:24">
      <c r="A1460" s="27">
        <v>4</v>
      </c>
      <c r="B1460" s="27">
        <v>1</v>
      </c>
      <c r="C1460" s="27">
        <v>3</v>
      </c>
      <c r="D1460" s="27">
        <v>2010</v>
      </c>
      <c r="E1460" s="27">
        <v>2011</v>
      </c>
      <c r="F1460" s="27">
        <v>9</v>
      </c>
      <c r="G1460" s="27">
        <v>0</v>
      </c>
      <c r="H1460" s="27">
        <v>0</v>
      </c>
      <c r="I1460" s="27">
        <v>0</v>
      </c>
      <c r="J1460" s="27">
        <v>0.35</v>
      </c>
      <c r="K1460" s="27">
        <v>1.1299999999999999</v>
      </c>
      <c r="L1460" s="27">
        <v>1000</v>
      </c>
      <c r="M1460" s="27">
        <v>900</v>
      </c>
      <c r="N1460" s="27">
        <v>75</v>
      </c>
      <c r="O1460" s="27">
        <v>75</v>
      </c>
      <c r="P1460" s="27" t="s">
        <v>13</v>
      </c>
      <c r="Q1460" s="27">
        <v>1993</v>
      </c>
      <c r="R1460" s="27">
        <v>1</v>
      </c>
      <c r="S1460" s="27">
        <v>0</v>
      </c>
      <c r="T1460" s="27">
        <v>-2.7380000000000002E-2</v>
      </c>
      <c r="U1460" s="27">
        <v>-0.18253</v>
      </c>
      <c r="V1460" s="27">
        <v>0</v>
      </c>
      <c r="W1460" s="27">
        <v>0</v>
      </c>
      <c r="X1460" s="27" t="s">
        <v>54</v>
      </c>
    </row>
    <row r="1461" spans="1:24">
      <c r="A1461" s="27">
        <v>4</v>
      </c>
      <c r="B1461" s="27">
        <v>1</v>
      </c>
      <c r="C1461" s="27">
        <v>3</v>
      </c>
      <c r="D1461" s="27">
        <v>2012</v>
      </c>
      <c r="E1461" s="27">
        <v>2012</v>
      </c>
      <c r="F1461" s="27">
        <v>1</v>
      </c>
      <c r="G1461" s="27">
        <v>0</v>
      </c>
      <c r="H1461" s="27">
        <v>0</v>
      </c>
      <c r="I1461" s="27">
        <v>0</v>
      </c>
      <c r="J1461" s="27">
        <v>0.35</v>
      </c>
      <c r="K1461" s="27">
        <v>1.1299999999999999</v>
      </c>
      <c r="L1461" s="27">
        <v>1000</v>
      </c>
      <c r="M1461" s="27">
        <v>900</v>
      </c>
      <c r="N1461" s="27">
        <v>0</v>
      </c>
      <c r="O1461" s="27">
        <v>0</v>
      </c>
      <c r="P1461" s="27" t="s">
        <v>13</v>
      </c>
      <c r="Q1461" s="27">
        <v>1993</v>
      </c>
      <c r="R1461" s="27">
        <v>1</v>
      </c>
      <c r="S1461" s="27">
        <v>0</v>
      </c>
      <c r="T1461" s="27">
        <v>-2.7380000000000002E-2</v>
      </c>
      <c r="U1461" s="27">
        <v>-0.18253</v>
      </c>
      <c r="V1461" s="27">
        <v>0</v>
      </c>
      <c r="W1461" s="27">
        <v>0</v>
      </c>
      <c r="X1461" s="27" t="s">
        <v>54</v>
      </c>
    </row>
    <row r="1462" spans="1:24">
      <c r="A1462" s="27">
        <v>4</v>
      </c>
      <c r="B1462" s="27">
        <v>1</v>
      </c>
      <c r="C1462" s="27">
        <v>3</v>
      </c>
      <c r="D1462" s="27">
        <v>2012</v>
      </c>
      <c r="E1462" s="27">
        <v>2012</v>
      </c>
      <c r="F1462" s="27">
        <v>2</v>
      </c>
      <c r="G1462" s="27">
        <v>0</v>
      </c>
      <c r="H1462" s="27">
        <v>0</v>
      </c>
      <c r="I1462" s="27">
        <v>0</v>
      </c>
      <c r="J1462" s="27">
        <v>0.35</v>
      </c>
      <c r="K1462" s="27">
        <v>1.1299999999999999</v>
      </c>
      <c r="L1462" s="27">
        <v>1000</v>
      </c>
      <c r="M1462" s="27">
        <v>900</v>
      </c>
      <c r="N1462" s="27">
        <v>0</v>
      </c>
      <c r="O1462" s="27">
        <v>0</v>
      </c>
      <c r="P1462" s="27" t="s">
        <v>13</v>
      </c>
      <c r="Q1462" s="27">
        <v>1993</v>
      </c>
      <c r="R1462" s="27">
        <v>1</v>
      </c>
      <c r="S1462" s="27">
        <v>0</v>
      </c>
      <c r="T1462" s="27">
        <v>-2.7380000000000002E-2</v>
      </c>
      <c r="U1462" s="27">
        <v>-0.18253</v>
      </c>
      <c r="V1462" s="27">
        <v>0</v>
      </c>
      <c r="W1462" s="27">
        <v>0</v>
      </c>
      <c r="X1462" s="27" t="s">
        <v>54</v>
      </c>
    </row>
    <row r="1463" spans="1:24">
      <c r="A1463" s="27">
        <v>4</v>
      </c>
      <c r="B1463" s="27">
        <v>1</v>
      </c>
      <c r="C1463" s="27">
        <v>3</v>
      </c>
      <c r="D1463" s="27">
        <v>2012</v>
      </c>
      <c r="E1463" s="27">
        <v>2012</v>
      </c>
      <c r="F1463" s="27">
        <v>3</v>
      </c>
      <c r="G1463" s="27">
        <v>0</v>
      </c>
      <c r="H1463" s="27">
        <v>0</v>
      </c>
      <c r="I1463" s="27">
        <v>0</v>
      </c>
      <c r="J1463" s="27">
        <v>0.35</v>
      </c>
      <c r="K1463" s="27">
        <v>1.1299999999999999</v>
      </c>
      <c r="L1463" s="27">
        <v>1000</v>
      </c>
      <c r="M1463" s="27">
        <v>900</v>
      </c>
      <c r="N1463" s="27">
        <v>0</v>
      </c>
      <c r="O1463" s="27">
        <v>0</v>
      </c>
      <c r="P1463" s="27" t="s">
        <v>13</v>
      </c>
      <c r="Q1463" s="27">
        <v>1993</v>
      </c>
      <c r="R1463" s="27">
        <v>1</v>
      </c>
      <c r="S1463" s="27">
        <v>0</v>
      </c>
      <c r="T1463" s="27">
        <v>-2.7380000000000002E-2</v>
      </c>
      <c r="U1463" s="27">
        <v>-0.18253</v>
      </c>
      <c r="V1463" s="27">
        <v>0</v>
      </c>
      <c r="W1463" s="27">
        <v>0</v>
      </c>
      <c r="X1463" s="27" t="s">
        <v>54</v>
      </c>
    </row>
    <row r="1464" spans="1:24">
      <c r="A1464" s="27">
        <v>4</v>
      </c>
      <c r="B1464" s="27">
        <v>1</v>
      </c>
      <c r="C1464" s="27">
        <v>3</v>
      </c>
      <c r="D1464" s="27">
        <v>2012</v>
      </c>
      <c r="E1464" s="27">
        <v>2012</v>
      </c>
      <c r="F1464" s="27">
        <v>4</v>
      </c>
      <c r="G1464" s="27">
        <v>0</v>
      </c>
      <c r="H1464" s="27">
        <v>0</v>
      </c>
      <c r="I1464" s="27">
        <v>0</v>
      </c>
      <c r="J1464" s="27">
        <v>0.35</v>
      </c>
      <c r="K1464" s="27">
        <v>1.1299999999999999</v>
      </c>
      <c r="L1464" s="27">
        <v>1000</v>
      </c>
      <c r="M1464" s="27">
        <v>900</v>
      </c>
      <c r="N1464" s="27">
        <v>0</v>
      </c>
      <c r="O1464" s="27">
        <v>0</v>
      </c>
      <c r="P1464" s="27" t="s">
        <v>13</v>
      </c>
      <c r="Q1464" s="27">
        <v>1993</v>
      </c>
      <c r="R1464" s="27">
        <v>1</v>
      </c>
      <c r="S1464" s="27">
        <v>0</v>
      </c>
      <c r="T1464" s="27">
        <v>-2.7380000000000002E-2</v>
      </c>
      <c r="U1464" s="27">
        <v>-0.18253</v>
      </c>
      <c r="V1464" s="27">
        <v>0</v>
      </c>
      <c r="W1464" s="27">
        <v>0</v>
      </c>
      <c r="X1464" s="27" t="s">
        <v>54</v>
      </c>
    </row>
    <row r="1465" spans="1:24">
      <c r="A1465" s="27">
        <v>4</v>
      </c>
      <c r="B1465" s="27">
        <v>1</v>
      </c>
      <c r="C1465" s="27">
        <v>3</v>
      </c>
      <c r="D1465" s="27">
        <v>2012</v>
      </c>
      <c r="E1465" s="27">
        <v>2012</v>
      </c>
      <c r="F1465" s="27">
        <v>5</v>
      </c>
      <c r="G1465" s="27">
        <v>0</v>
      </c>
      <c r="H1465" s="27">
        <v>0</v>
      </c>
      <c r="I1465" s="27">
        <v>0</v>
      </c>
      <c r="J1465" s="27">
        <v>0.35</v>
      </c>
      <c r="K1465" s="27">
        <v>1.1299999999999999</v>
      </c>
      <c r="L1465" s="27">
        <v>1000</v>
      </c>
      <c r="M1465" s="27">
        <v>900</v>
      </c>
      <c r="N1465" s="27">
        <v>0</v>
      </c>
      <c r="O1465" s="27">
        <v>0</v>
      </c>
      <c r="P1465" s="27" t="s">
        <v>13</v>
      </c>
      <c r="Q1465" s="27">
        <v>1993</v>
      </c>
      <c r="R1465" s="27">
        <v>1</v>
      </c>
      <c r="S1465" s="27">
        <v>0</v>
      </c>
      <c r="T1465" s="27">
        <v>-2.7380000000000002E-2</v>
      </c>
      <c r="U1465" s="27">
        <v>-0.18253</v>
      </c>
      <c r="V1465" s="27">
        <v>0</v>
      </c>
      <c r="W1465" s="27">
        <v>0</v>
      </c>
      <c r="X1465" s="27" t="s">
        <v>54</v>
      </c>
    </row>
    <row r="1466" spans="1:24">
      <c r="A1466" s="27">
        <v>4</v>
      </c>
      <c r="B1466" s="27">
        <v>1</v>
      </c>
      <c r="C1466" s="27">
        <v>3</v>
      </c>
      <c r="D1466" s="27">
        <v>2012</v>
      </c>
      <c r="E1466" s="27">
        <v>2012</v>
      </c>
      <c r="F1466" s="27">
        <v>6</v>
      </c>
      <c r="G1466" s="27">
        <v>0</v>
      </c>
      <c r="H1466" s="27">
        <v>0</v>
      </c>
      <c r="I1466" s="27">
        <v>0</v>
      </c>
      <c r="J1466" s="27">
        <v>0.35</v>
      </c>
      <c r="K1466" s="27">
        <v>1.1299999999999999</v>
      </c>
      <c r="L1466" s="27">
        <v>1000</v>
      </c>
      <c r="M1466" s="27">
        <v>900</v>
      </c>
      <c r="N1466" s="27">
        <v>0</v>
      </c>
      <c r="O1466" s="27">
        <v>0</v>
      </c>
      <c r="P1466" s="27" t="s">
        <v>13</v>
      </c>
      <c r="Q1466" s="27">
        <v>1993</v>
      </c>
      <c r="R1466" s="27">
        <v>1</v>
      </c>
      <c r="S1466" s="27">
        <v>0</v>
      </c>
      <c r="T1466" s="27">
        <v>-2.7380000000000002E-2</v>
      </c>
      <c r="U1466" s="27">
        <v>-0.18253</v>
      </c>
      <c r="V1466" s="27">
        <v>0</v>
      </c>
      <c r="W1466" s="27">
        <v>0</v>
      </c>
      <c r="X1466" s="27" t="s">
        <v>54</v>
      </c>
    </row>
    <row r="1467" spans="1:24">
      <c r="A1467" s="27">
        <v>4</v>
      </c>
      <c r="B1467" s="27">
        <v>1</v>
      </c>
      <c r="C1467" s="27">
        <v>3</v>
      </c>
      <c r="D1467" s="27">
        <v>2012</v>
      </c>
      <c r="E1467" s="27">
        <v>2012</v>
      </c>
      <c r="F1467" s="27">
        <v>7</v>
      </c>
      <c r="G1467" s="27">
        <v>0</v>
      </c>
      <c r="H1467" s="27">
        <v>0</v>
      </c>
      <c r="I1467" s="27">
        <v>0</v>
      </c>
      <c r="J1467" s="27">
        <v>0.35</v>
      </c>
      <c r="K1467" s="27">
        <v>1.1299999999999999</v>
      </c>
      <c r="L1467" s="27">
        <v>1000</v>
      </c>
      <c r="M1467" s="27">
        <v>900</v>
      </c>
      <c r="N1467" s="27">
        <v>0</v>
      </c>
      <c r="O1467" s="27">
        <v>0</v>
      </c>
      <c r="P1467" s="27" t="s">
        <v>13</v>
      </c>
      <c r="Q1467" s="27">
        <v>1993</v>
      </c>
      <c r="R1467" s="27">
        <v>1</v>
      </c>
      <c r="S1467" s="27">
        <v>0</v>
      </c>
      <c r="T1467" s="27">
        <v>-2.7380000000000002E-2</v>
      </c>
      <c r="U1467" s="27">
        <v>-0.18253</v>
      </c>
      <c r="V1467" s="27">
        <v>0</v>
      </c>
      <c r="W1467" s="27">
        <v>0</v>
      </c>
      <c r="X1467" s="27" t="s">
        <v>54</v>
      </c>
    </row>
    <row r="1468" spans="1:24">
      <c r="A1468" s="27">
        <v>4</v>
      </c>
      <c r="B1468" s="27">
        <v>1</v>
      </c>
      <c r="C1468" s="27">
        <v>3</v>
      </c>
      <c r="D1468" s="27">
        <v>2012</v>
      </c>
      <c r="E1468" s="27">
        <v>2012</v>
      </c>
      <c r="F1468" s="27">
        <v>8</v>
      </c>
      <c r="G1468" s="27">
        <v>0</v>
      </c>
      <c r="H1468" s="27">
        <v>0</v>
      </c>
      <c r="I1468" s="27">
        <v>0</v>
      </c>
      <c r="J1468" s="27">
        <v>0.35</v>
      </c>
      <c r="K1468" s="27">
        <v>1.1299999999999999</v>
      </c>
      <c r="L1468" s="27">
        <v>1000</v>
      </c>
      <c r="M1468" s="27">
        <v>900</v>
      </c>
      <c r="N1468" s="27">
        <v>0</v>
      </c>
      <c r="O1468" s="27">
        <v>0</v>
      </c>
      <c r="P1468" s="27" t="s">
        <v>13</v>
      </c>
      <c r="Q1468" s="27">
        <v>1993</v>
      </c>
      <c r="R1468" s="27">
        <v>1</v>
      </c>
      <c r="S1468" s="27">
        <v>0</v>
      </c>
      <c r="T1468" s="27">
        <v>-2.7380000000000002E-2</v>
      </c>
      <c r="U1468" s="27">
        <v>-0.18253</v>
      </c>
      <c r="V1468" s="27">
        <v>0</v>
      </c>
      <c r="W1468" s="27">
        <v>0</v>
      </c>
      <c r="X1468" s="27" t="s">
        <v>54</v>
      </c>
    </row>
    <row r="1469" spans="1:24">
      <c r="A1469" s="27">
        <v>4</v>
      </c>
      <c r="B1469" s="27">
        <v>1</v>
      </c>
      <c r="C1469" s="27">
        <v>3</v>
      </c>
      <c r="D1469" s="27">
        <v>2012</v>
      </c>
      <c r="E1469" s="27">
        <v>2012</v>
      </c>
      <c r="F1469" s="27">
        <v>9</v>
      </c>
      <c r="G1469" s="27">
        <v>0</v>
      </c>
      <c r="H1469" s="27">
        <v>0</v>
      </c>
      <c r="I1469" s="27">
        <v>0</v>
      </c>
      <c r="J1469" s="27">
        <v>0.35</v>
      </c>
      <c r="K1469" s="27">
        <v>1.1299999999999999</v>
      </c>
      <c r="L1469" s="27">
        <v>1000</v>
      </c>
      <c r="M1469" s="27">
        <v>900</v>
      </c>
      <c r="N1469" s="27">
        <v>0</v>
      </c>
      <c r="O1469" s="27">
        <v>0</v>
      </c>
      <c r="P1469" s="27" t="s">
        <v>13</v>
      </c>
      <c r="Q1469" s="27">
        <v>1993</v>
      </c>
      <c r="R1469" s="27">
        <v>1</v>
      </c>
      <c r="S1469" s="27">
        <v>0</v>
      </c>
      <c r="T1469" s="27">
        <v>-2.7380000000000002E-2</v>
      </c>
      <c r="U1469" s="27">
        <v>-0.18253</v>
      </c>
      <c r="V1469" s="27">
        <v>0</v>
      </c>
      <c r="W1469" s="27">
        <v>0</v>
      </c>
      <c r="X1469" s="27" t="s">
        <v>54</v>
      </c>
    </row>
    <row r="1470" spans="1:24">
      <c r="A1470" s="27">
        <v>4</v>
      </c>
      <c r="B1470" s="27">
        <v>1</v>
      </c>
      <c r="C1470" s="27">
        <v>3</v>
      </c>
      <c r="D1470" s="27">
        <v>2013</v>
      </c>
      <c r="E1470" s="27">
        <v>2013</v>
      </c>
      <c r="F1470" s="27">
        <v>1</v>
      </c>
      <c r="G1470" s="27">
        <v>0</v>
      </c>
      <c r="H1470" s="27">
        <v>0</v>
      </c>
      <c r="I1470" s="27">
        <v>0</v>
      </c>
      <c r="J1470" s="27">
        <v>0.35</v>
      </c>
      <c r="K1470" s="27">
        <v>1.1299999999999999</v>
      </c>
      <c r="L1470" s="27">
        <v>1000</v>
      </c>
      <c r="M1470" s="27">
        <v>900</v>
      </c>
      <c r="N1470" s="27">
        <v>75</v>
      </c>
      <c r="O1470" s="27">
        <v>75</v>
      </c>
      <c r="P1470" s="27" t="s">
        <v>13</v>
      </c>
      <c r="Q1470" s="27">
        <v>1993</v>
      </c>
      <c r="R1470" s="27">
        <v>1</v>
      </c>
      <c r="S1470" s="27">
        <v>0</v>
      </c>
      <c r="T1470" s="27">
        <v>-2.7380000000000002E-2</v>
      </c>
      <c r="U1470" s="27">
        <v>-0.18253</v>
      </c>
      <c r="V1470" s="27">
        <v>0</v>
      </c>
      <c r="W1470" s="27">
        <v>0</v>
      </c>
      <c r="X1470" s="27" t="s">
        <v>54</v>
      </c>
    </row>
    <row r="1471" spans="1:24">
      <c r="A1471" s="27">
        <v>4</v>
      </c>
      <c r="B1471" s="27">
        <v>1</v>
      </c>
      <c r="C1471" s="27">
        <v>3</v>
      </c>
      <c r="D1471" s="27">
        <v>2013</v>
      </c>
      <c r="E1471" s="27">
        <v>2013</v>
      </c>
      <c r="F1471" s="27">
        <v>2</v>
      </c>
      <c r="G1471" s="27">
        <v>0</v>
      </c>
      <c r="H1471" s="27">
        <v>0</v>
      </c>
      <c r="I1471" s="27">
        <v>0</v>
      </c>
      <c r="J1471" s="27">
        <v>0.35</v>
      </c>
      <c r="K1471" s="27">
        <v>1.1299999999999999</v>
      </c>
      <c r="L1471" s="27">
        <v>1000</v>
      </c>
      <c r="M1471" s="27">
        <v>900</v>
      </c>
      <c r="N1471" s="27">
        <v>75</v>
      </c>
      <c r="O1471" s="27">
        <v>75</v>
      </c>
      <c r="P1471" s="27" t="s">
        <v>13</v>
      </c>
      <c r="Q1471" s="27">
        <v>1993</v>
      </c>
      <c r="R1471" s="27">
        <v>1</v>
      </c>
      <c r="S1471" s="27">
        <v>0</v>
      </c>
      <c r="T1471" s="27">
        <v>-2.7380000000000002E-2</v>
      </c>
      <c r="U1471" s="27">
        <v>-0.18253</v>
      </c>
      <c r="V1471" s="27">
        <v>0</v>
      </c>
      <c r="W1471" s="27">
        <v>0</v>
      </c>
      <c r="X1471" s="27" t="s">
        <v>54</v>
      </c>
    </row>
    <row r="1472" spans="1:24">
      <c r="A1472" s="27">
        <v>4</v>
      </c>
      <c r="B1472" s="27">
        <v>1</v>
      </c>
      <c r="C1472" s="27">
        <v>3</v>
      </c>
      <c r="D1472" s="27">
        <v>2013</v>
      </c>
      <c r="E1472" s="27">
        <v>2013</v>
      </c>
      <c r="F1472" s="27">
        <v>3</v>
      </c>
      <c r="G1472" s="27">
        <v>0</v>
      </c>
      <c r="H1472" s="27">
        <v>0</v>
      </c>
      <c r="I1472" s="27">
        <v>0</v>
      </c>
      <c r="J1472" s="27">
        <v>0.35</v>
      </c>
      <c r="K1472" s="27">
        <v>1.1299999999999999</v>
      </c>
      <c r="L1472" s="27">
        <v>1000</v>
      </c>
      <c r="M1472" s="27">
        <v>900</v>
      </c>
      <c r="N1472" s="27">
        <v>75</v>
      </c>
      <c r="O1472" s="27">
        <v>75</v>
      </c>
      <c r="P1472" s="27" t="s">
        <v>13</v>
      </c>
      <c r="Q1472" s="27">
        <v>1993</v>
      </c>
      <c r="R1472" s="27">
        <v>1</v>
      </c>
      <c r="S1472" s="27">
        <v>0</v>
      </c>
      <c r="T1472" s="27">
        <v>-2.7380000000000002E-2</v>
      </c>
      <c r="U1472" s="27">
        <v>-0.18253</v>
      </c>
      <c r="V1472" s="27">
        <v>0</v>
      </c>
      <c r="W1472" s="27">
        <v>0</v>
      </c>
      <c r="X1472" s="27" t="s">
        <v>54</v>
      </c>
    </row>
    <row r="1473" spans="1:24">
      <c r="A1473" s="27">
        <v>4</v>
      </c>
      <c r="B1473" s="27">
        <v>1</v>
      </c>
      <c r="C1473" s="27">
        <v>3</v>
      </c>
      <c r="D1473" s="27">
        <v>2013</v>
      </c>
      <c r="E1473" s="27">
        <v>2013</v>
      </c>
      <c r="F1473" s="27">
        <v>4</v>
      </c>
      <c r="G1473" s="27">
        <v>0</v>
      </c>
      <c r="H1473" s="27">
        <v>0</v>
      </c>
      <c r="I1473" s="27">
        <v>0</v>
      </c>
      <c r="J1473" s="27">
        <v>0.35</v>
      </c>
      <c r="K1473" s="27">
        <v>1.1299999999999999</v>
      </c>
      <c r="L1473" s="27">
        <v>1000</v>
      </c>
      <c r="M1473" s="27">
        <v>900</v>
      </c>
      <c r="N1473" s="27">
        <v>75</v>
      </c>
      <c r="O1473" s="27">
        <v>75</v>
      </c>
      <c r="P1473" s="27" t="s">
        <v>13</v>
      </c>
      <c r="Q1473" s="27">
        <v>1993</v>
      </c>
      <c r="R1473" s="27">
        <v>1</v>
      </c>
      <c r="S1473" s="27">
        <v>0</v>
      </c>
      <c r="T1473" s="27">
        <v>-2.7380000000000002E-2</v>
      </c>
      <c r="U1473" s="27">
        <v>-0.18253</v>
      </c>
      <c r="V1473" s="27">
        <v>0</v>
      </c>
      <c r="W1473" s="27">
        <v>0</v>
      </c>
      <c r="X1473" s="27" t="s">
        <v>54</v>
      </c>
    </row>
    <row r="1474" spans="1:24">
      <c r="A1474" s="27">
        <v>4</v>
      </c>
      <c r="B1474" s="27">
        <v>1</v>
      </c>
      <c r="C1474" s="27">
        <v>3</v>
      </c>
      <c r="D1474" s="27">
        <v>2013</v>
      </c>
      <c r="E1474" s="27">
        <v>2013</v>
      </c>
      <c r="F1474" s="27">
        <v>5</v>
      </c>
      <c r="G1474" s="27">
        <v>0</v>
      </c>
      <c r="H1474" s="27">
        <v>0</v>
      </c>
      <c r="I1474" s="27">
        <v>0</v>
      </c>
      <c r="J1474" s="27">
        <v>0.35</v>
      </c>
      <c r="K1474" s="27">
        <v>1.1299999999999999</v>
      </c>
      <c r="L1474" s="27">
        <v>1000</v>
      </c>
      <c r="M1474" s="27">
        <v>900</v>
      </c>
      <c r="N1474" s="27">
        <v>75</v>
      </c>
      <c r="O1474" s="27">
        <v>75</v>
      </c>
      <c r="P1474" s="27" t="s">
        <v>13</v>
      </c>
      <c r="Q1474" s="27">
        <v>1993</v>
      </c>
      <c r="R1474" s="27">
        <v>1</v>
      </c>
      <c r="S1474" s="27">
        <v>0</v>
      </c>
      <c r="T1474" s="27">
        <v>-2.7380000000000002E-2</v>
      </c>
      <c r="U1474" s="27">
        <v>-0.18253</v>
      </c>
      <c r="V1474" s="27">
        <v>0</v>
      </c>
      <c r="W1474" s="27">
        <v>0</v>
      </c>
      <c r="X1474" s="27" t="s">
        <v>54</v>
      </c>
    </row>
    <row r="1475" spans="1:24">
      <c r="A1475" s="27">
        <v>4</v>
      </c>
      <c r="B1475" s="27">
        <v>1</v>
      </c>
      <c r="C1475" s="27">
        <v>3</v>
      </c>
      <c r="D1475" s="27">
        <v>2013</v>
      </c>
      <c r="E1475" s="27">
        <v>2013</v>
      </c>
      <c r="F1475" s="27">
        <v>6</v>
      </c>
      <c r="G1475" s="27">
        <v>0</v>
      </c>
      <c r="H1475" s="27">
        <v>0</v>
      </c>
      <c r="I1475" s="27">
        <v>0</v>
      </c>
      <c r="J1475" s="27">
        <v>0.35</v>
      </c>
      <c r="K1475" s="27">
        <v>1.1299999999999999</v>
      </c>
      <c r="L1475" s="27">
        <v>1000</v>
      </c>
      <c r="M1475" s="27">
        <v>900</v>
      </c>
      <c r="N1475" s="27">
        <v>75</v>
      </c>
      <c r="O1475" s="27">
        <v>75</v>
      </c>
      <c r="P1475" s="27" t="s">
        <v>13</v>
      </c>
      <c r="Q1475" s="27">
        <v>1993</v>
      </c>
      <c r="R1475" s="27">
        <v>1</v>
      </c>
      <c r="S1475" s="27">
        <v>0</v>
      </c>
      <c r="T1475" s="27">
        <v>-2.7380000000000002E-2</v>
      </c>
      <c r="U1475" s="27">
        <v>-0.18253</v>
      </c>
      <c r="V1475" s="27">
        <v>0</v>
      </c>
      <c r="W1475" s="27">
        <v>0</v>
      </c>
      <c r="X1475" s="27" t="s">
        <v>54</v>
      </c>
    </row>
    <row r="1476" spans="1:24">
      <c r="A1476" s="27">
        <v>4</v>
      </c>
      <c r="B1476" s="27">
        <v>1</v>
      </c>
      <c r="C1476" s="27">
        <v>3</v>
      </c>
      <c r="D1476" s="27">
        <v>2013</v>
      </c>
      <c r="E1476" s="27">
        <v>2013</v>
      </c>
      <c r="F1476" s="27">
        <v>7</v>
      </c>
      <c r="G1476" s="27">
        <v>0</v>
      </c>
      <c r="H1476" s="27">
        <v>0</v>
      </c>
      <c r="I1476" s="27">
        <v>0</v>
      </c>
      <c r="J1476" s="27">
        <v>0.35</v>
      </c>
      <c r="K1476" s="27">
        <v>1.1299999999999999</v>
      </c>
      <c r="L1476" s="27">
        <v>1000</v>
      </c>
      <c r="M1476" s="27">
        <v>900</v>
      </c>
      <c r="N1476" s="27">
        <v>75</v>
      </c>
      <c r="O1476" s="27">
        <v>75</v>
      </c>
      <c r="P1476" s="27" t="s">
        <v>13</v>
      </c>
      <c r="Q1476" s="27">
        <v>1993</v>
      </c>
      <c r="R1476" s="27">
        <v>1</v>
      </c>
      <c r="S1476" s="27">
        <v>0</v>
      </c>
      <c r="T1476" s="27">
        <v>-2.7380000000000002E-2</v>
      </c>
      <c r="U1476" s="27">
        <v>-0.18253</v>
      </c>
      <c r="V1476" s="27">
        <v>0</v>
      </c>
      <c r="W1476" s="27">
        <v>0</v>
      </c>
      <c r="X1476" s="27" t="s">
        <v>54</v>
      </c>
    </row>
    <row r="1477" spans="1:24">
      <c r="A1477" s="27">
        <v>4</v>
      </c>
      <c r="B1477" s="27">
        <v>1</v>
      </c>
      <c r="C1477" s="27">
        <v>3</v>
      </c>
      <c r="D1477" s="27">
        <v>2013</v>
      </c>
      <c r="E1477" s="27">
        <v>2013</v>
      </c>
      <c r="F1477" s="27">
        <v>8</v>
      </c>
      <c r="G1477" s="27">
        <v>0</v>
      </c>
      <c r="H1477" s="27">
        <v>0</v>
      </c>
      <c r="I1477" s="27">
        <v>0</v>
      </c>
      <c r="J1477" s="27">
        <v>0.35</v>
      </c>
      <c r="K1477" s="27">
        <v>1.1299999999999999</v>
      </c>
      <c r="L1477" s="27">
        <v>1000</v>
      </c>
      <c r="M1477" s="27">
        <v>900</v>
      </c>
      <c r="N1477" s="27">
        <v>75</v>
      </c>
      <c r="O1477" s="27">
        <v>75</v>
      </c>
      <c r="P1477" s="27" t="s">
        <v>13</v>
      </c>
      <c r="Q1477" s="27">
        <v>1993</v>
      </c>
      <c r="R1477" s="27">
        <v>1</v>
      </c>
      <c r="S1477" s="27">
        <v>0</v>
      </c>
      <c r="T1477" s="27">
        <v>-2.7380000000000002E-2</v>
      </c>
      <c r="U1477" s="27">
        <v>-0.18253</v>
      </c>
      <c r="V1477" s="27">
        <v>0</v>
      </c>
      <c r="W1477" s="27">
        <v>0</v>
      </c>
      <c r="X1477" s="27" t="s">
        <v>54</v>
      </c>
    </row>
    <row r="1478" spans="1:24">
      <c r="A1478" s="27">
        <v>4</v>
      </c>
      <c r="B1478" s="27">
        <v>1</v>
      </c>
      <c r="C1478" s="27">
        <v>3</v>
      </c>
      <c r="D1478" s="27">
        <v>2013</v>
      </c>
      <c r="E1478" s="27">
        <v>2013</v>
      </c>
      <c r="F1478" s="27">
        <v>9</v>
      </c>
      <c r="G1478" s="27">
        <v>0</v>
      </c>
      <c r="H1478" s="27">
        <v>0</v>
      </c>
      <c r="I1478" s="27">
        <v>0</v>
      </c>
      <c r="J1478" s="27">
        <v>0.35</v>
      </c>
      <c r="K1478" s="27">
        <v>1.1299999999999999</v>
      </c>
      <c r="L1478" s="27">
        <v>1000</v>
      </c>
      <c r="M1478" s="27">
        <v>900</v>
      </c>
      <c r="N1478" s="27">
        <v>75</v>
      </c>
      <c r="O1478" s="27">
        <v>75</v>
      </c>
      <c r="P1478" s="27" t="s">
        <v>13</v>
      </c>
      <c r="Q1478" s="27">
        <v>1993</v>
      </c>
      <c r="R1478" s="27">
        <v>1</v>
      </c>
      <c r="S1478" s="27">
        <v>0</v>
      </c>
      <c r="T1478" s="27">
        <v>-2.7380000000000002E-2</v>
      </c>
      <c r="U1478" s="27">
        <v>-0.18253</v>
      </c>
      <c r="V1478" s="27">
        <v>0</v>
      </c>
      <c r="W1478" s="27">
        <v>0</v>
      </c>
      <c r="X1478" s="27" t="s">
        <v>54</v>
      </c>
    </row>
    <row r="1479" spans="1:24">
      <c r="A1479" s="27">
        <v>4</v>
      </c>
      <c r="B1479" s="27">
        <v>1</v>
      </c>
      <c r="C1479" s="27">
        <v>3</v>
      </c>
      <c r="D1479" s="27">
        <v>2014</v>
      </c>
      <c r="E1479" s="27">
        <v>2050</v>
      </c>
      <c r="F1479" s="27">
        <v>1</v>
      </c>
      <c r="G1479" s="27">
        <v>0</v>
      </c>
      <c r="H1479" s="27">
        <v>0</v>
      </c>
      <c r="I1479" s="27">
        <v>0</v>
      </c>
      <c r="J1479" s="27">
        <v>0.35</v>
      </c>
      <c r="K1479" s="27">
        <v>1.1299999999999999</v>
      </c>
      <c r="L1479" s="27">
        <v>1000</v>
      </c>
      <c r="M1479" s="27">
        <v>900</v>
      </c>
      <c r="N1479" s="27">
        <v>0</v>
      </c>
      <c r="O1479" s="27">
        <v>0</v>
      </c>
      <c r="P1479" s="27" t="s">
        <v>13</v>
      </c>
      <c r="Q1479" s="27">
        <v>1993</v>
      </c>
      <c r="R1479" s="27">
        <v>1</v>
      </c>
      <c r="S1479" s="27">
        <v>0</v>
      </c>
      <c r="T1479" s="27">
        <v>-2.7380000000000002E-2</v>
      </c>
      <c r="U1479" s="27">
        <v>-0.18253</v>
      </c>
      <c r="V1479" s="27">
        <v>0</v>
      </c>
      <c r="W1479" s="27">
        <v>0</v>
      </c>
      <c r="X1479" s="27" t="s">
        <v>54</v>
      </c>
    </row>
    <row r="1480" spans="1:24">
      <c r="A1480" s="27">
        <v>4</v>
      </c>
      <c r="B1480" s="27">
        <v>1</v>
      </c>
      <c r="C1480" s="27">
        <v>3</v>
      </c>
      <c r="D1480" s="27">
        <v>2014</v>
      </c>
      <c r="E1480" s="27">
        <v>2050</v>
      </c>
      <c r="F1480" s="27">
        <v>2</v>
      </c>
      <c r="G1480" s="27">
        <v>0</v>
      </c>
      <c r="H1480" s="27">
        <v>0</v>
      </c>
      <c r="I1480" s="27">
        <v>0</v>
      </c>
      <c r="J1480" s="27">
        <v>0.35</v>
      </c>
      <c r="K1480" s="27">
        <v>1.1299999999999999</v>
      </c>
      <c r="L1480" s="27">
        <v>1000</v>
      </c>
      <c r="M1480" s="27">
        <v>900</v>
      </c>
      <c r="N1480" s="27">
        <v>0</v>
      </c>
      <c r="O1480" s="27">
        <v>0</v>
      </c>
      <c r="P1480" s="27" t="s">
        <v>13</v>
      </c>
      <c r="Q1480" s="27">
        <v>1993</v>
      </c>
      <c r="R1480" s="27">
        <v>1</v>
      </c>
      <c r="S1480" s="27">
        <v>0</v>
      </c>
      <c r="T1480" s="27">
        <v>-2.7380000000000002E-2</v>
      </c>
      <c r="U1480" s="27">
        <v>-0.18253</v>
      </c>
      <c r="V1480" s="27">
        <v>0</v>
      </c>
      <c r="W1480" s="27">
        <v>0</v>
      </c>
      <c r="X1480" s="27" t="s">
        <v>54</v>
      </c>
    </row>
    <row r="1481" spans="1:24">
      <c r="A1481" s="27">
        <v>4</v>
      </c>
      <c r="B1481" s="27">
        <v>1</v>
      </c>
      <c r="C1481" s="27">
        <v>3</v>
      </c>
      <c r="D1481" s="27">
        <v>2014</v>
      </c>
      <c r="E1481" s="27">
        <v>2050</v>
      </c>
      <c r="F1481" s="27">
        <v>3</v>
      </c>
      <c r="G1481" s="27">
        <v>0</v>
      </c>
      <c r="H1481" s="27">
        <v>0</v>
      </c>
      <c r="I1481" s="27">
        <v>0</v>
      </c>
      <c r="J1481" s="27">
        <v>0.35</v>
      </c>
      <c r="K1481" s="27">
        <v>1.1299999999999999</v>
      </c>
      <c r="L1481" s="27">
        <v>1000</v>
      </c>
      <c r="M1481" s="27">
        <v>900</v>
      </c>
      <c r="N1481" s="27">
        <v>0</v>
      </c>
      <c r="O1481" s="27">
        <v>0</v>
      </c>
      <c r="P1481" s="27" t="s">
        <v>13</v>
      </c>
      <c r="Q1481" s="27">
        <v>1993</v>
      </c>
      <c r="R1481" s="27">
        <v>1</v>
      </c>
      <c r="S1481" s="27">
        <v>0</v>
      </c>
      <c r="T1481" s="27">
        <v>-2.7380000000000002E-2</v>
      </c>
      <c r="U1481" s="27">
        <v>-0.18253</v>
      </c>
      <c r="V1481" s="27">
        <v>0</v>
      </c>
      <c r="W1481" s="27">
        <v>0</v>
      </c>
      <c r="X1481" s="27" t="s">
        <v>54</v>
      </c>
    </row>
    <row r="1482" spans="1:24">
      <c r="A1482" s="27">
        <v>4</v>
      </c>
      <c r="B1482" s="27">
        <v>1</v>
      </c>
      <c r="C1482" s="27">
        <v>3</v>
      </c>
      <c r="D1482" s="27">
        <v>2014</v>
      </c>
      <c r="E1482" s="27">
        <v>2050</v>
      </c>
      <c r="F1482" s="27">
        <v>4</v>
      </c>
      <c r="G1482" s="27">
        <v>0</v>
      </c>
      <c r="H1482" s="27">
        <v>0</v>
      </c>
      <c r="I1482" s="27">
        <v>0</v>
      </c>
      <c r="J1482" s="27">
        <v>0.35</v>
      </c>
      <c r="K1482" s="27">
        <v>1.1299999999999999</v>
      </c>
      <c r="L1482" s="27">
        <v>1000</v>
      </c>
      <c r="M1482" s="27">
        <v>900</v>
      </c>
      <c r="N1482" s="27">
        <v>0</v>
      </c>
      <c r="O1482" s="27">
        <v>0</v>
      </c>
      <c r="P1482" s="27" t="s">
        <v>13</v>
      </c>
      <c r="Q1482" s="27">
        <v>1993</v>
      </c>
      <c r="R1482" s="27">
        <v>1</v>
      </c>
      <c r="S1482" s="27">
        <v>0</v>
      </c>
      <c r="T1482" s="27">
        <v>-2.7380000000000002E-2</v>
      </c>
      <c r="U1482" s="27">
        <v>-0.18253</v>
      </c>
      <c r="V1482" s="27">
        <v>0</v>
      </c>
      <c r="W1482" s="27">
        <v>0</v>
      </c>
      <c r="X1482" s="27" t="s">
        <v>54</v>
      </c>
    </row>
    <row r="1483" spans="1:24">
      <c r="A1483" s="27">
        <v>4</v>
      </c>
      <c r="B1483" s="27">
        <v>1</v>
      </c>
      <c r="C1483" s="27">
        <v>3</v>
      </c>
      <c r="D1483" s="27">
        <v>2014</v>
      </c>
      <c r="E1483" s="27">
        <v>2050</v>
      </c>
      <c r="F1483" s="27">
        <v>5</v>
      </c>
      <c r="G1483" s="27">
        <v>0</v>
      </c>
      <c r="H1483" s="27">
        <v>0</v>
      </c>
      <c r="I1483" s="27">
        <v>0</v>
      </c>
      <c r="J1483" s="27">
        <v>0.35</v>
      </c>
      <c r="K1483" s="27">
        <v>1.1299999999999999</v>
      </c>
      <c r="L1483" s="27">
        <v>1000</v>
      </c>
      <c r="M1483" s="27">
        <v>900</v>
      </c>
      <c r="N1483" s="27">
        <v>0</v>
      </c>
      <c r="O1483" s="27">
        <v>0</v>
      </c>
      <c r="P1483" s="27" t="s">
        <v>13</v>
      </c>
      <c r="Q1483" s="27">
        <v>1993</v>
      </c>
      <c r="R1483" s="27">
        <v>1</v>
      </c>
      <c r="S1483" s="27">
        <v>0</v>
      </c>
      <c r="T1483" s="27">
        <v>-2.7380000000000002E-2</v>
      </c>
      <c r="U1483" s="27">
        <v>-0.18253</v>
      </c>
      <c r="V1483" s="27">
        <v>0</v>
      </c>
      <c r="W1483" s="27">
        <v>0</v>
      </c>
      <c r="X1483" s="27" t="s">
        <v>54</v>
      </c>
    </row>
    <row r="1484" spans="1:24">
      <c r="A1484" s="27">
        <v>4</v>
      </c>
      <c r="B1484" s="27">
        <v>1</v>
      </c>
      <c r="C1484" s="27">
        <v>3</v>
      </c>
      <c r="D1484" s="27">
        <v>2014</v>
      </c>
      <c r="E1484" s="27">
        <v>2050</v>
      </c>
      <c r="F1484" s="27">
        <v>6</v>
      </c>
      <c r="G1484" s="27">
        <v>0</v>
      </c>
      <c r="H1484" s="27">
        <v>0</v>
      </c>
      <c r="I1484" s="27">
        <v>0</v>
      </c>
      <c r="J1484" s="27">
        <v>0.35</v>
      </c>
      <c r="K1484" s="27">
        <v>1.1299999999999999</v>
      </c>
      <c r="L1484" s="27">
        <v>1000</v>
      </c>
      <c r="M1484" s="27">
        <v>900</v>
      </c>
      <c r="N1484" s="27">
        <v>0</v>
      </c>
      <c r="O1484" s="27">
        <v>0</v>
      </c>
      <c r="P1484" s="27" t="s">
        <v>13</v>
      </c>
      <c r="Q1484" s="27">
        <v>1993</v>
      </c>
      <c r="R1484" s="27">
        <v>1</v>
      </c>
      <c r="S1484" s="27">
        <v>0</v>
      </c>
      <c r="T1484" s="27">
        <v>-2.7380000000000002E-2</v>
      </c>
      <c r="U1484" s="27">
        <v>-0.18253</v>
      </c>
      <c r="V1484" s="27">
        <v>0</v>
      </c>
      <c r="W1484" s="27">
        <v>0</v>
      </c>
      <c r="X1484" s="27" t="s">
        <v>54</v>
      </c>
    </row>
    <row r="1485" spans="1:24">
      <c r="A1485" s="27">
        <v>4</v>
      </c>
      <c r="B1485" s="27">
        <v>1</v>
      </c>
      <c r="C1485" s="27">
        <v>3</v>
      </c>
      <c r="D1485" s="27">
        <v>2014</v>
      </c>
      <c r="E1485" s="27">
        <v>2050</v>
      </c>
      <c r="F1485" s="27">
        <v>7</v>
      </c>
      <c r="G1485" s="27">
        <v>0</v>
      </c>
      <c r="H1485" s="27">
        <v>0</v>
      </c>
      <c r="I1485" s="27">
        <v>0</v>
      </c>
      <c r="J1485" s="27">
        <v>0.35</v>
      </c>
      <c r="K1485" s="27">
        <v>1.1299999999999999</v>
      </c>
      <c r="L1485" s="27">
        <v>1000</v>
      </c>
      <c r="M1485" s="27">
        <v>900</v>
      </c>
      <c r="N1485" s="27">
        <v>0</v>
      </c>
      <c r="O1485" s="27">
        <v>0</v>
      </c>
      <c r="P1485" s="27" t="s">
        <v>13</v>
      </c>
      <c r="Q1485" s="27">
        <v>1993</v>
      </c>
      <c r="R1485" s="27">
        <v>1</v>
      </c>
      <c r="S1485" s="27">
        <v>0</v>
      </c>
      <c r="T1485" s="27">
        <v>-2.7380000000000002E-2</v>
      </c>
      <c r="U1485" s="27">
        <v>-0.18253</v>
      </c>
      <c r="V1485" s="27">
        <v>0</v>
      </c>
      <c r="W1485" s="27">
        <v>0</v>
      </c>
      <c r="X1485" s="27" t="s">
        <v>54</v>
      </c>
    </row>
    <row r="1486" spans="1:24">
      <c r="A1486" s="27">
        <v>4</v>
      </c>
      <c r="B1486" s="27">
        <v>1</v>
      </c>
      <c r="C1486" s="27">
        <v>3</v>
      </c>
      <c r="D1486" s="27">
        <v>2014</v>
      </c>
      <c r="E1486" s="27">
        <v>2050</v>
      </c>
      <c r="F1486" s="27">
        <v>8</v>
      </c>
      <c r="G1486" s="27">
        <v>0</v>
      </c>
      <c r="H1486" s="27">
        <v>0</v>
      </c>
      <c r="I1486" s="27">
        <v>0</v>
      </c>
      <c r="J1486" s="27">
        <v>0.35</v>
      </c>
      <c r="K1486" s="27">
        <v>1.1299999999999999</v>
      </c>
      <c r="L1486" s="27">
        <v>1000</v>
      </c>
      <c r="M1486" s="27">
        <v>900</v>
      </c>
      <c r="N1486" s="27">
        <v>0</v>
      </c>
      <c r="O1486" s="27">
        <v>0</v>
      </c>
      <c r="P1486" s="27" t="s">
        <v>13</v>
      </c>
      <c r="Q1486" s="27">
        <v>1993</v>
      </c>
      <c r="R1486" s="27">
        <v>1</v>
      </c>
      <c r="S1486" s="27">
        <v>0</v>
      </c>
      <c r="T1486" s="27">
        <v>-2.7380000000000002E-2</v>
      </c>
      <c r="U1486" s="27">
        <v>-0.18253</v>
      </c>
      <c r="V1486" s="27">
        <v>0</v>
      </c>
      <c r="W1486" s="27">
        <v>0</v>
      </c>
      <c r="X1486" s="27" t="s">
        <v>54</v>
      </c>
    </row>
    <row r="1487" spans="1:24">
      <c r="A1487" s="27">
        <v>4</v>
      </c>
      <c r="B1487" s="27">
        <v>1</v>
      </c>
      <c r="C1487" s="27">
        <v>3</v>
      </c>
      <c r="D1487" s="27">
        <v>2014</v>
      </c>
      <c r="E1487" s="27">
        <v>2050</v>
      </c>
      <c r="F1487" s="27">
        <v>9</v>
      </c>
      <c r="G1487" s="27">
        <v>0</v>
      </c>
      <c r="H1487" s="27">
        <v>0</v>
      </c>
      <c r="I1487" s="27">
        <v>0</v>
      </c>
      <c r="J1487" s="27">
        <v>0.35</v>
      </c>
      <c r="K1487" s="27">
        <v>1.1299999999999999</v>
      </c>
      <c r="L1487" s="27">
        <v>1000</v>
      </c>
      <c r="M1487" s="27">
        <v>900</v>
      </c>
      <c r="N1487" s="27">
        <v>0</v>
      </c>
      <c r="O1487" s="27">
        <v>0</v>
      </c>
      <c r="P1487" s="27" t="s">
        <v>13</v>
      </c>
      <c r="Q1487" s="27">
        <v>1993</v>
      </c>
      <c r="R1487" s="27">
        <v>1</v>
      </c>
      <c r="S1487" s="27">
        <v>0</v>
      </c>
      <c r="T1487" s="27">
        <v>-2.7380000000000002E-2</v>
      </c>
      <c r="U1487" s="27">
        <v>-0.18253</v>
      </c>
      <c r="V1487" s="27">
        <v>0</v>
      </c>
      <c r="W1487" s="27">
        <v>0</v>
      </c>
      <c r="X1487" s="27" t="s">
        <v>54</v>
      </c>
    </row>
    <row r="1488" spans="1:24">
      <c r="A1488" s="27">
        <v>5</v>
      </c>
      <c r="B1488" s="27">
        <v>1</v>
      </c>
      <c r="C1488" s="27">
        <v>1</v>
      </c>
      <c r="D1488" s="27">
        <v>2010</v>
      </c>
      <c r="E1488" s="27">
        <v>2014</v>
      </c>
      <c r="F1488" s="27">
        <v>1</v>
      </c>
      <c r="G1488" s="27">
        <v>0</v>
      </c>
      <c r="H1488" s="27">
        <v>0</v>
      </c>
      <c r="I1488" s="27">
        <v>0</v>
      </c>
      <c r="J1488" s="27">
        <v>0</v>
      </c>
      <c r="K1488" s="27">
        <v>0.59</v>
      </c>
      <c r="L1488" s="27">
        <v>900</v>
      </c>
      <c r="M1488" s="27">
        <v>720</v>
      </c>
      <c r="N1488" s="27">
        <v>0</v>
      </c>
      <c r="O1488" s="27">
        <v>0</v>
      </c>
      <c r="P1488" s="27" t="s">
        <v>13</v>
      </c>
      <c r="Q1488" s="27">
        <v>1993</v>
      </c>
      <c r="R1488" s="27">
        <v>1</v>
      </c>
      <c r="S1488" s="27">
        <v>0</v>
      </c>
      <c r="T1488" s="27">
        <v>-1.619E-2</v>
      </c>
      <c r="U1488" s="27">
        <v>-5.3969999999999997E-2</v>
      </c>
      <c r="V1488" s="27">
        <v>0</v>
      </c>
      <c r="W1488" s="27">
        <v>0</v>
      </c>
      <c r="X1488" s="27" t="s">
        <v>55</v>
      </c>
    </row>
    <row r="1489" spans="1:24">
      <c r="A1489" s="27">
        <v>5</v>
      </c>
      <c r="B1489" s="27">
        <v>1</v>
      </c>
      <c r="C1489" s="27">
        <v>1</v>
      </c>
      <c r="D1489" s="27">
        <v>2010</v>
      </c>
      <c r="E1489" s="27">
        <v>2014</v>
      </c>
      <c r="F1489" s="27">
        <v>2</v>
      </c>
      <c r="G1489" s="27">
        <v>0</v>
      </c>
      <c r="H1489" s="27">
        <v>0</v>
      </c>
      <c r="I1489" s="27">
        <v>0</v>
      </c>
      <c r="J1489" s="27">
        <v>0</v>
      </c>
      <c r="K1489" s="27">
        <v>0.59</v>
      </c>
      <c r="L1489" s="27">
        <v>900</v>
      </c>
      <c r="M1489" s="27">
        <v>720</v>
      </c>
      <c r="N1489" s="27">
        <v>0</v>
      </c>
      <c r="O1489" s="27">
        <v>0</v>
      </c>
      <c r="P1489" s="27" t="s">
        <v>13</v>
      </c>
      <c r="Q1489" s="27">
        <v>1993</v>
      </c>
      <c r="R1489" s="27">
        <v>1</v>
      </c>
      <c r="S1489" s="27">
        <v>0</v>
      </c>
      <c r="T1489" s="27">
        <v>-1.619E-2</v>
      </c>
      <c r="U1489" s="27">
        <v>-5.3969999999999997E-2</v>
      </c>
      <c r="V1489" s="27">
        <v>0</v>
      </c>
      <c r="W1489" s="27">
        <v>0</v>
      </c>
      <c r="X1489" s="27" t="s">
        <v>55</v>
      </c>
    </row>
    <row r="1490" spans="1:24">
      <c r="A1490" s="27">
        <v>5</v>
      </c>
      <c r="B1490" s="27">
        <v>1</v>
      </c>
      <c r="C1490" s="27">
        <v>1</v>
      </c>
      <c r="D1490" s="27">
        <v>2010</v>
      </c>
      <c r="E1490" s="27">
        <v>2014</v>
      </c>
      <c r="F1490" s="27">
        <v>3</v>
      </c>
      <c r="G1490" s="27">
        <v>0</v>
      </c>
      <c r="H1490" s="27">
        <v>0</v>
      </c>
      <c r="I1490" s="27">
        <v>0</v>
      </c>
      <c r="J1490" s="27">
        <v>0</v>
      </c>
      <c r="K1490" s="27">
        <v>0.59</v>
      </c>
      <c r="L1490" s="27">
        <v>900</v>
      </c>
      <c r="M1490" s="27">
        <v>720</v>
      </c>
      <c r="N1490" s="27">
        <v>0</v>
      </c>
      <c r="O1490" s="27">
        <v>0</v>
      </c>
      <c r="P1490" s="27" t="s">
        <v>13</v>
      </c>
      <c r="Q1490" s="27">
        <v>1993</v>
      </c>
      <c r="R1490" s="27">
        <v>1</v>
      </c>
      <c r="S1490" s="27">
        <v>0</v>
      </c>
      <c r="T1490" s="27">
        <v>-1.619E-2</v>
      </c>
      <c r="U1490" s="27">
        <v>-5.3969999999999997E-2</v>
      </c>
      <c r="V1490" s="27">
        <v>0</v>
      </c>
      <c r="W1490" s="27">
        <v>0</v>
      </c>
      <c r="X1490" s="27" t="s">
        <v>55</v>
      </c>
    </row>
    <row r="1491" spans="1:24">
      <c r="A1491" s="27">
        <v>5</v>
      </c>
      <c r="B1491" s="27">
        <v>1</v>
      </c>
      <c r="C1491" s="27">
        <v>1</v>
      </c>
      <c r="D1491" s="27">
        <v>2010</v>
      </c>
      <c r="E1491" s="27">
        <v>2014</v>
      </c>
      <c r="F1491" s="27">
        <v>4</v>
      </c>
      <c r="G1491" s="27">
        <v>0</v>
      </c>
      <c r="H1491" s="27">
        <v>0</v>
      </c>
      <c r="I1491" s="27">
        <v>0</v>
      </c>
      <c r="J1491" s="27">
        <v>0</v>
      </c>
      <c r="K1491" s="27">
        <v>0.59</v>
      </c>
      <c r="L1491" s="27">
        <v>900</v>
      </c>
      <c r="M1491" s="27">
        <v>720</v>
      </c>
      <c r="N1491" s="27">
        <v>0</v>
      </c>
      <c r="O1491" s="27">
        <v>0</v>
      </c>
      <c r="P1491" s="27" t="s">
        <v>13</v>
      </c>
      <c r="Q1491" s="27">
        <v>1993</v>
      </c>
      <c r="R1491" s="27">
        <v>1</v>
      </c>
      <c r="S1491" s="27">
        <v>0</v>
      </c>
      <c r="T1491" s="27">
        <v>-1.619E-2</v>
      </c>
      <c r="U1491" s="27">
        <v>-5.3969999999999997E-2</v>
      </c>
      <c r="V1491" s="27">
        <v>0</v>
      </c>
      <c r="W1491" s="27">
        <v>0</v>
      </c>
      <c r="X1491" s="27" t="s">
        <v>55</v>
      </c>
    </row>
    <row r="1492" spans="1:24">
      <c r="A1492" s="27">
        <v>5</v>
      </c>
      <c r="B1492" s="27">
        <v>1</v>
      </c>
      <c r="C1492" s="27">
        <v>1</v>
      </c>
      <c r="D1492" s="27">
        <v>2010</v>
      </c>
      <c r="E1492" s="27">
        <v>2014</v>
      </c>
      <c r="F1492" s="27">
        <v>5</v>
      </c>
      <c r="G1492" s="27">
        <v>0</v>
      </c>
      <c r="H1492" s="27">
        <v>0</v>
      </c>
      <c r="I1492" s="27">
        <v>0</v>
      </c>
      <c r="J1492" s="27">
        <v>0</v>
      </c>
      <c r="K1492" s="27">
        <v>0.59</v>
      </c>
      <c r="L1492" s="27">
        <v>900</v>
      </c>
      <c r="M1492" s="27">
        <v>720</v>
      </c>
      <c r="N1492" s="27">
        <v>0</v>
      </c>
      <c r="O1492" s="27">
        <v>0</v>
      </c>
      <c r="P1492" s="27" t="s">
        <v>13</v>
      </c>
      <c r="Q1492" s="27">
        <v>1993</v>
      </c>
      <c r="R1492" s="27">
        <v>1</v>
      </c>
      <c r="S1492" s="27">
        <v>0</v>
      </c>
      <c r="T1492" s="27">
        <v>-1.619E-2</v>
      </c>
      <c r="U1492" s="27">
        <v>-5.3969999999999997E-2</v>
      </c>
      <c r="V1492" s="27">
        <v>0</v>
      </c>
      <c r="W1492" s="27">
        <v>0</v>
      </c>
      <c r="X1492" s="27" t="s">
        <v>55</v>
      </c>
    </row>
    <row r="1493" spans="1:24">
      <c r="A1493" s="27">
        <v>5</v>
      </c>
      <c r="B1493" s="27">
        <v>1</v>
      </c>
      <c r="C1493" s="27">
        <v>1</v>
      </c>
      <c r="D1493" s="27">
        <v>2010</v>
      </c>
      <c r="E1493" s="27">
        <v>2014</v>
      </c>
      <c r="F1493" s="27">
        <v>6</v>
      </c>
      <c r="G1493" s="27">
        <v>0</v>
      </c>
      <c r="H1493" s="27">
        <v>0</v>
      </c>
      <c r="I1493" s="27">
        <v>0</v>
      </c>
      <c r="J1493" s="27">
        <v>0</v>
      </c>
      <c r="K1493" s="27">
        <v>0.59</v>
      </c>
      <c r="L1493" s="27">
        <v>900</v>
      </c>
      <c r="M1493" s="27">
        <v>720</v>
      </c>
      <c r="N1493" s="27">
        <v>0</v>
      </c>
      <c r="O1493" s="27">
        <v>0</v>
      </c>
      <c r="P1493" s="27" t="s">
        <v>13</v>
      </c>
      <c r="Q1493" s="27">
        <v>1993</v>
      </c>
      <c r="R1493" s="27">
        <v>1</v>
      </c>
      <c r="S1493" s="27">
        <v>0</v>
      </c>
      <c r="T1493" s="27">
        <v>-1.619E-2</v>
      </c>
      <c r="U1493" s="27">
        <v>-5.3969999999999997E-2</v>
      </c>
      <c r="V1493" s="27">
        <v>0</v>
      </c>
      <c r="W1493" s="27">
        <v>0</v>
      </c>
      <c r="X1493" s="27" t="s">
        <v>55</v>
      </c>
    </row>
    <row r="1494" spans="1:24">
      <c r="A1494" s="27">
        <v>5</v>
      </c>
      <c r="B1494" s="27">
        <v>1</v>
      </c>
      <c r="C1494" s="27">
        <v>1</v>
      </c>
      <c r="D1494" s="27">
        <v>2010</v>
      </c>
      <c r="E1494" s="27">
        <v>2014</v>
      </c>
      <c r="F1494" s="27">
        <v>7</v>
      </c>
      <c r="G1494" s="27">
        <v>0</v>
      </c>
      <c r="H1494" s="27">
        <v>0</v>
      </c>
      <c r="I1494" s="27">
        <v>0</v>
      </c>
      <c r="J1494" s="27">
        <v>0</v>
      </c>
      <c r="K1494" s="27">
        <v>0.59</v>
      </c>
      <c r="L1494" s="27">
        <v>900</v>
      </c>
      <c r="M1494" s="27">
        <v>720</v>
      </c>
      <c r="N1494" s="27">
        <v>0</v>
      </c>
      <c r="O1494" s="27">
        <v>0</v>
      </c>
      <c r="P1494" s="27" t="s">
        <v>13</v>
      </c>
      <c r="Q1494" s="27">
        <v>1993</v>
      </c>
      <c r="R1494" s="27">
        <v>1</v>
      </c>
      <c r="S1494" s="27">
        <v>0</v>
      </c>
      <c r="T1494" s="27">
        <v>-1.619E-2</v>
      </c>
      <c r="U1494" s="27">
        <v>-5.3969999999999997E-2</v>
      </c>
      <c r="V1494" s="27">
        <v>0</v>
      </c>
      <c r="W1494" s="27">
        <v>0</v>
      </c>
      <c r="X1494" s="27" t="s">
        <v>55</v>
      </c>
    </row>
    <row r="1495" spans="1:24">
      <c r="A1495" s="27">
        <v>5</v>
      </c>
      <c r="B1495" s="27">
        <v>1</v>
      </c>
      <c r="C1495" s="27">
        <v>1</v>
      </c>
      <c r="D1495" s="27">
        <v>2010</v>
      </c>
      <c r="E1495" s="27">
        <v>2014</v>
      </c>
      <c r="F1495" s="27">
        <v>8</v>
      </c>
      <c r="G1495" s="27">
        <v>0</v>
      </c>
      <c r="H1495" s="27">
        <v>0</v>
      </c>
      <c r="I1495" s="27">
        <v>0</v>
      </c>
      <c r="J1495" s="27">
        <v>0</v>
      </c>
      <c r="K1495" s="27">
        <v>0.59</v>
      </c>
      <c r="L1495" s="27">
        <v>900</v>
      </c>
      <c r="M1495" s="27">
        <v>720</v>
      </c>
      <c r="N1495" s="27">
        <v>0</v>
      </c>
      <c r="O1495" s="27">
        <v>0</v>
      </c>
      <c r="P1495" s="27" t="s">
        <v>13</v>
      </c>
      <c r="Q1495" s="27">
        <v>1993</v>
      </c>
      <c r="R1495" s="27">
        <v>1</v>
      </c>
      <c r="S1495" s="27">
        <v>0</v>
      </c>
      <c r="T1495" s="27">
        <v>-1.619E-2</v>
      </c>
      <c r="U1495" s="27">
        <v>-5.3969999999999997E-2</v>
      </c>
      <c r="V1495" s="27">
        <v>0</v>
      </c>
      <c r="W1495" s="27">
        <v>0</v>
      </c>
      <c r="X1495" s="27" t="s">
        <v>55</v>
      </c>
    </row>
    <row r="1496" spans="1:24">
      <c r="A1496" s="27">
        <v>5</v>
      </c>
      <c r="B1496" s="27">
        <v>1</v>
      </c>
      <c r="C1496" s="27">
        <v>1</v>
      </c>
      <c r="D1496" s="27">
        <v>2010</v>
      </c>
      <c r="E1496" s="27">
        <v>2014</v>
      </c>
      <c r="F1496" s="27">
        <v>9</v>
      </c>
      <c r="G1496" s="27">
        <v>0</v>
      </c>
      <c r="H1496" s="27">
        <v>0</v>
      </c>
      <c r="I1496" s="27">
        <v>0</v>
      </c>
      <c r="J1496" s="27">
        <v>0</v>
      </c>
      <c r="K1496" s="27">
        <v>0.59</v>
      </c>
      <c r="L1496" s="27">
        <v>900</v>
      </c>
      <c r="M1496" s="27">
        <v>720</v>
      </c>
      <c r="N1496" s="27">
        <v>0</v>
      </c>
      <c r="O1496" s="27">
        <v>0</v>
      </c>
      <c r="P1496" s="27" t="s">
        <v>13</v>
      </c>
      <c r="Q1496" s="27">
        <v>1993</v>
      </c>
      <c r="R1496" s="27">
        <v>1</v>
      </c>
      <c r="S1496" s="27">
        <v>0</v>
      </c>
      <c r="T1496" s="27">
        <v>-1.619E-2</v>
      </c>
      <c r="U1496" s="27">
        <v>-5.3969999999999997E-2</v>
      </c>
      <c r="V1496" s="27">
        <v>0</v>
      </c>
      <c r="W1496" s="27">
        <v>0</v>
      </c>
      <c r="X1496" s="27" t="s">
        <v>55</v>
      </c>
    </row>
    <row r="1497" spans="1:24">
      <c r="A1497" s="27">
        <v>5</v>
      </c>
      <c r="B1497" s="27">
        <v>1</v>
      </c>
      <c r="C1497" s="27">
        <v>1</v>
      </c>
      <c r="D1497" s="27">
        <v>2015</v>
      </c>
      <c r="E1497" s="27">
        <v>2050</v>
      </c>
      <c r="F1497" s="27">
        <v>1</v>
      </c>
      <c r="G1497" s="27">
        <v>0</v>
      </c>
      <c r="H1497" s="27">
        <v>0</v>
      </c>
      <c r="I1497" s="27">
        <v>0</v>
      </c>
      <c r="J1497" s="27">
        <v>0</v>
      </c>
      <c r="K1497" s="27">
        <v>0.62</v>
      </c>
      <c r="L1497" s="27">
        <v>920</v>
      </c>
      <c r="M1497" s="27">
        <v>740</v>
      </c>
      <c r="N1497" s="27">
        <v>0</v>
      </c>
      <c r="O1497" s="27">
        <v>0</v>
      </c>
      <c r="P1497" s="27" t="s">
        <v>13</v>
      </c>
      <c r="Q1497" s="27">
        <v>1993</v>
      </c>
      <c r="R1497" s="27">
        <v>1</v>
      </c>
      <c r="S1497" s="27">
        <v>0</v>
      </c>
      <c r="T1497" s="27">
        <v>-1.619E-2</v>
      </c>
      <c r="U1497" s="27">
        <v>-5.3969999999999997E-2</v>
      </c>
      <c r="V1497" s="27">
        <v>0</v>
      </c>
      <c r="W1497" s="27">
        <v>0</v>
      </c>
      <c r="X1497" s="27" t="s">
        <v>55</v>
      </c>
    </row>
    <row r="1498" spans="1:24">
      <c r="A1498" s="27">
        <v>5</v>
      </c>
      <c r="B1498" s="27">
        <v>1</v>
      </c>
      <c r="C1498" s="27">
        <v>1</v>
      </c>
      <c r="D1498" s="27">
        <v>2015</v>
      </c>
      <c r="E1498" s="27">
        <v>2050</v>
      </c>
      <c r="F1498" s="27">
        <v>2</v>
      </c>
      <c r="G1498" s="27">
        <v>0</v>
      </c>
      <c r="H1498" s="27">
        <v>0</v>
      </c>
      <c r="I1498" s="27">
        <v>0</v>
      </c>
      <c r="J1498" s="27">
        <v>0</v>
      </c>
      <c r="K1498" s="27">
        <v>0.62</v>
      </c>
      <c r="L1498" s="27">
        <v>920</v>
      </c>
      <c r="M1498" s="27">
        <v>740</v>
      </c>
      <c r="N1498" s="27">
        <v>0</v>
      </c>
      <c r="O1498" s="27">
        <v>0</v>
      </c>
      <c r="P1498" s="27" t="s">
        <v>13</v>
      </c>
      <c r="Q1498" s="27">
        <v>1993</v>
      </c>
      <c r="R1498" s="27">
        <v>1</v>
      </c>
      <c r="S1498" s="27">
        <v>0</v>
      </c>
      <c r="T1498" s="27">
        <v>-1.619E-2</v>
      </c>
      <c r="U1498" s="27">
        <v>-5.3969999999999997E-2</v>
      </c>
      <c r="V1498" s="27">
        <v>0</v>
      </c>
      <c r="W1498" s="27">
        <v>0</v>
      </c>
      <c r="X1498" s="27" t="s">
        <v>55</v>
      </c>
    </row>
    <row r="1499" spans="1:24">
      <c r="A1499" s="27">
        <v>5</v>
      </c>
      <c r="B1499" s="27">
        <v>1</v>
      </c>
      <c r="C1499" s="27">
        <v>1</v>
      </c>
      <c r="D1499" s="27">
        <v>2015</v>
      </c>
      <c r="E1499" s="27">
        <v>2050</v>
      </c>
      <c r="F1499" s="27">
        <v>3</v>
      </c>
      <c r="G1499" s="27">
        <v>0</v>
      </c>
      <c r="H1499" s="27">
        <v>0</v>
      </c>
      <c r="I1499" s="27">
        <v>0</v>
      </c>
      <c r="J1499" s="27">
        <v>0</v>
      </c>
      <c r="K1499" s="27">
        <v>0.62</v>
      </c>
      <c r="L1499" s="27">
        <v>920</v>
      </c>
      <c r="M1499" s="27">
        <v>740</v>
      </c>
      <c r="N1499" s="27">
        <v>0</v>
      </c>
      <c r="O1499" s="27">
        <v>0</v>
      </c>
      <c r="P1499" s="27" t="s">
        <v>13</v>
      </c>
      <c r="Q1499" s="27">
        <v>1993</v>
      </c>
      <c r="R1499" s="27">
        <v>1</v>
      </c>
      <c r="S1499" s="27">
        <v>0</v>
      </c>
      <c r="T1499" s="27">
        <v>-1.619E-2</v>
      </c>
      <c r="U1499" s="27">
        <v>-5.3969999999999997E-2</v>
      </c>
      <c r="V1499" s="27">
        <v>0</v>
      </c>
      <c r="W1499" s="27">
        <v>0</v>
      </c>
      <c r="X1499" s="27" t="s">
        <v>55</v>
      </c>
    </row>
    <row r="1500" spans="1:24">
      <c r="A1500" s="27">
        <v>5</v>
      </c>
      <c r="B1500" s="27">
        <v>1</v>
      </c>
      <c r="C1500" s="27">
        <v>1</v>
      </c>
      <c r="D1500" s="27">
        <v>2015</v>
      </c>
      <c r="E1500" s="27">
        <v>2050</v>
      </c>
      <c r="F1500" s="27">
        <v>4</v>
      </c>
      <c r="G1500" s="27">
        <v>0</v>
      </c>
      <c r="H1500" s="27">
        <v>0</v>
      </c>
      <c r="I1500" s="27">
        <v>0</v>
      </c>
      <c r="J1500" s="27">
        <v>0</v>
      </c>
      <c r="K1500" s="27">
        <v>0.62</v>
      </c>
      <c r="L1500" s="27">
        <v>920</v>
      </c>
      <c r="M1500" s="27">
        <v>740</v>
      </c>
      <c r="N1500" s="27">
        <v>0</v>
      </c>
      <c r="O1500" s="27">
        <v>0</v>
      </c>
      <c r="P1500" s="27" t="s">
        <v>13</v>
      </c>
      <c r="Q1500" s="27">
        <v>1993</v>
      </c>
      <c r="R1500" s="27">
        <v>1</v>
      </c>
      <c r="S1500" s="27">
        <v>0</v>
      </c>
      <c r="T1500" s="27">
        <v>-1.619E-2</v>
      </c>
      <c r="U1500" s="27">
        <v>-5.3969999999999997E-2</v>
      </c>
      <c r="V1500" s="27">
        <v>0</v>
      </c>
      <c r="W1500" s="27">
        <v>0</v>
      </c>
      <c r="X1500" s="27" t="s">
        <v>55</v>
      </c>
    </row>
    <row r="1501" spans="1:24">
      <c r="A1501" s="27">
        <v>5</v>
      </c>
      <c r="B1501" s="27">
        <v>1</v>
      </c>
      <c r="C1501" s="27">
        <v>1</v>
      </c>
      <c r="D1501" s="27">
        <v>2015</v>
      </c>
      <c r="E1501" s="27">
        <v>2050</v>
      </c>
      <c r="F1501" s="27">
        <v>5</v>
      </c>
      <c r="G1501" s="27">
        <v>0</v>
      </c>
      <c r="H1501" s="27">
        <v>0</v>
      </c>
      <c r="I1501" s="27">
        <v>0</v>
      </c>
      <c r="J1501" s="27">
        <v>0</v>
      </c>
      <c r="K1501" s="27">
        <v>0.62</v>
      </c>
      <c r="L1501" s="27">
        <v>920</v>
      </c>
      <c r="M1501" s="27">
        <v>740</v>
      </c>
      <c r="N1501" s="27">
        <v>0</v>
      </c>
      <c r="O1501" s="27">
        <v>0</v>
      </c>
      <c r="P1501" s="27" t="s">
        <v>13</v>
      </c>
      <c r="Q1501" s="27">
        <v>1993</v>
      </c>
      <c r="R1501" s="27">
        <v>1</v>
      </c>
      <c r="S1501" s="27">
        <v>0</v>
      </c>
      <c r="T1501" s="27">
        <v>-1.619E-2</v>
      </c>
      <c r="U1501" s="27">
        <v>-5.3969999999999997E-2</v>
      </c>
      <c r="V1501" s="27">
        <v>0</v>
      </c>
      <c r="W1501" s="27">
        <v>0</v>
      </c>
      <c r="X1501" s="27" t="s">
        <v>55</v>
      </c>
    </row>
    <row r="1502" spans="1:24">
      <c r="A1502" s="27">
        <v>5</v>
      </c>
      <c r="B1502" s="27">
        <v>1</v>
      </c>
      <c r="C1502" s="27">
        <v>1</v>
      </c>
      <c r="D1502" s="27">
        <v>2015</v>
      </c>
      <c r="E1502" s="27">
        <v>2050</v>
      </c>
      <c r="F1502" s="27">
        <v>6</v>
      </c>
      <c r="G1502" s="27">
        <v>0</v>
      </c>
      <c r="H1502" s="27">
        <v>0</v>
      </c>
      <c r="I1502" s="27">
        <v>0</v>
      </c>
      <c r="J1502" s="27">
        <v>0</v>
      </c>
      <c r="K1502" s="27">
        <v>0.62</v>
      </c>
      <c r="L1502" s="27">
        <v>920</v>
      </c>
      <c r="M1502" s="27">
        <v>740</v>
      </c>
      <c r="N1502" s="27">
        <v>0</v>
      </c>
      <c r="O1502" s="27">
        <v>0</v>
      </c>
      <c r="P1502" s="27" t="s">
        <v>13</v>
      </c>
      <c r="Q1502" s="27">
        <v>1993</v>
      </c>
      <c r="R1502" s="27">
        <v>1</v>
      </c>
      <c r="S1502" s="27">
        <v>0</v>
      </c>
      <c r="T1502" s="27">
        <v>-1.619E-2</v>
      </c>
      <c r="U1502" s="27">
        <v>-5.3969999999999997E-2</v>
      </c>
      <c r="V1502" s="27">
        <v>0</v>
      </c>
      <c r="W1502" s="27">
        <v>0</v>
      </c>
      <c r="X1502" s="27" t="s">
        <v>55</v>
      </c>
    </row>
    <row r="1503" spans="1:24">
      <c r="A1503" s="27">
        <v>5</v>
      </c>
      <c r="B1503" s="27">
        <v>1</v>
      </c>
      <c r="C1503" s="27">
        <v>1</v>
      </c>
      <c r="D1503" s="27">
        <v>2015</v>
      </c>
      <c r="E1503" s="27">
        <v>2050</v>
      </c>
      <c r="F1503" s="27">
        <v>7</v>
      </c>
      <c r="G1503" s="27">
        <v>0</v>
      </c>
      <c r="H1503" s="27">
        <v>0</v>
      </c>
      <c r="I1503" s="27">
        <v>0</v>
      </c>
      <c r="J1503" s="27">
        <v>0</v>
      </c>
      <c r="K1503" s="27">
        <v>0.62</v>
      </c>
      <c r="L1503" s="27">
        <v>920</v>
      </c>
      <c r="M1503" s="27">
        <v>740</v>
      </c>
      <c r="N1503" s="27">
        <v>0</v>
      </c>
      <c r="O1503" s="27">
        <v>0</v>
      </c>
      <c r="P1503" s="27" t="s">
        <v>13</v>
      </c>
      <c r="Q1503" s="27">
        <v>1993</v>
      </c>
      <c r="R1503" s="27">
        <v>1</v>
      </c>
      <c r="S1503" s="27">
        <v>0</v>
      </c>
      <c r="T1503" s="27">
        <v>-1.619E-2</v>
      </c>
      <c r="U1503" s="27">
        <v>-5.3969999999999997E-2</v>
      </c>
      <c r="V1503" s="27">
        <v>0</v>
      </c>
      <c r="W1503" s="27">
        <v>0</v>
      </c>
      <c r="X1503" s="27" t="s">
        <v>55</v>
      </c>
    </row>
    <row r="1504" spans="1:24">
      <c r="A1504" s="27">
        <v>5</v>
      </c>
      <c r="B1504" s="27">
        <v>1</v>
      </c>
      <c r="C1504" s="27">
        <v>1</v>
      </c>
      <c r="D1504" s="27">
        <v>2015</v>
      </c>
      <c r="E1504" s="27">
        <v>2050</v>
      </c>
      <c r="F1504" s="27">
        <v>8</v>
      </c>
      <c r="G1504" s="27">
        <v>0</v>
      </c>
      <c r="H1504" s="27">
        <v>0</v>
      </c>
      <c r="I1504" s="27">
        <v>0</v>
      </c>
      <c r="J1504" s="27">
        <v>0</v>
      </c>
      <c r="K1504" s="27">
        <v>0.62</v>
      </c>
      <c r="L1504" s="27">
        <v>920</v>
      </c>
      <c r="M1504" s="27">
        <v>740</v>
      </c>
      <c r="N1504" s="27">
        <v>0</v>
      </c>
      <c r="O1504" s="27">
        <v>0</v>
      </c>
      <c r="P1504" s="27" t="s">
        <v>13</v>
      </c>
      <c r="Q1504" s="27">
        <v>1993</v>
      </c>
      <c r="R1504" s="27">
        <v>1</v>
      </c>
      <c r="S1504" s="27">
        <v>0</v>
      </c>
      <c r="T1504" s="27">
        <v>-1.619E-2</v>
      </c>
      <c r="U1504" s="27">
        <v>-5.3969999999999997E-2</v>
      </c>
      <c r="V1504" s="27">
        <v>0</v>
      </c>
      <c r="W1504" s="27">
        <v>0</v>
      </c>
      <c r="X1504" s="27" t="s">
        <v>55</v>
      </c>
    </row>
    <row r="1505" spans="1:24">
      <c r="A1505" s="27">
        <v>5</v>
      </c>
      <c r="B1505" s="27">
        <v>1</v>
      </c>
      <c r="C1505" s="27">
        <v>1</v>
      </c>
      <c r="D1505" s="27">
        <v>2015</v>
      </c>
      <c r="E1505" s="27">
        <v>2050</v>
      </c>
      <c r="F1505" s="27">
        <v>9</v>
      </c>
      <c r="G1505" s="27">
        <v>0</v>
      </c>
      <c r="H1505" s="27">
        <v>0</v>
      </c>
      <c r="I1505" s="27">
        <v>0</v>
      </c>
      <c r="J1505" s="27">
        <v>0</v>
      </c>
      <c r="K1505" s="27">
        <v>0.62</v>
      </c>
      <c r="L1505" s="27">
        <v>920</v>
      </c>
      <c r="M1505" s="27">
        <v>740</v>
      </c>
      <c r="N1505" s="27">
        <v>0</v>
      </c>
      <c r="O1505" s="27">
        <v>0</v>
      </c>
      <c r="P1505" s="27" t="s">
        <v>13</v>
      </c>
      <c r="Q1505" s="27">
        <v>1993</v>
      </c>
      <c r="R1505" s="27">
        <v>1</v>
      </c>
      <c r="S1505" s="27">
        <v>0</v>
      </c>
      <c r="T1505" s="27">
        <v>-1.619E-2</v>
      </c>
      <c r="U1505" s="27">
        <v>-5.3969999999999997E-2</v>
      </c>
      <c r="V1505" s="27">
        <v>0</v>
      </c>
      <c r="W1505" s="27">
        <v>0</v>
      </c>
      <c r="X1505" s="27" t="s">
        <v>55</v>
      </c>
    </row>
    <row r="1506" spans="1:24">
      <c r="A1506" s="27">
        <v>5</v>
      </c>
      <c r="B1506" s="27">
        <v>1</v>
      </c>
      <c r="C1506" s="27">
        <v>2</v>
      </c>
      <c r="D1506" s="27">
        <v>2010</v>
      </c>
      <c r="E1506" s="27">
        <v>2050</v>
      </c>
      <c r="F1506" s="27">
        <v>1</v>
      </c>
      <c r="G1506" s="27">
        <v>0</v>
      </c>
      <c r="H1506" s="27">
        <v>0</v>
      </c>
      <c r="I1506" s="27">
        <v>0</v>
      </c>
      <c r="J1506" s="27">
        <v>0</v>
      </c>
      <c r="K1506" s="27">
        <v>0.67</v>
      </c>
      <c r="L1506" s="27">
        <v>1250</v>
      </c>
      <c r="M1506" s="27">
        <v>1070</v>
      </c>
      <c r="N1506" s="27">
        <v>0</v>
      </c>
      <c r="O1506" s="27">
        <v>0</v>
      </c>
      <c r="P1506" s="27" t="s">
        <v>13</v>
      </c>
      <c r="Q1506" s="27">
        <v>1993</v>
      </c>
      <c r="R1506" s="27">
        <v>1</v>
      </c>
      <c r="S1506" s="27">
        <v>0</v>
      </c>
      <c r="T1506" s="27">
        <v>-1.619E-2</v>
      </c>
      <c r="U1506" s="27">
        <v>-5.3969999999999997E-2</v>
      </c>
      <c r="V1506" s="27">
        <v>0</v>
      </c>
      <c r="W1506" s="27">
        <v>0</v>
      </c>
      <c r="X1506" s="27" t="s">
        <v>56</v>
      </c>
    </row>
    <row r="1507" spans="1:24">
      <c r="A1507" s="27">
        <v>5</v>
      </c>
      <c r="B1507" s="27">
        <v>1</v>
      </c>
      <c r="C1507" s="27">
        <v>2</v>
      </c>
      <c r="D1507" s="27">
        <v>2010</v>
      </c>
      <c r="E1507" s="27">
        <v>2050</v>
      </c>
      <c r="F1507" s="27">
        <v>2</v>
      </c>
      <c r="G1507" s="27">
        <v>0</v>
      </c>
      <c r="H1507" s="27">
        <v>0</v>
      </c>
      <c r="I1507" s="27">
        <v>0</v>
      </c>
      <c r="J1507" s="27">
        <v>0</v>
      </c>
      <c r="K1507" s="27">
        <v>0.67</v>
      </c>
      <c r="L1507" s="27">
        <v>1250</v>
      </c>
      <c r="M1507" s="27">
        <v>1070</v>
      </c>
      <c r="N1507" s="27">
        <v>0</v>
      </c>
      <c r="O1507" s="27">
        <v>0</v>
      </c>
      <c r="P1507" s="27" t="s">
        <v>13</v>
      </c>
      <c r="Q1507" s="27">
        <v>1993</v>
      </c>
      <c r="R1507" s="27">
        <v>1</v>
      </c>
      <c r="S1507" s="27">
        <v>0</v>
      </c>
      <c r="T1507" s="27">
        <v>-1.619E-2</v>
      </c>
      <c r="U1507" s="27">
        <v>-5.3969999999999997E-2</v>
      </c>
      <c r="V1507" s="27">
        <v>0</v>
      </c>
      <c r="W1507" s="27">
        <v>0</v>
      </c>
      <c r="X1507" s="27" t="s">
        <v>56</v>
      </c>
    </row>
    <row r="1508" spans="1:24">
      <c r="A1508" s="27">
        <v>5</v>
      </c>
      <c r="B1508" s="27">
        <v>1</v>
      </c>
      <c r="C1508" s="27">
        <v>2</v>
      </c>
      <c r="D1508" s="27">
        <v>2010</v>
      </c>
      <c r="E1508" s="27">
        <v>2050</v>
      </c>
      <c r="F1508" s="27">
        <v>3</v>
      </c>
      <c r="G1508" s="27">
        <v>0</v>
      </c>
      <c r="H1508" s="27">
        <v>0</v>
      </c>
      <c r="I1508" s="27">
        <v>0</v>
      </c>
      <c r="J1508" s="27">
        <v>0</v>
      </c>
      <c r="K1508" s="27">
        <v>0.67</v>
      </c>
      <c r="L1508" s="27">
        <v>1250</v>
      </c>
      <c r="M1508" s="27">
        <v>1070</v>
      </c>
      <c r="N1508" s="27">
        <v>0</v>
      </c>
      <c r="O1508" s="27">
        <v>0</v>
      </c>
      <c r="P1508" s="27" t="s">
        <v>13</v>
      </c>
      <c r="Q1508" s="27">
        <v>1993</v>
      </c>
      <c r="R1508" s="27">
        <v>1</v>
      </c>
      <c r="S1508" s="27">
        <v>0</v>
      </c>
      <c r="T1508" s="27">
        <v>-1.619E-2</v>
      </c>
      <c r="U1508" s="27">
        <v>-5.3969999999999997E-2</v>
      </c>
      <c r="V1508" s="27">
        <v>0</v>
      </c>
      <c r="W1508" s="27">
        <v>0</v>
      </c>
      <c r="X1508" s="27" t="s">
        <v>56</v>
      </c>
    </row>
    <row r="1509" spans="1:24">
      <c r="A1509" s="27">
        <v>5</v>
      </c>
      <c r="B1509" s="27">
        <v>1</v>
      </c>
      <c r="C1509" s="27">
        <v>2</v>
      </c>
      <c r="D1509" s="27">
        <v>2010</v>
      </c>
      <c r="E1509" s="27">
        <v>2050</v>
      </c>
      <c r="F1509" s="27">
        <v>4</v>
      </c>
      <c r="G1509" s="27">
        <v>0</v>
      </c>
      <c r="H1509" s="27">
        <v>0</v>
      </c>
      <c r="I1509" s="27">
        <v>0</v>
      </c>
      <c r="J1509" s="27">
        <v>0</v>
      </c>
      <c r="K1509" s="27">
        <v>0.67</v>
      </c>
      <c r="L1509" s="27">
        <v>1250</v>
      </c>
      <c r="M1509" s="27">
        <v>1070</v>
      </c>
      <c r="N1509" s="27">
        <v>0</v>
      </c>
      <c r="O1509" s="27">
        <v>0</v>
      </c>
      <c r="P1509" s="27" t="s">
        <v>13</v>
      </c>
      <c r="Q1509" s="27">
        <v>1993</v>
      </c>
      <c r="R1509" s="27">
        <v>1</v>
      </c>
      <c r="S1509" s="27">
        <v>0</v>
      </c>
      <c r="T1509" s="27">
        <v>-1.619E-2</v>
      </c>
      <c r="U1509" s="27">
        <v>-5.3969999999999997E-2</v>
      </c>
      <c r="V1509" s="27">
        <v>0</v>
      </c>
      <c r="W1509" s="27">
        <v>0</v>
      </c>
      <c r="X1509" s="27" t="s">
        <v>56</v>
      </c>
    </row>
    <row r="1510" spans="1:24">
      <c r="A1510" s="27">
        <v>5</v>
      </c>
      <c r="B1510" s="27">
        <v>1</v>
      </c>
      <c r="C1510" s="27">
        <v>2</v>
      </c>
      <c r="D1510" s="27">
        <v>2010</v>
      </c>
      <c r="E1510" s="27">
        <v>2050</v>
      </c>
      <c r="F1510" s="27">
        <v>5</v>
      </c>
      <c r="G1510" s="27">
        <v>0</v>
      </c>
      <c r="H1510" s="27">
        <v>0</v>
      </c>
      <c r="I1510" s="27">
        <v>0</v>
      </c>
      <c r="J1510" s="27">
        <v>0</v>
      </c>
      <c r="K1510" s="27">
        <v>0.67</v>
      </c>
      <c r="L1510" s="27">
        <v>1250</v>
      </c>
      <c r="M1510" s="27">
        <v>1070</v>
      </c>
      <c r="N1510" s="27">
        <v>0</v>
      </c>
      <c r="O1510" s="27">
        <v>0</v>
      </c>
      <c r="P1510" s="27" t="s">
        <v>13</v>
      </c>
      <c r="Q1510" s="27">
        <v>1993</v>
      </c>
      <c r="R1510" s="27">
        <v>1</v>
      </c>
      <c r="S1510" s="27">
        <v>0</v>
      </c>
      <c r="T1510" s="27">
        <v>-1.619E-2</v>
      </c>
      <c r="U1510" s="27">
        <v>-5.3969999999999997E-2</v>
      </c>
      <c r="V1510" s="27">
        <v>0</v>
      </c>
      <c r="W1510" s="27">
        <v>0</v>
      </c>
      <c r="X1510" s="27" t="s">
        <v>56</v>
      </c>
    </row>
    <row r="1511" spans="1:24">
      <c r="A1511" s="27">
        <v>5</v>
      </c>
      <c r="B1511" s="27">
        <v>1</v>
      </c>
      <c r="C1511" s="27">
        <v>2</v>
      </c>
      <c r="D1511" s="27">
        <v>2010</v>
      </c>
      <c r="E1511" s="27">
        <v>2050</v>
      </c>
      <c r="F1511" s="27">
        <v>6</v>
      </c>
      <c r="G1511" s="27">
        <v>0</v>
      </c>
      <c r="H1511" s="27">
        <v>0</v>
      </c>
      <c r="I1511" s="27">
        <v>0</v>
      </c>
      <c r="J1511" s="27">
        <v>0</v>
      </c>
      <c r="K1511" s="27">
        <v>0.67</v>
      </c>
      <c r="L1511" s="27">
        <v>1250</v>
      </c>
      <c r="M1511" s="27">
        <v>1070</v>
      </c>
      <c r="N1511" s="27">
        <v>0</v>
      </c>
      <c r="O1511" s="27">
        <v>0</v>
      </c>
      <c r="P1511" s="27" t="s">
        <v>13</v>
      </c>
      <c r="Q1511" s="27">
        <v>1993</v>
      </c>
      <c r="R1511" s="27">
        <v>1</v>
      </c>
      <c r="S1511" s="27">
        <v>0</v>
      </c>
      <c r="T1511" s="27">
        <v>-1.619E-2</v>
      </c>
      <c r="U1511" s="27">
        <v>-5.3969999999999997E-2</v>
      </c>
      <c r="V1511" s="27">
        <v>0</v>
      </c>
      <c r="W1511" s="27">
        <v>0</v>
      </c>
      <c r="X1511" s="27" t="s">
        <v>56</v>
      </c>
    </row>
    <row r="1512" spans="1:24">
      <c r="A1512" s="27">
        <v>5</v>
      </c>
      <c r="B1512" s="27">
        <v>1</v>
      </c>
      <c r="C1512" s="27">
        <v>2</v>
      </c>
      <c r="D1512" s="27">
        <v>2010</v>
      </c>
      <c r="E1512" s="27">
        <v>2050</v>
      </c>
      <c r="F1512" s="27">
        <v>7</v>
      </c>
      <c r="G1512" s="27">
        <v>0</v>
      </c>
      <c r="H1512" s="27">
        <v>0</v>
      </c>
      <c r="I1512" s="27">
        <v>0</v>
      </c>
      <c r="J1512" s="27">
        <v>0</v>
      </c>
      <c r="K1512" s="27">
        <v>0.67</v>
      </c>
      <c r="L1512" s="27">
        <v>1250</v>
      </c>
      <c r="M1512" s="27">
        <v>1070</v>
      </c>
      <c r="N1512" s="27">
        <v>0</v>
      </c>
      <c r="O1512" s="27">
        <v>0</v>
      </c>
      <c r="P1512" s="27" t="s">
        <v>13</v>
      </c>
      <c r="Q1512" s="27">
        <v>1993</v>
      </c>
      <c r="R1512" s="27">
        <v>1</v>
      </c>
      <c r="S1512" s="27">
        <v>0</v>
      </c>
      <c r="T1512" s="27">
        <v>-1.619E-2</v>
      </c>
      <c r="U1512" s="27">
        <v>-5.3969999999999997E-2</v>
      </c>
      <c r="V1512" s="27">
        <v>0</v>
      </c>
      <c r="W1512" s="27">
        <v>0</v>
      </c>
      <c r="X1512" s="27" t="s">
        <v>56</v>
      </c>
    </row>
    <row r="1513" spans="1:24">
      <c r="A1513" s="27">
        <v>5</v>
      </c>
      <c r="B1513" s="27">
        <v>1</v>
      </c>
      <c r="C1513" s="27">
        <v>2</v>
      </c>
      <c r="D1513" s="27">
        <v>2010</v>
      </c>
      <c r="E1513" s="27">
        <v>2050</v>
      </c>
      <c r="F1513" s="27">
        <v>8</v>
      </c>
      <c r="G1513" s="27">
        <v>0</v>
      </c>
      <c r="H1513" s="27">
        <v>0</v>
      </c>
      <c r="I1513" s="27">
        <v>0</v>
      </c>
      <c r="J1513" s="27">
        <v>0</v>
      </c>
      <c r="K1513" s="27">
        <v>0.67</v>
      </c>
      <c r="L1513" s="27">
        <v>1250</v>
      </c>
      <c r="M1513" s="27">
        <v>1070</v>
      </c>
      <c r="N1513" s="27">
        <v>0</v>
      </c>
      <c r="O1513" s="27">
        <v>0</v>
      </c>
      <c r="P1513" s="27" t="s">
        <v>13</v>
      </c>
      <c r="Q1513" s="27">
        <v>1993</v>
      </c>
      <c r="R1513" s="27">
        <v>1</v>
      </c>
      <c r="S1513" s="27">
        <v>0</v>
      </c>
      <c r="T1513" s="27">
        <v>-1.619E-2</v>
      </c>
      <c r="U1513" s="27">
        <v>-5.3969999999999997E-2</v>
      </c>
      <c r="V1513" s="27">
        <v>0</v>
      </c>
      <c r="W1513" s="27">
        <v>0</v>
      </c>
      <c r="X1513" s="27" t="s">
        <v>56</v>
      </c>
    </row>
    <row r="1514" spans="1:24">
      <c r="A1514" s="27">
        <v>5</v>
      </c>
      <c r="B1514" s="27">
        <v>1</v>
      </c>
      <c r="C1514" s="27">
        <v>2</v>
      </c>
      <c r="D1514" s="27">
        <v>2010</v>
      </c>
      <c r="E1514" s="27">
        <v>2050</v>
      </c>
      <c r="F1514" s="27">
        <v>9</v>
      </c>
      <c r="G1514" s="27">
        <v>0</v>
      </c>
      <c r="H1514" s="27">
        <v>0</v>
      </c>
      <c r="I1514" s="27">
        <v>0</v>
      </c>
      <c r="J1514" s="27">
        <v>0</v>
      </c>
      <c r="K1514" s="27">
        <v>0.67</v>
      </c>
      <c r="L1514" s="27">
        <v>1250</v>
      </c>
      <c r="M1514" s="27">
        <v>1070</v>
      </c>
      <c r="N1514" s="27">
        <v>0</v>
      </c>
      <c r="O1514" s="27">
        <v>0</v>
      </c>
      <c r="P1514" s="27" t="s">
        <v>13</v>
      </c>
      <c r="Q1514" s="27">
        <v>1993</v>
      </c>
      <c r="R1514" s="27">
        <v>1</v>
      </c>
      <c r="S1514" s="27">
        <v>0</v>
      </c>
      <c r="T1514" s="27">
        <v>-1.619E-2</v>
      </c>
      <c r="U1514" s="27">
        <v>-5.3969999999999997E-2</v>
      </c>
      <c r="V1514" s="27">
        <v>0</v>
      </c>
      <c r="W1514" s="27">
        <v>0</v>
      </c>
      <c r="X1514" s="27" t="s">
        <v>56</v>
      </c>
    </row>
    <row r="1515" spans="1:24">
      <c r="A1515" s="27">
        <v>5</v>
      </c>
      <c r="B1515" s="27">
        <v>1</v>
      </c>
      <c r="C1515" s="27">
        <v>3</v>
      </c>
      <c r="D1515" s="27">
        <v>2010</v>
      </c>
      <c r="E1515" s="27">
        <v>2010</v>
      </c>
      <c r="F1515" s="27">
        <v>1</v>
      </c>
      <c r="G1515" s="27">
        <v>0</v>
      </c>
      <c r="H1515" s="27">
        <v>0</v>
      </c>
      <c r="I1515" s="27">
        <v>0</v>
      </c>
      <c r="J1515" s="27">
        <v>0</v>
      </c>
      <c r="K1515" s="27">
        <v>0.82</v>
      </c>
      <c r="L1515" s="27">
        <v>2200</v>
      </c>
      <c r="M1515" s="27">
        <v>2000</v>
      </c>
      <c r="N1515" s="27">
        <v>600</v>
      </c>
      <c r="O1515" s="27">
        <v>560</v>
      </c>
      <c r="P1515" s="27" t="s">
        <v>13</v>
      </c>
      <c r="Q1515" s="27">
        <v>1993</v>
      </c>
      <c r="R1515" s="27">
        <v>1</v>
      </c>
      <c r="S1515" s="27">
        <v>0</v>
      </c>
      <c r="T1515" s="27">
        <v>-1.619E-2</v>
      </c>
      <c r="U1515" s="27">
        <v>-5.3969999999999997E-2</v>
      </c>
      <c r="V1515" s="27">
        <v>0</v>
      </c>
      <c r="W1515" s="27">
        <v>0</v>
      </c>
      <c r="X1515" s="27" t="s">
        <v>57</v>
      </c>
    </row>
    <row r="1516" spans="1:24">
      <c r="A1516" s="27">
        <v>5</v>
      </c>
      <c r="B1516" s="27">
        <v>1</v>
      </c>
      <c r="C1516" s="27">
        <v>3</v>
      </c>
      <c r="D1516" s="27">
        <v>2010</v>
      </c>
      <c r="E1516" s="27">
        <v>2010</v>
      </c>
      <c r="F1516" s="27">
        <v>2</v>
      </c>
      <c r="G1516" s="27">
        <v>0</v>
      </c>
      <c r="H1516" s="27">
        <v>0</v>
      </c>
      <c r="I1516" s="27">
        <v>0</v>
      </c>
      <c r="J1516" s="27">
        <v>0</v>
      </c>
      <c r="K1516" s="27">
        <v>0.82</v>
      </c>
      <c r="L1516" s="27">
        <v>2200</v>
      </c>
      <c r="M1516" s="27">
        <v>2000</v>
      </c>
      <c r="N1516" s="27">
        <v>600</v>
      </c>
      <c r="O1516" s="27">
        <v>560</v>
      </c>
      <c r="P1516" s="27" t="s">
        <v>13</v>
      </c>
      <c r="Q1516" s="27">
        <v>1993</v>
      </c>
      <c r="R1516" s="27">
        <v>1</v>
      </c>
      <c r="S1516" s="27">
        <v>0</v>
      </c>
      <c r="T1516" s="27">
        <v>-1.619E-2</v>
      </c>
      <c r="U1516" s="27">
        <v>-5.3969999999999997E-2</v>
      </c>
      <c r="V1516" s="27">
        <v>0</v>
      </c>
      <c r="W1516" s="27">
        <v>0</v>
      </c>
      <c r="X1516" s="27" t="s">
        <v>57</v>
      </c>
    </row>
    <row r="1517" spans="1:24">
      <c r="A1517" s="27">
        <v>5</v>
      </c>
      <c r="B1517" s="27">
        <v>1</v>
      </c>
      <c r="C1517" s="27">
        <v>3</v>
      </c>
      <c r="D1517" s="27">
        <v>2010</v>
      </c>
      <c r="E1517" s="27">
        <v>2010</v>
      </c>
      <c r="F1517" s="27">
        <v>3</v>
      </c>
      <c r="G1517" s="27">
        <v>0</v>
      </c>
      <c r="H1517" s="27">
        <v>0</v>
      </c>
      <c r="I1517" s="27">
        <v>0</v>
      </c>
      <c r="J1517" s="27">
        <v>0</v>
      </c>
      <c r="K1517" s="27">
        <v>0.82</v>
      </c>
      <c r="L1517" s="27">
        <v>2200</v>
      </c>
      <c r="M1517" s="27">
        <v>2000</v>
      </c>
      <c r="N1517" s="27">
        <v>600</v>
      </c>
      <c r="O1517" s="27">
        <v>560</v>
      </c>
      <c r="P1517" s="27" t="s">
        <v>13</v>
      </c>
      <c r="Q1517" s="27">
        <v>1993</v>
      </c>
      <c r="R1517" s="27">
        <v>1</v>
      </c>
      <c r="S1517" s="27">
        <v>0</v>
      </c>
      <c r="T1517" s="27">
        <v>-1.619E-2</v>
      </c>
      <c r="U1517" s="27">
        <v>-5.3969999999999997E-2</v>
      </c>
      <c r="V1517" s="27">
        <v>0</v>
      </c>
      <c r="W1517" s="27">
        <v>0</v>
      </c>
      <c r="X1517" s="27" t="s">
        <v>57</v>
      </c>
    </row>
    <row r="1518" spans="1:24">
      <c r="A1518" s="27">
        <v>5</v>
      </c>
      <c r="B1518" s="27">
        <v>1</v>
      </c>
      <c r="C1518" s="27">
        <v>3</v>
      </c>
      <c r="D1518" s="27">
        <v>2010</v>
      </c>
      <c r="E1518" s="27">
        <v>2010</v>
      </c>
      <c r="F1518" s="27">
        <v>4</v>
      </c>
      <c r="G1518" s="27">
        <v>0</v>
      </c>
      <c r="H1518" s="27">
        <v>0</v>
      </c>
      <c r="I1518" s="27">
        <v>0</v>
      </c>
      <c r="J1518" s="27">
        <v>0</v>
      </c>
      <c r="K1518" s="27">
        <v>0.82</v>
      </c>
      <c r="L1518" s="27">
        <v>2200</v>
      </c>
      <c r="M1518" s="27">
        <v>2000</v>
      </c>
      <c r="N1518" s="27">
        <v>600</v>
      </c>
      <c r="O1518" s="27">
        <v>560</v>
      </c>
      <c r="P1518" s="27" t="s">
        <v>13</v>
      </c>
      <c r="Q1518" s="27">
        <v>1993</v>
      </c>
      <c r="R1518" s="27">
        <v>1</v>
      </c>
      <c r="S1518" s="27">
        <v>0</v>
      </c>
      <c r="T1518" s="27">
        <v>-1.619E-2</v>
      </c>
      <c r="U1518" s="27">
        <v>-5.3969999999999997E-2</v>
      </c>
      <c r="V1518" s="27">
        <v>0</v>
      </c>
      <c r="W1518" s="27">
        <v>0</v>
      </c>
      <c r="X1518" s="27" t="s">
        <v>57</v>
      </c>
    </row>
    <row r="1519" spans="1:24">
      <c r="A1519" s="27">
        <v>5</v>
      </c>
      <c r="B1519" s="27">
        <v>1</v>
      </c>
      <c r="C1519" s="27">
        <v>3</v>
      </c>
      <c r="D1519" s="27">
        <v>2010</v>
      </c>
      <c r="E1519" s="27">
        <v>2010</v>
      </c>
      <c r="F1519" s="27">
        <v>5</v>
      </c>
      <c r="G1519" s="27">
        <v>0</v>
      </c>
      <c r="H1519" s="27">
        <v>0</v>
      </c>
      <c r="I1519" s="27">
        <v>0</v>
      </c>
      <c r="J1519" s="27">
        <v>0</v>
      </c>
      <c r="K1519" s="27">
        <v>0.82</v>
      </c>
      <c r="L1519" s="27">
        <v>2200</v>
      </c>
      <c r="M1519" s="27">
        <v>2000</v>
      </c>
      <c r="N1519" s="27">
        <v>600</v>
      </c>
      <c r="O1519" s="27">
        <v>560</v>
      </c>
      <c r="P1519" s="27" t="s">
        <v>13</v>
      </c>
      <c r="Q1519" s="27">
        <v>1993</v>
      </c>
      <c r="R1519" s="27">
        <v>1</v>
      </c>
      <c r="S1519" s="27">
        <v>0</v>
      </c>
      <c r="T1519" s="27">
        <v>-1.619E-2</v>
      </c>
      <c r="U1519" s="27">
        <v>-5.3969999999999997E-2</v>
      </c>
      <c r="V1519" s="27">
        <v>0</v>
      </c>
      <c r="W1519" s="27">
        <v>0</v>
      </c>
      <c r="X1519" s="27" t="s">
        <v>57</v>
      </c>
    </row>
    <row r="1520" spans="1:24">
      <c r="A1520" s="27">
        <v>5</v>
      </c>
      <c r="B1520" s="27">
        <v>1</v>
      </c>
      <c r="C1520" s="27">
        <v>3</v>
      </c>
      <c r="D1520" s="27">
        <v>2010</v>
      </c>
      <c r="E1520" s="27">
        <v>2010</v>
      </c>
      <c r="F1520" s="27">
        <v>6</v>
      </c>
      <c r="G1520" s="27">
        <v>0</v>
      </c>
      <c r="H1520" s="27">
        <v>0</v>
      </c>
      <c r="I1520" s="27">
        <v>0</v>
      </c>
      <c r="J1520" s="27">
        <v>0</v>
      </c>
      <c r="K1520" s="27">
        <v>0.82</v>
      </c>
      <c r="L1520" s="27">
        <v>2200</v>
      </c>
      <c r="M1520" s="27">
        <v>2000</v>
      </c>
      <c r="N1520" s="27">
        <v>600</v>
      </c>
      <c r="O1520" s="27">
        <v>560</v>
      </c>
      <c r="P1520" s="27" t="s">
        <v>13</v>
      </c>
      <c r="Q1520" s="27">
        <v>1993</v>
      </c>
      <c r="R1520" s="27">
        <v>1</v>
      </c>
      <c r="S1520" s="27">
        <v>0</v>
      </c>
      <c r="T1520" s="27">
        <v>-1.619E-2</v>
      </c>
      <c r="U1520" s="27">
        <v>-5.3969999999999997E-2</v>
      </c>
      <c r="V1520" s="27">
        <v>0</v>
      </c>
      <c r="W1520" s="27">
        <v>0</v>
      </c>
      <c r="X1520" s="27" t="s">
        <v>57</v>
      </c>
    </row>
    <row r="1521" spans="1:24">
      <c r="A1521" s="27">
        <v>5</v>
      </c>
      <c r="B1521" s="27">
        <v>1</v>
      </c>
      <c r="C1521" s="27">
        <v>3</v>
      </c>
      <c r="D1521" s="27">
        <v>2010</v>
      </c>
      <c r="E1521" s="27">
        <v>2010</v>
      </c>
      <c r="F1521" s="27">
        <v>7</v>
      </c>
      <c r="G1521" s="27">
        <v>0</v>
      </c>
      <c r="H1521" s="27">
        <v>0</v>
      </c>
      <c r="I1521" s="27">
        <v>0</v>
      </c>
      <c r="J1521" s="27">
        <v>0</v>
      </c>
      <c r="K1521" s="27">
        <v>0.82</v>
      </c>
      <c r="L1521" s="27">
        <v>2200</v>
      </c>
      <c r="M1521" s="27">
        <v>2000</v>
      </c>
      <c r="N1521" s="27">
        <v>600</v>
      </c>
      <c r="O1521" s="27">
        <v>560</v>
      </c>
      <c r="P1521" s="27" t="s">
        <v>13</v>
      </c>
      <c r="Q1521" s="27">
        <v>1993</v>
      </c>
      <c r="R1521" s="27">
        <v>1</v>
      </c>
      <c r="S1521" s="27">
        <v>0</v>
      </c>
      <c r="T1521" s="27">
        <v>-1.619E-2</v>
      </c>
      <c r="U1521" s="27">
        <v>-5.3969999999999997E-2</v>
      </c>
      <c r="V1521" s="27">
        <v>0</v>
      </c>
      <c r="W1521" s="27">
        <v>0</v>
      </c>
      <c r="X1521" s="27" t="s">
        <v>57</v>
      </c>
    </row>
    <row r="1522" spans="1:24">
      <c r="A1522" s="27">
        <v>5</v>
      </c>
      <c r="B1522" s="27">
        <v>1</v>
      </c>
      <c r="C1522" s="27">
        <v>3</v>
      </c>
      <c r="D1522" s="27">
        <v>2010</v>
      </c>
      <c r="E1522" s="27">
        <v>2010</v>
      </c>
      <c r="F1522" s="27">
        <v>8</v>
      </c>
      <c r="G1522" s="27">
        <v>0</v>
      </c>
      <c r="H1522" s="27">
        <v>0</v>
      </c>
      <c r="I1522" s="27">
        <v>0</v>
      </c>
      <c r="J1522" s="27">
        <v>0</v>
      </c>
      <c r="K1522" s="27">
        <v>0.82</v>
      </c>
      <c r="L1522" s="27">
        <v>2200</v>
      </c>
      <c r="M1522" s="27">
        <v>2000</v>
      </c>
      <c r="N1522" s="27">
        <v>600</v>
      </c>
      <c r="O1522" s="27">
        <v>560</v>
      </c>
      <c r="P1522" s="27" t="s">
        <v>13</v>
      </c>
      <c r="Q1522" s="27">
        <v>1993</v>
      </c>
      <c r="R1522" s="27">
        <v>1</v>
      </c>
      <c r="S1522" s="27">
        <v>0</v>
      </c>
      <c r="T1522" s="27">
        <v>-1.619E-2</v>
      </c>
      <c r="U1522" s="27">
        <v>-5.3969999999999997E-2</v>
      </c>
      <c r="V1522" s="27">
        <v>0</v>
      </c>
      <c r="W1522" s="27">
        <v>0</v>
      </c>
      <c r="X1522" s="27" t="s">
        <v>57</v>
      </c>
    </row>
    <row r="1523" spans="1:24">
      <c r="A1523" s="27">
        <v>5</v>
      </c>
      <c r="B1523" s="27">
        <v>1</v>
      </c>
      <c r="C1523" s="27">
        <v>3</v>
      </c>
      <c r="D1523" s="27">
        <v>2010</v>
      </c>
      <c r="E1523" s="27">
        <v>2010</v>
      </c>
      <c r="F1523" s="27">
        <v>9</v>
      </c>
      <c r="G1523" s="27">
        <v>0</v>
      </c>
      <c r="H1523" s="27">
        <v>0</v>
      </c>
      <c r="I1523" s="27">
        <v>0</v>
      </c>
      <c r="J1523" s="27">
        <v>0</v>
      </c>
      <c r="K1523" s="27">
        <v>0.82</v>
      </c>
      <c r="L1523" s="27">
        <v>2200</v>
      </c>
      <c r="M1523" s="27">
        <v>2000</v>
      </c>
      <c r="N1523" s="27">
        <v>600</v>
      </c>
      <c r="O1523" s="27">
        <v>560</v>
      </c>
      <c r="P1523" s="27" t="s">
        <v>13</v>
      </c>
      <c r="Q1523" s="27">
        <v>1993</v>
      </c>
      <c r="R1523" s="27">
        <v>1</v>
      </c>
      <c r="S1523" s="27">
        <v>0</v>
      </c>
      <c r="T1523" s="27">
        <v>-1.619E-2</v>
      </c>
      <c r="U1523" s="27">
        <v>-5.3969999999999997E-2</v>
      </c>
      <c r="V1523" s="27">
        <v>0</v>
      </c>
      <c r="W1523" s="27">
        <v>0</v>
      </c>
      <c r="X1523" s="27" t="s">
        <v>57</v>
      </c>
    </row>
    <row r="1524" spans="1:24">
      <c r="A1524" s="27">
        <v>5</v>
      </c>
      <c r="B1524" s="27">
        <v>1</v>
      </c>
      <c r="C1524" s="27">
        <v>3</v>
      </c>
      <c r="D1524" s="27">
        <v>2011</v>
      </c>
      <c r="E1524" s="27">
        <v>2011</v>
      </c>
      <c r="F1524" s="27">
        <v>1</v>
      </c>
      <c r="G1524" s="27">
        <v>0</v>
      </c>
      <c r="H1524" s="27">
        <v>0</v>
      </c>
      <c r="I1524" s="27">
        <v>0</v>
      </c>
      <c r="J1524" s="27">
        <v>0</v>
      </c>
      <c r="K1524" s="27">
        <v>0.82</v>
      </c>
      <c r="L1524" s="27">
        <v>2200</v>
      </c>
      <c r="M1524" s="27">
        <v>2000</v>
      </c>
      <c r="N1524" s="27">
        <v>300</v>
      </c>
      <c r="O1524" s="27">
        <v>300</v>
      </c>
      <c r="P1524" s="27" t="s">
        <v>13</v>
      </c>
      <c r="Q1524" s="27">
        <v>1993</v>
      </c>
      <c r="R1524" s="27">
        <v>1</v>
      </c>
      <c r="S1524" s="27">
        <v>0</v>
      </c>
      <c r="T1524" s="27">
        <v>-1.619E-2</v>
      </c>
      <c r="U1524" s="27">
        <v>-5.3969999999999997E-2</v>
      </c>
      <c r="V1524" s="27">
        <v>0</v>
      </c>
      <c r="W1524" s="27">
        <v>0</v>
      </c>
      <c r="X1524" s="27" t="s">
        <v>57</v>
      </c>
    </row>
    <row r="1525" spans="1:24">
      <c r="A1525" s="27">
        <v>5</v>
      </c>
      <c r="B1525" s="27">
        <v>1</v>
      </c>
      <c r="C1525" s="27">
        <v>3</v>
      </c>
      <c r="D1525" s="27">
        <v>2011</v>
      </c>
      <c r="E1525" s="27">
        <v>2011</v>
      </c>
      <c r="F1525" s="27">
        <v>2</v>
      </c>
      <c r="G1525" s="27">
        <v>0</v>
      </c>
      <c r="H1525" s="27">
        <v>0</v>
      </c>
      <c r="I1525" s="27">
        <v>0</v>
      </c>
      <c r="J1525" s="27">
        <v>0</v>
      </c>
      <c r="K1525" s="27">
        <v>0.82</v>
      </c>
      <c r="L1525" s="27">
        <v>2200</v>
      </c>
      <c r="M1525" s="27">
        <v>2000</v>
      </c>
      <c r="N1525" s="27">
        <v>300</v>
      </c>
      <c r="O1525" s="27">
        <v>300</v>
      </c>
      <c r="P1525" s="27" t="s">
        <v>13</v>
      </c>
      <c r="Q1525" s="27">
        <v>1993</v>
      </c>
      <c r="R1525" s="27">
        <v>1</v>
      </c>
      <c r="S1525" s="27">
        <v>0</v>
      </c>
      <c r="T1525" s="27">
        <v>-1.619E-2</v>
      </c>
      <c r="U1525" s="27">
        <v>-5.3969999999999997E-2</v>
      </c>
      <c r="V1525" s="27">
        <v>0</v>
      </c>
      <c r="W1525" s="27">
        <v>0</v>
      </c>
      <c r="X1525" s="27" t="s">
        <v>57</v>
      </c>
    </row>
    <row r="1526" spans="1:24">
      <c r="A1526" s="27">
        <v>5</v>
      </c>
      <c r="B1526" s="27">
        <v>1</v>
      </c>
      <c r="C1526" s="27">
        <v>3</v>
      </c>
      <c r="D1526" s="27">
        <v>2011</v>
      </c>
      <c r="E1526" s="27">
        <v>2011</v>
      </c>
      <c r="F1526" s="27">
        <v>3</v>
      </c>
      <c r="G1526" s="27">
        <v>0</v>
      </c>
      <c r="H1526" s="27">
        <v>0</v>
      </c>
      <c r="I1526" s="27">
        <v>0</v>
      </c>
      <c r="J1526" s="27">
        <v>0</v>
      </c>
      <c r="K1526" s="27">
        <v>0.82</v>
      </c>
      <c r="L1526" s="27">
        <v>2200</v>
      </c>
      <c r="M1526" s="27">
        <v>2000</v>
      </c>
      <c r="N1526" s="27">
        <v>300</v>
      </c>
      <c r="O1526" s="27">
        <v>300</v>
      </c>
      <c r="P1526" s="27" t="s">
        <v>13</v>
      </c>
      <c r="Q1526" s="27">
        <v>1993</v>
      </c>
      <c r="R1526" s="27">
        <v>1</v>
      </c>
      <c r="S1526" s="27">
        <v>0</v>
      </c>
      <c r="T1526" s="27">
        <v>-1.619E-2</v>
      </c>
      <c r="U1526" s="27">
        <v>-5.3969999999999997E-2</v>
      </c>
      <c r="V1526" s="27">
        <v>0</v>
      </c>
      <c r="W1526" s="27">
        <v>0</v>
      </c>
      <c r="X1526" s="27" t="s">
        <v>57</v>
      </c>
    </row>
    <row r="1527" spans="1:24">
      <c r="A1527" s="27">
        <v>5</v>
      </c>
      <c r="B1527" s="27">
        <v>1</v>
      </c>
      <c r="C1527" s="27">
        <v>3</v>
      </c>
      <c r="D1527" s="27">
        <v>2011</v>
      </c>
      <c r="E1527" s="27">
        <v>2011</v>
      </c>
      <c r="F1527" s="27">
        <v>4</v>
      </c>
      <c r="G1527" s="27">
        <v>0</v>
      </c>
      <c r="H1527" s="27">
        <v>0</v>
      </c>
      <c r="I1527" s="27">
        <v>0</v>
      </c>
      <c r="J1527" s="27">
        <v>0</v>
      </c>
      <c r="K1527" s="27">
        <v>0.82</v>
      </c>
      <c r="L1527" s="27">
        <v>2200</v>
      </c>
      <c r="M1527" s="27">
        <v>2000</v>
      </c>
      <c r="N1527" s="27">
        <v>300</v>
      </c>
      <c r="O1527" s="27">
        <v>300</v>
      </c>
      <c r="P1527" s="27" t="s">
        <v>13</v>
      </c>
      <c r="Q1527" s="27">
        <v>1993</v>
      </c>
      <c r="R1527" s="27">
        <v>1</v>
      </c>
      <c r="S1527" s="27">
        <v>0</v>
      </c>
      <c r="T1527" s="27">
        <v>-1.619E-2</v>
      </c>
      <c r="U1527" s="27">
        <v>-5.3969999999999997E-2</v>
      </c>
      <c r="V1527" s="27">
        <v>0</v>
      </c>
      <c r="W1527" s="27">
        <v>0</v>
      </c>
      <c r="X1527" s="27" t="s">
        <v>57</v>
      </c>
    </row>
    <row r="1528" spans="1:24">
      <c r="A1528" s="27">
        <v>5</v>
      </c>
      <c r="B1528" s="27">
        <v>1</v>
      </c>
      <c r="C1528" s="27">
        <v>3</v>
      </c>
      <c r="D1528" s="27">
        <v>2011</v>
      </c>
      <c r="E1528" s="27">
        <v>2011</v>
      </c>
      <c r="F1528" s="27">
        <v>5</v>
      </c>
      <c r="G1528" s="27">
        <v>0</v>
      </c>
      <c r="H1528" s="27">
        <v>0</v>
      </c>
      <c r="I1528" s="27">
        <v>0</v>
      </c>
      <c r="J1528" s="27">
        <v>0</v>
      </c>
      <c r="K1528" s="27">
        <v>0.82</v>
      </c>
      <c r="L1528" s="27">
        <v>2200</v>
      </c>
      <c r="M1528" s="27">
        <v>2000</v>
      </c>
      <c r="N1528" s="27">
        <v>300</v>
      </c>
      <c r="O1528" s="27">
        <v>300</v>
      </c>
      <c r="P1528" s="27" t="s">
        <v>13</v>
      </c>
      <c r="Q1528" s="27">
        <v>1993</v>
      </c>
      <c r="R1528" s="27">
        <v>1</v>
      </c>
      <c r="S1528" s="27">
        <v>0</v>
      </c>
      <c r="T1528" s="27">
        <v>-1.619E-2</v>
      </c>
      <c r="U1528" s="27">
        <v>-5.3969999999999997E-2</v>
      </c>
      <c r="V1528" s="27">
        <v>0</v>
      </c>
      <c r="W1528" s="27">
        <v>0</v>
      </c>
      <c r="X1528" s="27" t="s">
        <v>57</v>
      </c>
    </row>
    <row r="1529" spans="1:24">
      <c r="A1529" s="27">
        <v>5</v>
      </c>
      <c r="B1529" s="27">
        <v>1</v>
      </c>
      <c r="C1529" s="27">
        <v>3</v>
      </c>
      <c r="D1529" s="27">
        <v>2011</v>
      </c>
      <c r="E1529" s="27">
        <v>2011</v>
      </c>
      <c r="F1529" s="27">
        <v>6</v>
      </c>
      <c r="G1529" s="27">
        <v>0</v>
      </c>
      <c r="H1529" s="27">
        <v>0</v>
      </c>
      <c r="I1529" s="27">
        <v>0</v>
      </c>
      <c r="J1529" s="27">
        <v>0</v>
      </c>
      <c r="K1529" s="27">
        <v>0.82</v>
      </c>
      <c r="L1529" s="27">
        <v>2200</v>
      </c>
      <c r="M1529" s="27">
        <v>2000</v>
      </c>
      <c r="N1529" s="27">
        <v>300</v>
      </c>
      <c r="O1529" s="27">
        <v>300</v>
      </c>
      <c r="P1529" s="27" t="s">
        <v>13</v>
      </c>
      <c r="Q1529" s="27">
        <v>1993</v>
      </c>
      <c r="R1529" s="27">
        <v>1</v>
      </c>
      <c r="S1529" s="27">
        <v>0</v>
      </c>
      <c r="T1529" s="27">
        <v>-1.619E-2</v>
      </c>
      <c r="U1529" s="27">
        <v>-5.3969999999999997E-2</v>
      </c>
      <c r="V1529" s="27">
        <v>0</v>
      </c>
      <c r="W1529" s="27">
        <v>0</v>
      </c>
      <c r="X1529" s="27" t="s">
        <v>57</v>
      </c>
    </row>
    <row r="1530" spans="1:24">
      <c r="A1530" s="27">
        <v>5</v>
      </c>
      <c r="B1530" s="27">
        <v>1</v>
      </c>
      <c r="C1530" s="27">
        <v>3</v>
      </c>
      <c r="D1530" s="27">
        <v>2011</v>
      </c>
      <c r="E1530" s="27">
        <v>2011</v>
      </c>
      <c r="F1530" s="27">
        <v>7</v>
      </c>
      <c r="G1530" s="27">
        <v>0</v>
      </c>
      <c r="H1530" s="27">
        <v>0</v>
      </c>
      <c r="I1530" s="27">
        <v>0</v>
      </c>
      <c r="J1530" s="27">
        <v>0</v>
      </c>
      <c r="K1530" s="27">
        <v>0.82</v>
      </c>
      <c r="L1530" s="27">
        <v>2200</v>
      </c>
      <c r="M1530" s="27">
        <v>2000</v>
      </c>
      <c r="N1530" s="27">
        <v>300</v>
      </c>
      <c r="O1530" s="27">
        <v>300</v>
      </c>
      <c r="P1530" s="27" t="s">
        <v>13</v>
      </c>
      <c r="Q1530" s="27">
        <v>1993</v>
      </c>
      <c r="R1530" s="27">
        <v>1</v>
      </c>
      <c r="S1530" s="27">
        <v>0</v>
      </c>
      <c r="T1530" s="27">
        <v>-1.619E-2</v>
      </c>
      <c r="U1530" s="27">
        <v>-5.3969999999999997E-2</v>
      </c>
      <c r="V1530" s="27">
        <v>0</v>
      </c>
      <c r="W1530" s="27">
        <v>0</v>
      </c>
      <c r="X1530" s="27" t="s">
        <v>57</v>
      </c>
    </row>
    <row r="1531" spans="1:24">
      <c r="A1531" s="27">
        <v>5</v>
      </c>
      <c r="B1531" s="27">
        <v>1</v>
      </c>
      <c r="C1531" s="27">
        <v>3</v>
      </c>
      <c r="D1531" s="27">
        <v>2011</v>
      </c>
      <c r="E1531" s="27">
        <v>2011</v>
      </c>
      <c r="F1531" s="27">
        <v>8</v>
      </c>
      <c r="G1531" s="27">
        <v>0</v>
      </c>
      <c r="H1531" s="27">
        <v>0</v>
      </c>
      <c r="I1531" s="27">
        <v>0</v>
      </c>
      <c r="J1531" s="27">
        <v>0</v>
      </c>
      <c r="K1531" s="27">
        <v>0.82</v>
      </c>
      <c r="L1531" s="27">
        <v>2200</v>
      </c>
      <c r="M1531" s="27">
        <v>2000</v>
      </c>
      <c r="N1531" s="27">
        <v>300</v>
      </c>
      <c r="O1531" s="27">
        <v>300</v>
      </c>
      <c r="P1531" s="27" t="s">
        <v>13</v>
      </c>
      <c r="Q1531" s="27">
        <v>1993</v>
      </c>
      <c r="R1531" s="27">
        <v>1</v>
      </c>
      <c r="S1531" s="27">
        <v>0</v>
      </c>
      <c r="T1531" s="27">
        <v>-1.619E-2</v>
      </c>
      <c r="U1531" s="27">
        <v>-5.3969999999999997E-2</v>
      </c>
      <c r="V1531" s="27">
        <v>0</v>
      </c>
      <c r="W1531" s="27">
        <v>0</v>
      </c>
      <c r="X1531" s="27" t="s">
        <v>57</v>
      </c>
    </row>
    <row r="1532" spans="1:24">
      <c r="A1532" s="27">
        <v>5</v>
      </c>
      <c r="B1532" s="27">
        <v>1</v>
      </c>
      <c r="C1532" s="27">
        <v>3</v>
      </c>
      <c r="D1532" s="27">
        <v>2011</v>
      </c>
      <c r="E1532" s="27">
        <v>2011</v>
      </c>
      <c r="F1532" s="27">
        <v>9</v>
      </c>
      <c r="G1532" s="27">
        <v>0</v>
      </c>
      <c r="H1532" s="27">
        <v>0</v>
      </c>
      <c r="I1532" s="27">
        <v>0</v>
      </c>
      <c r="J1532" s="27">
        <v>0</v>
      </c>
      <c r="K1532" s="27">
        <v>0.82</v>
      </c>
      <c r="L1532" s="27">
        <v>2200</v>
      </c>
      <c r="M1532" s="27">
        <v>2000</v>
      </c>
      <c r="N1532" s="27">
        <v>300</v>
      </c>
      <c r="O1532" s="27">
        <v>300</v>
      </c>
      <c r="P1532" s="27" t="s">
        <v>13</v>
      </c>
      <c r="Q1532" s="27">
        <v>1993</v>
      </c>
      <c r="R1532" s="27">
        <v>1</v>
      </c>
      <c r="S1532" s="27">
        <v>0</v>
      </c>
      <c r="T1532" s="27">
        <v>-1.619E-2</v>
      </c>
      <c r="U1532" s="27">
        <v>-5.3969999999999997E-2</v>
      </c>
      <c r="V1532" s="27">
        <v>0</v>
      </c>
      <c r="W1532" s="27">
        <v>0</v>
      </c>
      <c r="X1532" s="27" t="s">
        <v>57</v>
      </c>
    </row>
    <row r="1533" spans="1:24">
      <c r="A1533" s="27">
        <v>5</v>
      </c>
      <c r="B1533" s="27">
        <v>1</v>
      </c>
      <c r="C1533" s="27">
        <v>3</v>
      </c>
      <c r="D1533" s="27">
        <v>2012</v>
      </c>
      <c r="E1533" s="27">
        <v>2012</v>
      </c>
      <c r="F1533" s="27">
        <v>1</v>
      </c>
      <c r="G1533" s="27">
        <v>0</v>
      </c>
      <c r="H1533" s="27">
        <v>0</v>
      </c>
      <c r="I1533" s="27">
        <v>0</v>
      </c>
      <c r="J1533" s="27">
        <v>0</v>
      </c>
      <c r="K1533" s="27">
        <v>0.82</v>
      </c>
      <c r="L1533" s="27">
        <v>2200</v>
      </c>
      <c r="M1533" s="27">
        <v>2000</v>
      </c>
      <c r="N1533" s="27">
        <v>0</v>
      </c>
      <c r="O1533" s="27">
        <v>0</v>
      </c>
      <c r="P1533" s="27" t="s">
        <v>13</v>
      </c>
      <c r="Q1533" s="27">
        <v>1993</v>
      </c>
      <c r="R1533" s="27">
        <v>1</v>
      </c>
      <c r="S1533" s="27">
        <v>0</v>
      </c>
      <c r="T1533" s="27">
        <v>-1.619E-2</v>
      </c>
      <c r="U1533" s="27">
        <v>-5.3969999999999997E-2</v>
      </c>
      <c r="V1533" s="27">
        <v>0</v>
      </c>
      <c r="W1533" s="27">
        <v>0</v>
      </c>
      <c r="X1533" s="27" t="s">
        <v>57</v>
      </c>
    </row>
    <row r="1534" spans="1:24">
      <c r="A1534" s="27">
        <v>5</v>
      </c>
      <c r="B1534" s="27">
        <v>1</v>
      </c>
      <c r="C1534" s="27">
        <v>3</v>
      </c>
      <c r="D1534" s="27">
        <v>2012</v>
      </c>
      <c r="E1534" s="27">
        <v>2012</v>
      </c>
      <c r="F1534" s="27">
        <v>2</v>
      </c>
      <c r="G1534" s="27">
        <v>0</v>
      </c>
      <c r="H1534" s="27">
        <v>0</v>
      </c>
      <c r="I1534" s="27">
        <v>0</v>
      </c>
      <c r="J1534" s="27">
        <v>0</v>
      </c>
      <c r="K1534" s="27">
        <v>0.82</v>
      </c>
      <c r="L1534" s="27">
        <v>2200</v>
      </c>
      <c r="M1534" s="27">
        <v>2000</v>
      </c>
      <c r="N1534" s="27">
        <v>0</v>
      </c>
      <c r="O1534" s="27">
        <v>0</v>
      </c>
      <c r="P1534" s="27" t="s">
        <v>13</v>
      </c>
      <c r="Q1534" s="27">
        <v>1993</v>
      </c>
      <c r="R1534" s="27">
        <v>1</v>
      </c>
      <c r="S1534" s="27">
        <v>0</v>
      </c>
      <c r="T1534" s="27">
        <v>-1.619E-2</v>
      </c>
      <c r="U1534" s="27">
        <v>-5.3969999999999997E-2</v>
      </c>
      <c r="V1534" s="27">
        <v>0</v>
      </c>
      <c r="W1534" s="27">
        <v>0</v>
      </c>
      <c r="X1534" s="27" t="s">
        <v>57</v>
      </c>
    </row>
    <row r="1535" spans="1:24">
      <c r="A1535" s="27">
        <v>5</v>
      </c>
      <c r="B1535" s="27">
        <v>1</v>
      </c>
      <c r="C1535" s="27">
        <v>3</v>
      </c>
      <c r="D1535" s="27">
        <v>2012</v>
      </c>
      <c r="E1535" s="27">
        <v>2012</v>
      </c>
      <c r="F1535" s="27">
        <v>3</v>
      </c>
      <c r="G1535" s="27">
        <v>0</v>
      </c>
      <c r="H1535" s="27">
        <v>0</v>
      </c>
      <c r="I1535" s="27">
        <v>0</v>
      </c>
      <c r="J1535" s="27">
        <v>0</v>
      </c>
      <c r="K1535" s="27">
        <v>0.82</v>
      </c>
      <c r="L1535" s="27">
        <v>2200</v>
      </c>
      <c r="M1535" s="27">
        <v>2000</v>
      </c>
      <c r="N1535" s="27">
        <v>0</v>
      </c>
      <c r="O1535" s="27">
        <v>0</v>
      </c>
      <c r="P1535" s="27" t="s">
        <v>13</v>
      </c>
      <c r="Q1535" s="27">
        <v>1993</v>
      </c>
      <c r="R1535" s="27">
        <v>1</v>
      </c>
      <c r="S1535" s="27">
        <v>0</v>
      </c>
      <c r="T1535" s="27">
        <v>-1.619E-2</v>
      </c>
      <c r="U1535" s="27">
        <v>-5.3969999999999997E-2</v>
      </c>
      <c r="V1535" s="27">
        <v>0</v>
      </c>
      <c r="W1535" s="27">
        <v>0</v>
      </c>
      <c r="X1535" s="27" t="s">
        <v>57</v>
      </c>
    </row>
    <row r="1536" spans="1:24">
      <c r="A1536" s="27">
        <v>5</v>
      </c>
      <c r="B1536" s="27">
        <v>1</v>
      </c>
      <c r="C1536" s="27">
        <v>3</v>
      </c>
      <c r="D1536" s="27">
        <v>2012</v>
      </c>
      <c r="E1536" s="27">
        <v>2012</v>
      </c>
      <c r="F1536" s="27">
        <v>4</v>
      </c>
      <c r="G1536" s="27">
        <v>0</v>
      </c>
      <c r="H1536" s="27">
        <v>0</v>
      </c>
      <c r="I1536" s="27">
        <v>0</v>
      </c>
      <c r="J1536" s="27">
        <v>0</v>
      </c>
      <c r="K1536" s="27">
        <v>0.82</v>
      </c>
      <c r="L1536" s="27">
        <v>2200</v>
      </c>
      <c r="M1536" s="27">
        <v>2000</v>
      </c>
      <c r="N1536" s="27">
        <v>0</v>
      </c>
      <c r="O1536" s="27">
        <v>0</v>
      </c>
      <c r="P1536" s="27" t="s">
        <v>13</v>
      </c>
      <c r="Q1536" s="27">
        <v>1993</v>
      </c>
      <c r="R1536" s="27">
        <v>1</v>
      </c>
      <c r="S1536" s="27">
        <v>0</v>
      </c>
      <c r="T1536" s="27">
        <v>-1.619E-2</v>
      </c>
      <c r="U1536" s="27">
        <v>-5.3969999999999997E-2</v>
      </c>
      <c r="V1536" s="27">
        <v>0</v>
      </c>
      <c r="W1536" s="27">
        <v>0</v>
      </c>
      <c r="X1536" s="27" t="s">
        <v>57</v>
      </c>
    </row>
    <row r="1537" spans="1:24">
      <c r="A1537" s="27">
        <v>5</v>
      </c>
      <c r="B1537" s="27">
        <v>1</v>
      </c>
      <c r="C1537" s="27">
        <v>3</v>
      </c>
      <c r="D1537" s="27">
        <v>2012</v>
      </c>
      <c r="E1537" s="27">
        <v>2012</v>
      </c>
      <c r="F1537" s="27">
        <v>5</v>
      </c>
      <c r="G1537" s="27">
        <v>0</v>
      </c>
      <c r="H1537" s="27">
        <v>0</v>
      </c>
      <c r="I1537" s="27">
        <v>0</v>
      </c>
      <c r="J1537" s="27">
        <v>0</v>
      </c>
      <c r="K1537" s="27">
        <v>0.82</v>
      </c>
      <c r="L1537" s="27">
        <v>2200</v>
      </c>
      <c r="M1537" s="27">
        <v>2000</v>
      </c>
      <c r="N1537" s="27">
        <v>0</v>
      </c>
      <c r="O1537" s="27">
        <v>0</v>
      </c>
      <c r="P1537" s="27" t="s">
        <v>13</v>
      </c>
      <c r="Q1537" s="27">
        <v>1993</v>
      </c>
      <c r="R1537" s="27">
        <v>1</v>
      </c>
      <c r="S1537" s="27">
        <v>0</v>
      </c>
      <c r="T1537" s="27">
        <v>-1.619E-2</v>
      </c>
      <c r="U1537" s="27">
        <v>-5.3969999999999997E-2</v>
      </c>
      <c r="V1537" s="27">
        <v>0</v>
      </c>
      <c r="W1537" s="27">
        <v>0</v>
      </c>
      <c r="X1537" s="27" t="s">
        <v>57</v>
      </c>
    </row>
    <row r="1538" spans="1:24">
      <c r="A1538" s="27">
        <v>5</v>
      </c>
      <c r="B1538" s="27">
        <v>1</v>
      </c>
      <c r="C1538" s="27">
        <v>3</v>
      </c>
      <c r="D1538" s="27">
        <v>2012</v>
      </c>
      <c r="E1538" s="27">
        <v>2012</v>
      </c>
      <c r="F1538" s="27">
        <v>6</v>
      </c>
      <c r="G1538" s="27">
        <v>0</v>
      </c>
      <c r="H1538" s="27">
        <v>0</v>
      </c>
      <c r="I1538" s="27">
        <v>0</v>
      </c>
      <c r="J1538" s="27">
        <v>0</v>
      </c>
      <c r="K1538" s="27">
        <v>0.82</v>
      </c>
      <c r="L1538" s="27">
        <v>2200</v>
      </c>
      <c r="M1538" s="27">
        <v>2000</v>
      </c>
      <c r="N1538" s="27">
        <v>0</v>
      </c>
      <c r="O1538" s="27">
        <v>0</v>
      </c>
      <c r="P1538" s="27" t="s">
        <v>13</v>
      </c>
      <c r="Q1538" s="27">
        <v>1993</v>
      </c>
      <c r="R1538" s="27">
        <v>1</v>
      </c>
      <c r="S1538" s="27">
        <v>0</v>
      </c>
      <c r="T1538" s="27">
        <v>-1.619E-2</v>
      </c>
      <c r="U1538" s="27">
        <v>-5.3969999999999997E-2</v>
      </c>
      <c r="V1538" s="27">
        <v>0</v>
      </c>
      <c r="W1538" s="27">
        <v>0</v>
      </c>
      <c r="X1538" s="27" t="s">
        <v>57</v>
      </c>
    </row>
    <row r="1539" spans="1:24">
      <c r="A1539" s="27">
        <v>5</v>
      </c>
      <c r="B1539" s="27">
        <v>1</v>
      </c>
      <c r="C1539" s="27">
        <v>3</v>
      </c>
      <c r="D1539" s="27">
        <v>2012</v>
      </c>
      <c r="E1539" s="27">
        <v>2012</v>
      </c>
      <c r="F1539" s="27">
        <v>7</v>
      </c>
      <c r="G1539" s="27">
        <v>0</v>
      </c>
      <c r="H1539" s="27">
        <v>0</v>
      </c>
      <c r="I1539" s="27">
        <v>0</v>
      </c>
      <c r="J1539" s="27">
        <v>0</v>
      </c>
      <c r="K1539" s="27">
        <v>0.82</v>
      </c>
      <c r="L1539" s="27">
        <v>2200</v>
      </c>
      <c r="M1539" s="27">
        <v>2000</v>
      </c>
      <c r="N1539" s="27">
        <v>0</v>
      </c>
      <c r="O1539" s="27">
        <v>0</v>
      </c>
      <c r="P1539" s="27" t="s">
        <v>13</v>
      </c>
      <c r="Q1539" s="27">
        <v>1993</v>
      </c>
      <c r="R1539" s="27">
        <v>1</v>
      </c>
      <c r="S1539" s="27">
        <v>0</v>
      </c>
      <c r="T1539" s="27">
        <v>-1.619E-2</v>
      </c>
      <c r="U1539" s="27">
        <v>-5.3969999999999997E-2</v>
      </c>
      <c r="V1539" s="27">
        <v>0</v>
      </c>
      <c r="W1539" s="27">
        <v>0</v>
      </c>
      <c r="X1539" s="27" t="s">
        <v>57</v>
      </c>
    </row>
    <row r="1540" spans="1:24">
      <c r="A1540" s="27">
        <v>5</v>
      </c>
      <c r="B1540" s="27">
        <v>1</v>
      </c>
      <c r="C1540" s="27">
        <v>3</v>
      </c>
      <c r="D1540" s="27">
        <v>2012</v>
      </c>
      <c r="E1540" s="27">
        <v>2012</v>
      </c>
      <c r="F1540" s="27">
        <v>8</v>
      </c>
      <c r="G1540" s="27">
        <v>0</v>
      </c>
      <c r="H1540" s="27">
        <v>0</v>
      </c>
      <c r="I1540" s="27">
        <v>0</v>
      </c>
      <c r="J1540" s="27">
        <v>0</v>
      </c>
      <c r="K1540" s="27">
        <v>0.82</v>
      </c>
      <c r="L1540" s="27">
        <v>2200</v>
      </c>
      <c r="M1540" s="27">
        <v>2000</v>
      </c>
      <c r="N1540" s="27">
        <v>0</v>
      </c>
      <c r="O1540" s="27">
        <v>0</v>
      </c>
      <c r="P1540" s="27" t="s">
        <v>13</v>
      </c>
      <c r="Q1540" s="27">
        <v>1993</v>
      </c>
      <c r="R1540" s="27">
        <v>1</v>
      </c>
      <c r="S1540" s="27">
        <v>0</v>
      </c>
      <c r="T1540" s="27">
        <v>-1.619E-2</v>
      </c>
      <c r="U1540" s="27">
        <v>-5.3969999999999997E-2</v>
      </c>
      <c r="V1540" s="27">
        <v>0</v>
      </c>
      <c r="W1540" s="27">
        <v>0</v>
      </c>
      <c r="X1540" s="27" t="s">
        <v>57</v>
      </c>
    </row>
    <row r="1541" spans="1:24">
      <c r="A1541" s="27">
        <v>5</v>
      </c>
      <c r="B1541" s="27">
        <v>1</v>
      </c>
      <c r="C1541" s="27">
        <v>3</v>
      </c>
      <c r="D1541" s="27">
        <v>2012</v>
      </c>
      <c r="E1541" s="27">
        <v>2012</v>
      </c>
      <c r="F1541" s="27">
        <v>9</v>
      </c>
      <c r="G1541" s="27">
        <v>0</v>
      </c>
      <c r="H1541" s="27">
        <v>0</v>
      </c>
      <c r="I1541" s="27">
        <v>0</v>
      </c>
      <c r="J1541" s="27">
        <v>0</v>
      </c>
      <c r="K1541" s="27">
        <v>0.82</v>
      </c>
      <c r="L1541" s="27">
        <v>2200</v>
      </c>
      <c r="M1541" s="27">
        <v>2000</v>
      </c>
      <c r="N1541" s="27">
        <v>0</v>
      </c>
      <c r="O1541" s="27">
        <v>0</v>
      </c>
      <c r="P1541" s="27" t="s">
        <v>13</v>
      </c>
      <c r="Q1541" s="27">
        <v>1993</v>
      </c>
      <c r="R1541" s="27">
        <v>1</v>
      </c>
      <c r="S1541" s="27">
        <v>0</v>
      </c>
      <c r="T1541" s="27">
        <v>-1.619E-2</v>
      </c>
      <c r="U1541" s="27">
        <v>-5.3969999999999997E-2</v>
      </c>
      <c r="V1541" s="27">
        <v>0</v>
      </c>
      <c r="W1541" s="27">
        <v>0</v>
      </c>
      <c r="X1541" s="27" t="s">
        <v>57</v>
      </c>
    </row>
    <row r="1542" spans="1:24">
      <c r="A1542" s="27">
        <v>5</v>
      </c>
      <c r="B1542" s="27">
        <v>1</v>
      </c>
      <c r="C1542" s="27">
        <v>3</v>
      </c>
      <c r="D1542" s="27">
        <v>2013</v>
      </c>
      <c r="E1542" s="27">
        <v>2013</v>
      </c>
      <c r="F1542" s="27">
        <v>1</v>
      </c>
      <c r="G1542" s="27">
        <v>0</v>
      </c>
      <c r="H1542" s="27">
        <v>0</v>
      </c>
      <c r="I1542" s="27">
        <v>0</v>
      </c>
      <c r="J1542" s="27">
        <v>0</v>
      </c>
      <c r="K1542" s="27">
        <v>0.82</v>
      </c>
      <c r="L1542" s="27">
        <v>2200</v>
      </c>
      <c r="M1542" s="27">
        <v>2000</v>
      </c>
      <c r="N1542" s="27">
        <v>300</v>
      </c>
      <c r="O1542" s="27">
        <v>300</v>
      </c>
      <c r="P1542" s="27" t="s">
        <v>13</v>
      </c>
      <c r="Q1542" s="27">
        <v>1993</v>
      </c>
      <c r="R1542" s="27">
        <v>1</v>
      </c>
      <c r="S1542" s="27">
        <v>0</v>
      </c>
      <c r="T1542" s="27">
        <v>-1.619E-2</v>
      </c>
      <c r="U1542" s="27">
        <v>-5.3969999999999997E-2</v>
      </c>
      <c r="V1542" s="27">
        <v>0</v>
      </c>
      <c r="W1542" s="27">
        <v>0</v>
      </c>
      <c r="X1542" s="27" t="s">
        <v>57</v>
      </c>
    </row>
    <row r="1543" spans="1:24">
      <c r="A1543" s="27">
        <v>5</v>
      </c>
      <c r="B1543" s="27">
        <v>1</v>
      </c>
      <c r="C1543" s="27">
        <v>3</v>
      </c>
      <c r="D1543" s="27">
        <v>2013</v>
      </c>
      <c r="E1543" s="27">
        <v>2013</v>
      </c>
      <c r="F1543" s="27">
        <v>2</v>
      </c>
      <c r="G1543" s="27">
        <v>0</v>
      </c>
      <c r="H1543" s="27">
        <v>0</v>
      </c>
      <c r="I1543" s="27">
        <v>0</v>
      </c>
      <c r="J1543" s="27">
        <v>0</v>
      </c>
      <c r="K1543" s="27">
        <v>0.82</v>
      </c>
      <c r="L1543" s="27">
        <v>2200</v>
      </c>
      <c r="M1543" s="27">
        <v>2000</v>
      </c>
      <c r="N1543" s="27">
        <v>300</v>
      </c>
      <c r="O1543" s="27">
        <v>300</v>
      </c>
      <c r="P1543" s="27" t="s">
        <v>13</v>
      </c>
      <c r="Q1543" s="27">
        <v>1993</v>
      </c>
      <c r="R1543" s="27">
        <v>1</v>
      </c>
      <c r="S1543" s="27">
        <v>0</v>
      </c>
      <c r="T1543" s="27">
        <v>-1.619E-2</v>
      </c>
      <c r="U1543" s="27">
        <v>-5.3969999999999997E-2</v>
      </c>
      <c r="V1543" s="27">
        <v>0</v>
      </c>
      <c r="W1543" s="27">
        <v>0</v>
      </c>
      <c r="X1543" s="27" t="s">
        <v>57</v>
      </c>
    </row>
    <row r="1544" spans="1:24">
      <c r="A1544" s="27">
        <v>5</v>
      </c>
      <c r="B1544" s="27">
        <v>1</v>
      </c>
      <c r="C1544" s="27">
        <v>3</v>
      </c>
      <c r="D1544" s="27">
        <v>2013</v>
      </c>
      <c r="E1544" s="27">
        <v>2013</v>
      </c>
      <c r="F1544" s="27">
        <v>3</v>
      </c>
      <c r="G1544" s="27">
        <v>0</v>
      </c>
      <c r="H1544" s="27">
        <v>0</v>
      </c>
      <c r="I1544" s="27">
        <v>0</v>
      </c>
      <c r="J1544" s="27">
        <v>0</v>
      </c>
      <c r="K1544" s="27">
        <v>0.82</v>
      </c>
      <c r="L1544" s="27">
        <v>2200</v>
      </c>
      <c r="M1544" s="27">
        <v>2000</v>
      </c>
      <c r="N1544" s="27">
        <v>300</v>
      </c>
      <c r="O1544" s="27">
        <v>300</v>
      </c>
      <c r="P1544" s="27" t="s">
        <v>13</v>
      </c>
      <c r="Q1544" s="27">
        <v>1993</v>
      </c>
      <c r="R1544" s="27">
        <v>1</v>
      </c>
      <c r="S1544" s="27">
        <v>0</v>
      </c>
      <c r="T1544" s="27">
        <v>-1.619E-2</v>
      </c>
      <c r="U1544" s="27">
        <v>-5.3969999999999997E-2</v>
      </c>
      <c r="V1544" s="27">
        <v>0</v>
      </c>
      <c r="W1544" s="27">
        <v>0</v>
      </c>
      <c r="X1544" s="27" t="s">
        <v>57</v>
      </c>
    </row>
    <row r="1545" spans="1:24">
      <c r="A1545" s="27">
        <v>5</v>
      </c>
      <c r="B1545" s="27">
        <v>1</v>
      </c>
      <c r="C1545" s="27">
        <v>3</v>
      </c>
      <c r="D1545" s="27">
        <v>2013</v>
      </c>
      <c r="E1545" s="27">
        <v>2013</v>
      </c>
      <c r="F1545" s="27">
        <v>4</v>
      </c>
      <c r="G1545" s="27">
        <v>0</v>
      </c>
      <c r="H1545" s="27">
        <v>0</v>
      </c>
      <c r="I1545" s="27">
        <v>0</v>
      </c>
      <c r="J1545" s="27">
        <v>0</v>
      </c>
      <c r="K1545" s="27">
        <v>0.82</v>
      </c>
      <c r="L1545" s="27">
        <v>2200</v>
      </c>
      <c r="M1545" s="27">
        <v>2000</v>
      </c>
      <c r="N1545" s="27">
        <v>300</v>
      </c>
      <c r="O1545" s="27">
        <v>300</v>
      </c>
      <c r="P1545" s="27" t="s">
        <v>13</v>
      </c>
      <c r="Q1545" s="27">
        <v>1993</v>
      </c>
      <c r="R1545" s="27">
        <v>1</v>
      </c>
      <c r="S1545" s="27">
        <v>0</v>
      </c>
      <c r="T1545" s="27">
        <v>-1.619E-2</v>
      </c>
      <c r="U1545" s="27">
        <v>-5.3969999999999997E-2</v>
      </c>
      <c r="V1545" s="27">
        <v>0</v>
      </c>
      <c r="W1545" s="27">
        <v>0</v>
      </c>
      <c r="X1545" s="27" t="s">
        <v>57</v>
      </c>
    </row>
    <row r="1546" spans="1:24">
      <c r="A1546" s="27">
        <v>5</v>
      </c>
      <c r="B1546" s="27">
        <v>1</v>
      </c>
      <c r="C1546" s="27">
        <v>3</v>
      </c>
      <c r="D1546" s="27">
        <v>2013</v>
      </c>
      <c r="E1546" s="27">
        <v>2013</v>
      </c>
      <c r="F1546" s="27">
        <v>5</v>
      </c>
      <c r="G1546" s="27">
        <v>0</v>
      </c>
      <c r="H1546" s="27">
        <v>0</v>
      </c>
      <c r="I1546" s="27">
        <v>0</v>
      </c>
      <c r="J1546" s="27">
        <v>0</v>
      </c>
      <c r="K1546" s="27">
        <v>0.82</v>
      </c>
      <c r="L1546" s="27">
        <v>2200</v>
      </c>
      <c r="M1546" s="27">
        <v>2000</v>
      </c>
      <c r="N1546" s="27">
        <v>300</v>
      </c>
      <c r="O1546" s="27">
        <v>300</v>
      </c>
      <c r="P1546" s="27" t="s">
        <v>13</v>
      </c>
      <c r="Q1546" s="27">
        <v>1993</v>
      </c>
      <c r="R1546" s="27">
        <v>1</v>
      </c>
      <c r="S1546" s="27">
        <v>0</v>
      </c>
      <c r="T1546" s="27">
        <v>-1.619E-2</v>
      </c>
      <c r="U1546" s="27">
        <v>-5.3969999999999997E-2</v>
      </c>
      <c r="V1546" s="27">
        <v>0</v>
      </c>
      <c r="W1546" s="27">
        <v>0</v>
      </c>
      <c r="X1546" s="27" t="s">
        <v>57</v>
      </c>
    </row>
    <row r="1547" spans="1:24">
      <c r="A1547" s="27">
        <v>5</v>
      </c>
      <c r="B1547" s="27">
        <v>1</v>
      </c>
      <c r="C1547" s="27">
        <v>3</v>
      </c>
      <c r="D1547" s="27">
        <v>2013</v>
      </c>
      <c r="E1547" s="27">
        <v>2013</v>
      </c>
      <c r="F1547" s="27">
        <v>6</v>
      </c>
      <c r="G1547" s="27">
        <v>0</v>
      </c>
      <c r="H1547" s="27">
        <v>0</v>
      </c>
      <c r="I1547" s="27">
        <v>0</v>
      </c>
      <c r="J1547" s="27">
        <v>0</v>
      </c>
      <c r="K1547" s="27">
        <v>0.82</v>
      </c>
      <c r="L1547" s="27">
        <v>2200</v>
      </c>
      <c r="M1547" s="27">
        <v>2000</v>
      </c>
      <c r="N1547" s="27">
        <v>300</v>
      </c>
      <c r="O1547" s="27">
        <v>300</v>
      </c>
      <c r="P1547" s="27" t="s">
        <v>13</v>
      </c>
      <c r="Q1547" s="27">
        <v>1993</v>
      </c>
      <c r="R1547" s="27">
        <v>1</v>
      </c>
      <c r="S1547" s="27">
        <v>0</v>
      </c>
      <c r="T1547" s="27">
        <v>-1.619E-2</v>
      </c>
      <c r="U1547" s="27">
        <v>-5.3969999999999997E-2</v>
      </c>
      <c r="V1547" s="27">
        <v>0</v>
      </c>
      <c r="W1547" s="27">
        <v>0</v>
      </c>
      <c r="X1547" s="27" t="s">
        <v>57</v>
      </c>
    </row>
    <row r="1548" spans="1:24">
      <c r="A1548" s="27">
        <v>5</v>
      </c>
      <c r="B1548" s="27">
        <v>1</v>
      </c>
      <c r="C1548" s="27">
        <v>3</v>
      </c>
      <c r="D1548" s="27">
        <v>2013</v>
      </c>
      <c r="E1548" s="27">
        <v>2013</v>
      </c>
      <c r="F1548" s="27">
        <v>7</v>
      </c>
      <c r="G1548" s="27">
        <v>0</v>
      </c>
      <c r="H1548" s="27">
        <v>0</v>
      </c>
      <c r="I1548" s="27">
        <v>0</v>
      </c>
      <c r="J1548" s="27">
        <v>0</v>
      </c>
      <c r="K1548" s="27">
        <v>0.82</v>
      </c>
      <c r="L1548" s="27">
        <v>2200</v>
      </c>
      <c r="M1548" s="27">
        <v>2000</v>
      </c>
      <c r="N1548" s="27">
        <v>300</v>
      </c>
      <c r="O1548" s="27">
        <v>300</v>
      </c>
      <c r="P1548" s="27" t="s">
        <v>13</v>
      </c>
      <c r="Q1548" s="27">
        <v>1993</v>
      </c>
      <c r="R1548" s="27">
        <v>1</v>
      </c>
      <c r="S1548" s="27">
        <v>0</v>
      </c>
      <c r="T1548" s="27">
        <v>-1.619E-2</v>
      </c>
      <c r="U1548" s="27">
        <v>-5.3969999999999997E-2</v>
      </c>
      <c r="V1548" s="27">
        <v>0</v>
      </c>
      <c r="W1548" s="27">
        <v>0</v>
      </c>
      <c r="X1548" s="27" t="s">
        <v>57</v>
      </c>
    </row>
    <row r="1549" spans="1:24">
      <c r="A1549" s="27">
        <v>5</v>
      </c>
      <c r="B1549" s="27">
        <v>1</v>
      </c>
      <c r="C1549" s="27">
        <v>3</v>
      </c>
      <c r="D1549" s="27">
        <v>2013</v>
      </c>
      <c r="E1549" s="27">
        <v>2013</v>
      </c>
      <c r="F1549" s="27">
        <v>8</v>
      </c>
      <c r="G1549" s="27">
        <v>0</v>
      </c>
      <c r="H1549" s="27">
        <v>0</v>
      </c>
      <c r="I1549" s="27">
        <v>0</v>
      </c>
      <c r="J1549" s="27">
        <v>0</v>
      </c>
      <c r="K1549" s="27">
        <v>0.82</v>
      </c>
      <c r="L1549" s="27">
        <v>2200</v>
      </c>
      <c r="M1549" s="27">
        <v>2000</v>
      </c>
      <c r="N1549" s="27">
        <v>300</v>
      </c>
      <c r="O1549" s="27">
        <v>300</v>
      </c>
      <c r="P1549" s="27" t="s">
        <v>13</v>
      </c>
      <c r="Q1549" s="27">
        <v>1993</v>
      </c>
      <c r="R1549" s="27">
        <v>1</v>
      </c>
      <c r="S1549" s="27">
        <v>0</v>
      </c>
      <c r="T1549" s="27">
        <v>-1.619E-2</v>
      </c>
      <c r="U1549" s="27">
        <v>-5.3969999999999997E-2</v>
      </c>
      <c r="V1549" s="27">
        <v>0</v>
      </c>
      <c r="W1549" s="27">
        <v>0</v>
      </c>
      <c r="X1549" s="27" t="s">
        <v>57</v>
      </c>
    </row>
    <row r="1550" spans="1:24">
      <c r="A1550" s="27">
        <v>5</v>
      </c>
      <c r="B1550" s="27">
        <v>1</v>
      </c>
      <c r="C1550" s="27">
        <v>3</v>
      </c>
      <c r="D1550" s="27">
        <v>2013</v>
      </c>
      <c r="E1550" s="27">
        <v>2013</v>
      </c>
      <c r="F1550" s="27">
        <v>9</v>
      </c>
      <c r="G1550" s="27">
        <v>0</v>
      </c>
      <c r="H1550" s="27">
        <v>0</v>
      </c>
      <c r="I1550" s="27">
        <v>0</v>
      </c>
      <c r="J1550" s="27">
        <v>0</v>
      </c>
      <c r="K1550" s="27">
        <v>0.82</v>
      </c>
      <c r="L1550" s="27">
        <v>2200</v>
      </c>
      <c r="M1550" s="27">
        <v>2000</v>
      </c>
      <c r="N1550" s="27">
        <v>300</v>
      </c>
      <c r="O1550" s="27">
        <v>300</v>
      </c>
      <c r="P1550" s="27" t="s">
        <v>13</v>
      </c>
      <c r="Q1550" s="27">
        <v>1993</v>
      </c>
      <c r="R1550" s="27">
        <v>1</v>
      </c>
      <c r="S1550" s="27">
        <v>0</v>
      </c>
      <c r="T1550" s="27">
        <v>-1.619E-2</v>
      </c>
      <c r="U1550" s="27">
        <v>-5.3969999999999997E-2</v>
      </c>
      <c r="V1550" s="27">
        <v>0</v>
      </c>
      <c r="W1550" s="27">
        <v>0</v>
      </c>
      <c r="X1550" s="27" t="s">
        <v>57</v>
      </c>
    </row>
    <row r="1551" spans="1:24">
      <c r="A1551" s="27">
        <v>5</v>
      </c>
      <c r="B1551" s="27">
        <v>1</v>
      </c>
      <c r="C1551" s="27">
        <v>3</v>
      </c>
      <c r="D1551" s="27">
        <v>2014</v>
      </c>
      <c r="E1551" s="27">
        <v>2019</v>
      </c>
      <c r="F1551" s="27">
        <v>1</v>
      </c>
      <c r="G1551" s="27">
        <v>0</v>
      </c>
      <c r="H1551" s="27">
        <v>0</v>
      </c>
      <c r="I1551" s="27">
        <v>0</v>
      </c>
      <c r="J1551" s="27">
        <v>0</v>
      </c>
      <c r="K1551" s="27">
        <v>0.82</v>
      </c>
      <c r="L1551" s="27">
        <v>2200</v>
      </c>
      <c r="M1551" s="27">
        <v>2000</v>
      </c>
      <c r="N1551" s="27">
        <v>0</v>
      </c>
      <c r="O1551" s="27">
        <v>0</v>
      </c>
      <c r="P1551" s="27" t="s">
        <v>13</v>
      </c>
      <c r="Q1551" s="27">
        <v>1993</v>
      </c>
      <c r="R1551" s="27">
        <v>1</v>
      </c>
      <c r="S1551" s="27">
        <v>0</v>
      </c>
      <c r="T1551" s="27">
        <v>-1.619E-2</v>
      </c>
      <c r="U1551" s="27">
        <v>-5.3969999999999997E-2</v>
      </c>
      <c r="V1551" s="27">
        <v>0</v>
      </c>
      <c r="W1551" s="27">
        <v>0</v>
      </c>
      <c r="X1551" s="27" t="s">
        <v>57</v>
      </c>
    </row>
    <row r="1552" spans="1:24">
      <c r="A1552" s="27">
        <v>5</v>
      </c>
      <c r="B1552" s="27">
        <v>1</v>
      </c>
      <c r="C1552" s="27">
        <v>3</v>
      </c>
      <c r="D1552" s="27">
        <v>2014</v>
      </c>
      <c r="E1552" s="27">
        <v>2019</v>
      </c>
      <c r="F1552" s="27">
        <v>2</v>
      </c>
      <c r="G1552" s="27">
        <v>0</v>
      </c>
      <c r="H1552" s="27">
        <v>0</v>
      </c>
      <c r="I1552" s="27">
        <v>0</v>
      </c>
      <c r="J1552" s="27">
        <v>0</v>
      </c>
      <c r="K1552" s="27">
        <v>0.82</v>
      </c>
      <c r="L1552" s="27">
        <v>2200</v>
      </c>
      <c r="M1552" s="27">
        <v>2000</v>
      </c>
      <c r="N1552" s="27">
        <v>0</v>
      </c>
      <c r="O1552" s="27">
        <v>0</v>
      </c>
      <c r="P1552" s="27" t="s">
        <v>13</v>
      </c>
      <c r="Q1552" s="27">
        <v>1993</v>
      </c>
      <c r="R1552" s="27">
        <v>1</v>
      </c>
      <c r="S1552" s="27">
        <v>0</v>
      </c>
      <c r="T1552" s="27">
        <v>-1.619E-2</v>
      </c>
      <c r="U1552" s="27">
        <v>-5.3969999999999997E-2</v>
      </c>
      <c r="V1552" s="27">
        <v>0</v>
      </c>
      <c r="W1552" s="27">
        <v>0</v>
      </c>
      <c r="X1552" s="27" t="s">
        <v>57</v>
      </c>
    </row>
    <row r="1553" spans="1:24">
      <c r="A1553" s="27">
        <v>5</v>
      </c>
      <c r="B1553" s="27">
        <v>1</v>
      </c>
      <c r="C1553" s="27">
        <v>3</v>
      </c>
      <c r="D1553" s="27">
        <v>2014</v>
      </c>
      <c r="E1553" s="27">
        <v>2019</v>
      </c>
      <c r="F1553" s="27">
        <v>3</v>
      </c>
      <c r="G1553" s="27">
        <v>0</v>
      </c>
      <c r="H1553" s="27">
        <v>0</v>
      </c>
      <c r="I1553" s="27">
        <v>0</v>
      </c>
      <c r="J1553" s="27">
        <v>0</v>
      </c>
      <c r="K1553" s="27">
        <v>0.82</v>
      </c>
      <c r="L1553" s="27">
        <v>2200</v>
      </c>
      <c r="M1553" s="27">
        <v>2000</v>
      </c>
      <c r="N1553" s="27">
        <v>0</v>
      </c>
      <c r="O1553" s="27">
        <v>0</v>
      </c>
      <c r="P1553" s="27" t="s">
        <v>13</v>
      </c>
      <c r="Q1553" s="27">
        <v>1993</v>
      </c>
      <c r="R1553" s="27">
        <v>1</v>
      </c>
      <c r="S1553" s="27">
        <v>0</v>
      </c>
      <c r="T1553" s="27">
        <v>-1.619E-2</v>
      </c>
      <c r="U1553" s="27">
        <v>-5.3969999999999997E-2</v>
      </c>
      <c r="V1553" s="27">
        <v>0</v>
      </c>
      <c r="W1553" s="27">
        <v>0</v>
      </c>
      <c r="X1553" s="27" t="s">
        <v>57</v>
      </c>
    </row>
    <row r="1554" spans="1:24">
      <c r="A1554" s="27">
        <v>5</v>
      </c>
      <c r="B1554" s="27">
        <v>1</v>
      </c>
      <c r="C1554" s="27">
        <v>3</v>
      </c>
      <c r="D1554" s="27">
        <v>2014</v>
      </c>
      <c r="E1554" s="27">
        <v>2019</v>
      </c>
      <c r="F1554" s="27">
        <v>4</v>
      </c>
      <c r="G1554" s="27">
        <v>0</v>
      </c>
      <c r="H1554" s="27">
        <v>0</v>
      </c>
      <c r="I1554" s="27">
        <v>0</v>
      </c>
      <c r="J1554" s="27">
        <v>0</v>
      </c>
      <c r="K1554" s="27">
        <v>0.82</v>
      </c>
      <c r="L1554" s="27">
        <v>2200</v>
      </c>
      <c r="M1554" s="27">
        <v>2000</v>
      </c>
      <c r="N1554" s="27">
        <v>0</v>
      </c>
      <c r="O1554" s="27">
        <v>0</v>
      </c>
      <c r="P1554" s="27" t="s">
        <v>13</v>
      </c>
      <c r="Q1554" s="27">
        <v>1993</v>
      </c>
      <c r="R1554" s="27">
        <v>1</v>
      </c>
      <c r="S1554" s="27">
        <v>0</v>
      </c>
      <c r="T1554" s="27">
        <v>-1.619E-2</v>
      </c>
      <c r="U1554" s="27">
        <v>-5.3969999999999997E-2</v>
      </c>
      <c r="V1554" s="27">
        <v>0</v>
      </c>
      <c r="W1554" s="27">
        <v>0</v>
      </c>
      <c r="X1554" s="27" t="s">
        <v>57</v>
      </c>
    </row>
    <row r="1555" spans="1:24">
      <c r="A1555" s="27">
        <v>5</v>
      </c>
      <c r="B1555" s="27">
        <v>1</v>
      </c>
      <c r="C1555" s="27">
        <v>3</v>
      </c>
      <c r="D1555" s="27">
        <v>2014</v>
      </c>
      <c r="E1555" s="27">
        <v>2019</v>
      </c>
      <c r="F1555" s="27">
        <v>5</v>
      </c>
      <c r="G1555" s="27">
        <v>0</v>
      </c>
      <c r="H1555" s="27">
        <v>0</v>
      </c>
      <c r="I1555" s="27">
        <v>0</v>
      </c>
      <c r="J1555" s="27">
        <v>0</v>
      </c>
      <c r="K1555" s="27">
        <v>0.82</v>
      </c>
      <c r="L1555" s="27">
        <v>2200</v>
      </c>
      <c r="M1555" s="27">
        <v>2000</v>
      </c>
      <c r="N1555" s="27">
        <v>0</v>
      </c>
      <c r="O1555" s="27">
        <v>0</v>
      </c>
      <c r="P1555" s="27" t="s">
        <v>13</v>
      </c>
      <c r="Q1555" s="27">
        <v>1993</v>
      </c>
      <c r="R1555" s="27">
        <v>1</v>
      </c>
      <c r="S1555" s="27">
        <v>0</v>
      </c>
      <c r="T1555" s="27">
        <v>-1.619E-2</v>
      </c>
      <c r="U1555" s="27">
        <v>-5.3969999999999997E-2</v>
      </c>
      <c r="V1555" s="27">
        <v>0</v>
      </c>
      <c r="W1555" s="27">
        <v>0</v>
      </c>
      <c r="X1555" s="27" t="s">
        <v>57</v>
      </c>
    </row>
    <row r="1556" spans="1:24">
      <c r="A1556" s="27">
        <v>5</v>
      </c>
      <c r="B1556" s="27">
        <v>1</v>
      </c>
      <c r="C1556" s="27">
        <v>3</v>
      </c>
      <c r="D1556" s="27">
        <v>2014</v>
      </c>
      <c r="E1556" s="27">
        <v>2019</v>
      </c>
      <c r="F1556" s="27">
        <v>6</v>
      </c>
      <c r="G1556" s="27">
        <v>0</v>
      </c>
      <c r="H1556" s="27">
        <v>0</v>
      </c>
      <c r="I1556" s="27">
        <v>0</v>
      </c>
      <c r="J1556" s="27">
        <v>0</v>
      </c>
      <c r="K1556" s="27">
        <v>0.82</v>
      </c>
      <c r="L1556" s="27">
        <v>2200</v>
      </c>
      <c r="M1556" s="27">
        <v>2000</v>
      </c>
      <c r="N1556" s="27">
        <v>0</v>
      </c>
      <c r="O1556" s="27">
        <v>0</v>
      </c>
      <c r="P1556" s="27" t="s">
        <v>13</v>
      </c>
      <c r="Q1556" s="27">
        <v>1993</v>
      </c>
      <c r="R1556" s="27">
        <v>1</v>
      </c>
      <c r="S1556" s="27">
        <v>0</v>
      </c>
      <c r="T1556" s="27">
        <v>-1.619E-2</v>
      </c>
      <c r="U1556" s="27">
        <v>-5.3969999999999997E-2</v>
      </c>
      <c r="V1556" s="27">
        <v>0</v>
      </c>
      <c r="W1556" s="27">
        <v>0</v>
      </c>
      <c r="X1556" s="27" t="s">
        <v>57</v>
      </c>
    </row>
    <row r="1557" spans="1:24">
      <c r="A1557" s="27">
        <v>5</v>
      </c>
      <c r="B1557" s="27">
        <v>1</v>
      </c>
      <c r="C1557" s="27">
        <v>3</v>
      </c>
      <c r="D1557" s="27">
        <v>2014</v>
      </c>
      <c r="E1557" s="27">
        <v>2019</v>
      </c>
      <c r="F1557" s="27">
        <v>7</v>
      </c>
      <c r="G1557" s="27">
        <v>0</v>
      </c>
      <c r="H1557" s="27">
        <v>0</v>
      </c>
      <c r="I1557" s="27">
        <v>0</v>
      </c>
      <c r="J1557" s="27">
        <v>0</v>
      </c>
      <c r="K1557" s="27">
        <v>0.82</v>
      </c>
      <c r="L1557" s="27">
        <v>2200</v>
      </c>
      <c r="M1557" s="27">
        <v>2000</v>
      </c>
      <c r="N1557" s="27">
        <v>0</v>
      </c>
      <c r="O1557" s="27">
        <v>0</v>
      </c>
      <c r="P1557" s="27" t="s">
        <v>13</v>
      </c>
      <c r="Q1557" s="27">
        <v>1993</v>
      </c>
      <c r="R1557" s="27">
        <v>1</v>
      </c>
      <c r="S1557" s="27">
        <v>0</v>
      </c>
      <c r="T1557" s="27">
        <v>-1.619E-2</v>
      </c>
      <c r="U1557" s="27">
        <v>-5.3969999999999997E-2</v>
      </c>
      <c r="V1557" s="27">
        <v>0</v>
      </c>
      <c r="W1557" s="27">
        <v>0</v>
      </c>
      <c r="X1557" s="27" t="s">
        <v>57</v>
      </c>
    </row>
    <row r="1558" spans="1:24">
      <c r="A1558" s="27">
        <v>5</v>
      </c>
      <c r="B1558" s="27">
        <v>1</v>
      </c>
      <c r="C1558" s="27">
        <v>3</v>
      </c>
      <c r="D1558" s="27">
        <v>2014</v>
      </c>
      <c r="E1558" s="27">
        <v>2019</v>
      </c>
      <c r="F1558" s="27">
        <v>8</v>
      </c>
      <c r="G1558" s="27">
        <v>0</v>
      </c>
      <c r="H1558" s="27">
        <v>0</v>
      </c>
      <c r="I1558" s="27">
        <v>0</v>
      </c>
      <c r="J1558" s="27">
        <v>0</v>
      </c>
      <c r="K1558" s="27">
        <v>0.82</v>
      </c>
      <c r="L1558" s="27">
        <v>2200</v>
      </c>
      <c r="M1558" s="27">
        <v>2000</v>
      </c>
      <c r="N1558" s="27">
        <v>0</v>
      </c>
      <c r="O1558" s="27">
        <v>0</v>
      </c>
      <c r="P1558" s="27" t="s">
        <v>13</v>
      </c>
      <c r="Q1558" s="27">
        <v>1993</v>
      </c>
      <c r="R1558" s="27">
        <v>1</v>
      </c>
      <c r="S1558" s="27">
        <v>0</v>
      </c>
      <c r="T1558" s="27">
        <v>-1.619E-2</v>
      </c>
      <c r="U1558" s="27">
        <v>-5.3969999999999997E-2</v>
      </c>
      <c r="V1558" s="27">
        <v>0</v>
      </c>
      <c r="W1558" s="27">
        <v>0</v>
      </c>
      <c r="X1558" s="27" t="s">
        <v>57</v>
      </c>
    </row>
    <row r="1559" spans="1:24">
      <c r="A1559" s="27">
        <v>5</v>
      </c>
      <c r="B1559" s="27">
        <v>1</v>
      </c>
      <c r="C1559" s="27">
        <v>3</v>
      </c>
      <c r="D1559" s="27">
        <v>2014</v>
      </c>
      <c r="E1559" s="27">
        <v>2019</v>
      </c>
      <c r="F1559" s="27">
        <v>9</v>
      </c>
      <c r="G1559" s="27">
        <v>0</v>
      </c>
      <c r="H1559" s="27">
        <v>0</v>
      </c>
      <c r="I1559" s="27">
        <v>0</v>
      </c>
      <c r="J1559" s="27">
        <v>0</v>
      </c>
      <c r="K1559" s="27">
        <v>0.82</v>
      </c>
      <c r="L1559" s="27">
        <v>2200</v>
      </c>
      <c r="M1559" s="27">
        <v>2000</v>
      </c>
      <c r="N1559" s="27">
        <v>0</v>
      </c>
      <c r="O1559" s="27">
        <v>0</v>
      </c>
      <c r="P1559" s="27" t="s">
        <v>13</v>
      </c>
      <c r="Q1559" s="27">
        <v>1993</v>
      </c>
      <c r="R1559" s="27">
        <v>1</v>
      </c>
      <c r="S1559" s="27">
        <v>0</v>
      </c>
      <c r="T1559" s="27">
        <v>-1.619E-2</v>
      </c>
      <c r="U1559" s="27">
        <v>-5.3969999999999997E-2</v>
      </c>
      <c r="V1559" s="27">
        <v>0</v>
      </c>
      <c r="W1559" s="27">
        <v>0</v>
      </c>
      <c r="X1559" s="27" t="s">
        <v>57</v>
      </c>
    </row>
    <row r="1560" spans="1:24">
      <c r="A1560" s="27">
        <v>5</v>
      </c>
      <c r="B1560" s="27">
        <v>1</v>
      </c>
      <c r="C1560" s="27">
        <v>3</v>
      </c>
      <c r="D1560" s="27">
        <v>2020</v>
      </c>
      <c r="E1560" s="27">
        <v>2029</v>
      </c>
      <c r="F1560" s="27">
        <v>1</v>
      </c>
      <c r="G1560" s="27">
        <v>0</v>
      </c>
      <c r="H1560" s="27">
        <v>0</v>
      </c>
      <c r="I1560" s="27">
        <v>0</v>
      </c>
      <c r="J1560" s="27">
        <v>0</v>
      </c>
      <c r="K1560" s="27">
        <v>0.9</v>
      </c>
      <c r="L1560" s="27">
        <v>2100</v>
      </c>
      <c r="M1560" s="27">
        <v>1900</v>
      </c>
      <c r="N1560" s="27">
        <v>0</v>
      </c>
      <c r="O1560" s="27">
        <v>0</v>
      </c>
      <c r="P1560" s="27" t="s">
        <v>13</v>
      </c>
      <c r="Q1560" s="27">
        <v>1993</v>
      </c>
      <c r="R1560" s="27">
        <v>1</v>
      </c>
      <c r="S1560" s="27">
        <v>0</v>
      </c>
      <c r="T1560" s="27">
        <v>-1.619E-2</v>
      </c>
      <c r="U1560" s="27">
        <v>-5.3969999999999997E-2</v>
      </c>
      <c r="V1560" s="27">
        <v>0</v>
      </c>
      <c r="W1560" s="27">
        <v>0</v>
      </c>
      <c r="X1560" s="27" t="s">
        <v>57</v>
      </c>
    </row>
    <row r="1561" spans="1:24">
      <c r="A1561" s="27">
        <v>5</v>
      </c>
      <c r="B1561" s="27">
        <v>1</v>
      </c>
      <c r="C1561" s="27">
        <v>3</v>
      </c>
      <c r="D1561" s="27">
        <v>2020</v>
      </c>
      <c r="E1561" s="27">
        <v>2029</v>
      </c>
      <c r="F1561" s="27">
        <v>2</v>
      </c>
      <c r="G1561" s="27">
        <v>0</v>
      </c>
      <c r="H1561" s="27">
        <v>0</v>
      </c>
      <c r="I1561" s="27">
        <v>0</v>
      </c>
      <c r="J1561" s="27">
        <v>0</v>
      </c>
      <c r="K1561" s="27">
        <v>0.9</v>
      </c>
      <c r="L1561" s="27">
        <v>2100</v>
      </c>
      <c r="M1561" s="27">
        <v>1900</v>
      </c>
      <c r="N1561" s="27">
        <v>0</v>
      </c>
      <c r="O1561" s="27">
        <v>0</v>
      </c>
      <c r="P1561" s="27" t="s">
        <v>13</v>
      </c>
      <c r="Q1561" s="27">
        <v>1993</v>
      </c>
      <c r="R1561" s="27">
        <v>1</v>
      </c>
      <c r="S1561" s="27">
        <v>0</v>
      </c>
      <c r="T1561" s="27">
        <v>-1.619E-2</v>
      </c>
      <c r="U1561" s="27">
        <v>-5.3969999999999997E-2</v>
      </c>
      <c r="V1561" s="27">
        <v>0</v>
      </c>
      <c r="W1561" s="27">
        <v>0</v>
      </c>
      <c r="X1561" s="27" t="s">
        <v>57</v>
      </c>
    </row>
    <row r="1562" spans="1:24">
      <c r="A1562" s="27">
        <v>5</v>
      </c>
      <c r="B1562" s="27">
        <v>1</v>
      </c>
      <c r="C1562" s="27">
        <v>3</v>
      </c>
      <c r="D1562" s="27">
        <v>2020</v>
      </c>
      <c r="E1562" s="27">
        <v>2029</v>
      </c>
      <c r="F1562" s="27">
        <v>3</v>
      </c>
      <c r="G1562" s="27">
        <v>0</v>
      </c>
      <c r="H1562" s="27">
        <v>0</v>
      </c>
      <c r="I1562" s="27">
        <v>0</v>
      </c>
      <c r="J1562" s="27">
        <v>0</v>
      </c>
      <c r="K1562" s="27">
        <v>0.9</v>
      </c>
      <c r="L1562" s="27">
        <v>2100</v>
      </c>
      <c r="M1562" s="27">
        <v>1900</v>
      </c>
      <c r="N1562" s="27">
        <v>0</v>
      </c>
      <c r="O1562" s="27">
        <v>0</v>
      </c>
      <c r="P1562" s="27" t="s">
        <v>13</v>
      </c>
      <c r="Q1562" s="27">
        <v>1993</v>
      </c>
      <c r="R1562" s="27">
        <v>1</v>
      </c>
      <c r="S1562" s="27">
        <v>0</v>
      </c>
      <c r="T1562" s="27">
        <v>-1.619E-2</v>
      </c>
      <c r="U1562" s="27">
        <v>-5.3969999999999997E-2</v>
      </c>
      <c r="V1562" s="27">
        <v>0</v>
      </c>
      <c r="W1562" s="27">
        <v>0</v>
      </c>
      <c r="X1562" s="27" t="s">
        <v>57</v>
      </c>
    </row>
    <row r="1563" spans="1:24">
      <c r="A1563" s="27">
        <v>5</v>
      </c>
      <c r="B1563" s="27">
        <v>1</v>
      </c>
      <c r="C1563" s="27">
        <v>3</v>
      </c>
      <c r="D1563" s="27">
        <v>2020</v>
      </c>
      <c r="E1563" s="27">
        <v>2029</v>
      </c>
      <c r="F1563" s="27">
        <v>4</v>
      </c>
      <c r="G1563" s="27">
        <v>0</v>
      </c>
      <c r="H1563" s="27">
        <v>0</v>
      </c>
      <c r="I1563" s="27">
        <v>0</v>
      </c>
      <c r="J1563" s="27">
        <v>0</v>
      </c>
      <c r="K1563" s="27">
        <v>0.9</v>
      </c>
      <c r="L1563" s="27">
        <v>2100</v>
      </c>
      <c r="M1563" s="27">
        <v>1900</v>
      </c>
      <c r="N1563" s="27">
        <v>0</v>
      </c>
      <c r="O1563" s="27">
        <v>0</v>
      </c>
      <c r="P1563" s="27" t="s">
        <v>13</v>
      </c>
      <c r="Q1563" s="27">
        <v>1993</v>
      </c>
      <c r="R1563" s="27">
        <v>1</v>
      </c>
      <c r="S1563" s="27">
        <v>0</v>
      </c>
      <c r="T1563" s="27">
        <v>-1.619E-2</v>
      </c>
      <c r="U1563" s="27">
        <v>-5.3969999999999997E-2</v>
      </c>
      <c r="V1563" s="27">
        <v>0</v>
      </c>
      <c r="W1563" s="27">
        <v>0</v>
      </c>
      <c r="X1563" s="27" t="s">
        <v>57</v>
      </c>
    </row>
    <row r="1564" spans="1:24">
      <c r="A1564" s="27">
        <v>5</v>
      </c>
      <c r="B1564" s="27">
        <v>1</v>
      </c>
      <c r="C1564" s="27">
        <v>3</v>
      </c>
      <c r="D1564" s="27">
        <v>2020</v>
      </c>
      <c r="E1564" s="27">
        <v>2029</v>
      </c>
      <c r="F1564" s="27">
        <v>5</v>
      </c>
      <c r="G1564" s="27">
        <v>0</v>
      </c>
      <c r="H1564" s="27">
        <v>0</v>
      </c>
      <c r="I1564" s="27">
        <v>0</v>
      </c>
      <c r="J1564" s="27">
        <v>0</v>
      </c>
      <c r="K1564" s="27">
        <v>0.9</v>
      </c>
      <c r="L1564" s="27">
        <v>2100</v>
      </c>
      <c r="M1564" s="27">
        <v>1900</v>
      </c>
      <c r="N1564" s="27">
        <v>0</v>
      </c>
      <c r="O1564" s="27">
        <v>0</v>
      </c>
      <c r="P1564" s="27" t="s">
        <v>13</v>
      </c>
      <c r="Q1564" s="27">
        <v>1993</v>
      </c>
      <c r="R1564" s="27">
        <v>1</v>
      </c>
      <c r="S1564" s="27">
        <v>0</v>
      </c>
      <c r="T1564" s="27">
        <v>-1.619E-2</v>
      </c>
      <c r="U1564" s="27">
        <v>-5.3969999999999997E-2</v>
      </c>
      <c r="V1564" s="27">
        <v>0</v>
      </c>
      <c r="W1564" s="27">
        <v>0</v>
      </c>
      <c r="X1564" s="27" t="s">
        <v>57</v>
      </c>
    </row>
    <row r="1565" spans="1:24">
      <c r="A1565" s="27">
        <v>5</v>
      </c>
      <c r="B1565" s="27">
        <v>1</v>
      </c>
      <c r="C1565" s="27">
        <v>3</v>
      </c>
      <c r="D1565" s="27">
        <v>2020</v>
      </c>
      <c r="E1565" s="27">
        <v>2029</v>
      </c>
      <c r="F1565" s="27">
        <v>6</v>
      </c>
      <c r="G1565" s="27">
        <v>0</v>
      </c>
      <c r="H1565" s="27">
        <v>0</v>
      </c>
      <c r="I1565" s="27">
        <v>0</v>
      </c>
      <c r="J1565" s="27">
        <v>0</v>
      </c>
      <c r="K1565" s="27">
        <v>0.9</v>
      </c>
      <c r="L1565" s="27">
        <v>2100</v>
      </c>
      <c r="M1565" s="27">
        <v>1900</v>
      </c>
      <c r="N1565" s="27">
        <v>0</v>
      </c>
      <c r="O1565" s="27">
        <v>0</v>
      </c>
      <c r="P1565" s="27" t="s">
        <v>13</v>
      </c>
      <c r="Q1565" s="27">
        <v>1993</v>
      </c>
      <c r="R1565" s="27">
        <v>1</v>
      </c>
      <c r="S1565" s="27">
        <v>0</v>
      </c>
      <c r="T1565" s="27">
        <v>-1.619E-2</v>
      </c>
      <c r="U1565" s="27">
        <v>-5.3969999999999997E-2</v>
      </c>
      <c r="V1565" s="27">
        <v>0</v>
      </c>
      <c r="W1565" s="27">
        <v>0</v>
      </c>
      <c r="X1565" s="27" t="s">
        <v>57</v>
      </c>
    </row>
    <row r="1566" spans="1:24">
      <c r="A1566" s="27">
        <v>5</v>
      </c>
      <c r="B1566" s="27">
        <v>1</v>
      </c>
      <c r="C1566" s="27">
        <v>3</v>
      </c>
      <c r="D1566" s="27">
        <v>2020</v>
      </c>
      <c r="E1566" s="27">
        <v>2029</v>
      </c>
      <c r="F1566" s="27">
        <v>7</v>
      </c>
      <c r="G1566" s="27">
        <v>0</v>
      </c>
      <c r="H1566" s="27">
        <v>0</v>
      </c>
      <c r="I1566" s="27">
        <v>0</v>
      </c>
      <c r="J1566" s="27">
        <v>0</v>
      </c>
      <c r="K1566" s="27">
        <v>0.9</v>
      </c>
      <c r="L1566" s="27">
        <v>2100</v>
      </c>
      <c r="M1566" s="27">
        <v>1900</v>
      </c>
      <c r="N1566" s="27">
        <v>0</v>
      </c>
      <c r="O1566" s="27">
        <v>0</v>
      </c>
      <c r="P1566" s="27" t="s">
        <v>13</v>
      </c>
      <c r="Q1566" s="27">
        <v>1993</v>
      </c>
      <c r="R1566" s="27">
        <v>1</v>
      </c>
      <c r="S1566" s="27">
        <v>0</v>
      </c>
      <c r="T1566" s="27">
        <v>-1.619E-2</v>
      </c>
      <c r="U1566" s="27">
        <v>-5.3969999999999997E-2</v>
      </c>
      <c r="V1566" s="27">
        <v>0</v>
      </c>
      <c r="W1566" s="27">
        <v>0</v>
      </c>
      <c r="X1566" s="27" t="s">
        <v>57</v>
      </c>
    </row>
    <row r="1567" spans="1:24">
      <c r="A1567" s="27">
        <v>5</v>
      </c>
      <c r="B1567" s="27">
        <v>1</v>
      </c>
      <c r="C1567" s="27">
        <v>3</v>
      </c>
      <c r="D1567" s="27">
        <v>2020</v>
      </c>
      <c r="E1567" s="27">
        <v>2029</v>
      </c>
      <c r="F1567" s="27">
        <v>8</v>
      </c>
      <c r="G1567" s="27">
        <v>0</v>
      </c>
      <c r="H1567" s="27">
        <v>0</v>
      </c>
      <c r="I1567" s="27">
        <v>0</v>
      </c>
      <c r="J1567" s="27">
        <v>0</v>
      </c>
      <c r="K1567" s="27">
        <v>0.9</v>
      </c>
      <c r="L1567" s="27">
        <v>2100</v>
      </c>
      <c r="M1567" s="27">
        <v>1900</v>
      </c>
      <c r="N1567" s="27">
        <v>0</v>
      </c>
      <c r="O1567" s="27">
        <v>0</v>
      </c>
      <c r="P1567" s="27" t="s">
        <v>13</v>
      </c>
      <c r="Q1567" s="27">
        <v>1993</v>
      </c>
      <c r="R1567" s="27">
        <v>1</v>
      </c>
      <c r="S1567" s="27">
        <v>0</v>
      </c>
      <c r="T1567" s="27">
        <v>-1.619E-2</v>
      </c>
      <c r="U1567" s="27">
        <v>-5.3969999999999997E-2</v>
      </c>
      <c r="V1567" s="27">
        <v>0</v>
      </c>
      <c r="W1567" s="27">
        <v>0</v>
      </c>
      <c r="X1567" s="27" t="s">
        <v>57</v>
      </c>
    </row>
    <row r="1568" spans="1:24">
      <c r="A1568" s="27">
        <v>5</v>
      </c>
      <c r="B1568" s="27">
        <v>1</v>
      </c>
      <c r="C1568" s="27">
        <v>3</v>
      </c>
      <c r="D1568" s="27">
        <v>2020</v>
      </c>
      <c r="E1568" s="27">
        <v>2029</v>
      </c>
      <c r="F1568" s="27">
        <v>9</v>
      </c>
      <c r="G1568" s="27">
        <v>0</v>
      </c>
      <c r="H1568" s="27">
        <v>0</v>
      </c>
      <c r="I1568" s="27">
        <v>0</v>
      </c>
      <c r="J1568" s="27">
        <v>0</v>
      </c>
      <c r="K1568" s="27">
        <v>0.9</v>
      </c>
      <c r="L1568" s="27">
        <v>2100</v>
      </c>
      <c r="M1568" s="27">
        <v>1900</v>
      </c>
      <c r="N1568" s="27">
        <v>0</v>
      </c>
      <c r="O1568" s="27">
        <v>0</v>
      </c>
      <c r="P1568" s="27" t="s">
        <v>13</v>
      </c>
      <c r="Q1568" s="27">
        <v>1993</v>
      </c>
      <c r="R1568" s="27">
        <v>1</v>
      </c>
      <c r="S1568" s="27">
        <v>0</v>
      </c>
      <c r="T1568" s="27">
        <v>-1.619E-2</v>
      </c>
      <c r="U1568" s="27">
        <v>-5.3969999999999997E-2</v>
      </c>
      <c r="V1568" s="27">
        <v>0</v>
      </c>
      <c r="W1568" s="27">
        <v>0</v>
      </c>
      <c r="X1568" s="27" t="s">
        <v>57</v>
      </c>
    </row>
    <row r="1569" spans="1:24">
      <c r="A1569" s="27">
        <v>5</v>
      </c>
      <c r="B1569" s="27">
        <v>1</v>
      </c>
      <c r="C1569" s="27">
        <v>3</v>
      </c>
      <c r="D1569" s="27">
        <v>2030</v>
      </c>
      <c r="E1569" s="27">
        <v>2050</v>
      </c>
      <c r="F1569" s="27">
        <v>1</v>
      </c>
      <c r="G1569" s="27">
        <v>0</v>
      </c>
      <c r="H1569" s="27">
        <v>0</v>
      </c>
      <c r="I1569" s="27">
        <v>0</v>
      </c>
      <c r="J1569" s="27">
        <v>0</v>
      </c>
      <c r="K1569" s="27">
        <v>0.85</v>
      </c>
      <c r="L1569" s="27">
        <v>1900</v>
      </c>
      <c r="M1569" s="27">
        <v>1720</v>
      </c>
      <c r="N1569" s="27">
        <v>0</v>
      </c>
      <c r="O1569" s="27">
        <v>0</v>
      </c>
      <c r="P1569" s="27" t="s">
        <v>13</v>
      </c>
      <c r="Q1569" s="27">
        <v>1993</v>
      </c>
      <c r="R1569" s="27">
        <v>1</v>
      </c>
      <c r="S1569" s="27">
        <v>0</v>
      </c>
      <c r="T1569" s="27">
        <v>-1.619E-2</v>
      </c>
      <c r="U1569" s="27">
        <v>-5.3969999999999997E-2</v>
      </c>
      <c r="V1569" s="27">
        <v>0</v>
      </c>
      <c r="W1569" s="27">
        <v>0</v>
      </c>
      <c r="X1569" s="27" t="s">
        <v>57</v>
      </c>
    </row>
    <row r="1570" spans="1:24">
      <c r="A1570" s="27">
        <v>5</v>
      </c>
      <c r="B1570" s="27">
        <v>1</v>
      </c>
      <c r="C1570" s="27">
        <v>3</v>
      </c>
      <c r="D1570" s="27">
        <v>2030</v>
      </c>
      <c r="E1570" s="27">
        <v>2050</v>
      </c>
      <c r="F1570" s="27">
        <v>2</v>
      </c>
      <c r="G1570" s="27">
        <v>0</v>
      </c>
      <c r="H1570" s="27">
        <v>0</v>
      </c>
      <c r="I1570" s="27">
        <v>0</v>
      </c>
      <c r="J1570" s="27">
        <v>0</v>
      </c>
      <c r="K1570" s="27">
        <v>0.85</v>
      </c>
      <c r="L1570" s="27">
        <v>1900</v>
      </c>
      <c r="M1570" s="27">
        <v>1720</v>
      </c>
      <c r="N1570" s="27">
        <v>0</v>
      </c>
      <c r="O1570" s="27">
        <v>0</v>
      </c>
      <c r="P1570" s="27" t="s">
        <v>13</v>
      </c>
      <c r="Q1570" s="27">
        <v>1993</v>
      </c>
      <c r="R1570" s="27">
        <v>1</v>
      </c>
      <c r="S1570" s="27">
        <v>0</v>
      </c>
      <c r="T1570" s="27">
        <v>-1.619E-2</v>
      </c>
      <c r="U1570" s="27">
        <v>-5.3969999999999997E-2</v>
      </c>
      <c r="V1570" s="27">
        <v>0</v>
      </c>
      <c r="W1570" s="27">
        <v>0</v>
      </c>
      <c r="X1570" s="27" t="s">
        <v>57</v>
      </c>
    </row>
    <row r="1571" spans="1:24">
      <c r="A1571" s="27">
        <v>5</v>
      </c>
      <c r="B1571" s="27">
        <v>1</v>
      </c>
      <c r="C1571" s="27">
        <v>3</v>
      </c>
      <c r="D1571" s="27">
        <v>2030</v>
      </c>
      <c r="E1571" s="27">
        <v>2050</v>
      </c>
      <c r="F1571" s="27">
        <v>3</v>
      </c>
      <c r="G1571" s="27">
        <v>0</v>
      </c>
      <c r="H1571" s="27">
        <v>0</v>
      </c>
      <c r="I1571" s="27">
        <v>0</v>
      </c>
      <c r="J1571" s="27">
        <v>0</v>
      </c>
      <c r="K1571" s="27">
        <v>0.85</v>
      </c>
      <c r="L1571" s="27">
        <v>1900</v>
      </c>
      <c r="M1571" s="27">
        <v>1720</v>
      </c>
      <c r="N1571" s="27">
        <v>0</v>
      </c>
      <c r="O1571" s="27">
        <v>0</v>
      </c>
      <c r="P1571" s="27" t="s">
        <v>13</v>
      </c>
      <c r="Q1571" s="27">
        <v>1993</v>
      </c>
      <c r="R1571" s="27">
        <v>1</v>
      </c>
      <c r="S1571" s="27">
        <v>0</v>
      </c>
      <c r="T1571" s="27">
        <v>-1.619E-2</v>
      </c>
      <c r="U1571" s="27">
        <v>-5.3969999999999997E-2</v>
      </c>
      <c r="V1571" s="27">
        <v>0</v>
      </c>
      <c r="W1571" s="27">
        <v>0</v>
      </c>
      <c r="X1571" s="27" t="s">
        <v>57</v>
      </c>
    </row>
    <row r="1572" spans="1:24">
      <c r="A1572" s="27">
        <v>5</v>
      </c>
      <c r="B1572" s="27">
        <v>1</v>
      </c>
      <c r="C1572" s="27">
        <v>3</v>
      </c>
      <c r="D1572" s="27">
        <v>2030</v>
      </c>
      <c r="E1572" s="27">
        <v>2050</v>
      </c>
      <c r="F1572" s="27">
        <v>4</v>
      </c>
      <c r="G1572" s="27">
        <v>0</v>
      </c>
      <c r="H1572" s="27">
        <v>0</v>
      </c>
      <c r="I1572" s="27">
        <v>0</v>
      </c>
      <c r="J1572" s="27">
        <v>0</v>
      </c>
      <c r="K1572" s="27">
        <v>0.85</v>
      </c>
      <c r="L1572" s="27">
        <v>1900</v>
      </c>
      <c r="M1572" s="27">
        <v>1720</v>
      </c>
      <c r="N1572" s="27">
        <v>0</v>
      </c>
      <c r="O1572" s="27">
        <v>0</v>
      </c>
      <c r="P1572" s="27" t="s">
        <v>13</v>
      </c>
      <c r="Q1572" s="27">
        <v>1993</v>
      </c>
      <c r="R1572" s="27">
        <v>1</v>
      </c>
      <c r="S1572" s="27">
        <v>0</v>
      </c>
      <c r="T1572" s="27">
        <v>-1.619E-2</v>
      </c>
      <c r="U1572" s="27">
        <v>-5.3969999999999997E-2</v>
      </c>
      <c r="V1572" s="27">
        <v>0</v>
      </c>
      <c r="W1572" s="27">
        <v>0</v>
      </c>
      <c r="X1572" s="27" t="s">
        <v>57</v>
      </c>
    </row>
    <row r="1573" spans="1:24">
      <c r="A1573" s="27">
        <v>5</v>
      </c>
      <c r="B1573" s="27">
        <v>1</v>
      </c>
      <c r="C1573" s="27">
        <v>3</v>
      </c>
      <c r="D1573" s="27">
        <v>2030</v>
      </c>
      <c r="E1573" s="27">
        <v>2050</v>
      </c>
      <c r="F1573" s="27">
        <v>5</v>
      </c>
      <c r="G1573" s="27">
        <v>0</v>
      </c>
      <c r="H1573" s="27">
        <v>0</v>
      </c>
      <c r="I1573" s="27">
        <v>0</v>
      </c>
      <c r="J1573" s="27">
        <v>0</v>
      </c>
      <c r="K1573" s="27">
        <v>0.85</v>
      </c>
      <c r="L1573" s="27">
        <v>1900</v>
      </c>
      <c r="M1573" s="27">
        <v>1720</v>
      </c>
      <c r="N1573" s="27">
        <v>0</v>
      </c>
      <c r="O1573" s="27">
        <v>0</v>
      </c>
      <c r="P1573" s="27" t="s">
        <v>13</v>
      </c>
      <c r="Q1573" s="27">
        <v>1993</v>
      </c>
      <c r="R1573" s="27">
        <v>1</v>
      </c>
      <c r="S1573" s="27">
        <v>0</v>
      </c>
      <c r="T1573" s="27">
        <v>-1.619E-2</v>
      </c>
      <c r="U1573" s="27">
        <v>-5.3969999999999997E-2</v>
      </c>
      <c r="V1573" s="27">
        <v>0</v>
      </c>
      <c r="W1573" s="27">
        <v>0</v>
      </c>
      <c r="X1573" s="27" t="s">
        <v>57</v>
      </c>
    </row>
    <row r="1574" spans="1:24">
      <c r="A1574" s="27">
        <v>5</v>
      </c>
      <c r="B1574" s="27">
        <v>1</v>
      </c>
      <c r="C1574" s="27">
        <v>3</v>
      </c>
      <c r="D1574" s="27">
        <v>2030</v>
      </c>
      <c r="E1574" s="27">
        <v>2050</v>
      </c>
      <c r="F1574" s="27">
        <v>6</v>
      </c>
      <c r="G1574" s="27">
        <v>0</v>
      </c>
      <c r="H1574" s="27">
        <v>0</v>
      </c>
      <c r="I1574" s="27">
        <v>0</v>
      </c>
      <c r="J1574" s="27">
        <v>0</v>
      </c>
      <c r="K1574" s="27">
        <v>0.85</v>
      </c>
      <c r="L1574" s="27">
        <v>1900</v>
      </c>
      <c r="M1574" s="27">
        <v>1720</v>
      </c>
      <c r="N1574" s="27">
        <v>0</v>
      </c>
      <c r="O1574" s="27">
        <v>0</v>
      </c>
      <c r="P1574" s="27" t="s">
        <v>13</v>
      </c>
      <c r="Q1574" s="27">
        <v>1993</v>
      </c>
      <c r="R1574" s="27">
        <v>1</v>
      </c>
      <c r="S1574" s="27">
        <v>0</v>
      </c>
      <c r="T1574" s="27">
        <v>-1.619E-2</v>
      </c>
      <c r="U1574" s="27">
        <v>-5.3969999999999997E-2</v>
      </c>
      <c r="V1574" s="27">
        <v>0</v>
      </c>
      <c r="W1574" s="27">
        <v>0</v>
      </c>
      <c r="X1574" s="27" t="s">
        <v>57</v>
      </c>
    </row>
    <row r="1575" spans="1:24">
      <c r="A1575" s="27">
        <v>5</v>
      </c>
      <c r="B1575" s="27">
        <v>1</v>
      </c>
      <c r="C1575" s="27">
        <v>3</v>
      </c>
      <c r="D1575" s="27">
        <v>2030</v>
      </c>
      <c r="E1575" s="27">
        <v>2050</v>
      </c>
      <c r="F1575" s="27">
        <v>7</v>
      </c>
      <c r="G1575" s="27">
        <v>0</v>
      </c>
      <c r="H1575" s="27">
        <v>0</v>
      </c>
      <c r="I1575" s="27">
        <v>0</v>
      </c>
      <c r="J1575" s="27">
        <v>0</v>
      </c>
      <c r="K1575" s="27">
        <v>0.85</v>
      </c>
      <c r="L1575" s="27">
        <v>1900</v>
      </c>
      <c r="M1575" s="27">
        <v>1720</v>
      </c>
      <c r="N1575" s="27">
        <v>0</v>
      </c>
      <c r="O1575" s="27">
        <v>0</v>
      </c>
      <c r="P1575" s="27" t="s">
        <v>13</v>
      </c>
      <c r="Q1575" s="27">
        <v>1993</v>
      </c>
      <c r="R1575" s="27">
        <v>1</v>
      </c>
      <c r="S1575" s="27">
        <v>0</v>
      </c>
      <c r="T1575" s="27">
        <v>-1.619E-2</v>
      </c>
      <c r="U1575" s="27">
        <v>-5.3969999999999997E-2</v>
      </c>
      <c r="V1575" s="27">
        <v>0</v>
      </c>
      <c r="W1575" s="27">
        <v>0</v>
      </c>
      <c r="X1575" s="27" t="s">
        <v>57</v>
      </c>
    </row>
    <row r="1576" spans="1:24">
      <c r="A1576" s="27">
        <v>5</v>
      </c>
      <c r="B1576" s="27">
        <v>1</v>
      </c>
      <c r="C1576" s="27">
        <v>3</v>
      </c>
      <c r="D1576" s="27">
        <v>2030</v>
      </c>
      <c r="E1576" s="27">
        <v>2050</v>
      </c>
      <c r="F1576" s="27">
        <v>8</v>
      </c>
      <c r="G1576" s="27">
        <v>0</v>
      </c>
      <c r="H1576" s="27">
        <v>0</v>
      </c>
      <c r="I1576" s="27">
        <v>0</v>
      </c>
      <c r="J1576" s="27">
        <v>0</v>
      </c>
      <c r="K1576" s="27">
        <v>0.85</v>
      </c>
      <c r="L1576" s="27">
        <v>1900</v>
      </c>
      <c r="M1576" s="27">
        <v>1720</v>
      </c>
      <c r="N1576" s="27">
        <v>0</v>
      </c>
      <c r="O1576" s="27">
        <v>0</v>
      </c>
      <c r="P1576" s="27" t="s">
        <v>13</v>
      </c>
      <c r="Q1576" s="27">
        <v>1993</v>
      </c>
      <c r="R1576" s="27">
        <v>1</v>
      </c>
      <c r="S1576" s="27">
        <v>0</v>
      </c>
      <c r="T1576" s="27">
        <v>-1.619E-2</v>
      </c>
      <c r="U1576" s="27">
        <v>-5.3969999999999997E-2</v>
      </c>
      <c r="V1576" s="27">
        <v>0</v>
      </c>
      <c r="W1576" s="27">
        <v>0</v>
      </c>
      <c r="X1576" s="27" t="s">
        <v>57</v>
      </c>
    </row>
    <row r="1577" spans="1:24">
      <c r="A1577" s="27">
        <v>5</v>
      </c>
      <c r="B1577" s="27">
        <v>1</v>
      </c>
      <c r="C1577" s="27">
        <v>3</v>
      </c>
      <c r="D1577" s="27">
        <v>2030</v>
      </c>
      <c r="E1577" s="27">
        <v>2050</v>
      </c>
      <c r="F1577" s="27">
        <v>9</v>
      </c>
      <c r="G1577" s="27">
        <v>0</v>
      </c>
      <c r="H1577" s="27">
        <v>0</v>
      </c>
      <c r="I1577" s="27">
        <v>0</v>
      </c>
      <c r="J1577" s="27">
        <v>0</v>
      </c>
      <c r="K1577" s="27">
        <v>0.85</v>
      </c>
      <c r="L1577" s="27">
        <v>1900</v>
      </c>
      <c r="M1577" s="27">
        <v>1720</v>
      </c>
      <c r="N1577" s="27">
        <v>0</v>
      </c>
      <c r="O1577" s="27">
        <v>0</v>
      </c>
      <c r="P1577" s="27" t="s">
        <v>13</v>
      </c>
      <c r="Q1577" s="27">
        <v>1993</v>
      </c>
      <c r="R1577" s="27">
        <v>1</v>
      </c>
      <c r="S1577" s="27">
        <v>0</v>
      </c>
      <c r="T1577" s="27">
        <v>-1.619E-2</v>
      </c>
      <c r="U1577" s="27">
        <v>-5.3969999999999997E-2</v>
      </c>
      <c r="V1577" s="27">
        <v>0</v>
      </c>
      <c r="W1577" s="27">
        <v>0</v>
      </c>
      <c r="X1577" s="27" t="s">
        <v>57</v>
      </c>
    </row>
    <row r="1578" spans="1:24">
      <c r="A1578" s="27">
        <v>5</v>
      </c>
      <c r="B1578" s="27">
        <v>1</v>
      </c>
      <c r="C1578" s="27">
        <v>4</v>
      </c>
      <c r="D1578" s="27">
        <v>2010</v>
      </c>
      <c r="E1578" s="27">
        <v>2010</v>
      </c>
      <c r="F1578" s="27">
        <v>1</v>
      </c>
      <c r="G1578" s="27">
        <v>0</v>
      </c>
      <c r="H1578" s="27">
        <v>0</v>
      </c>
      <c r="I1578" s="27">
        <v>0</v>
      </c>
      <c r="J1578" s="27">
        <v>0</v>
      </c>
      <c r="K1578" s="27">
        <v>0.85</v>
      </c>
      <c r="L1578" s="27">
        <v>1600</v>
      </c>
      <c r="M1578" s="27">
        <v>1400</v>
      </c>
      <c r="N1578" s="27">
        <v>530</v>
      </c>
      <c r="O1578" s="27">
        <v>464</v>
      </c>
      <c r="P1578" s="27" t="s">
        <v>13</v>
      </c>
      <c r="Q1578" s="27">
        <v>1993</v>
      </c>
      <c r="R1578" s="27">
        <v>1</v>
      </c>
      <c r="S1578" s="27">
        <v>0</v>
      </c>
      <c r="T1578" s="27">
        <v>-1.619E-2</v>
      </c>
      <c r="U1578" s="27">
        <v>-5.3969999999999997E-2</v>
      </c>
      <c r="V1578" s="27">
        <v>0</v>
      </c>
      <c r="W1578" s="27">
        <v>0</v>
      </c>
      <c r="X1578" s="27" t="s">
        <v>58</v>
      </c>
    </row>
    <row r="1579" spans="1:24">
      <c r="A1579" s="27">
        <v>5</v>
      </c>
      <c r="B1579" s="27">
        <v>1</v>
      </c>
      <c r="C1579" s="27">
        <v>4</v>
      </c>
      <c r="D1579" s="27">
        <v>2010</v>
      </c>
      <c r="E1579" s="27">
        <v>2010</v>
      </c>
      <c r="F1579" s="27">
        <v>2</v>
      </c>
      <c r="G1579" s="27">
        <v>0</v>
      </c>
      <c r="H1579" s="27">
        <v>0</v>
      </c>
      <c r="I1579" s="27">
        <v>0</v>
      </c>
      <c r="J1579" s="27">
        <v>0</v>
      </c>
      <c r="K1579" s="27">
        <v>0.85</v>
      </c>
      <c r="L1579" s="27">
        <v>1600</v>
      </c>
      <c r="M1579" s="27">
        <v>1400</v>
      </c>
      <c r="N1579" s="27">
        <v>530</v>
      </c>
      <c r="O1579" s="27">
        <v>464</v>
      </c>
      <c r="P1579" s="27" t="s">
        <v>13</v>
      </c>
      <c r="Q1579" s="27">
        <v>1993</v>
      </c>
      <c r="R1579" s="27">
        <v>1</v>
      </c>
      <c r="S1579" s="27">
        <v>0</v>
      </c>
      <c r="T1579" s="27">
        <v>-1.619E-2</v>
      </c>
      <c r="U1579" s="27">
        <v>-5.3969999999999997E-2</v>
      </c>
      <c r="V1579" s="27">
        <v>0</v>
      </c>
      <c r="W1579" s="27">
        <v>0</v>
      </c>
      <c r="X1579" s="27" t="s">
        <v>58</v>
      </c>
    </row>
    <row r="1580" spans="1:24">
      <c r="A1580" s="27">
        <v>5</v>
      </c>
      <c r="B1580" s="27">
        <v>1</v>
      </c>
      <c r="C1580" s="27">
        <v>4</v>
      </c>
      <c r="D1580" s="27">
        <v>2010</v>
      </c>
      <c r="E1580" s="27">
        <v>2010</v>
      </c>
      <c r="F1580" s="27">
        <v>3</v>
      </c>
      <c r="G1580" s="27">
        <v>0</v>
      </c>
      <c r="H1580" s="27">
        <v>0</v>
      </c>
      <c r="I1580" s="27">
        <v>0</v>
      </c>
      <c r="J1580" s="27">
        <v>0</v>
      </c>
      <c r="K1580" s="27">
        <v>0.85</v>
      </c>
      <c r="L1580" s="27">
        <v>1600</v>
      </c>
      <c r="M1580" s="27">
        <v>1400</v>
      </c>
      <c r="N1580" s="27">
        <v>530</v>
      </c>
      <c r="O1580" s="27">
        <v>464</v>
      </c>
      <c r="P1580" s="27" t="s">
        <v>13</v>
      </c>
      <c r="Q1580" s="27">
        <v>1993</v>
      </c>
      <c r="R1580" s="27">
        <v>1</v>
      </c>
      <c r="S1580" s="27">
        <v>0</v>
      </c>
      <c r="T1580" s="27">
        <v>-1.619E-2</v>
      </c>
      <c r="U1580" s="27">
        <v>-5.3969999999999997E-2</v>
      </c>
      <c r="V1580" s="27">
        <v>0</v>
      </c>
      <c r="W1580" s="27">
        <v>0</v>
      </c>
      <c r="X1580" s="27" t="s">
        <v>58</v>
      </c>
    </row>
    <row r="1581" spans="1:24">
      <c r="A1581" s="27">
        <v>5</v>
      </c>
      <c r="B1581" s="27">
        <v>1</v>
      </c>
      <c r="C1581" s="27">
        <v>4</v>
      </c>
      <c r="D1581" s="27">
        <v>2010</v>
      </c>
      <c r="E1581" s="27">
        <v>2010</v>
      </c>
      <c r="F1581" s="27">
        <v>4</v>
      </c>
      <c r="G1581" s="27">
        <v>0</v>
      </c>
      <c r="H1581" s="27">
        <v>0</v>
      </c>
      <c r="I1581" s="27">
        <v>0</v>
      </c>
      <c r="J1581" s="27">
        <v>0</v>
      </c>
      <c r="K1581" s="27">
        <v>0.85</v>
      </c>
      <c r="L1581" s="27">
        <v>1600</v>
      </c>
      <c r="M1581" s="27">
        <v>1400</v>
      </c>
      <c r="N1581" s="27">
        <v>530</v>
      </c>
      <c r="O1581" s="27">
        <v>464</v>
      </c>
      <c r="P1581" s="27" t="s">
        <v>13</v>
      </c>
      <c r="Q1581" s="27">
        <v>1993</v>
      </c>
      <c r="R1581" s="27">
        <v>1</v>
      </c>
      <c r="S1581" s="27">
        <v>0</v>
      </c>
      <c r="T1581" s="27">
        <v>-1.619E-2</v>
      </c>
      <c r="U1581" s="27">
        <v>-5.3969999999999997E-2</v>
      </c>
      <c r="V1581" s="27">
        <v>0</v>
      </c>
      <c r="W1581" s="27">
        <v>0</v>
      </c>
      <c r="X1581" s="27" t="s">
        <v>58</v>
      </c>
    </row>
    <row r="1582" spans="1:24">
      <c r="A1582" s="27">
        <v>5</v>
      </c>
      <c r="B1582" s="27">
        <v>1</v>
      </c>
      <c r="C1582" s="27">
        <v>4</v>
      </c>
      <c r="D1582" s="27">
        <v>2010</v>
      </c>
      <c r="E1582" s="27">
        <v>2010</v>
      </c>
      <c r="F1582" s="27">
        <v>5</v>
      </c>
      <c r="G1582" s="27">
        <v>0</v>
      </c>
      <c r="H1582" s="27">
        <v>0</v>
      </c>
      <c r="I1582" s="27">
        <v>0</v>
      </c>
      <c r="J1582" s="27">
        <v>0</v>
      </c>
      <c r="K1582" s="27">
        <v>0.85</v>
      </c>
      <c r="L1582" s="27">
        <v>1600</v>
      </c>
      <c r="M1582" s="27">
        <v>1400</v>
      </c>
      <c r="N1582" s="27">
        <v>530</v>
      </c>
      <c r="O1582" s="27">
        <v>464</v>
      </c>
      <c r="P1582" s="27" t="s">
        <v>13</v>
      </c>
      <c r="Q1582" s="27">
        <v>1993</v>
      </c>
      <c r="R1582" s="27">
        <v>1</v>
      </c>
      <c r="S1582" s="27">
        <v>0</v>
      </c>
      <c r="T1582" s="27">
        <v>-1.619E-2</v>
      </c>
      <c r="U1582" s="27">
        <v>-5.3969999999999997E-2</v>
      </c>
      <c r="V1582" s="27">
        <v>0</v>
      </c>
      <c r="W1582" s="27">
        <v>0</v>
      </c>
      <c r="X1582" s="27" t="s">
        <v>58</v>
      </c>
    </row>
    <row r="1583" spans="1:24">
      <c r="A1583" s="27">
        <v>5</v>
      </c>
      <c r="B1583" s="27">
        <v>1</v>
      </c>
      <c r="C1583" s="27">
        <v>4</v>
      </c>
      <c r="D1583" s="27">
        <v>2010</v>
      </c>
      <c r="E1583" s="27">
        <v>2010</v>
      </c>
      <c r="F1583" s="27">
        <v>6</v>
      </c>
      <c r="G1583" s="27">
        <v>0</v>
      </c>
      <c r="H1583" s="27">
        <v>0</v>
      </c>
      <c r="I1583" s="27">
        <v>0</v>
      </c>
      <c r="J1583" s="27">
        <v>0</v>
      </c>
      <c r="K1583" s="27">
        <v>0.85</v>
      </c>
      <c r="L1583" s="27">
        <v>1600</v>
      </c>
      <c r="M1583" s="27">
        <v>1400</v>
      </c>
      <c r="N1583" s="27">
        <v>530</v>
      </c>
      <c r="O1583" s="27">
        <v>464</v>
      </c>
      <c r="P1583" s="27" t="s">
        <v>13</v>
      </c>
      <c r="Q1583" s="27">
        <v>1993</v>
      </c>
      <c r="R1583" s="27">
        <v>1</v>
      </c>
      <c r="S1583" s="27">
        <v>0</v>
      </c>
      <c r="T1583" s="27">
        <v>-1.619E-2</v>
      </c>
      <c r="U1583" s="27">
        <v>-5.3969999999999997E-2</v>
      </c>
      <c r="V1583" s="27">
        <v>0</v>
      </c>
      <c r="W1583" s="27">
        <v>0</v>
      </c>
      <c r="X1583" s="27" t="s">
        <v>58</v>
      </c>
    </row>
    <row r="1584" spans="1:24">
      <c r="A1584" s="27">
        <v>5</v>
      </c>
      <c r="B1584" s="27">
        <v>1</v>
      </c>
      <c r="C1584" s="27">
        <v>4</v>
      </c>
      <c r="D1584" s="27">
        <v>2010</v>
      </c>
      <c r="E1584" s="27">
        <v>2010</v>
      </c>
      <c r="F1584" s="27">
        <v>7</v>
      </c>
      <c r="G1584" s="27">
        <v>0</v>
      </c>
      <c r="H1584" s="27">
        <v>0</v>
      </c>
      <c r="I1584" s="27">
        <v>0</v>
      </c>
      <c r="J1584" s="27">
        <v>0</v>
      </c>
      <c r="K1584" s="27">
        <v>0.85</v>
      </c>
      <c r="L1584" s="27">
        <v>1600</v>
      </c>
      <c r="M1584" s="27">
        <v>1400</v>
      </c>
      <c r="N1584" s="27">
        <v>530</v>
      </c>
      <c r="O1584" s="27">
        <v>464</v>
      </c>
      <c r="P1584" s="27" t="s">
        <v>13</v>
      </c>
      <c r="Q1584" s="27">
        <v>1993</v>
      </c>
      <c r="R1584" s="27">
        <v>1</v>
      </c>
      <c r="S1584" s="27">
        <v>0</v>
      </c>
      <c r="T1584" s="27">
        <v>-1.619E-2</v>
      </c>
      <c r="U1584" s="27">
        <v>-5.3969999999999997E-2</v>
      </c>
      <c r="V1584" s="27">
        <v>0</v>
      </c>
      <c r="W1584" s="27">
        <v>0</v>
      </c>
      <c r="X1584" s="27" t="s">
        <v>58</v>
      </c>
    </row>
    <row r="1585" spans="1:24">
      <c r="A1585" s="27">
        <v>5</v>
      </c>
      <c r="B1585" s="27">
        <v>1</v>
      </c>
      <c r="C1585" s="27">
        <v>4</v>
      </c>
      <c r="D1585" s="27">
        <v>2010</v>
      </c>
      <c r="E1585" s="27">
        <v>2010</v>
      </c>
      <c r="F1585" s="27">
        <v>8</v>
      </c>
      <c r="G1585" s="27">
        <v>0</v>
      </c>
      <c r="H1585" s="27">
        <v>0</v>
      </c>
      <c r="I1585" s="27">
        <v>0</v>
      </c>
      <c r="J1585" s="27">
        <v>0</v>
      </c>
      <c r="K1585" s="27">
        <v>0.85</v>
      </c>
      <c r="L1585" s="27">
        <v>1600</v>
      </c>
      <c r="M1585" s="27">
        <v>1400</v>
      </c>
      <c r="N1585" s="27">
        <v>530</v>
      </c>
      <c r="O1585" s="27">
        <v>464</v>
      </c>
      <c r="P1585" s="27" t="s">
        <v>13</v>
      </c>
      <c r="Q1585" s="27">
        <v>1993</v>
      </c>
      <c r="R1585" s="27">
        <v>1</v>
      </c>
      <c r="S1585" s="27">
        <v>0</v>
      </c>
      <c r="T1585" s="27">
        <v>-1.619E-2</v>
      </c>
      <c r="U1585" s="27">
        <v>-5.3969999999999997E-2</v>
      </c>
      <c r="V1585" s="27">
        <v>0</v>
      </c>
      <c r="W1585" s="27">
        <v>0</v>
      </c>
      <c r="X1585" s="27" t="s">
        <v>58</v>
      </c>
    </row>
    <row r="1586" spans="1:24">
      <c r="A1586" s="27">
        <v>5</v>
      </c>
      <c r="B1586" s="27">
        <v>1</v>
      </c>
      <c r="C1586" s="27">
        <v>4</v>
      </c>
      <c r="D1586" s="27">
        <v>2010</v>
      </c>
      <c r="E1586" s="27">
        <v>2010</v>
      </c>
      <c r="F1586" s="27">
        <v>9</v>
      </c>
      <c r="G1586" s="27">
        <v>0</v>
      </c>
      <c r="H1586" s="27">
        <v>0</v>
      </c>
      <c r="I1586" s="27">
        <v>0</v>
      </c>
      <c r="J1586" s="27">
        <v>0</v>
      </c>
      <c r="K1586" s="27">
        <v>0.85</v>
      </c>
      <c r="L1586" s="27">
        <v>1600</v>
      </c>
      <c r="M1586" s="27">
        <v>1400</v>
      </c>
      <c r="N1586" s="27">
        <v>530</v>
      </c>
      <c r="O1586" s="27">
        <v>464</v>
      </c>
      <c r="P1586" s="27" t="s">
        <v>13</v>
      </c>
      <c r="Q1586" s="27">
        <v>1993</v>
      </c>
      <c r="R1586" s="27">
        <v>1</v>
      </c>
      <c r="S1586" s="27">
        <v>0</v>
      </c>
      <c r="T1586" s="27">
        <v>-1.619E-2</v>
      </c>
      <c r="U1586" s="27">
        <v>-5.3969999999999997E-2</v>
      </c>
      <c r="V1586" s="27">
        <v>0</v>
      </c>
      <c r="W1586" s="27">
        <v>0</v>
      </c>
      <c r="X1586" s="27" t="s">
        <v>58</v>
      </c>
    </row>
    <row r="1587" spans="1:24">
      <c r="A1587" s="27">
        <v>5</v>
      </c>
      <c r="B1587" s="27">
        <v>1</v>
      </c>
      <c r="C1587" s="27">
        <v>4</v>
      </c>
      <c r="D1587" s="27">
        <v>2011</v>
      </c>
      <c r="E1587" s="27">
        <v>2011</v>
      </c>
      <c r="F1587" s="27">
        <v>1</v>
      </c>
      <c r="G1587" s="27">
        <v>0</v>
      </c>
      <c r="H1587" s="27">
        <v>0</v>
      </c>
      <c r="I1587" s="27">
        <v>0</v>
      </c>
      <c r="J1587" s="27">
        <v>0</v>
      </c>
      <c r="K1587" s="27">
        <v>0.85</v>
      </c>
      <c r="L1587" s="27">
        <v>1600</v>
      </c>
      <c r="M1587" s="27">
        <v>1400</v>
      </c>
      <c r="N1587" s="27">
        <v>300</v>
      </c>
      <c r="O1587" s="27">
        <v>300</v>
      </c>
      <c r="P1587" s="27" t="s">
        <v>13</v>
      </c>
      <c r="Q1587" s="27">
        <v>1993</v>
      </c>
      <c r="R1587" s="27">
        <v>1</v>
      </c>
      <c r="S1587" s="27">
        <v>0</v>
      </c>
      <c r="T1587" s="27">
        <v>-1.619E-2</v>
      </c>
      <c r="U1587" s="27">
        <v>-5.3969999999999997E-2</v>
      </c>
      <c r="V1587" s="27">
        <v>0</v>
      </c>
      <c r="W1587" s="27">
        <v>0</v>
      </c>
      <c r="X1587" s="27" t="s">
        <v>58</v>
      </c>
    </row>
    <row r="1588" spans="1:24">
      <c r="A1588" s="27">
        <v>5</v>
      </c>
      <c r="B1588" s="27">
        <v>1</v>
      </c>
      <c r="C1588" s="27">
        <v>4</v>
      </c>
      <c r="D1588" s="27">
        <v>2011</v>
      </c>
      <c r="E1588" s="27">
        <v>2011</v>
      </c>
      <c r="F1588" s="27">
        <v>2</v>
      </c>
      <c r="G1588" s="27">
        <v>0</v>
      </c>
      <c r="H1588" s="27">
        <v>0</v>
      </c>
      <c r="I1588" s="27">
        <v>0</v>
      </c>
      <c r="J1588" s="27">
        <v>0</v>
      </c>
      <c r="K1588" s="27">
        <v>0.85</v>
      </c>
      <c r="L1588" s="27">
        <v>1600</v>
      </c>
      <c r="M1588" s="27">
        <v>1400</v>
      </c>
      <c r="N1588" s="27">
        <v>300</v>
      </c>
      <c r="O1588" s="27">
        <v>300</v>
      </c>
      <c r="P1588" s="27" t="s">
        <v>13</v>
      </c>
      <c r="Q1588" s="27">
        <v>1993</v>
      </c>
      <c r="R1588" s="27">
        <v>1</v>
      </c>
      <c r="S1588" s="27">
        <v>0</v>
      </c>
      <c r="T1588" s="27">
        <v>-1.619E-2</v>
      </c>
      <c r="U1588" s="27">
        <v>-5.3969999999999997E-2</v>
      </c>
      <c r="V1588" s="27">
        <v>0</v>
      </c>
      <c r="W1588" s="27">
        <v>0</v>
      </c>
      <c r="X1588" s="27" t="s">
        <v>58</v>
      </c>
    </row>
    <row r="1589" spans="1:24">
      <c r="A1589" s="27">
        <v>5</v>
      </c>
      <c r="B1589" s="27">
        <v>1</v>
      </c>
      <c r="C1589" s="27">
        <v>4</v>
      </c>
      <c r="D1589" s="27">
        <v>2011</v>
      </c>
      <c r="E1589" s="27">
        <v>2011</v>
      </c>
      <c r="F1589" s="27">
        <v>3</v>
      </c>
      <c r="G1589" s="27">
        <v>0</v>
      </c>
      <c r="H1589" s="27">
        <v>0</v>
      </c>
      <c r="I1589" s="27">
        <v>0</v>
      </c>
      <c r="J1589" s="27">
        <v>0</v>
      </c>
      <c r="K1589" s="27">
        <v>0.85</v>
      </c>
      <c r="L1589" s="27">
        <v>1600</v>
      </c>
      <c r="M1589" s="27">
        <v>1400</v>
      </c>
      <c r="N1589" s="27">
        <v>300</v>
      </c>
      <c r="O1589" s="27">
        <v>300</v>
      </c>
      <c r="P1589" s="27" t="s">
        <v>13</v>
      </c>
      <c r="Q1589" s="27">
        <v>1993</v>
      </c>
      <c r="R1589" s="27">
        <v>1</v>
      </c>
      <c r="S1589" s="27">
        <v>0</v>
      </c>
      <c r="T1589" s="27">
        <v>-1.619E-2</v>
      </c>
      <c r="U1589" s="27">
        <v>-5.3969999999999997E-2</v>
      </c>
      <c r="V1589" s="27">
        <v>0</v>
      </c>
      <c r="W1589" s="27">
        <v>0</v>
      </c>
      <c r="X1589" s="27" t="s">
        <v>58</v>
      </c>
    </row>
    <row r="1590" spans="1:24">
      <c r="A1590" s="27">
        <v>5</v>
      </c>
      <c r="B1590" s="27">
        <v>1</v>
      </c>
      <c r="C1590" s="27">
        <v>4</v>
      </c>
      <c r="D1590" s="27">
        <v>2011</v>
      </c>
      <c r="E1590" s="27">
        <v>2011</v>
      </c>
      <c r="F1590" s="27">
        <v>4</v>
      </c>
      <c r="G1590" s="27">
        <v>0</v>
      </c>
      <c r="H1590" s="27">
        <v>0</v>
      </c>
      <c r="I1590" s="27">
        <v>0</v>
      </c>
      <c r="J1590" s="27">
        <v>0</v>
      </c>
      <c r="K1590" s="27">
        <v>0.85</v>
      </c>
      <c r="L1590" s="27">
        <v>1600</v>
      </c>
      <c r="M1590" s="27">
        <v>1400</v>
      </c>
      <c r="N1590" s="27">
        <v>300</v>
      </c>
      <c r="O1590" s="27">
        <v>300</v>
      </c>
      <c r="P1590" s="27" t="s">
        <v>13</v>
      </c>
      <c r="Q1590" s="27">
        <v>1993</v>
      </c>
      <c r="R1590" s="27">
        <v>1</v>
      </c>
      <c r="S1590" s="27">
        <v>0</v>
      </c>
      <c r="T1590" s="27">
        <v>-1.619E-2</v>
      </c>
      <c r="U1590" s="27">
        <v>-5.3969999999999997E-2</v>
      </c>
      <c r="V1590" s="27">
        <v>0</v>
      </c>
      <c r="W1590" s="27">
        <v>0</v>
      </c>
      <c r="X1590" s="27" t="s">
        <v>58</v>
      </c>
    </row>
    <row r="1591" spans="1:24">
      <c r="A1591" s="27">
        <v>5</v>
      </c>
      <c r="B1591" s="27">
        <v>1</v>
      </c>
      <c r="C1591" s="27">
        <v>4</v>
      </c>
      <c r="D1591" s="27">
        <v>2011</v>
      </c>
      <c r="E1591" s="27">
        <v>2011</v>
      </c>
      <c r="F1591" s="27">
        <v>5</v>
      </c>
      <c r="G1591" s="27">
        <v>0</v>
      </c>
      <c r="H1591" s="27">
        <v>0</v>
      </c>
      <c r="I1591" s="27">
        <v>0</v>
      </c>
      <c r="J1591" s="27">
        <v>0</v>
      </c>
      <c r="K1591" s="27">
        <v>0.85</v>
      </c>
      <c r="L1591" s="27">
        <v>1600</v>
      </c>
      <c r="M1591" s="27">
        <v>1400</v>
      </c>
      <c r="N1591" s="27">
        <v>300</v>
      </c>
      <c r="O1591" s="27">
        <v>300</v>
      </c>
      <c r="P1591" s="27" t="s">
        <v>13</v>
      </c>
      <c r="Q1591" s="27">
        <v>1993</v>
      </c>
      <c r="R1591" s="27">
        <v>1</v>
      </c>
      <c r="S1591" s="27">
        <v>0</v>
      </c>
      <c r="T1591" s="27">
        <v>-1.619E-2</v>
      </c>
      <c r="U1591" s="27">
        <v>-5.3969999999999997E-2</v>
      </c>
      <c r="V1591" s="27">
        <v>0</v>
      </c>
      <c r="W1591" s="27">
        <v>0</v>
      </c>
      <c r="X1591" s="27" t="s">
        <v>58</v>
      </c>
    </row>
    <row r="1592" spans="1:24">
      <c r="A1592" s="27">
        <v>5</v>
      </c>
      <c r="B1592" s="27">
        <v>1</v>
      </c>
      <c r="C1592" s="27">
        <v>4</v>
      </c>
      <c r="D1592" s="27">
        <v>2011</v>
      </c>
      <c r="E1592" s="27">
        <v>2011</v>
      </c>
      <c r="F1592" s="27">
        <v>6</v>
      </c>
      <c r="G1592" s="27">
        <v>0</v>
      </c>
      <c r="H1592" s="27">
        <v>0</v>
      </c>
      <c r="I1592" s="27">
        <v>0</v>
      </c>
      <c r="J1592" s="27">
        <v>0</v>
      </c>
      <c r="K1592" s="27">
        <v>0.85</v>
      </c>
      <c r="L1592" s="27">
        <v>1600</v>
      </c>
      <c r="M1592" s="27">
        <v>1400</v>
      </c>
      <c r="N1592" s="27">
        <v>300</v>
      </c>
      <c r="O1592" s="27">
        <v>300</v>
      </c>
      <c r="P1592" s="27" t="s">
        <v>13</v>
      </c>
      <c r="Q1592" s="27">
        <v>1993</v>
      </c>
      <c r="R1592" s="27">
        <v>1</v>
      </c>
      <c r="S1592" s="27">
        <v>0</v>
      </c>
      <c r="T1592" s="27">
        <v>-1.619E-2</v>
      </c>
      <c r="U1592" s="27">
        <v>-5.3969999999999997E-2</v>
      </c>
      <c r="V1592" s="27">
        <v>0</v>
      </c>
      <c r="W1592" s="27">
        <v>0</v>
      </c>
      <c r="X1592" s="27" t="s">
        <v>58</v>
      </c>
    </row>
    <row r="1593" spans="1:24">
      <c r="A1593" s="27">
        <v>5</v>
      </c>
      <c r="B1593" s="27">
        <v>1</v>
      </c>
      <c r="C1593" s="27">
        <v>4</v>
      </c>
      <c r="D1593" s="27">
        <v>2011</v>
      </c>
      <c r="E1593" s="27">
        <v>2011</v>
      </c>
      <c r="F1593" s="27">
        <v>7</v>
      </c>
      <c r="G1593" s="27">
        <v>0</v>
      </c>
      <c r="H1593" s="27">
        <v>0</v>
      </c>
      <c r="I1593" s="27">
        <v>0</v>
      </c>
      <c r="J1593" s="27">
        <v>0</v>
      </c>
      <c r="K1593" s="27">
        <v>0.85</v>
      </c>
      <c r="L1593" s="27">
        <v>1600</v>
      </c>
      <c r="M1593" s="27">
        <v>1400</v>
      </c>
      <c r="N1593" s="27">
        <v>300</v>
      </c>
      <c r="O1593" s="27">
        <v>300</v>
      </c>
      <c r="P1593" s="27" t="s">
        <v>13</v>
      </c>
      <c r="Q1593" s="27">
        <v>1993</v>
      </c>
      <c r="R1593" s="27">
        <v>1</v>
      </c>
      <c r="S1593" s="27">
        <v>0</v>
      </c>
      <c r="T1593" s="27">
        <v>-1.619E-2</v>
      </c>
      <c r="U1593" s="27">
        <v>-5.3969999999999997E-2</v>
      </c>
      <c r="V1593" s="27">
        <v>0</v>
      </c>
      <c r="W1593" s="27">
        <v>0</v>
      </c>
      <c r="X1593" s="27" t="s">
        <v>58</v>
      </c>
    </row>
    <row r="1594" spans="1:24">
      <c r="A1594" s="27">
        <v>5</v>
      </c>
      <c r="B1594" s="27">
        <v>1</v>
      </c>
      <c r="C1594" s="27">
        <v>4</v>
      </c>
      <c r="D1594" s="27">
        <v>2011</v>
      </c>
      <c r="E1594" s="27">
        <v>2011</v>
      </c>
      <c r="F1594" s="27">
        <v>8</v>
      </c>
      <c r="G1594" s="27">
        <v>0</v>
      </c>
      <c r="H1594" s="27">
        <v>0</v>
      </c>
      <c r="I1594" s="27">
        <v>0</v>
      </c>
      <c r="J1594" s="27">
        <v>0</v>
      </c>
      <c r="K1594" s="27">
        <v>0.85</v>
      </c>
      <c r="L1594" s="27">
        <v>1600</v>
      </c>
      <c r="M1594" s="27">
        <v>1400</v>
      </c>
      <c r="N1594" s="27">
        <v>300</v>
      </c>
      <c r="O1594" s="27">
        <v>300</v>
      </c>
      <c r="P1594" s="27" t="s">
        <v>13</v>
      </c>
      <c r="Q1594" s="27">
        <v>1993</v>
      </c>
      <c r="R1594" s="27">
        <v>1</v>
      </c>
      <c r="S1594" s="27">
        <v>0</v>
      </c>
      <c r="T1594" s="27">
        <v>-1.619E-2</v>
      </c>
      <c r="U1594" s="27">
        <v>-5.3969999999999997E-2</v>
      </c>
      <c r="V1594" s="27">
        <v>0</v>
      </c>
      <c r="W1594" s="27">
        <v>0</v>
      </c>
      <c r="X1594" s="27" t="s">
        <v>58</v>
      </c>
    </row>
    <row r="1595" spans="1:24">
      <c r="A1595" s="27">
        <v>5</v>
      </c>
      <c r="B1595" s="27">
        <v>1</v>
      </c>
      <c r="C1595" s="27">
        <v>4</v>
      </c>
      <c r="D1595" s="27">
        <v>2011</v>
      </c>
      <c r="E1595" s="27">
        <v>2011</v>
      </c>
      <c r="F1595" s="27">
        <v>9</v>
      </c>
      <c r="G1595" s="27">
        <v>0</v>
      </c>
      <c r="H1595" s="27">
        <v>0</v>
      </c>
      <c r="I1595" s="27">
        <v>0</v>
      </c>
      <c r="J1595" s="27">
        <v>0</v>
      </c>
      <c r="K1595" s="27">
        <v>0.85</v>
      </c>
      <c r="L1595" s="27">
        <v>1600</v>
      </c>
      <c r="M1595" s="27">
        <v>1400</v>
      </c>
      <c r="N1595" s="27">
        <v>300</v>
      </c>
      <c r="O1595" s="27">
        <v>300</v>
      </c>
      <c r="P1595" s="27" t="s">
        <v>13</v>
      </c>
      <c r="Q1595" s="27">
        <v>1993</v>
      </c>
      <c r="R1595" s="27">
        <v>1</v>
      </c>
      <c r="S1595" s="27">
        <v>0</v>
      </c>
      <c r="T1595" s="27">
        <v>-1.619E-2</v>
      </c>
      <c r="U1595" s="27">
        <v>-5.3969999999999997E-2</v>
      </c>
      <c r="V1595" s="27">
        <v>0</v>
      </c>
      <c r="W1595" s="27">
        <v>0</v>
      </c>
      <c r="X1595" s="27" t="s">
        <v>58</v>
      </c>
    </row>
    <row r="1596" spans="1:24">
      <c r="A1596" s="27">
        <v>5</v>
      </c>
      <c r="B1596" s="27">
        <v>1</v>
      </c>
      <c r="C1596" s="27">
        <v>4</v>
      </c>
      <c r="D1596" s="27">
        <v>2012</v>
      </c>
      <c r="E1596" s="27">
        <v>2012</v>
      </c>
      <c r="F1596" s="27">
        <v>1</v>
      </c>
      <c r="G1596" s="27">
        <v>0</v>
      </c>
      <c r="H1596" s="27">
        <v>0</v>
      </c>
      <c r="I1596" s="27">
        <v>0</v>
      </c>
      <c r="J1596" s="27">
        <v>0</v>
      </c>
      <c r="K1596" s="27">
        <v>0.85</v>
      </c>
      <c r="L1596" s="27">
        <v>1600</v>
      </c>
      <c r="M1596" s="27">
        <v>1400</v>
      </c>
      <c r="N1596" s="27">
        <v>0</v>
      </c>
      <c r="O1596" s="27">
        <v>0</v>
      </c>
      <c r="P1596" s="27" t="s">
        <v>13</v>
      </c>
      <c r="Q1596" s="27">
        <v>1993</v>
      </c>
      <c r="R1596" s="27">
        <v>1</v>
      </c>
      <c r="S1596" s="27">
        <v>0</v>
      </c>
      <c r="T1596" s="27">
        <v>-1.619E-2</v>
      </c>
      <c r="U1596" s="27">
        <v>-5.3969999999999997E-2</v>
      </c>
      <c r="V1596" s="27">
        <v>0</v>
      </c>
      <c r="W1596" s="27">
        <v>0</v>
      </c>
      <c r="X1596" s="27" t="s">
        <v>58</v>
      </c>
    </row>
    <row r="1597" spans="1:24">
      <c r="A1597" s="27">
        <v>5</v>
      </c>
      <c r="B1597" s="27">
        <v>1</v>
      </c>
      <c r="C1597" s="27">
        <v>4</v>
      </c>
      <c r="D1597" s="27">
        <v>2012</v>
      </c>
      <c r="E1597" s="27">
        <v>2012</v>
      </c>
      <c r="F1597" s="27">
        <v>2</v>
      </c>
      <c r="G1597" s="27">
        <v>0</v>
      </c>
      <c r="H1597" s="27">
        <v>0</v>
      </c>
      <c r="I1597" s="27">
        <v>0</v>
      </c>
      <c r="J1597" s="27">
        <v>0</v>
      </c>
      <c r="K1597" s="27">
        <v>0.85</v>
      </c>
      <c r="L1597" s="27">
        <v>1600</v>
      </c>
      <c r="M1597" s="27">
        <v>1400</v>
      </c>
      <c r="N1597" s="27">
        <v>0</v>
      </c>
      <c r="O1597" s="27">
        <v>0</v>
      </c>
      <c r="P1597" s="27" t="s">
        <v>13</v>
      </c>
      <c r="Q1597" s="27">
        <v>1993</v>
      </c>
      <c r="R1597" s="27">
        <v>1</v>
      </c>
      <c r="S1597" s="27">
        <v>0</v>
      </c>
      <c r="T1597" s="27">
        <v>-1.619E-2</v>
      </c>
      <c r="U1597" s="27">
        <v>-5.3969999999999997E-2</v>
      </c>
      <c r="V1597" s="27">
        <v>0</v>
      </c>
      <c r="W1597" s="27">
        <v>0</v>
      </c>
      <c r="X1597" s="27" t="s">
        <v>58</v>
      </c>
    </row>
    <row r="1598" spans="1:24">
      <c r="A1598" s="27">
        <v>5</v>
      </c>
      <c r="B1598" s="27">
        <v>1</v>
      </c>
      <c r="C1598" s="27">
        <v>4</v>
      </c>
      <c r="D1598" s="27">
        <v>2012</v>
      </c>
      <c r="E1598" s="27">
        <v>2012</v>
      </c>
      <c r="F1598" s="27">
        <v>3</v>
      </c>
      <c r="G1598" s="27">
        <v>0</v>
      </c>
      <c r="H1598" s="27">
        <v>0</v>
      </c>
      <c r="I1598" s="27">
        <v>0</v>
      </c>
      <c r="J1598" s="27">
        <v>0</v>
      </c>
      <c r="K1598" s="27">
        <v>0.85</v>
      </c>
      <c r="L1598" s="27">
        <v>1600</v>
      </c>
      <c r="M1598" s="27">
        <v>1400</v>
      </c>
      <c r="N1598" s="27">
        <v>0</v>
      </c>
      <c r="O1598" s="27">
        <v>0</v>
      </c>
      <c r="P1598" s="27" t="s">
        <v>13</v>
      </c>
      <c r="Q1598" s="27">
        <v>1993</v>
      </c>
      <c r="R1598" s="27">
        <v>1</v>
      </c>
      <c r="S1598" s="27">
        <v>0</v>
      </c>
      <c r="T1598" s="27">
        <v>-1.619E-2</v>
      </c>
      <c r="U1598" s="27">
        <v>-5.3969999999999997E-2</v>
      </c>
      <c r="V1598" s="27">
        <v>0</v>
      </c>
      <c r="W1598" s="27">
        <v>0</v>
      </c>
      <c r="X1598" s="27" t="s">
        <v>58</v>
      </c>
    </row>
    <row r="1599" spans="1:24">
      <c r="A1599" s="27">
        <v>5</v>
      </c>
      <c r="B1599" s="27">
        <v>1</v>
      </c>
      <c r="C1599" s="27">
        <v>4</v>
      </c>
      <c r="D1599" s="27">
        <v>2012</v>
      </c>
      <c r="E1599" s="27">
        <v>2012</v>
      </c>
      <c r="F1599" s="27">
        <v>4</v>
      </c>
      <c r="G1599" s="27">
        <v>0</v>
      </c>
      <c r="H1599" s="27">
        <v>0</v>
      </c>
      <c r="I1599" s="27">
        <v>0</v>
      </c>
      <c r="J1599" s="27">
        <v>0</v>
      </c>
      <c r="K1599" s="27">
        <v>0.85</v>
      </c>
      <c r="L1599" s="27">
        <v>1600</v>
      </c>
      <c r="M1599" s="27">
        <v>1400</v>
      </c>
      <c r="N1599" s="27">
        <v>0</v>
      </c>
      <c r="O1599" s="27">
        <v>0</v>
      </c>
      <c r="P1599" s="27" t="s">
        <v>13</v>
      </c>
      <c r="Q1599" s="27">
        <v>1993</v>
      </c>
      <c r="R1599" s="27">
        <v>1</v>
      </c>
      <c r="S1599" s="27">
        <v>0</v>
      </c>
      <c r="T1599" s="27">
        <v>-1.619E-2</v>
      </c>
      <c r="U1599" s="27">
        <v>-5.3969999999999997E-2</v>
      </c>
      <c r="V1599" s="27">
        <v>0</v>
      </c>
      <c r="W1599" s="27">
        <v>0</v>
      </c>
      <c r="X1599" s="27" t="s">
        <v>58</v>
      </c>
    </row>
    <row r="1600" spans="1:24">
      <c r="A1600" s="27">
        <v>5</v>
      </c>
      <c r="B1600" s="27">
        <v>1</v>
      </c>
      <c r="C1600" s="27">
        <v>4</v>
      </c>
      <c r="D1600" s="27">
        <v>2012</v>
      </c>
      <c r="E1600" s="27">
        <v>2012</v>
      </c>
      <c r="F1600" s="27">
        <v>5</v>
      </c>
      <c r="G1600" s="27">
        <v>0</v>
      </c>
      <c r="H1600" s="27">
        <v>0</v>
      </c>
      <c r="I1600" s="27">
        <v>0</v>
      </c>
      <c r="J1600" s="27">
        <v>0</v>
      </c>
      <c r="K1600" s="27">
        <v>0.85</v>
      </c>
      <c r="L1600" s="27">
        <v>1600</v>
      </c>
      <c r="M1600" s="27">
        <v>1400</v>
      </c>
      <c r="N1600" s="27">
        <v>0</v>
      </c>
      <c r="O1600" s="27">
        <v>0</v>
      </c>
      <c r="P1600" s="27" t="s">
        <v>13</v>
      </c>
      <c r="Q1600" s="27">
        <v>1993</v>
      </c>
      <c r="R1600" s="27">
        <v>1</v>
      </c>
      <c r="S1600" s="27">
        <v>0</v>
      </c>
      <c r="T1600" s="27">
        <v>-1.619E-2</v>
      </c>
      <c r="U1600" s="27">
        <v>-5.3969999999999997E-2</v>
      </c>
      <c r="V1600" s="27">
        <v>0</v>
      </c>
      <c r="W1600" s="27">
        <v>0</v>
      </c>
      <c r="X1600" s="27" t="s">
        <v>58</v>
      </c>
    </row>
    <row r="1601" spans="1:24">
      <c r="A1601" s="27">
        <v>5</v>
      </c>
      <c r="B1601" s="27">
        <v>1</v>
      </c>
      <c r="C1601" s="27">
        <v>4</v>
      </c>
      <c r="D1601" s="27">
        <v>2012</v>
      </c>
      <c r="E1601" s="27">
        <v>2012</v>
      </c>
      <c r="F1601" s="27">
        <v>6</v>
      </c>
      <c r="G1601" s="27">
        <v>0</v>
      </c>
      <c r="H1601" s="27">
        <v>0</v>
      </c>
      <c r="I1601" s="27">
        <v>0</v>
      </c>
      <c r="J1601" s="27">
        <v>0</v>
      </c>
      <c r="K1601" s="27">
        <v>0.85</v>
      </c>
      <c r="L1601" s="27">
        <v>1600</v>
      </c>
      <c r="M1601" s="27">
        <v>1400</v>
      </c>
      <c r="N1601" s="27">
        <v>0</v>
      </c>
      <c r="O1601" s="27">
        <v>0</v>
      </c>
      <c r="P1601" s="27" t="s">
        <v>13</v>
      </c>
      <c r="Q1601" s="27">
        <v>1993</v>
      </c>
      <c r="R1601" s="27">
        <v>1</v>
      </c>
      <c r="S1601" s="27">
        <v>0</v>
      </c>
      <c r="T1601" s="27">
        <v>-1.619E-2</v>
      </c>
      <c r="U1601" s="27">
        <v>-5.3969999999999997E-2</v>
      </c>
      <c r="V1601" s="27">
        <v>0</v>
      </c>
      <c r="W1601" s="27">
        <v>0</v>
      </c>
      <c r="X1601" s="27" t="s">
        <v>58</v>
      </c>
    </row>
    <row r="1602" spans="1:24">
      <c r="A1602" s="27">
        <v>5</v>
      </c>
      <c r="B1602" s="27">
        <v>1</v>
      </c>
      <c r="C1602" s="27">
        <v>4</v>
      </c>
      <c r="D1602" s="27">
        <v>2012</v>
      </c>
      <c r="E1602" s="27">
        <v>2012</v>
      </c>
      <c r="F1602" s="27">
        <v>7</v>
      </c>
      <c r="G1602" s="27">
        <v>0</v>
      </c>
      <c r="H1602" s="27">
        <v>0</v>
      </c>
      <c r="I1602" s="27">
        <v>0</v>
      </c>
      <c r="J1602" s="27">
        <v>0</v>
      </c>
      <c r="K1602" s="27">
        <v>0.85</v>
      </c>
      <c r="L1602" s="27">
        <v>1600</v>
      </c>
      <c r="M1602" s="27">
        <v>1400</v>
      </c>
      <c r="N1602" s="27">
        <v>0</v>
      </c>
      <c r="O1602" s="27">
        <v>0</v>
      </c>
      <c r="P1602" s="27" t="s">
        <v>13</v>
      </c>
      <c r="Q1602" s="27">
        <v>1993</v>
      </c>
      <c r="R1602" s="27">
        <v>1</v>
      </c>
      <c r="S1602" s="27">
        <v>0</v>
      </c>
      <c r="T1602" s="27">
        <v>-1.619E-2</v>
      </c>
      <c r="U1602" s="27">
        <v>-5.3969999999999997E-2</v>
      </c>
      <c r="V1602" s="27">
        <v>0</v>
      </c>
      <c r="W1602" s="27">
        <v>0</v>
      </c>
      <c r="X1602" s="27" t="s">
        <v>58</v>
      </c>
    </row>
    <row r="1603" spans="1:24">
      <c r="A1603" s="27">
        <v>5</v>
      </c>
      <c r="B1603" s="27">
        <v>1</v>
      </c>
      <c r="C1603" s="27">
        <v>4</v>
      </c>
      <c r="D1603" s="27">
        <v>2012</v>
      </c>
      <c r="E1603" s="27">
        <v>2012</v>
      </c>
      <c r="F1603" s="27">
        <v>8</v>
      </c>
      <c r="G1603" s="27">
        <v>0</v>
      </c>
      <c r="H1603" s="27">
        <v>0</v>
      </c>
      <c r="I1603" s="27">
        <v>0</v>
      </c>
      <c r="J1603" s="27">
        <v>0</v>
      </c>
      <c r="K1603" s="27">
        <v>0.85</v>
      </c>
      <c r="L1603" s="27">
        <v>1600</v>
      </c>
      <c r="M1603" s="27">
        <v>1400</v>
      </c>
      <c r="N1603" s="27">
        <v>0</v>
      </c>
      <c r="O1603" s="27">
        <v>0</v>
      </c>
      <c r="P1603" s="27" t="s">
        <v>13</v>
      </c>
      <c r="Q1603" s="27">
        <v>1993</v>
      </c>
      <c r="R1603" s="27">
        <v>1</v>
      </c>
      <c r="S1603" s="27">
        <v>0</v>
      </c>
      <c r="T1603" s="27">
        <v>-1.619E-2</v>
      </c>
      <c r="U1603" s="27">
        <v>-5.3969999999999997E-2</v>
      </c>
      <c r="V1603" s="27">
        <v>0</v>
      </c>
      <c r="W1603" s="27">
        <v>0</v>
      </c>
      <c r="X1603" s="27" t="s">
        <v>58</v>
      </c>
    </row>
    <row r="1604" spans="1:24">
      <c r="A1604" s="27">
        <v>5</v>
      </c>
      <c r="B1604" s="27">
        <v>1</v>
      </c>
      <c r="C1604" s="27">
        <v>4</v>
      </c>
      <c r="D1604" s="27">
        <v>2012</v>
      </c>
      <c r="E1604" s="27">
        <v>2012</v>
      </c>
      <c r="F1604" s="27">
        <v>9</v>
      </c>
      <c r="G1604" s="27">
        <v>0</v>
      </c>
      <c r="H1604" s="27">
        <v>0</v>
      </c>
      <c r="I1604" s="27">
        <v>0</v>
      </c>
      <c r="J1604" s="27">
        <v>0</v>
      </c>
      <c r="K1604" s="27">
        <v>0.85</v>
      </c>
      <c r="L1604" s="27">
        <v>1600</v>
      </c>
      <c r="M1604" s="27">
        <v>1400</v>
      </c>
      <c r="N1604" s="27">
        <v>0</v>
      </c>
      <c r="O1604" s="27">
        <v>0</v>
      </c>
      <c r="P1604" s="27" t="s">
        <v>13</v>
      </c>
      <c r="Q1604" s="27">
        <v>1993</v>
      </c>
      <c r="R1604" s="27">
        <v>1</v>
      </c>
      <c r="S1604" s="27">
        <v>0</v>
      </c>
      <c r="T1604" s="27">
        <v>-1.619E-2</v>
      </c>
      <c r="U1604" s="27">
        <v>-5.3969999999999997E-2</v>
      </c>
      <c r="V1604" s="27">
        <v>0</v>
      </c>
      <c r="W1604" s="27">
        <v>0</v>
      </c>
      <c r="X1604" s="27" t="s">
        <v>58</v>
      </c>
    </row>
    <row r="1605" spans="1:24">
      <c r="A1605" s="27">
        <v>5</v>
      </c>
      <c r="B1605" s="27">
        <v>1</v>
      </c>
      <c r="C1605" s="27">
        <v>4</v>
      </c>
      <c r="D1605" s="27">
        <v>2013</v>
      </c>
      <c r="E1605" s="27">
        <v>2013</v>
      </c>
      <c r="F1605" s="27">
        <v>1</v>
      </c>
      <c r="G1605" s="27">
        <v>0</v>
      </c>
      <c r="H1605" s="27">
        <v>0</v>
      </c>
      <c r="I1605" s="27">
        <v>0</v>
      </c>
      <c r="J1605" s="27">
        <v>0</v>
      </c>
      <c r="K1605" s="27">
        <v>0.85</v>
      </c>
      <c r="L1605" s="27">
        <v>1600</v>
      </c>
      <c r="M1605" s="27">
        <v>1400</v>
      </c>
      <c r="N1605" s="27">
        <v>300</v>
      </c>
      <c r="O1605" s="27">
        <v>300</v>
      </c>
      <c r="P1605" s="27" t="s">
        <v>13</v>
      </c>
      <c r="Q1605" s="27">
        <v>1993</v>
      </c>
      <c r="R1605" s="27">
        <v>1</v>
      </c>
      <c r="S1605" s="27">
        <v>0</v>
      </c>
      <c r="T1605" s="27">
        <v>-1.619E-2</v>
      </c>
      <c r="U1605" s="27">
        <v>-5.3969999999999997E-2</v>
      </c>
      <c r="V1605" s="27">
        <v>0</v>
      </c>
      <c r="W1605" s="27">
        <v>0</v>
      </c>
      <c r="X1605" s="27" t="s">
        <v>58</v>
      </c>
    </row>
    <row r="1606" spans="1:24">
      <c r="A1606" s="27">
        <v>5</v>
      </c>
      <c r="B1606" s="27">
        <v>1</v>
      </c>
      <c r="C1606" s="27">
        <v>4</v>
      </c>
      <c r="D1606" s="27">
        <v>2013</v>
      </c>
      <c r="E1606" s="27">
        <v>2013</v>
      </c>
      <c r="F1606" s="27">
        <v>2</v>
      </c>
      <c r="G1606" s="27">
        <v>0</v>
      </c>
      <c r="H1606" s="27">
        <v>0</v>
      </c>
      <c r="I1606" s="27">
        <v>0</v>
      </c>
      <c r="J1606" s="27">
        <v>0</v>
      </c>
      <c r="K1606" s="27">
        <v>0.85</v>
      </c>
      <c r="L1606" s="27">
        <v>1600</v>
      </c>
      <c r="M1606" s="27">
        <v>1400</v>
      </c>
      <c r="N1606" s="27">
        <v>300</v>
      </c>
      <c r="O1606" s="27">
        <v>300</v>
      </c>
      <c r="P1606" s="27" t="s">
        <v>13</v>
      </c>
      <c r="Q1606" s="27">
        <v>1993</v>
      </c>
      <c r="R1606" s="27">
        <v>1</v>
      </c>
      <c r="S1606" s="27">
        <v>0</v>
      </c>
      <c r="T1606" s="27">
        <v>-1.619E-2</v>
      </c>
      <c r="U1606" s="27">
        <v>-5.3969999999999997E-2</v>
      </c>
      <c r="V1606" s="27">
        <v>0</v>
      </c>
      <c r="W1606" s="27">
        <v>0</v>
      </c>
      <c r="X1606" s="27" t="s">
        <v>58</v>
      </c>
    </row>
    <row r="1607" spans="1:24">
      <c r="A1607" s="27">
        <v>5</v>
      </c>
      <c r="B1607" s="27">
        <v>1</v>
      </c>
      <c r="C1607" s="27">
        <v>4</v>
      </c>
      <c r="D1607" s="27">
        <v>2013</v>
      </c>
      <c r="E1607" s="27">
        <v>2013</v>
      </c>
      <c r="F1607" s="27">
        <v>3</v>
      </c>
      <c r="G1607" s="27">
        <v>0</v>
      </c>
      <c r="H1607" s="27">
        <v>0</v>
      </c>
      <c r="I1607" s="27">
        <v>0</v>
      </c>
      <c r="J1607" s="27">
        <v>0</v>
      </c>
      <c r="K1607" s="27">
        <v>0.85</v>
      </c>
      <c r="L1607" s="27">
        <v>1600</v>
      </c>
      <c r="M1607" s="27">
        <v>1400</v>
      </c>
      <c r="N1607" s="27">
        <v>300</v>
      </c>
      <c r="O1607" s="27">
        <v>300</v>
      </c>
      <c r="P1607" s="27" t="s">
        <v>13</v>
      </c>
      <c r="Q1607" s="27">
        <v>1993</v>
      </c>
      <c r="R1607" s="27">
        <v>1</v>
      </c>
      <c r="S1607" s="27">
        <v>0</v>
      </c>
      <c r="T1607" s="27">
        <v>-1.619E-2</v>
      </c>
      <c r="U1607" s="27">
        <v>-5.3969999999999997E-2</v>
      </c>
      <c r="V1607" s="27">
        <v>0</v>
      </c>
      <c r="W1607" s="27">
        <v>0</v>
      </c>
      <c r="X1607" s="27" t="s">
        <v>58</v>
      </c>
    </row>
    <row r="1608" spans="1:24">
      <c r="A1608" s="27">
        <v>5</v>
      </c>
      <c r="B1608" s="27">
        <v>1</v>
      </c>
      <c r="C1608" s="27">
        <v>4</v>
      </c>
      <c r="D1608" s="27">
        <v>2013</v>
      </c>
      <c r="E1608" s="27">
        <v>2013</v>
      </c>
      <c r="F1608" s="27">
        <v>4</v>
      </c>
      <c r="G1608" s="27">
        <v>0</v>
      </c>
      <c r="H1608" s="27">
        <v>0</v>
      </c>
      <c r="I1608" s="27">
        <v>0</v>
      </c>
      <c r="J1608" s="27">
        <v>0</v>
      </c>
      <c r="K1608" s="27">
        <v>0.85</v>
      </c>
      <c r="L1608" s="27">
        <v>1600</v>
      </c>
      <c r="M1608" s="27">
        <v>1400</v>
      </c>
      <c r="N1608" s="27">
        <v>300</v>
      </c>
      <c r="O1608" s="27">
        <v>300</v>
      </c>
      <c r="P1608" s="27" t="s">
        <v>13</v>
      </c>
      <c r="Q1608" s="27">
        <v>1993</v>
      </c>
      <c r="R1608" s="27">
        <v>1</v>
      </c>
      <c r="S1608" s="27">
        <v>0</v>
      </c>
      <c r="T1608" s="27">
        <v>-1.619E-2</v>
      </c>
      <c r="U1608" s="27">
        <v>-5.3969999999999997E-2</v>
      </c>
      <c r="V1608" s="27">
        <v>0</v>
      </c>
      <c r="W1608" s="27">
        <v>0</v>
      </c>
      <c r="X1608" s="27" t="s">
        <v>58</v>
      </c>
    </row>
    <row r="1609" spans="1:24">
      <c r="A1609" s="27">
        <v>5</v>
      </c>
      <c r="B1609" s="27">
        <v>1</v>
      </c>
      <c r="C1609" s="27">
        <v>4</v>
      </c>
      <c r="D1609" s="27">
        <v>2013</v>
      </c>
      <c r="E1609" s="27">
        <v>2013</v>
      </c>
      <c r="F1609" s="27">
        <v>5</v>
      </c>
      <c r="G1609" s="27">
        <v>0</v>
      </c>
      <c r="H1609" s="27">
        <v>0</v>
      </c>
      <c r="I1609" s="27">
        <v>0</v>
      </c>
      <c r="J1609" s="27">
        <v>0</v>
      </c>
      <c r="K1609" s="27">
        <v>0.85</v>
      </c>
      <c r="L1609" s="27">
        <v>1600</v>
      </c>
      <c r="M1609" s="27">
        <v>1400</v>
      </c>
      <c r="N1609" s="27">
        <v>300</v>
      </c>
      <c r="O1609" s="27">
        <v>300</v>
      </c>
      <c r="P1609" s="27" t="s">
        <v>13</v>
      </c>
      <c r="Q1609" s="27">
        <v>1993</v>
      </c>
      <c r="R1609" s="27">
        <v>1</v>
      </c>
      <c r="S1609" s="27">
        <v>0</v>
      </c>
      <c r="T1609" s="27">
        <v>-1.619E-2</v>
      </c>
      <c r="U1609" s="27">
        <v>-5.3969999999999997E-2</v>
      </c>
      <c r="V1609" s="27">
        <v>0</v>
      </c>
      <c r="W1609" s="27">
        <v>0</v>
      </c>
      <c r="X1609" s="27" t="s">
        <v>58</v>
      </c>
    </row>
    <row r="1610" spans="1:24">
      <c r="A1610" s="27">
        <v>5</v>
      </c>
      <c r="B1610" s="27">
        <v>1</v>
      </c>
      <c r="C1610" s="27">
        <v>4</v>
      </c>
      <c r="D1610" s="27">
        <v>2013</v>
      </c>
      <c r="E1610" s="27">
        <v>2013</v>
      </c>
      <c r="F1610" s="27">
        <v>6</v>
      </c>
      <c r="G1610" s="27">
        <v>0</v>
      </c>
      <c r="H1610" s="27">
        <v>0</v>
      </c>
      <c r="I1610" s="27">
        <v>0</v>
      </c>
      <c r="J1610" s="27">
        <v>0</v>
      </c>
      <c r="K1610" s="27">
        <v>0.85</v>
      </c>
      <c r="L1610" s="27">
        <v>1600</v>
      </c>
      <c r="M1610" s="27">
        <v>1400</v>
      </c>
      <c r="N1610" s="27">
        <v>300</v>
      </c>
      <c r="O1610" s="27">
        <v>300</v>
      </c>
      <c r="P1610" s="27" t="s">
        <v>13</v>
      </c>
      <c r="Q1610" s="27">
        <v>1993</v>
      </c>
      <c r="R1610" s="27">
        <v>1</v>
      </c>
      <c r="S1610" s="27">
        <v>0</v>
      </c>
      <c r="T1610" s="27">
        <v>-1.619E-2</v>
      </c>
      <c r="U1610" s="27">
        <v>-5.3969999999999997E-2</v>
      </c>
      <c r="V1610" s="27">
        <v>0</v>
      </c>
      <c r="W1610" s="27">
        <v>0</v>
      </c>
      <c r="X1610" s="27" t="s">
        <v>58</v>
      </c>
    </row>
    <row r="1611" spans="1:24">
      <c r="A1611" s="27">
        <v>5</v>
      </c>
      <c r="B1611" s="27">
        <v>1</v>
      </c>
      <c r="C1611" s="27">
        <v>4</v>
      </c>
      <c r="D1611" s="27">
        <v>2013</v>
      </c>
      <c r="E1611" s="27">
        <v>2013</v>
      </c>
      <c r="F1611" s="27">
        <v>7</v>
      </c>
      <c r="G1611" s="27">
        <v>0</v>
      </c>
      <c r="H1611" s="27">
        <v>0</v>
      </c>
      <c r="I1611" s="27">
        <v>0</v>
      </c>
      <c r="J1611" s="27">
        <v>0</v>
      </c>
      <c r="K1611" s="27">
        <v>0.85</v>
      </c>
      <c r="L1611" s="27">
        <v>1600</v>
      </c>
      <c r="M1611" s="27">
        <v>1400</v>
      </c>
      <c r="N1611" s="27">
        <v>300</v>
      </c>
      <c r="O1611" s="27">
        <v>300</v>
      </c>
      <c r="P1611" s="27" t="s">
        <v>13</v>
      </c>
      <c r="Q1611" s="27">
        <v>1993</v>
      </c>
      <c r="R1611" s="27">
        <v>1</v>
      </c>
      <c r="S1611" s="27">
        <v>0</v>
      </c>
      <c r="T1611" s="27">
        <v>-1.619E-2</v>
      </c>
      <c r="U1611" s="27">
        <v>-5.3969999999999997E-2</v>
      </c>
      <c r="V1611" s="27">
        <v>0</v>
      </c>
      <c r="W1611" s="27">
        <v>0</v>
      </c>
      <c r="X1611" s="27" t="s">
        <v>58</v>
      </c>
    </row>
    <row r="1612" spans="1:24">
      <c r="A1612" s="27">
        <v>5</v>
      </c>
      <c r="B1612" s="27">
        <v>1</v>
      </c>
      <c r="C1612" s="27">
        <v>4</v>
      </c>
      <c r="D1612" s="27">
        <v>2013</v>
      </c>
      <c r="E1612" s="27">
        <v>2013</v>
      </c>
      <c r="F1612" s="27">
        <v>8</v>
      </c>
      <c r="G1612" s="27">
        <v>0</v>
      </c>
      <c r="H1612" s="27">
        <v>0</v>
      </c>
      <c r="I1612" s="27">
        <v>0</v>
      </c>
      <c r="J1612" s="27">
        <v>0</v>
      </c>
      <c r="K1612" s="27">
        <v>0.85</v>
      </c>
      <c r="L1612" s="27">
        <v>1600</v>
      </c>
      <c r="M1612" s="27">
        <v>1400</v>
      </c>
      <c r="N1612" s="27">
        <v>300</v>
      </c>
      <c r="O1612" s="27">
        <v>300</v>
      </c>
      <c r="P1612" s="27" t="s">
        <v>13</v>
      </c>
      <c r="Q1612" s="27">
        <v>1993</v>
      </c>
      <c r="R1612" s="27">
        <v>1</v>
      </c>
      <c r="S1612" s="27">
        <v>0</v>
      </c>
      <c r="T1612" s="27">
        <v>-1.619E-2</v>
      </c>
      <c r="U1612" s="27">
        <v>-5.3969999999999997E-2</v>
      </c>
      <c r="V1612" s="27">
        <v>0</v>
      </c>
      <c r="W1612" s="27">
        <v>0</v>
      </c>
      <c r="X1612" s="27" t="s">
        <v>58</v>
      </c>
    </row>
    <row r="1613" spans="1:24">
      <c r="A1613" s="27">
        <v>5</v>
      </c>
      <c r="B1613" s="27">
        <v>1</v>
      </c>
      <c r="C1613" s="27">
        <v>4</v>
      </c>
      <c r="D1613" s="27">
        <v>2013</v>
      </c>
      <c r="E1613" s="27">
        <v>2013</v>
      </c>
      <c r="F1613" s="27">
        <v>9</v>
      </c>
      <c r="G1613" s="27">
        <v>0</v>
      </c>
      <c r="H1613" s="27">
        <v>0</v>
      </c>
      <c r="I1613" s="27">
        <v>0</v>
      </c>
      <c r="J1613" s="27">
        <v>0</v>
      </c>
      <c r="K1613" s="27">
        <v>0.85</v>
      </c>
      <c r="L1613" s="27">
        <v>1600</v>
      </c>
      <c r="M1613" s="27">
        <v>1400</v>
      </c>
      <c r="N1613" s="27">
        <v>300</v>
      </c>
      <c r="O1613" s="27">
        <v>300</v>
      </c>
      <c r="P1613" s="27" t="s">
        <v>13</v>
      </c>
      <c r="Q1613" s="27">
        <v>1993</v>
      </c>
      <c r="R1613" s="27">
        <v>1</v>
      </c>
      <c r="S1613" s="27">
        <v>0</v>
      </c>
      <c r="T1613" s="27">
        <v>-1.619E-2</v>
      </c>
      <c r="U1613" s="27">
        <v>-5.3969999999999997E-2</v>
      </c>
      <c r="V1613" s="27">
        <v>0</v>
      </c>
      <c r="W1613" s="27">
        <v>0</v>
      </c>
      <c r="X1613" s="27" t="s">
        <v>58</v>
      </c>
    </row>
    <row r="1614" spans="1:24">
      <c r="A1614" s="27">
        <v>5</v>
      </c>
      <c r="B1614" s="27">
        <v>1</v>
      </c>
      <c r="C1614" s="27">
        <v>4</v>
      </c>
      <c r="D1614" s="27">
        <v>2014</v>
      </c>
      <c r="E1614" s="27">
        <v>2019</v>
      </c>
      <c r="F1614" s="27">
        <v>1</v>
      </c>
      <c r="G1614" s="27">
        <v>0</v>
      </c>
      <c r="H1614" s="27">
        <v>0</v>
      </c>
      <c r="I1614" s="27">
        <v>0</v>
      </c>
      <c r="J1614" s="27">
        <v>0</v>
      </c>
      <c r="K1614" s="27">
        <v>0.85</v>
      </c>
      <c r="L1614" s="27">
        <v>1600</v>
      </c>
      <c r="M1614" s="27">
        <v>1400</v>
      </c>
      <c r="N1614" s="27">
        <v>0</v>
      </c>
      <c r="O1614" s="27">
        <v>0</v>
      </c>
      <c r="P1614" s="27" t="s">
        <v>13</v>
      </c>
      <c r="Q1614" s="27">
        <v>1993</v>
      </c>
      <c r="R1614" s="27">
        <v>1</v>
      </c>
      <c r="S1614" s="27">
        <v>0</v>
      </c>
      <c r="T1614" s="27">
        <v>-1.619E-2</v>
      </c>
      <c r="U1614" s="27">
        <v>-5.3969999999999997E-2</v>
      </c>
      <c r="V1614" s="27">
        <v>0</v>
      </c>
      <c r="W1614" s="27">
        <v>0</v>
      </c>
      <c r="X1614" s="27" t="s">
        <v>58</v>
      </c>
    </row>
    <row r="1615" spans="1:24">
      <c r="A1615" s="27">
        <v>5</v>
      </c>
      <c r="B1615" s="27">
        <v>1</v>
      </c>
      <c r="C1615" s="27">
        <v>4</v>
      </c>
      <c r="D1615" s="27">
        <v>2014</v>
      </c>
      <c r="E1615" s="27">
        <v>2019</v>
      </c>
      <c r="F1615" s="27">
        <v>2</v>
      </c>
      <c r="G1615" s="27">
        <v>0</v>
      </c>
      <c r="H1615" s="27">
        <v>0</v>
      </c>
      <c r="I1615" s="27">
        <v>0</v>
      </c>
      <c r="J1615" s="27">
        <v>0</v>
      </c>
      <c r="K1615" s="27">
        <v>0.85</v>
      </c>
      <c r="L1615" s="27">
        <v>1600</v>
      </c>
      <c r="M1615" s="27">
        <v>1400</v>
      </c>
      <c r="N1615" s="27">
        <v>0</v>
      </c>
      <c r="O1615" s="27">
        <v>0</v>
      </c>
      <c r="P1615" s="27" t="s">
        <v>13</v>
      </c>
      <c r="Q1615" s="27">
        <v>1993</v>
      </c>
      <c r="R1615" s="27">
        <v>1</v>
      </c>
      <c r="S1615" s="27">
        <v>0</v>
      </c>
      <c r="T1615" s="27">
        <v>-1.619E-2</v>
      </c>
      <c r="U1615" s="27">
        <v>-5.3969999999999997E-2</v>
      </c>
      <c r="V1615" s="27">
        <v>0</v>
      </c>
      <c r="W1615" s="27">
        <v>0</v>
      </c>
      <c r="X1615" s="27" t="s">
        <v>58</v>
      </c>
    </row>
    <row r="1616" spans="1:24">
      <c r="A1616" s="27">
        <v>5</v>
      </c>
      <c r="B1616" s="27">
        <v>1</v>
      </c>
      <c r="C1616" s="27">
        <v>4</v>
      </c>
      <c r="D1616" s="27">
        <v>2014</v>
      </c>
      <c r="E1616" s="27">
        <v>2019</v>
      </c>
      <c r="F1616" s="27">
        <v>3</v>
      </c>
      <c r="G1616" s="27">
        <v>0</v>
      </c>
      <c r="H1616" s="27">
        <v>0</v>
      </c>
      <c r="I1616" s="27">
        <v>0</v>
      </c>
      <c r="J1616" s="27">
        <v>0</v>
      </c>
      <c r="K1616" s="27">
        <v>0.85</v>
      </c>
      <c r="L1616" s="27">
        <v>1600</v>
      </c>
      <c r="M1616" s="27">
        <v>1400</v>
      </c>
      <c r="N1616" s="27">
        <v>0</v>
      </c>
      <c r="O1616" s="27">
        <v>0</v>
      </c>
      <c r="P1616" s="27" t="s">
        <v>13</v>
      </c>
      <c r="Q1616" s="27">
        <v>1993</v>
      </c>
      <c r="R1616" s="27">
        <v>1</v>
      </c>
      <c r="S1616" s="27">
        <v>0</v>
      </c>
      <c r="T1616" s="27">
        <v>-1.619E-2</v>
      </c>
      <c r="U1616" s="27">
        <v>-5.3969999999999997E-2</v>
      </c>
      <c r="V1616" s="27">
        <v>0</v>
      </c>
      <c r="W1616" s="27">
        <v>0</v>
      </c>
      <c r="X1616" s="27" t="s">
        <v>58</v>
      </c>
    </row>
    <row r="1617" spans="1:24">
      <c r="A1617" s="27">
        <v>5</v>
      </c>
      <c r="B1617" s="27">
        <v>1</v>
      </c>
      <c r="C1617" s="27">
        <v>4</v>
      </c>
      <c r="D1617" s="27">
        <v>2014</v>
      </c>
      <c r="E1617" s="27">
        <v>2019</v>
      </c>
      <c r="F1617" s="27">
        <v>4</v>
      </c>
      <c r="G1617" s="27">
        <v>0</v>
      </c>
      <c r="H1617" s="27">
        <v>0</v>
      </c>
      <c r="I1617" s="27">
        <v>0</v>
      </c>
      <c r="J1617" s="27">
        <v>0</v>
      </c>
      <c r="K1617" s="27">
        <v>0.85</v>
      </c>
      <c r="L1617" s="27">
        <v>1600</v>
      </c>
      <c r="M1617" s="27">
        <v>1400</v>
      </c>
      <c r="N1617" s="27">
        <v>0</v>
      </c>
      <c r="O1617" s="27">
        <v>0</v>
      </c>
      <c r="P1617" s="27" t="s">
        <v>13</v>
      </c>
      <c r="Q1617" s="27">
        <v>1993</v>
      </c>
      <c r="R1617" s="27">
        <v>1</v>
      </c>
      <c r="S1617" s="27">
        <v>0</v>
      </c>
      <c r="T1617" s="27">
        <v>-1.619E-2</v>
      </c>
      <c r="U1617" s="27">
        <v>-5.3969999999999997E-2</v>
      </c>
      <c r="V1617" s="27">
        <v>0</v>
      </c>
      <c r="W1617" s="27">
        <v>0</v>
      </c>
      <c r="X1617" s="27" t="s">
        <v>58</v>
      </c>
    </row>
    <row r="1618" spans="1:24">
      <c r="A1618" s="27">
        <v>5</v>
      </c>
      <c r="B1618" s="27">
        <v>1</v>
      </c>
      <c r="C1618" s="27">
        <v>4</v>
      </c>
      <c r="D1618" s="27">
        <v>2014</v>
      </c>
      <c r="E1618" s="27">
        <v>2019</v>
      </c>
      <c r="F1618" s="27">
        <v>5</v>
      </c>
      <c r="G1618" s="27">
        <v>0</v>
      </c>
      <c r="H1618" s="27">
        <v>0</v>
      </c>
      <c r="I1618" s="27">
        <v>0</v>
      </c>
      <c r="J1618" s="27">
        <v>0</v>
      </c>
      <c r="K1618" s="27">
        <v>0.85</v>
      </c>
      <c r="L1618" s="27">
        <v>1600</v>
      </c>
      <c r="M1618" s="27">
        <v>1400</v>
      </c>
      <c r="N1618" s="27">
        <v>0</v>
      </c>
      <c r="O1618" s="27">
        <v>0</v>
      </c>
      <c r="P1618" s="27" t="s">
        <v>13</v>
      </c>
      <c r="Q1618" s="27">
        <v>1993</v>
      </c>
      <c r="R1618" s="27">
        <v>1</v>
      </c>
      <c r="S1618" s="27">
        <v>0</v>
      </c>
      <c r="T1618" s="27">
        <v>-1.619E-2</v>
      </c>
      <c r="U1618" s="27">
        <v>-5.3969999999999997E-2</v>
      </c>
      <c r="V1618" s="27">
        <v>0</v>
      </c>
      <c r="W1618" s="27">
        <v>0</v>
      </c>
      <c r="X1618" s="27" t="s">
        <v>58</v>
      </c>
    </row>
    <row r="1619" spans="1:24">
      <c r="A1619" s="27">
        <v>5</v>
      </c>
      <c r="B1619" s="27">
        <v>1</v>
      </c>
      <c r="C1619" s="27">
        <v>4</v>
      </c>
      <c r="D1619" s="27">
        <v>2014</v>
      </c>
      <c r="E1619" s="27">
        <v>2019</v>
      </c>
      <c r="F1619" s="27">
        <v>6</v>
      </c>
      <c r="G1619" s="27">
        <v>0</v>
      </c>
      <c r="H1619" s="27">
        <v>0</v>
      </c>
      <c r="I1619" s="27">
        <v>0</v>
      </c>
      <c r="J1619" s="27">
        <v>0</v>
      </c>
      <c r="K1619" s="27">
        <v>0.85</v>
      </c>
      <c r="L1619" s="27">
        <v>1600</v>
      </c>
      <c r="M1619" s="27">
        <v>1400</v>
      </c>
      <c r="N1619" s="27">
        <v>0</v>
      </c>
      <c r="O1619" s="27">
        <v>0</v>
      </c>
      <c r="P1619" s="27" t="s">
        <v>13</v>
      </c>
      <c r="Q1619" s="27">
        <v>1993</v>
      </c>
      <c r="R1619" s="27">
        <v>1</v>
      </c>
      <c r="S1619" s="27">
        <v>0</v>
      </c>
      <c r="T1619" s="27">
        <v>-1.619E-2</v>
      </c>
      <c r="U1619" s="27">
        <v>-5.3969999999999997E-2</v>
      </c>
      <c r="V1619" s="27">
        <v>0</v>
      </c>
      <c r="W1619" s="27">
        <v>0</v>
      </c>
      <c r="X1619" s="27" t="s">
        <v>58</v>
      </c>
    </row>
    <row r="1620" spans="1:24">
      <c r="A1620" s="27">
        <v>5</v>
      </c>
      <c r="B1620" s="27">
        <v>1</v>
      </c>
      <c r="C1620" s="27">
        <v>4</v>
      </c>
      <c r="D1620" s="27">
        <v>2014</v>
      </c>
      <c r="E1620" s="27">
        <v>2019</v>
      </c>
      <c r="F1620" s="27">
        <v>7</v>
      </c>
      <c r="G1620" s="27">
        <v>0</v>
      </c>
      <c r="H1620" s="27">
        <v>0</v>
      </c>
      <c r="I1620" s="27">
        <v>0</v>
      </c>
      <c r="J1620" s="27">
        <v>0</v>
      </c>
      <c r="K1620" s="27">
        <v>0.85</v>
      </c>
      <c r="L1620" s="27">
        <v>1600</v>
      </c>
      <c r="M1620" s="27">
        <v>1400</v>
      </c>
      <c r="N1620" s="27">
        <v>0</v>
      </c>
      <c r="O1620" s="27">
        <v>0</v>
      </c>
      <c r="P1620" s="27" t="s">
        <v>13</v>
      </c>
      <c r="Q1620" s="27">
        <v>1993</v>
      </c>
      <c r="R1620" s="27">
        <v>1</v>
      </c>
      <c r="S1620" s="27">
        <v>0</v>
      </c>
      <c r="T1620" s="27">
        <v>-1.619E-2</v>
      </c>
      <c r="U1620" s="27">
        <v>-5.3969999999999997E-2</v>
      </c>
      <c r="V1620" s="27">
        <v>0</v>
      </c>
      <c r="W1620" s="27">
        <v>0</v>
      </c>
      <c r="X1620" s="27" t="s">
        <v>58</v>
      </c>
    </row>
    <row r="1621" spans="1:24">
      <c r="A1621" s="27">
        <v>5</v>
      </c>
      <c r="B1621" s="27">
        <v>1</v>
      </c>
      <c r="C1621" s="27">
        <v>4</v>
      </c>
      <c r="D1621" s="27">
        <v>2014</v>
      </c>
      <c r="E1621" s="27">
        <v>2019</v>
      </c>
      <c r="F1621" s="27">
        <v>8</v>
      </c>
      <c r="G1621" s="27">
        <v>0</v>
      </c>
      <c r="H1621" s="27">
        <v>0</v>
      </c>
      <c r="I1621" s="27">
        <v>0</v>
      </c>
      <c r="J1621" s="27">
        <v>0</v>
      </c>
      <c r="K1621" s="27">
        <v>0.85</v>
      </c>
      <c r="L1621" s="27">
        <v>1600</v>
      </c>
      <c r="M1621" s="27">
        <v>1400</v>
      </c>
      <c r="N1621" s="27">
        <v>0</v>
      </c>
      <c r="O1621" s="27">
        <v>0</v>
      </c>
      <c r="P1621" s="27" t="s">
        <v>13</v>
      </c>
      <c r="Q1621" s="27">
        <v>1993</v>
      </c>
      <c r="R1621" s="27">
        <v>1</v>
      </c>
      <c r="S1621" s="27">
        <v>0</v>
      </c>
      <c r="T1621" s="27">
        <v>-1.619E-2</v>
      </c>
      <c r="U1621" s="27">
        <v>-5.3969999999999997E-2</v>
      </c>
      <c r="V1621" s="27">
        <v>0</v>
      </c>
      <c r="W1621" s="27">
        <v>0</v>
      </c>
      <c r="X1621" s="27" t="s">
        <v>58</v>
      </c>
    </row>
    <row r="1622" spans="1:24">
      <c r="A1622" s="27">
        <v>5</v>
      </c>
      <c r="B1622" s="27">
        <v>1</v>
      </c>
      <c r="C1622" s="27">
        <v>4</v>
      </c>
      <c r="D1622" s="27">
        <v>2014</v>
      </c>
      <c r="E1622" s="27">
        <v>2019</v>
      </c>
      <c r="F1622" s="27">
        <v>9</v>
      </c>
      <c r="G1622" s="27">
        <v>0</v>
      </c>
      <c r="H1622" s="27">
        <v>0</v>
      </c>
      <c r="I1622" s="27">
        <v>0</v>
      </c>
      <c r="J1622" s="27">
        <v>0</v>
      </c>
      <c r="K1622" s="27">
        <v>0.85</v>
      </c>
      <c r="L1622" s="27">
        <v>1600</v>
      </c>
      <c r="M1622" s="27">
        <v>1400</v>
      </c>
      <c r="N1622" s="27">
        <v>0</v>
      </c>
      <c r="O1622" s="27">
        <v>0</v>
      </c>
      <c r="P1622" s="27" t="s">
        <v>13</v>
      </c>
      <c r="Q1622" s="27">
        <v>1993</v>
      </c>
      <c r="R1622" s="27">
        <v>1</v>
      </c>
      <c r="S1622" s="27">
        <v>0</v>
      </c>
      <c r="T1622" s="27">
        <v>-1.619E-2</v>
      </c>
      <c r="U1622" s="27">
        <v>-5.3969999999999997E-2</v>
      </c>
      <c r="V1622" s="27">
        <v>0</v>
      </c>
      <c r="W1622" s="27">
        <v>0</v>
      </c>
      <c r="X1622" s="27" t="s">
        <v>58</v>
      </c>
    </row>
    <row r="1623" spans="1:24">
      <c r="A1623" s="27">
        <v>5</v>
      </c>
      <c r="B1623" s="27">
        <v>1</v>
      </c>
      <c r="C1623" s="27">
        <v>4</v>
      </c>
      <c r="D1623" s="27">
        <v>2020</v>
      </c>
      <c r="E1623" s="27">
        <v>2050</v>
      </c>
      <c r="F1623" s="27">
        <v>1</v>
      </c>
      <c r="G1623" s="27">
        <v>0</v>
      </c>
      <c r="H1623" s="27">
        <v>0</v>
      </c>
      <c r="I1623" s="27">
        <v>0</v>
      </c>
      <c r="J1623" s="27">
        <v>0</v>
      </c>
      <c r="K1623" s="27">
        <v>0.85</v>
      </c>
      <c r="L1623" s="27">
        <v>1600</v>
      </c>
      <c r="M1623" s="27">
        <v>1400</v>
      </c>
      <c r="N1623" s="27">
        <v>0</v>
      </c>
      <c r="O1623" s="27">
        <v>0</v>
      </c>
      <c r="P1623" s="27" t="s">
        <v>13</v>
      </c>
      <c r="Q1623" s="27">
        <v>1993</v>
      </c>
      <c r="R1623" s="27">
        <v>1</v>
      </c>
      <c r="S1623" s="27">
        <v>0</v>
      </c>
      <c r="T1623" s="27">
        <v>-1.619E-2</v>
      </c>
      <c r="U1623" s="27">
        <v>-5.3969999999999997E-2</v>
      </c>
      <c r="V1623" s="27">
        <v>0</v>
      </c>
      <c r="W1623" s="27">
        <v>0</v>
      </c>
      <c r="X1623" s="27" t="s">
        <v>58</v>
      </c>
    </row>
    <row r="1624" spans="1:24">
      <c r="A1624" s="27">
        <v>5</v>
      </c>
      <c r="B1624" s="27">
        <v>1</v>
      </c>
      <c r="C1624" s="27">
        <v>4</v>
      </c>
      <c r="D1624" s="27">
        <v>2020</v>
      </c>
      <c r="E1624" s="27">
        <v>2050</v>
      </c>
      <c r="F1624" s="27">
        <v>2</v>
      </c>
      <c r="G1624" s="27">
        <v>0</v>
      </c>
      <c r="H1624" s="27">
        <v>0</v>
      </c>
      <c r="I1624" s="27">
        <v>0</v>
      </c>
      <c r="J1624" s="27">
        <v>0</v>
      </c>
      <c r="K1624" s="27">
        <v>0.85</v>
      </c>
      <c r="L1624" s="27">
        <v>1600</v>
      </c>
      <c r="M1624" s="27">
        <v>1400</v>
      </c>
      <c r="N1624" s="27">
        <v>0</v>
      </c>
      <c r="O1624" s="27">
        <v>0</v>
      </c>
      <c r="P1624" s="27" t="s">
        <v>13</v>
      </c>
      <c r="Q1624" s="27">
        <v>1993</v>
      </c>
      <c r="R1624" s="27">
        <v>1</v>
      </c>
      <c r="S1624" s="27">
        <v>0</v>
      </c>
      <c r="T1624" s="27">
        <v>-1.619E-2</v>
      </c>
      <c r="U1624" s="27">
        <v>-5.3969999999999997E-2</v>
      </c>
      <c r="V1624" s="27">
        <v>0</v>
      </c>
      <c r="W1624" s="27">
        <v>0</v>
      </c>
      <c r="X1624" s="27" t="s">
        <v>58</v>
      </c>
    </row>
    <row r="1625" spans="1:24">
      <c r="A1625" s="27">
        <v>5</v>
      </c>
      <c r="B1625" s="27">
        <v>1</v>
      </c>
      <c r="C1625" s="27">
        <v>4</v>
      </c>
      <c r="D1625" s="27">
        <v>2020</v>
      </c>
      <c r="E1625" s="27">
        <v>2050</v>
      </c>
      <c r="F1625" s="27">
        <v>3</v>
      </c>
      <c r="G1625" s="27">
        <v>0</v>
      </c>
      <c r="H1625" s="27">
        <v>0</v>
      </c>
      <c r="I1625" s="27">
        <v>0</v>
      </c>
      <c r="J1625" s="27">
        <v>0</v>
      </c>
      <c r="K1625" s="27">
        <v>0.85</v>
      </c>
      <c r="L1625" s="27">
        <v>1600</v>
      </c>
      <c r="M1625" s="27">
        <v>1400</v>
      </c>
      <c r="N1625" s="27">
        <v>0</v>
      </c>
      <c r="O1625" s="27">
        <v>0</v>
      </c>
      <c r="P1625" s="27" t="s">
        <v>13</v>
      </c>
      <c r="Q1625" s="27">
        <v>1993</v>
      </c>
      <c r="R1625" s="27">
        <v>1</v>
      </c>
      <c r="S1625" s="27">
        <v>0</v>
      </c>
      <c r="T1625" s="27">
        <v>-1.619E-2</v>
      </c>
      <c r="U1625" s="27">
        <v>-5.3969999999999997E-2</v>
      </c>
      <c r="V1625" s="27">
        <v>0</v>
      </c>
      <c r="W1625" s="27">
        <v>0</v>
      </c>
      <c r="X1625" s="27" t="s">
        <v>58</v>
      </c>
    </row>
    <row r="1626" spans="1:24">
      <c r="A1626" s="27">
        <v>5</v>
      </c>
      <c r="B1626" s="27">
        <v>1</v>
      </c>
      <c r="C1626" s="27">
        <v>4</v>
      </c>
      <c r="D1626" s="27">
        <v>2020</v>
      </c>
      <c r="E1626" s="27">
        <v>2050</v>
      </c>
      <c r="F1626" s="27">
        <v>4</v>
      </c>
      <c r="G1626" s="27">
        <v>0</v>
      </c>
      <c r="H1626" s="27">
        <v>0</v>
      </c>
      <c r="I1626" s="27">
        <v>0</v>
      </c>
      <c r="J1626" s="27">
        <v>0</v>
      </c>
      <c r="K1626" s="27">
        <v>0.85</v>
      </c>
      <c r="L1626" s="27">
        <v>1600</v>
      </c>
      <c r="M1626" s="27">
        <v>1400</v>
      </c>
      <c r="N1626" s="27">
        <v>0</v>
      </c>
      <c r="O1626" s="27">
        <v>0</v>
      </c>
      <c r="P1626" s="27" t="s">
        <v>13</v>
      </c>
      <c r="Q1626" s="27">
        <v>1993</v>
      </c>
      <c r="R1626" s="27">
        <v>1</v>
      </c>
      <c r="S1626" s="27">
        <v>0</v>
      </c>
      <c r="T1626" s="27">
        <v>-1.619E-2</v>
      </c>
      <c r="U1626" s="27">
        <v>-5.3969999999999997E-2</v>
      </c>
      <c r="V1626" s="27">
        <v>0</v>
      </c>
      <c r="W1626" s="27">
        <v>0</v>
      </c>
      <c r="X1626" s="27" t="s">
        <v>58</v>
      </c>
    </row>
    <row r="1627" spans="1:24">
      <c r="A1627" s="27">
        <v>5</v>
      </c>
      <c r="B1627" s="27">
        <v>1</v>
      </c>
      <c r="C1627" s="27">
        <v>4</v>
      </c>
      <c r="D1627" s="27">
        <v>2020</v>
      </c>
      <c r="E1627" s="27">
        <v>2050</v>
      </c>
      <c r="F1627" s="27">
        <v>5</v>
      </c>
      <c r="G1627" s="27">
        <v>0</v>
      </c>
      <c r="H1627" s="27">
        <v>0</v>
      </c>
      <c r="I1627" s="27">
        <v>0</v>
      </c>
      <c r="J1627" s="27">
        <v>0</v>
      </c>
      <c r="K1627" s="27">
        <v>0.85</v>
      </c>
      <c r="L1627" s="27">
        <v>1600</v>
      </c>
      <c r="M1627" s="27">
        <v>1400</v>
      </c>
      <c r="N1627" s="27">
        <v>0</v>
      </c>
      <c r="O1627" s="27">
        <v>0</v>
      </c>
      <c r="P1627" s="27" t="s">
        <v>13</v>
      </c>
      <c r="Q1627" s="27">
        <v>1993</v>
      </c>
      <c r="R1627" s="27">
        <v>1</v>
      </c>
      <c r="S1627" s="27">
        <v>0</v>
      </c>
      <c r="T1627" s="27">
        <v>-1.619E-2</v>
      </c>
      <c r="U1627" s="27">
        <v>-5.3969999999999997E-2</v>
      </c>
      <c r="V1627" s="27">
        <v>0</v>
      </c>
      <c r="W1627" s="27">
        <v>0</v>
      </c>
      <c r="X1627" s="27" t="s">
        <v>58</v>
      </c>
    </row>
    <row r="1628" spans="1:24">
      <c r="A1628" s="27">
        <v>5</v>
      </c>
      <c r="B1628" s="27">
        <v>1</v>
      </c>
      <c r="C1628" s="27">
        <v>4</v>
      </c>
      <c r="D1628" s="27">
        <v>2020</v>
      </c>
      <c r="E1628" s="27">
        <v>2050</v>
      </c>
      <c r="F1628" s="27">
        <v>6</v>
      </c>
      <c r="G1628" s="27">
        <v>0</v>
      </c>
      <c r="H1628" s="27">
        <v>0</v>
      </c>
      <c r="I1628" s="27">
        <v>0</v>
      </c>
      <c r="J1628" s="27">
        <v>0</v>
      </c>
      <c r="K1628" s="27">
        <v>0.85</v>
      </c>
      <c r="L1628" s="27">
        <v>1600</v>
      </c>
      <c r="M1628" s="27">
        <v>1400</v>
      </c>
      <c r="N1628" s="27">
        <v>0</v>
      </c>
      <c r="O1628" s="27">
        <v>0</v>
      </c>
      <c r="P1628" s="27" t="s">
        <v>13</v>
      </c>
      <c r="Q1628" s="27">
        <v>1993</v>
      </c>
      <c r="R1628" s="27">
        <v>1</v>
      </c>
      <c r="S1628" s="27">
        <v>0</v>
      </c>
      <c r="T1628" s="27">
        <v>-1.619E-2</v>
      </c>
      <c r="U1628" s="27">
        <v>-5.3969999999999997E-2</v>
      </c>
      <c r="V1628" s="27">
        <v>0</v>
      </c>
      <c r="W1628" s="27">
        <v>0</v>
      </c>
      <c r="X1628" s="27" t="s">
        <v>58</v>
      </c>
    </row>
    <row r="1629" spans="1:24">
      <c r="A1629" s="27">
        <v>5</v>
      </c>
      <c r="B1629" s="27">
        <v>1</v>
      </c>
      <c r="C1629" s="27">
        <v>4</v>
      </c>
      <c r="D1629" s="27">
        <v>2020</v>
      </c>
      <c r="E1629" s="27">
        <v>2050</v>
      </c>
      <c r="F1629" s="27">
        <v>7</v>
      </c>
      <c r="G1629" s="27">
        <v>0</v>
      </c>
      <c r="H1629" s="27">
        <v>0</v>
      </c>
      <c r="I1629" s="27">
        <v>0</v>
      </c>
      <c r="J1629" s="27">
        <v>0</v>
      </c>
      <c r="K1629" s="27">
        <v>0.85</v>
      </c>
      <c r="L1629" s="27">
        <v>1600</v>
      </c>
      <c r="M1629" s="27">
        <v>1400</v>
      </c>
      <c r="N1629" s="27">
        <v>0</v>
      </c>
      <c r="O1629" s="27">
        <v>0</v>
      </c>
      <c r="P1629" s="27" t="s">
        <v>13</v>
      </c>
      <c r="Q1629" s="27">
        <v>1993</v>
      </c>
      <c r="R1629" s="27">
        <v>1</v>
      </c>
      <c r="S1629" s="27">
        <v>0</v>
      </c>
      <c r="T1629" s="27">
        <v>-1.619E-2</v>
      </c>
      <c r="U1629" s="27">
        <v>-5.3969999999999997E-2</v>
      </c>
      <c r="V1629" s="27">
        <v>0</v>
      </c>
      <c r="W1629" s="27">
        <v>0</v>
      </c>
      <c r="X1629" s="27" t="s">
        <v>58</v>
      </c>
    </row>
    <row r="1630" spans="1:24">
      <c r="A1630" s="27">
        <v>5</v>
      </c>
      <c r="B1630" s="27">
        <v>1</v>
      </c>
      <c r="C1630" s="27">
        <v>4</v>
      </c>
      <c r="D1630" s="27">
        <v>2020</v>
      </c>
      <c r="E1630" s="27">
        <v>2050</v>
      </c>
      <c r="F1630" s="27">
        <v>8</v>
      </c>
      <c r="G1630" s="27">
        <v>0</v>
      </c>
      <c r="H1630" s="27">
        <v>0</v>
      </c>
      <c r="I1630" s="27">
        <v>0</v>
      </c>
      <c r="J1630" s="27">
        <v>0</v>
      </c>
      <c r="K1630" s="27">
        <v>0.85</v>
      </c>
      <c r="L1630" s="27">
        <v>1600</v>
      </c>
      <c r="M1630" s="27">
        <v>1400</v>
      </c>
      <c r="N1630" s="27">
        <v>0</v>
      </c>
      <c r="O1630" s="27">
        <v>0</v>
      </c>
      <c r="P1630" s="27" t="s">
        <v>13</v>
      </c>
      <c r="Q1630" s="27">
        <v>1993</v>
      </c>
      <c r="R1630" s="27">
        <v>1</v>
      </c>
      <c r="S1630" s="27">
        <v>0</v>
      </c>
      <c r="T1630" s="27">
        <v>-1.619E-2</v>
      </c>
      <c r="U1630" s="27">
        <v>-5.3969999999999997E-2</v>
      </c>
      <c r="V1630" s="27">
        <v>0</v>
      </c>
      <c r="W1630" s="27">
        <v>0</v>
      </c>
      <c r="X1630" s="27" t="s">
        <v>58</v>
      </c>
    </row>
    <row r="1631" spans="1:24">
      <c r="A1631" s="27">
        <v>5</v>
      </c>
      <c r="B1631" s="27">
        <v>1</v>
      </c>
      <c r="C1631" s="27">
        <v>4</v>
      </c>
      <c r="D1631" s="27">
        <v>2020</v>
      </c>
      <c r="E1631" s="27">
        <v>2050</v>
      </c>
      <c r="F1631" s="27">
        <v>9</v>
      </c>
      <c r="G1631" s="27">
        <v>0</v>
      </c>
      <c r="H1631" s="27">
        <v>0</v>
      </c>
      <c r="I1631" s="27">
        <v>0</v>
      </c>
      <c r="J1631" s="27">
        <v>0</v>
      </c>
      <c r="K1631" s="27">
        <v>0.85</v>
      </c>
      <c r="L1631" s="27">
        <v>1600</v>
      </c>
      <c r="M1631" s="27">
        <v>1400</v>
      </c>
      <c r="N1631" s="27">
        <v>0</v>
      </c>
      <c r="O1631" s="27">
        <v>0</v>
      </c>
      <c r="P1631" s="27" t="s">
        <v>13</v>
      </c>
      <c r="Q1631" s="27">
        <v>1993</v>
      </c>
      <c r="R1631" s="27">
        <v>1</v>
      </c>
      <c r="S1631" s="27">
        <v>0</v>
      </c>
      <c r="T1631" s="27">
        <v>-1.619E-2</v>
      </c>
      <c r="U1631" s="27">
        <v>-5.3969999999999997E-2</v>
      </c>
      <c r="V1631" s="27">
        <v>0</v>
      </c>
      <c r="W1631" s="27">
        <v>0</v>
      </c>
      <c r="X1631" s="27" t="s">
        <v>58</v>
      </c>
    </row>
    <row r="1632" spans="1:24">
      <c r="A1632" s="27">
        <v>5</v>
      </c>
      <c r="B1632" s="27">
        <v>2</v>
      </c>
      <c r="C1632" s="27">
        <v>5</v>
      </c>
      <c r="D1632" s="27">
        <v>2010</v>
      </c>
      <c r="E1632" s="27">
        <v>2014</v>
      </c>
      <c r="F1632" s="27">
        <v>1</v>
      </c>
      <c r="G1632" s="27">
        <v>0</v>
      </c>
      <c r="H1632" s="27">
        <v>0</v>
      </c>
      <c r="I1632" s="27">
        <v>0</v>
      </c>
      <c r="J1632" s="27">
        <v>0</v>
      </c>
      <c r="K1632" s="27">
        <v>0.9</v>
      </c>
      <c r="L1632" s="27">
        <v>600</v>
      </c>
      <c r="M1632" s="27">
        <v>480</v>
      </c>
      <c r="N1632" s="27">
        <v>0</v>
      </c>
      <c r="O1632" s="27">
        <v>0</v>
      </c>
      <c r="P1632" s="27" t="s">
        <v>13</v>
      </c>
      <c r="Q1632" s="27">
        <v>1993</v>
      </c>
      <c r="R1632" s="27">
        <v>1</v>
      </c>
      <c r="S1632" s="27">
        <v>0</v>
      </c>
      <c r="T1632" s="27">
        <v>-1.619E-2</v>
      </c>
      <c r="U1632" s="27">
        <v>-3.2379999999999999E-2</v>
      </c>
      <c r="V1632" s="27">
        <v>0</v>
      </c>
      <c r="W1632" s="27">
        <v>0</v>
      </c>
      <c r="X1632" s="27" t="s">
        <v>59</v>
      </c>
    </row>
    <row r="1633" spans="1:24">
      <c r="A1633" s="27">
        <v>5</v>
      </c>
      <c r="B1633" s="27">
        <v>2</v>
      </c>
      <c r="C1633" s="27">
        <v>5</v>
      </c>
      <c r="D1633" s="27">
        <v>2010</v>
      </c>
      <c r="E1633" s="27">
        <v>2014</v>
      </c>
      <c r="F1633" s="27">
        <v>2</v>
      </c>
      <c r="G1633" s="27">
        <v>0</v>
      </c>
      <c r="H1633" s="27">
        <v>0</v>
      </c>
      <c r="I1633" s="27">
        <v>0</v>
      </c>
      <c r="J1633" s="27">
        <v>0</v>
      </c>
      <c r="K1633" s="27">
        <v>0.9</v>
      </c>
      <c r="L1633" s="27">
        <v>600</v>
      </c>
      <c r="M1633" s="27">
        <v>480</v>
      </c>
      <c r="N1633" s="27">
        <v>0</v>
      </c>
      <c r="O1633" s="27">
        <v>0</v>
      </c>
      <c r="P1633" s="27" t="s">
        <v>13</v>
      </c>
      <c r="Q1633" s="27">
        <v>1993</v>
      </c>
      <c r="R1633" s="27">
        <v>1</v>
      </c>
      <c r="S1633" s="27">
        <v>0</v>
      </c>
      <c r="T1633" s="27">
        <v>-1.619E-2</v>
      </c>
      <c r="U1633" s="27">
        <v>-3.2379999999999999E-2</v>
      </c>
      <c r="V1633" s="27">
        <v>0</v>
      </c>
      <c r="W1633" s="27">
        <v>0</v>
      </c>
      <c r="X1633" s="27" t="s">
        <v>59</v>
      </c>
    </row>
    <row r="1634" spans="1:24">
      <c r="A1634" s="27">
        <v>5</v>
      </c>
      <c r="B1634" s="27">
        <v>2</v>
      </c>
      <c r="C1634" s="27">
        <v>5</v>
      </c>
      <c r="D1634" s="27">
        <v>2010</v>
      </c>
      <c r="E1634" s="27">
        <v>2014</v>
      </c>
      <c r="F1634" s="27">
        <v>3</v>
      </c>
      <c r="G1634" s="27">
        <v>0</v>
      </c>
      <c r="H1634" s="27">
        <v>0</v>
      </c>
      <c r="I1634" s="27">
        <v>0</v>
      </c>
      <c r="J1634" s="27">
        <v>0</v>
      </c>
      <c r="K1634" s="27">
        <v>0.9</v>
      </c>
      <c r="L1634" s="27">
        <v>600</v>
      </c>
      <c r="M1634" s="27">
        <v>480</v>
      </c>
      <c r="N1634" s="27">
        <v>0</v>
      </c>
      <c r="O1634" s="27">
        <v>0</v>
      </c>
      <c r="P1634" s="27" t="s">
        <v>13</v>
      </c>
      <c r="Q1634" s="27">
        <v>1993</v>
      </c>
      <c r="R1634" s="27">
        <v>1</v>
      </c>
      <c r="S1634" s="27">
        <v>0</v>
      </c>
      <c r="T1634" s="27">
        <v>-1.619E-2</v>
      </c>
      <c r="U1634" s="27">
        <v>-3.2379999999999999E-2</v>
      </c>
      <c r="V1634" s="27">
        <v>0</v>
      </c>
      <c r="W1634" s="27">
        <v>0</v>
      </c>
      <c r="X1634" s="27" t="s">
        <v>59</v>
      </c>
    </row>
    <row r="1635" spans="1:24">
      <c r="A1635" s="27">
        <v>5</v>
      </c>
      <c r="B1635" s="27">
        <v>2</v>
      </c>
      <c r="C1635" s="27">
        <v>5</v>
      </c>
      <c r="D1635" s="27">
        <v>2010</v>
      </c>
      <c r="E1635" s="27">
        <v>2014</v>
      </c>
      <c r="F1635" s="27">
        <v>4</v>
      </c>
      <c r="G1635" s="27">
        <v>0</v>
      </c>
      <c r="H1635" s="27">
        <v>0</v>
      </c>
      <c r="I1635" s="27">
        <v>0</v>
      </c>
      <c r="J1635" s="27">
        <v>0</v>
      </c>
      <c r="K1635" s="27">
        <v>0.9</v>
      </c>
      <c r="L1635" s="27">
        <v>600</v>
      </c>
      <c r="M1635" s="27">
        <v>480</v>
      </c>
      <c r="N1635" s="27">
        <v>0</v>
      </c>
      <c r="O1635" s="27">
        <v>0</v>
      </c>
      <c r="P1635" s="27" t="s">
        <v>13</v>
      </c>
      <c r="Q1635" s="27">
        <v>1993</v>
      </c>
      <c r="R1635" s="27">
        <v>1</v>
      </c>
      <c r="S1635" s="27">
        <v>0</v>
      </c>
      <c r="T1635" s="27">
        <v>-1.619E-2</v>
      </c>
      <c r="U1635" s="27">
        <v>-3.2379999999999999E-2</v>
      </c>
      <c r="V1635" s="27">
        <v>0</v>
      </c>
      <c r="W1635" s="27">
        <v>0</v>
      </c>
      <c r="X1635" s="27" t="s">
        <v>59</v>
      </c>
    </row>
    <row r="1636" spans="1:24">
      <c r="A1636" s="27">
        <v>5</v>
      </c>
      <c r="B1636" s="27">
        <v>2</v>
      </c>
      <c r="C1636" s="27">
        <v>5</v>
      </c>
      <c r="D1636" s="27">
        <v>2010</v>
      </c>
      <c r="E1636" s="27">
        <v>2014</v>
      </c>
      <c r="F1636" s="27">
        <v>5</v>
      </c>
      <c r="G1636" s="27">
        <v>0</v>
      </c>
      <c r="H1636" s="27">
        <v>0</v>
      </c>
      <c r="I1636" s="27">
        <v>0</v>
      </c>
      <c r="J1636" s="27">
        <v>0</v>
      </c>
      <c r="K1636" s="27">
        <v>0.9</v>
      </c>
      <c r="L1636" s="27">
        <v>600</v>
      </c>
      <c r="M1636" s="27">
        <v>480</v>
      </c>
      <c r="N1636" s="27">
        <v>0</v>
      </c>
      <c r="O1636" s="27">
        <v>0</v>
      </c>
      <c r="P1636" s="27" t="s">
        <v>13</v>
      </c>
      <c r="Q1636" s="27">
        <v>1993</v>
      </c>
      <c r="R1636" s="27">
        <v>1</v>
      </c>
      <c r="S1636" s="27">
        <v>0</v>
      </c>
      <c r="T1636" s="27">
        <v>-1.619E-2</v>
      </c>
      <c r="U1636" s="27">
        <v>-3.2379999999999999E-2</v>
      </c>
      <c r="V1636" s="27">
        <v>0</v>
      </c>
      <c r="W1636" s="27">
        <v>0</v>
      </c>
      <c r="X1636" s="27" t="s">
        <v>59</v>
      </c>
    </row>
    <row r="1637" spans="1:24">
      <c r="A1637" s="27">
        <v>5</v>
      </c>
      <c r="B1637" s="27">
        <v>2</v>
      </c>
      <c r="C1637" s="27">
        <v>5</v>
      </c>
      <c r="D1637" s="27">
        <v>2010</v>
      </c>
      <c r="E1637" s="27">
        <v>2014</v>
      </c>
      <c r="F1637" s="27">
        <v>6</v>
      </c>
      <c r="G1637" s="27">
        <v>0</v>
      </c>
      <c r="H1637" s="27">
        <v>0</v>
      </c>
      <c r="I1637" s="27">
        <v>0</v>
      </c>
      <c r="J1637" s="27">
        <v>0</v>
      </c>
      <c r="K1637" s="27">
        <v>0.9</v>
      </c>
      <c r="L1637" s="27">
        <v>600</v>
      </c>
      <c r="M1637" s="27">
        <v>480</v>
      </c>
      <c r="N1637" s="27">
        <v>0</v>
      </c>
      <c r="O1637" s="27">
        <v>0</v>
      </c>
      <c r="P1637" s="27" t="s">
        <v>13</v>
      </c>
      <c r="Q1637" s="27">
        <v>1993</v>
      </c>
      <c r="R1637" s="27">
        <v>1</v>
      </c>
      <c r="S1637" s="27">
        <v>0</v>
      </c>
      <c r="T1637" s="27">
        <v>-1.619E-2</v>
      </c>
      <c r="U1637" s="27">
        <v>-3.2379999999999999E-2</v>
      </c>
      <c r="V1637" s="27">
        <v>0</v>
      </c>
      <c r="W1637" s="27">
        <v>0</v>
      </c>
      <c r="X1637" s="27" t="s">
        <v>59</v>
      </c>
    </row>
    <row r="1638" spans="1:24">
      <c r="A1638" s="27">
        <v>5</v>
      </c>
      <c r="B1638" s="27">
        <v>2</v>
      </c>
      <c r="C1638" s="27">
        <v>5</v>
      </c>
      <c r="D1638" s="27">
        <v>2010</v>
      </c>
      <c r="E1638" s="27">
        <v>2014</v>
      </c>
      <c r="F1638" s="27">
        <v>7</v>
      </c>
      <c r="G1638" s="27">
        <v>0</v>
      </c>
      <c r="H1638" s="27">
        <v>0</v>
      </c>
      <c r="I1638" s="27">
        <v>0</v>
      </c>
      <c r="J1638" s="27">
        <v>0</v>
      </c>
      <c r="K1638" s="27">
        <v>0.9</v>
      </c>
      <c r="L1638" s="27">
        <v>600</v>
      </c>
      <c r="M1638" s="27">
        <v>480</v>
      </c>
      <c r="N1638" s="27">
        <v>0</v>
      </c>
      <c r="O1638" s="27">
        <v>0</v>
      </c>
      <c r="P1638" s="27" t="s">
        <v>13</v>
      </c>
      <c r="Q1638" s="27">
        <v>1993</v>
      </c>
      <c r="R1638" s="27">
        <v>1</v>
      </c>
      <c r="S1638" s="27">
        <v>0</v>
      </c>
      <c r="T1638" s="27">
        <v>-1.619E-2</v>
      </c>
      <c r="U1638" s="27">
        <v>-3.2379999999999999E-2</v>
      </c>
      <c r="V1638" s="27">
        <v>0</v>
      </c>
      <c r="W1638" s="27">
        <v>0</v>
      </c>
      <c r="X1638" s="27" t="s">
        <v>59</v>
      </c>
    </row>
    <row r="1639" spans="1:24">
      <c r="A1639" s="27">
        <v>5</v>
      </c>
      <c r="B1639" s="27">
        <v>2</v>
      </c>
      <c r="C1639" s="27">
        <v>5</v>
      </c>
      <c r="D1639" s="27">
        <v>2010</v>
      </c>
      <c r="E1639" s="27">
        <v>2014</v>
      </c>
      <c r="F1639" s="27">
        <v>8</v>
      </c>
      <c r="G1639" s="27">
        <v>0</v>
      </c>
      <c r="H1639" s="27">
        <v>0</v>
      </c>
      <c r="I1639" s="27">
        <v>0</v>
      </c>
      <c r="J1639" s="27">
        <v>0</v>
      </c>
      <c r="K1639" s="27">
        <v>0.9</v>
      </c>
      <c r="L1639" s="27">
        <v>600</v>
      </c>
      <c r="M1639" s="27">
        <v>480</v>
      </c>
      <c r="N1639" s="27">
        <v>0</v>
      </c>
      <c r="O1639" s="27">
        <v>0</v>
      </c>
      <c r="P1639" s="27" t="s">
        <v>13</v>
      </c>
      <c r="Q1639" s="27">
        <v>1993</v>
      </c>
      <c r="R1639" s="27">
        <v>1</v>
      </c>
      <c r="S1639" s="27">
        <v>0</v>
      </c>
      <c r="T1639" s="27">
        <v>-1.619E-2</v>
      </c>
      <c r="U1639" s="27">
        <v>-3.2379999999999999E-2</v>
      </c>
      <c r="V1639" s="27">
        <v>0</v>
      </c>
      <c r="W1639" s="27">
        <v>0</v>
      </c>
      <c r="X1639" s="27" t="s">
        <v>59</v>
      </c>
    </row>
    <row r="1640" spans="1:24">
      <c r="A1640" s="27">
        <v>5</v>
      </c>
      <c r="B1640" s="27">
        <v>2</v>
      </c>
      <c r="C1640" s="27">
        <v>5</v>
      </c>
      <c r="D1640" s="27">
        <v>2010</v>
      </c>
      <c r="E1640" s="27">
        <v>2014</v>
      </c>
      <c r="F1640" s="27">
        <v>9</v>
      </c>
      <c r="G1640" s="27">
        <v>0</v>
      </c>
      <c r="H1640" s="27">
        <v>0</v>
      </c>
      <c r="I1640" s="27">
        <v>0</v>
      </c>
      <c r="J1640" s="27">
        <v>0</v>
      </c>
      <c r="K1640" s="27">
        <v>0.9</v>
      </c>
      <c r="L1640" s="27">
        <v>600</v>
      </c>
      <c r="M1640" s="27">
        <v>480</v>
      </c>
      <c r="N1640" s="27">
        <v>0</v>
      </c>
      <c r="O1640" s="27">
        <v>0</v>
      </c>
      <c r="P1640" s="27" t="s">
        <v>13</v>
      </c>
      <c r="Q1640" s="27">
        <v>1993</v>
      </c>
      <c r="R1640" s="27">
        <v>1</v>
      </c>
      <c r="S1640" s="27">
        <v>0</v>
      </c>
      <c r="T1640" s="27">
        <v>-1.619E-2</v>
      </c>
      <c r="U1640" s="27">
        <v>-3.2379999999999999E-2</v>
      </c>
      <c r="V1640" s="27">
        <v>0</v>
      </c>
      <c r="W1640" s="27">
        <v>0</v>
      </c>
      <c r="X1640" s="27" t="s">
        <v>59</v>
      </c>
    </row>
    <row r="1641" spans="1:24">
      <c r="A1641" s="27">
        <v>5</v>
      </c>
      <c r="B1641" s="27">
        <v>2</v>
      </c>
      <c r="C1641" s="27">
        <v>5</v>
      </c>
      <c r="D1641" s="27">
        <v>2015</v>
      </c>
      <c r="E1641" s="27">
        <v>2050</v>
      </c>
      <c r="F1641" s="27">
        <v>1</v>
      </c>
      <c r="G1641" s="27">
        <v>0</v>
      </c>
      <c r="H1641" s="27">
        <v>0</v>
      </c>
      <c r="I1641" s="27">
        <v>0</v>
      </c>
      <c r="J1641" s="27">
        <v>0</v>
      </c>
      <c r="K1641" s="27">
        <v>0.95</v>
      </c>
      <c r="L1641" s="27">
        <v>675</v>
      </c>
      <c r="M1641" s="27">
        <v>555</v>
      </c>
      <c r="N1641" s="27">
        <v>0</v>
      </c>
      <c r="O1641" s="27">
        <v>0</v>
      </c>
      <c r="P1641" s="27" t="s">
        <v>13</v>
      </c>
      <c r="Q1641" s="27">
        <v>1993</v>
      </c>
      <c r="R1641" s="27">
        <v>1</v>
      </c>
      <c r="S1641" s="27">
        <v>0</v>
      </c>
      <c r="T1641" s="27">
        <v>-1</v>
      </c>
      <c r="U1641" s="27">
        <v>-1</v>
      </c>
      <c r="V1641" s="27">
        <v>0</v>
      </c>
      <c r="W1641" s="27">
        <v>0</v>
      </c>
      <c r="X1641" s="27" t="s">
        <v>59</v>
      </c>
    </row>
    <row r="1642" spans="1:24">
      <c r="A1642" s="27">
        <v>5</v>
      </c>
      <c r="B1642" s="27">
        <v>2</v>
      </c>
      <c r="C1642" s="27">
        <v>5</v>
      </c>
      <c r="D1642" s="27">
        <v>2015</v>
      </c>
      <c r="E1642" s="27">
        <v>2050</v>
      </c>
      <c r="F1642" s="27">
        <v>2</v>
      </c>
      <c r="G1642" s="27">
        <v>0</v>
      </c>
      <c r="H1642" s="27">
        <v>0</v>
      </c>
      <c r="I1642" s="27">
        <v>0</v>
      </c>
      <c r="J1642" s="27">
        <v>0</v>
      </c>
      <c r="K1642" s="27">
        <v>0.95</v>
      </c>
      <c r="L1642" s="27">
        <v>675</v>
      </c>
      <c r="M1642" s="27">
        <v>555</v>
      </c>
      <c r="N1642" s="27">
        <v>0</v>
      </c>
      <c r="O1642" s="27">
        <v>0</v>
      </c>
      <c r="P1642" s="27" t="s">
        <v>13</v>
      </c>
      <c r="Q1642" s="27">
        <v>1993</v>
      </c>
      <c r="R1642" s="27">
        <v>1</v>
      </c>
      <c r="S1642" s="27">
        <v>0</v>
      </c>
      <c r="T1642" s="27">
        <v>-1</v>
      </c>
      <c r="U1642" s="27">
        <v>-1</v>
      </c>
      <c r="V1642" s="27">
        <v>0</v>
      </c>
      <c r="W1642" s="27">
        <v>0</v>
      </c>
      <c r="X1642" s="27" t="s">
        <v>59</v>
      </c>
    </row>
    <row r="1643" spans="1:24">
      <c r="A1643" s="27">
        <v>5</v>
      </c>
      <c r="B1643" s="27">
        <v>2</v>
      </c>
      <c r="C1643" s="27">
        <v>5</v>
      </c>
      <c r="D1643" s="27">
        <v>2015</v>
      </c>
      <c r="E1643" s="27">
        <v>2050</v>
      </c>
      <c r="F1643" s="27">
        <v>3</v>
      </c>
      <c r="G1643" s="27">
        <v>0</v>
      </c>
      <c r="H1643" s="27">
        <v>0</v>
      </c>
      <c r="I1643" s="27">
        <v>0</v>
      </c>
      <c r="J1643" s="27">
        <v>0</v>
      </c>
      <c r="K1643" s="27">
        <v>0.95</v>
      </c>
      <c r="L1643" s="27">
        <v>675</v>
      </c>
      <c r="M1643" s="27">
        <v>555</v>
      </c>
      <c r="N1643" s="27">
        <v>0</v>
      </c>
      <c r="O1643" s="27">
        <v>0</v>
      </c>
      <c r="P1643" s="27" t="s">
        <v>13</v>
      </c>
      <c r="Q1643" s="27">
        <v>1993</v>
      </c>
      <c r="R1643" s="27">
        <v>1</v>
      </c>
      <c r="S1643" s="27">
        <v>0</v>
      </c>
      <c r="T1643" s="27">
        <v>-1</v>
      </c>
      <c r="U1643" s="27">
        <v>-1</v>
      </c>
      <c r="V1643" s="27">
        <v>0</v>
      </c>
      <c r="W1643" s="27">
        <v>0</v>
      </c>
      <c r="X1643" s="27" t="s">
        <v>59</v>
      </c>
    </row>
    <row r="1644" spans="1:24">
      <c r="A1644" s="27">
        <v>5</v>
      </c>
      <c r="B1644" s="27">
        <v>2</v>
      </c>
      <c r="C1644" s="27">
        <v>5</v>
      </c>
      <c r="D1644" s="27">
        <v>2015</v>
      </c>
      <c r="E1644" s="27">
        <v>2050</v>
      </c>
      <c r="F1644" s="27">
        <v>4</v>
      </c>
      <c r="G1644" s="27">
        <v>0</v>
      </c>
      <c r="H1644" s="27">
        <v>0</v>
      </c>
      <c r="I1644" s="27">
        <v>0</v>
      </c>
      <c r="J1644" s="27">
        <v>0</v>
      </c>
      <c r="K1644" s="27">
        <v>0.95</v>
      </c>
      <c r="L1644" s="27">
        <v>675</v>
      </c>
      <c r="M1644" s="27">
        <v>555</v>
      </c>
      <c r="N1644" s="27">
        <v>0</v>
      </c>
      <c r="O1644" s="27">
        <v>0</v>
      </c>
      <c r="P1644" s="27" t="s">
        <v>13</v>
      </c>
      <c r="Q1644" s="27">
        <v>1993</v>
      </c>
      <c r="R1644" s="27">
        <v>1</v>
      </c>
      <c r="S1644" s="27">
        <v>0</v>
      </c>
      <c r="T1644" s="27">
        <v>-1</v>
      </c>
      <c r="U1644" s="27">
        <v>-1</v>
      </c>
      <c r="V1644" s="27">
        <v>0</v>
      </c>
      <c r="W1644" s="27">
        <v>0</v>
      </c>
      <c r="X1644" s="27" t="s">
        <v>59</v>
      </c>
    </row>
    <row r="1645" spans="1:24">
      <c r="A1645" s="27">
        <v>5</v>
      </c>
      <c r="B1645" s="27">
        <v>2</v>
      </c>
      <c r="C1645" s="27">
        <v>5</v>
      </c>
      <c r="D1645" s="27">
        <v>2015</v>
      </c>
      <c r="E1645" s="27">
        <v>2050</v>
      </c>
      <c r="F1645" s="27">
        <v>5</v>
      </c>
      <c r="G1645" s="27">
        <v>0</v>
      </c>
      <c r="H1645" s="27">
        <v>0</v>
      </c>
      <c r="I1645" s="27">
        <v>0</v>
      </c>
      <c r="J1645" s="27">
        <v>0</v>
      </c>
      <c r="K1645" s="27">
        <v>0.95</v>
      </c>
      <c r="L1645" s="27">
        <v>675</v>
      </c>
      <c r="M1645" s="27">
        <v>555</v>
      </c>
      <c r="N1645" s="27">
        <v>0</v>
      </c>
      <c r="O1645" s="27">
        <v>0</v>
      </c>
      <c r="P1645" s="27" t="s">
        <v>13</v>
      </c>
      <c r="Q1645" s="27">
        <v>1993</v>
      </c>
      <c r="R1645" s="27">
        <v>1</v>
      </c>
      <c r="S1645" s="27">
        <v>0</v>
      </c>
      <c r="T1645" s="27">
        <v>-1</v>
      </c>
      <c r="U1645" s="27">
        <v>-1</v>
      </c>
      <c r="V1645" s="27">
        <v>0</v>
      </c>
      <c r="W1645" s="27">
        <v>0</v>
      </c>
      <c r="X1645" s="27" t="s">
        <v>59</v>
      </c>
    </row>
    <row r="1646" spans="1:24">
      <c r="A1646" s="27">
        <v>5</v>
      </c>
      <c r="B1646" s="27">
        <v>2</v>
      </c>
      <c r="C1646" s="27">
        <v>5</v>
      </c>
      <c r="D1646" s="27">
        <v>2015</v>
      </c>
      <c r="E1646" s="27">
        <v>2050</v>
      </c>
      <c r="F1646" s="27">
        <v>6</v>
      </c>
      <c r="G1646" s="27">
        <v>0</v>
      </c>
      <c r="H1646" s="27">
        <v>0</v>
      </c>
      <c r="I1646" s="27">
        <v>0</v>
      </c>
      <c r="J1646" s="27">
        <v>0</v>
      </c>
      <c r="K1646" s="27">
        <v>0.95</v>
      </c>
      <c r="L1646" s="27">
        <v>675</v>
      </c>
      <c r="M1646" s="27">
        <v>555</v>
      </c>
      <c r="N1646" s="27">
        <v>0</v>
      </c>
      <c r="O1646" s="27">
        <v>0</v>
      </c>
      <c r="P1646" s="27" t="s">
        <v>13</v>
      </c>
      <c r="Q1646" s="27">
        <v>1993</v>
      </c>
      <c r="R1646" s="27">
        <v>1</v>
      </c>
      <c r="S1646" s="27">
        <v>0</v>
      </c>
      <c r="T1646" s="27">
        <v>-1</v>
      </c>
      <c r="U1646" s="27">
        <v>-1</v>
      </c>
      <c r="V1646" s="27">
        <v>0</v>
      </c>
      <c r="W1646" s="27">
        <v>0</v>
      </c>
      <c r="X1646" s="27" t="s">
        <v>59</v>
      </c>
    </row>
    <row r="1647" spans="1:24">
      <c r="A1647" s="27">
        <v>5</v>
      </c>
      <c r="B1647" s="27">
        <v>2</v>
      </c>
      <c r="C1647" s="27">
        <v>5</v>
      </c>
      <c r="D1647" s="27">
        <v>2015</v>
      </c>
      <c r="E1647" s="27">
        <v>2050</v>
      </c>
      <c r="F1647" s="27">
        <v>7</v>
      </c>
      <c r="G1647" s="27">
        <v>0</v>
      </c>
      <c r="H1647" s="27">
        <v>0</v>
      </c>
      <c r="I1647" s="27">
        <v>0</v>
      </c>
      <c r="J1647" s="27">
        <v>0</v>
      </c>
      <c r="K1647" s="27">
        <v>0.95</v>
      </c>
      <c r="L1647" s="27">
        <v>675</v>
      </c>
      <c r="M1647" s="27">
        <v>555</v>
      </c>
      <c r="N1647" s="27">
        <v>0</v>
      </c>
      <c r="O1647" s="27">
        <v>0</v>
      </c>
      <c r="P1647" s="27" t="s">
        <v>13</v>
      </c>
      <c r="Q1647" s="27">
        <v>1993</v>
      </c>
      <c r="R1647" s="27">
        <v>1</v>
      </c>
      <c r="S1647" s="27">
        <v>0</v>
      </c>
      <c r="T1647" s="27">
        <v>-1</v>
      </c>
      <c r="U1647" s="27">
        <v>-1</v>
      </c>
      <c r="V1647" s="27">
        <v>0</v>
      </c>
      <c r="W1647" s="27">
        <v>0</v>
      </c>
      <c r="X1647" s="27" t="s">
        <v>59</v>
      </c>
    </row>
    <row r="1648" spans="1:24">
      <c r="A1648" s="27">
        <v>5</v>
      </c>
      <c r="B1648" s="27">
        <v>2</v>
      </c>
      <c r="C1648" s="27">
        <v>5</v>
      </c>
      <c r="D1648" s="27">
        <v>2015</v>
      </c>
      <c r="E1648" s="27">
        <v>2050</v>
      </c>
      <c r="F1648" s="27">
        <v>8</v>
      </c>
      <c r="G1648" s="27">
        <v>0</v>
      </c>
      <c r="H1648" s="27">
        <v>0</v>
      </c>
      <c r="I1648" s="27">
        <v>0</v>
      </c>
      <c r="J1648" s="27">
        <v>0</v>
      </c>
      <c r="K1648" s="27">
        <v>0.95</v>
      </c>
      <c r="L1648" s="27">
        <v>675</v>
      </c>
      <c r="M1648" s="27">
        <v>555</v>
      </c>
      <c r="N1648" s="27">
        <v>0</v>
      </c>
      <c r="O1648" s="27">
        <v>0</v>
      </c>
      <c r="P1648" s="27" t="s">
        <v>13</v>
      </c>
      <c r="Q1648" s="27">
        <v>1993</v>
      </c>
      <c r="R1648" s="27">
        <v>1</v>
      </c>
      <c r="S1648" s="27">
        <v>0</v>
      </c>
      <c r="T1648" s="27">
        <v>-1</v>
      </c>
      <c r="U1648" s="27">
        <v>-1</v>
      </c>
      <c r="V1648" s="27">
        <v>0</v>
      </c>
      <c r="W1648" s="27">
        <v>0</v>
      </c>
      <c r="X1648" s="27" t="s">
        <v>59</v>
      </c>
    </row>
    <row r="1649" spans="1:24">
      <c r="A1649" s="27">
        <v>5</v>
      </c>
      <c r="B1649" s="27">
        <v>2</v>
      </c>
      <c r="C1649" s="27">
        <v>5</v>
      </c>
      <c r="D1649" s="27">
        <v>2015</v>
      </c>
      <c r="E1649" s="27">
        <v>2050</v>
      </c>
      <c r="F1649" s="27">
        <v>9</v>
      </c>
      <c r="G1649" s="27">
        <v>0</v>
      </c>
      <c r="H1649" s="27">
        <v>0</v>
      </c>
      <c r="I1649" s="27">
        <v>0</v>
      </c>
      <c r="J1649" s="27">
        <v>0</v>
      </c>
      <c r="K1649" s="27">
        <v>0.95</v>
      </c>
      <c r="L1649" s="27">
        <v>675</v>
      </c>
      <c r="M1649" s="27">
        <v>555</v>
      </c>
      <c r="N1649" s="27">
        <v>0</v>
      </c>
      <c r="O1649" s="27">
        <v>0</v>
      </c>
      <c r="P1649" s="27" t="s">
        <v>13</v>
      </c>
      <c r="Q1649" s="27">
        <v>1993</v>
      </c>
      <c r="R1649" s="27">
        <v>1</v>
      </c>
      <c r="S1649" s="27">
        <v>0</v>
      </c>
      <c r="T1649" s="27">
        <v>-1</v>
      </c>
      <c r="U1649" s="27">
        <v>-1</v>
      </c>
      <c r="V1649" s="27">
        <v>0</v>
      </c>
      <c r="W1649" s="27">
        <v>0</v>
      </c>
      <c r="X1649" s="27" t="s">
        <v>59</v>
      </c>
    </row>
    <row r="1650" spans="1:24">
      <c r="A1650" s="27">
        <v>5</v>
      </c>
      <c r="B1650" s="27">
        <v>2</v>
      </c>
      <c r="C1650" s="27">
        <v>6</v>
      </c>
      <c r="D1650" s="27">
        <v>2010</v>
      </c>
      <c r="E1650" s="27">
        <v>2014</v>
      </c>
      <c r="F1650" s="27">
        <v>1</v>
      </c>
      <c r="G1650" s="27">
        <v>0</v>
      </c>
      <c r="H1650" s="27">
        <v>0</v>
      </c>
      <c r="I1650" s="27">
        <v>0</v>
      </c>
      <c r="J1650" s="27">
        <v>0</v>
      </c>
      <c r="K1650" s="27">
        <v>0.91</v>
      </c>
      <c r="L1650" s="27">
        <v>625</v>
      </c>
      <c r="M1650" s="27">
        <v>505</v>
      </c>
      <c r="N1650" s="27">
        <v>0</v>
      </c>
      <c r="O1650" s="27">
        <v>0</v>
      </c>
      <c r="P1650" s="27" t="s">
        <v>13</v>
      </c>
      <c r="Q1650" s="27">
        <v>1993</v>
      </c>
      <c r="R1650" s="27">
        <v>1</v>
      </c>
      <c r="S1650" s="27">
        <v>0</v>
      </c>
      <c r="T1650" s="27">
        <v>-1.619E-2</v>
      </c>
      <c r="U1650" s="27">
        <v>-3.2379999999999999E-2</v>
      </c>
      <c r="V1650" s="27">
        <v>0</v>
      </c>
      <c r="W1650" s="27">
        <v>0</v>
      </c>
      <c r="X1650" s="27" t="s">
        <v>60</v>
      </c>
    </row>
    <row r="1651" spans="1:24">
      <c r="A1651" s="27">
        <v>5</v>
      </c>
      <c r="B1651" s="27">
        <v>2</v>
      </c>
      <c r="C1651" s="27">
        <v>6</v>
      </c>
      <c r="D1651" s="27">
        <v>2010</v>
      </c>
      <c r="E1651" s="27">
        <v>2014</v>
      </c>
      <c r="F1651" s="27">
        <v>2</v>
      </c>
      <c r="G1651" s="27">
        <v>0</v>
      </c>
      <c r="H1651" s="27">
        <v>0</v>
      </c>
      <c r="I1651" s="27">
        <v>0</v>
      </c>
      <c r="J1651" s="27">
        <v>0</v>
      </c>
      <c r="K1651" s="27">
        <v>0.91</v>
      </c>
      <c r="L1651" s="27">
        <v>625</v>
      </c>
      <c r="M1651" s="27">
        <v>505</v>
      </c>
      <c r="N1651" s="27">
        <v>0</v>
      </c>
      <c r="O1651" s="27">
        <v>0</v>
      </c>
      <c r="P1651" s="27" t="s">
        <v>13</v>
      </c>
      <c r="Q1651" s="27">
        <v>1993</v>
      </c>
      <c r="R1651" s="27">
        <v>1</v>
      </c>
      <c r="S1651" s="27">
        <v>0</v>
      </c>
      <c r="T1651" s="27">
        <v>-1.619E-2</v>
      </c>
      <c r="U1651" s="27">
        <v>-3.2379999999999999E-2</v>
      </c>
      <c r="V1651" s="27">
        <v>0</v>
      </c>
      <c r="W1651" s="27">
        <v>0</v>
      </c>
      <c r="X1651" s="27" t="s">
        <v>60</v>
      </c>
    </row>
    <row r="1652" spans="1:24">
      <c r="A1652" s="27">
        <v>5</v>
      </c>
      <c r="B1652" s="27">
        <v>2</v>
      </c>
      <c r="C1652" s="27">
        <v>6</v>
      </c>
      <c r="D1652" s="27">
        <v>2010</v>
      </c>
      <c r="E1652" s="27">
        <v>2014</v>
      </c>
      <c r="F1652" s="27">
        <v>3</v>
      </c>
      <c r="G1652" s="27">
        <v>0</v>
      </c>
      <c r="H1652" s="27">
        <v>0</v>
      </c>
      <c r="I1652" s="27">
        <v>0</v>
      </c>
      <c r="J1652" s="27">
        <v>0</v>
      </c>
      <c r="K1652" s="27">
        <v>0.91</v>
      </c>
      <c r="L1652" s="27">
        <v>625</v>
      </c>
      <c r="M1652" s="27">
        <v>505</v>
      </c>
      <c r="N1652" s="27">
        <v>0</v>
      </c>
      <c r="O1652" s="27">
        <v>0</v>
      </c>
      <c r="P1652" s="27" t="s">
        <v>13</v>
      </c>
      <c r="Q1652" s="27">
        <v>1993</v>
      </c>
      <c r="R1652" s="27">
        <v>1</v>
      </c>
      <c r="S1652" s="27">
        <v>0</v>
      </c>
      <c r="T1652" s="27">
        <v>-1.619E-2</v>
      </c>
      <c r="U1652" s="27">
        <v>-3.2379999999999999E-2</v>
      </c>
      <c r="V1652" s="27">
        <v>0</v>
      </c>
      <c r="W1652" s="27">
        <v>0</v>
      </c>
      <c r="X1652" s="27" t="s">
        <v>60</v>
      </c>
    </row>
    <row r="1653" spans="1:24">
      <c r="A1653" s="27">
        <v>5</v>
      </c>
      <c r="B1653" s="27">
        <v>2</v>
      </c>
      <c r="C1653" s="27">
        <v>6</v>
      </c>
      <c r="D1653" s="27">
        <v>2010</v>
      </c>
      <c r="E1653" s="27">
        <v>2014</v>
      </c>
      <c r="F1653" s="27">
        <v>4</v>
      </c>
      <c r="G1653" s="27">
        <v>0</v>
      </c>
      <c r="H1653" s="27">
        <v>0</v>
      </c>
      <c r="I1653" s="27">
        <v>0</v>
      </c>
      <c r="J1653" s="27">
        <v>0</v>
      </c>
      <c r="K1653" s="27">
        <v>0.91</v>
      </c>
      <c r="L1653" s="27">
        <v>625</v>
      </c>
      <c r="M1653" s="27">
        <v>505</v>
      </c>
      <c r="N1653" s="27">
        <v>0</v>
      </c>
      <c r="O1653" s="27">
        <v>0</v>
      </c>
      <c r="P1653" s="27" t="s">
        <v>13</v>
      </c>
      <c r="Q1653" s="27">
        <v>1993</v>
      </c>
      <c r="R1653" s="27">
        <v>1</v>
      </c>
      <c r="S1653" s="27">
        <v>0</v>
      </c>
      <c r="T1653" s="27">
        <v>-1.619E-2</v>
      </c>
      <c r="U1653" s="27">
        <v>-3.2379999999999999E-2</v>
      </c>
      <c r="V1653" s="27">
        <v>0</v>
      </c>
      <c r="W1653" s="27">
        <v>0</v>
      </c>
      <c r="X1653" s="27" t="s">
        <v>60</v>
      </c>
    </row>
    <row r="1654" spans="1:24">
      <c r="A1654" s="27">
        <v>5</v>
      </c>
      <c r="B1654" s="27">
        <v>2</v>
      </c>
      <c r="C1654" s="27">
        <v>6</v>
      </c>
      <c r="D1654" s="27">
        <v>2010</v>
      </c>
      <c r="E1654" s="27">
        <v>2014</v>
      </c>
      <c r="F1654" s="27">
        <v>5</v>
      </c>
      <c r="G1654" s="27">
        <v>0</v>
      </c>
      <c r="H1654" s="27">
        <v>0</v>
      </c>
      <c r="I1654" s="27">
        <v>0</v>
      </c>
      <c r="J1654" s="27">
        <v>0</v>
      </c>
      <c r="K1654" s="27">
        <v>0.91</v>
      </c>
      <c r="L1654" s="27">
        <v>625</v>
      </c>
      <c r="M1654" s="27">
        <v>505</v>
      </c>
      <c r="N1654" s="27">
        <v>0</v>
      </c>
      <c r="O1654" s="27">
        <v>0</v>
      </c>
      <c r="P1654" s="27" t="s">
        <v>13</v>
      </c>
      <c r="Q1654" s="27">
        <v>1993</v>
      </c>
      <c r="R1654" s="27">
        <v>1</v>
      </c>
      <c r="S1654" s="27">
        <v>0</v>
      </c>
      <c r="T1654" s="27">
        <v>-1.619E-2</v>
      </c>
      <c r="U1654" s="27">
        <v>-3.2379999999999999E-2</v>
      </c>
      <c r="V1654" s="27">
        <v>0</v>
      </c>
      <c r="W1654" s="27">
        <v>0</v>
      </c>
      <c r="X1654" s="27" t="s">
        <v>60</v>
      </c>
    </row>
    <row r="1655" spans="1:24">
      <c r="A1655" s="27">
        <v>5</v>
      </c>
      <c r="B1655" s="27">
        <v>2</v>
      </c>
      <c r="C1655" s="27">
        <v>6</v>
      </c>
      <c r="D1655" s="27">
        <v>2010</v>
      </c>
      <c r="E1655" s="27">
        <v>2014</v>
      </c>
      <c r="F1655" s="27">
        <v>6</v>
      </c>
      <c r="G1655" s="27">
        <v>0</v>
      </c>
      <c r="H1655" s="27">
        <v>0</v>
      </c>
      <c r="I1655" s="27">
        <v>0</v>
      </c>
      <c r="J1655" s="27">
        <v>0</v>
      </c>
      <c r="K1655" s="27">
        <v>0.91</v>
      </c>
      <c r="L1655" s="27">
        <v>625</v>
      </c>
      <c r="M1655" s="27">
        <v>505</v>
      </c>
      <c r="N1655" s="27">
        <v>0</v>
      </c>
      <c r="O1655" s="27">
        <v>0</v>
      </c>
      <c r="P1655" s="27" t="s">
        <v>13</v>
      </c>
      <c r="Q1655" s="27">
        <v>1993</v>
      </c>
      <c r="R1655" s="27">
        <v>1</v>
      </c>
      <c r="S1655" s="27">
        <v>0</v>
      </c>
      <c r="T1655" s="27">
        <v>-1.619E-2</v>
      </c>
      <c r="U1655" s="27">
        <v>-3.2379999999999999E-2</v>
      </c>
      <c r="V1655" s="27">
        <v>0</v>
      </c>
      <c r="W1655" s="27">
        <v>0</v>
      </c>
      <c r="X1655" s="27" t="s">
        <v>60</v>
      </c>
    </row>
    <row r="1656" spans="1:24">
      <c r="A1656" s="27">
        <v>5</v>
      </c>
      <c r="B1656" s="27">
        <v>2</v>
      </c>
      <c r="C1656" s="27">
        <v>6</v>
      </c>
      <c r="D1656" s="27">
        <v>2010</v>
      </c>
      <c r="E1656" s="27">
        <v>2014</v>
      </c>
      <c r="F1656" s="27">
        <v>7</v>
      </c>
      <c r="G1656" s="27">
        <v>0</v>
      </c>
      <c r="H1656" s="27">
        <v>0</v>
      </c>
      <c r="I1656" s="27">
        <v>0</v>
      </c>
      <c r="J1656" s="27">
        <v>0</v>
      </c>
      <c r="K1656" s="27">
        <v>0.91</v>
      </c>
      <c r="L1656" s="27">
        <v>625</v>
      </c>
      <c r="M1656" s="27">
        <v>505</v>
      </c>
      <c r="N1656" s="27">
        <v>0</v>
      </c>
      <c r="O1656" s="27">
        <v>0</v>
      </c>
      <c r="P1656" s="27" t="s">
        <v>13</v>
      </c>
      <c r="Q1656" s="27">
        <v>1993</v>
      </c>
      <c r="R1656" s="27">
        <v>1</v>
      </c>
      <c r="S1656" s="27">
        <v>0</v>
      </c>
      <c r="T1656" s="27">
        <v>-1.619E-2</v>
      </c>
      <c r="U1656" s="27">
        <v>-3.2379999999999999E-2</v>
      </c>
      <c r="V1656" s="27">
        <v>0</v>
      </c>
      <c r="W1656" s="27">
        <v>0</v>
      </c>
      <c r="X1656" s="27" t="s">
        <v>60</v>
      </c>
    </row>
    <row r="1657" spans="1:24">
      <c r="A1657" s="27">
        <v>5</v>
      </c>
      <c r="B1657" s="27">
        <v>2</v>
      </c>
      <c r="C1657" s="27">
        <v>6</v>
      </c>
      <c r="D1657" s="27">
        <v>2010</v>
      </c>
      <c r="E1657" s="27">
        <v>2014</v>
      </c>
      <c r="F1657" s="27">
        <v>8</v>
      </c>
      <c r="G1657" s="27">
        <v>0</v>
      </c>
      <c r="H1657" s="27">
        <v>0</v>
      </c>
      <c r="I1657" s="27">
        <v>0</v>
      </c>
      <c r="J1657" s="27">
        <v>0</v>
      </c>
      <c r="K1657" s="27">
        <v>0.91</v>
      </c>
      <c r="L1657" s="27">
        <v>625</v>
      </c>
      <c r="M1657" s="27">
        <v>505</v>
      </c>
      <c r="N1657" s="27">
        <v>0</v>
      </c>
      <c r="O1657" s="27">
        <v>0</v>
      </c>
      <c r="P1657" s="27" t="s">
        <v>13</v>
      </c>
      <c r="Q1657" s="27">
        <v>1993</v>
      </c>
      <c r="R1657" s="27">
        <v>1</v>
      </c>
      <c r="S1657" s="27">
        <v>0</v>
      </c>
      <c r="T1657" s="27">
        <v>-1.619E-2</v>
      </c>
      <c r="U1657" s="27">
        <v>-3.2379999999999999E-2</v>
      </c>
      <c r="V1657" s="27">
        <v>0</v>
      </c>
      <c r="W1657" s="27">
        <v>0</v>
      </c>
      <c r="X1657" s="27" t="s">
        <v>60</v>
      </c>
    </row>
    <row r="1658" spans="1:24">
      <c r="A1658" s="27">
        <v>5</v>
      </c>
      <c r="B1658" s="27">
        <v>2</v>
      </c>
      <c r="C1658" s="27">
        <v>6</v>
      </c>
      <c r="D1658" s="27">
        <v>2010</v>
      </c>
      <c r="E1658" s="27">
        <v>2014</v>
      </c>
      <c r="F1658" s="27">
        <v>9</v>
      </c>
      <c r="G1658" s="27">
        <v>0</v>
      </c>
      <c r="H1658" s="27">
        <v>0</v>
      </c>
      <c r="I1658" s="27">
        <v>0</v>
      </c>
      <c r="J1658" s="27">
        <v>0</v>
      </c>
      <c r="K1658" s="27">
        <v>0.91</v>
      </c>
      <c r="L1658" s="27">
        <v>625</v>
      </c>
      <c r="M1658" s="27">
        <v>505</v>
      </c>
      <c r="N1658" s="27">
        <v>0</v>
      </c>
      <c r="O1658" s="27">
        <v>0</v>
      </c>
      <c r="P1658" s="27" t="s">
        <v>13</v>
      </c>
      <c r="Q1658" s="27">
        <v>1993</v>
      </c>
      <c r="R1658" s="27">
        <v>1</v>
      </c>
      <c r="S1658" s="27">
        <v>0</v>
      </c>
      <c r="T1658" s="27">
        <v>-1.619E-2</v>
      </c>
      <c r="U1658" s="27">
        <v>-3.2379999999999999E-2</v>
      </c>
      <c r="V1658" s="27">
        <v>0</v>
      </c>
      <c r="W1658" s="27">
        <v>0</v>
      </c>
      <c r="X1658" s="27" t="s">
        <v>60</v>
      </c>
    </row>
    <row r="1659" spans="1:24">
      <c r="A1659" s="27">
        <v>5</v>
      </c>
      <c r="B1659" s="27">
        <v>2</v>
      </c>
      <c r="C1659" s="27">
        <v>6</v>
      </c>
      <c r="D1659" s="27">
        <v>2015</v>
      </c>
      <c r="E1659" s="27">
        <v>2050</v>
      </c>
      <c r="F1659" s="27">
        <v>1</v>
      </c>
      <c r="G1659" s="27">
        <v>0</v>
      </c>
      <c r="H1659" s="27">
        <v>0</v>
      </c>
      <c r="I1659" s="27">
        <v>0</v>
      </c>
      <c r="J1659" s="27">
        <v>0</v>
      </c>
      <c r="K1659" s="27">
        <v>0.95</v>
      </c>
      <c r="L1659" s="27">
        <v>675</v>
      </c>
      <c r="M1659" s="27">
        <v>555</v>
      </c>
      <c r="N1659" s="27">
        <v>0</v>
      </c>
      <c r="O1659" s="27">
        <v>0</v>
      </c>
      <c r="P1659" s="27" t="s">
        <v>13</v>
      </c>
      <c r="Q1659" s="27">
        <v>1993</v>
      </c>
      <c r="R1659" s="27">
        <v>1</v>
      </c>
      <c r="S1659" s="27">
        <v>0</v>
      </c>
      <c r="T1659" s="27">
        <v>-1.619E-2</v>
      </c>
      <c r="U1659" s="27">
        <v>-3.2379999999999999E-2</v>
      </c>
      <c r="V1659" s="27">
        <v>0</v>
      </c>
      <c r="W1659" s="27">
        <v>0</v>
      </c>
      <c r="X1659" s="27" t="s">
        <v>60</v>
      </c>
    </row>
    <row r="1660" spans="1:24">
      <c r="A1660" s="27">
        <v>5</v>
      </c>
      <c r="B1660" s="27">
        <v>2</v>
      </c>
      <c r="C1660" s="27">
        <v>6</v>
      </c>
      <c r="D1660" s="27">
        <v>2015</v>
      </c>
      <c r="E1660" s="27">
        <v>2050</v>
      </c>
      <c r="F1660" s="27">
        <v>2</v>
      </c>
      <c r="G1660" s="27">
        <v>0</v>
      </c>
      <c r="H1660" s="27">
        <v>0</v>
      </c>
      <c r="I1660" s="27">
        <v>0</v>
      </c>
      <c r="J1660" s="27">
        <v>0</v>
      </c>
      <c r="K1660" s="27">
        <v>0.95</v>
      </c>
      <c r="L1660" s="27">
        <v>675</v>
      </c>
      <c r="M1660" s="27">
        <v>555</v>
      </c>
      <c r="N1660" s="27">
        <v>0</v>
      </c>
      <c r="O1660" s="27">
        <v>0</v>
      </c>
      <c r="P1660" s="27" t="s">
        <v>13</v>
      </c>
      <c r="Q1660" s="27">
        <v>1993</v>
      </c>
      <c r="R1660" s="27">
        <v>1</v>
      </c>
      <c r="S1660" s="27">
        <v>0</v>
      </c>
      <c r="T1660" s="27">
        <v>-1.619E-2</v>
      </c>
      <c r="U1660" s="27">
        <v>-3.2379999999999999E-2</v>
      </c>
      <c r="V1660" s="27">
        <v>0</v>
      </c>
      <c r="W1660" s="27">
        <v>0</v>
      </c>
      <c r="X1660" s="27" t="s">
        <v>60</v>
      </c>
    </row>
    <row r="1661" spans="1:24">
      <c r="A1661" s="27">
        <v>5</v>
      </c>
      <c r="B1661" s="27">
        <v>2</v>
      </c>
      <c r="C1661" s="27">
        <v>6</v>
      </c>
      <c r="D1661" s="27">
        <v>2015</v>
      </c>
      <c r="E1661" s="27">
        <v>2050</v>
      </c>
      <c r="F1661" s="27">
        <v>3</v>
      </c>
      <c r="G1661" s="27">
        <v>0</v>
      </c>
      <c r="H1661" s="27">
        <v>0</v>
      </c>
      <c r="I1661" s="27">
        <v>0</v>
      </c>
      <c r="J1661" s="27">
        <v>0</v>
      </c>
      <c r="K1661" s="27">
        <v>0.95</v>
      </c>
      <c r="L1661" s="27">
        <v>675</v>
      </c>
      <c r="M1661" s="27">
        <v>555</v>
      </c>
      <c r="N1661" s="27">
        <v>0</v>
      </c>
      <c r="O1661" s="27">
        <v>0</v>
      </c>
      <c r="P1661" s="27" t="s">
        <v>13</v>
      </c>
      <c r="Q1661" s="27">
        <v>1993</v>
      </c>
      <c r="R1661" s="27">
        <v>1</v>
      </c>
      <c r="S1661" s="27">
        <v>0</v>
      </c>
      <c r="T1661" s="27">
        <v>-1.619E-2</v>
      </c>
      <c r="U1661" s="27">
        <v>-3.2379999999999999E-2</v>
      </c>
      <c r="V1661" s="27">
        <v>0</v>
      </c>
      <c r="W1661" s="27">
        <v>0</v>
      </c>
      <c r="X1661" s="27" t="s">
        <v>60</v>
      </c>
    </row>
    <row r="1662" spans="1:24">
      <c r="A1662" s="27">
        <v>5</v>
      </c>
      <c r="B1662" s="27">
        <v>2</v>
      </c>
      <c r="C1662" s="27">
        <v>6</v>
      </c>
      <c r="D1662" s="27">
        <v>2015</v>
      </c>
      <c r="E1662" s="27">
        <v>2050</v>
      </c>
      <c r="F1662" s="27">
        <v>4</v>
      </c>
      <c r="G1662" s="27">
        <v>0</v>
      </c>
      <c r="H1662" s="27">
        <v>0</v>
      </c>
      <c r="I1662" s="27">
        <v>0</v>
      </c>
      <c r="J1662" s="27">
        <v>0</v>
      </c>
      <c r="K1662" s="27">
        <v>0.95</v>
      </c>
      <c r="L1662" s="27">
        <v>675</v>
      </c>
      <c r="M1662" s="27">
        <v>555</v>
      </c>
      <c r="N1662" s="27">
        <v>0</v>
      </c>
      <c r="O1662" s="27">
        <v>0</v>
      </c>
      <c r="P1662" s="27" t="s">
        <v>13</v>
      </c>
      <c r="Q1662" s="27">
        <v>1993</v>
      </c>
      <c r="R1662" s="27">
        <v>1</v>
      </c>
      <c r="S1662" s="27">
        <v>0</v>
      </c>
      <c r="T1662" s="27">
        <v>-1.619E-2</v>
      </c>
      <c r="U1662" s="27">
        <v>-3.2379999999999999E-2</v>
      </c>
      <c r="V1662" s="27">
        <v>0</v>
      </c>
      <c r="W1662" s="27">
        <v>0</v>
      </c>
      <c r="X1662" s="27" t="s">
        <v>60</v>
      </c>
    </row>
    <row r="1663" spans="1:24">
      <c r="A1663" s="27">
        <v>5</v>
      </c>
      <c r="B1663" s="27">
        <v>2</v>
      </c>
      <c r="C1663" s="27">
        <v>6</v>
      </c>
      <c r="D1663" s="27">
        <v>2015</v>
      </c>
      <c r="E1663" s="27">
        <v>2050</v>
      </c>
      <c r="F1663" s="27">
        <v>5</v>
      </c>
      <c r="G1663" s="27">
        <v>0</v>
      </c>
      <c r="H1663" s="27">
        <v>0</v>
      </c>
      <c r="I1663" s="27">
        <v>0</v>
      </c>
      <c r="J1663" s="27">
        <v>0</v>
      </c>
      <c r="K1663" s="27">
        <v>0.95</v>
      </c>
      <c r="L1663" s="27">
        <v>675</v>
      </c>
      <c r="M1663" s="27">
        <v>555</v>
      </c>
      <c r="N1663" s="27">
        <v>0</v>
      </c>
      <c r="O1663" s="27">
        <v>0</v>
      </c>
      <c r="P1663" s="27" t="s">
        <v>13</v>
      </c>
      <c r="Q1663" s="27">
        <v>1993</v>
      </c>
      <c r="R1663" s="27">
        <v>1</v>
      </c>
      <c r="S1663" s="27">
        <v>0</v>
      </c>
      <c r="T1663" s="27">
        <v>-1.619E-2</v>
      </c>
      <c r="U1663" s="27">
        <v>-3.2379999999999999E-2</v>
      </c>
      <c r="V1663" s="27">
        <v>0</v>
      </c>
      <c r="W1663" s="27">
        <v>0</v>
      </c>
      <c r="X1663" s="27" t="s">
        <v>60</v>
      </c>
    </row>
    <row r="1664" spans="1:24">
      <c r="A1664" s="27">
        <v>5</v>
      </c>
      <c r="B1664" s="27">
        <v>2</v>
      </c>
      <c r="C1664" s="27">
        <v>6</v>
      </c>
      <c r="D1664" s="27">
        <v>2015</v>
      </c>
      <c r="E1664" s="27">
        <v>2050</v>
      </c>
      <c r="F1664" s="27">
        <v>6</v>
      </c>
      <c r="G1664" s="27">
        <v>0</v>
      </c>
      <c r="H1664" s="27">
        <v>0</v>
      </c>
      <c r="I1664" s="27">
        <v>0</v>
      </c>
      <c r="J1664" s="27">
        <v>0</v>
      </c>
      <c r="K1664" s="27">
        <v>0.95</v>
      </c>
      <c r="L1664" s="27">
        <v>675</v>
      </c>
      <c r="M1664" s="27">
        <v>555</v>
      </c>
      <c r="N1664" s="27">
        <v>0</v>
      </c>
      <c r="O1664" s="27">
        <v>0</v>
      </c>
      <c r="P1664" s="27" t="s">
        <v>13</v>
      </c>
      <c r="Q1664" s="27">
        <v>1993</v>
      </c>
      <c r="R1664" s="27">
        <v>1</v>
      </c>
      <c r="S1664" s="27">
        <v>0</v>
      </c>
      <c r="T1664" s="27">
        <v>-1.619E-2</v>
      </c>
      <c r="U1664" s="27">
        <v>-3.2379999999999999E-2</v>
      </c>
      <c r="V1664" s="27">
        <v>0</v>
      </c>
      <c r="W1664" s="27">
        <v>0</v>
      </c>
      <c r="X1664" s="27" t="s">
        <v>60</v>
      </c>
    </row>
    <row r="1665" spans="1:24">
      <c r="A1665" s="27">
        <v>5</v>
      </c>
      <c r="B1665" s="27">
        <v>2</v>
      </c>
      <c r="C1665" s="27">
        <v>6</v>
      </c>
      <c r="D1665" s="27">
        <v>2015</v>
      </c>
      <c r="E1665" s="27">
        <v>2050</v>
      </c>
      <c r="F1665" s="27">
        <v>7</v>
      </c>
      <c r="G1665" s="27">
        <v>0</v>
      </c>
      <c r="H1665" s="27">
        <v>0</v>
      </c>
      <c r="I1665" s="27">
        <v>0</v>
      </c>
      <c r="J1665" s="27">
        <v>0</v>
      </c>
      <c r="K1665" s="27">
        <v>0.95</v>
      </c>
      <c r="L1665" s="27">
        <v>675</v>
      </c>
      <c r="M1665" s="27">
        <v>555</v>
      </c>
      <c r="N1665" s="27">
        <v>0</v>
      </c>
      <c r="O1665" s="27">
        <v>0</v>
      </c>
      <c r="P1665" s="27" t="s">
        <v>13</v>
      </c>
      <c r="Q1665" s="27">
        <v>1993</v>
      </c>
      <c r="R1665" s="27">
        <v>1</v>
      </c>
      <c r="S1665" s="27">
        <v>0</v>
      </c>
      <c r="T1665" s="27">
        <v>-1.619E-2</v>
      </c>
      <c r="U1665" s="27">
        <v>-3.2379999999999999E-2</v>
      </c>
      <c r="V1665" s="27">
        <v>0</v>
      </c>
      <c r="W1665" s="27">
        <v>0</v>
      </c>
      <c r="X1665" s="27" t="s">
        <v>60</v>
      </c>
    </row>
    <row r="1666" spans="1:24">
      <c r="A1666" s="27">
        <v>5</v>
      </c>
      <c r="B1666" s="27">
        <v>2</v>
      </c>
      <c r="C1666" s="27">
        <v>6</v>
      </c>
      <c r="D1666" s="27">
        <v>2015</v>
      </c>
      <c r="E1666" s="27">
        <v>2050</v>
      </c>
      <c r="F1666" s="27">
        <v>8</v>
      </c>
      <c r="G1666" s="27">
        <v>0</v>
      </c>
      <c r="H1666" s="27">
        <v>0</v>
      </c>
      <c r="I1666" s="27">
        <v>0</v>
      </c>
      <c r="J1666" s="27">
        <v>0</v>
      </c>
      <c r="K1666" s="27">
        <v>0.95</v>
      </c>
      <c r="L1666" s="27">
        <v>675</v>
      </c>
      <c r="M1666" s="27">
        <v>555</v>
      </c>
      <c r="N1666" s="27">
        <v>0</v>
      </c>
      <c r="O1666" s="27">
        <v>0</v>
      </c>
      <c r="P1666" s="27" t="s">
        <v>13</v>
      </c>
      <c r="Q1666" s="27">
        <v>1993</v>
      </c>
      <c r="R1666" s="27">
        <v>1</v>
      </c>
      <c r="S1666" s="27">
        <v>0</v>
      </c>
      <c r="T1666" s="27">
        <v>-1.619E-2</v>
      </c>
      <c r="U1666" s="27">
        <v>-3.2379999999999999E-2</v>
      </c>
      <c r="V1666" s="27">
        <v>0</v>
      </c>
      <c r="W1666" s="27">
        <v>0</v>
      </c>
      <c r="X1666" s="27" t="s">
        <v>60</v>
      </c>
    </row>
    <row r="1667" spans="1:24">
      <c r="A1667" s="27">
        <v>5</v>
      </c>
      <c r="B1667" s="27">
        <v>2</v>
      </c>
      <c r="C1667" s="27">
        <v>6</v>
      </c>
      <c r="D1667" s="27">
        <v>2015</v>
      </c>
      <c r="E1667" s="27">
        <v>2050</v>
      </c>
      <c r="F1667" s="27">
        <v>9</v>
      </c>
      <c r="G1667" s="27">
        <v>0</v>
      </c>
      <c r="H1667" s="27">
        <v>0</v>
      </c>
      <c r="I1667" s="27">
        <v>0</v>
      </c>
      <c r="J1667" s="27">
        <v>0</v>
      </c>
      <c r="K1667" s="27">
        <v>0.95</v>
      </c>
      <c r="L1667" s="27">
        <v>675</v>
      </c>
      <c r="M1667" s="27">
        <v>555</v>
      </c>
      <c r="N1667" s="27">
        <v>0</v>
      </c>
      <c r="O1667" s="27">
        <v>0</v>
      </c>
      <c r="P1667" s="27" t="s">
        <v>13</v>
      </c>
      <c r="Q1667" s="27">
        <v>1993</v>
      </c>
      <c r="R1667" s="27">
        <v>1</v>
      </c>
      <c r="S1667" s="27">
        <v>0</v>
      </c>
      <c r="T1667" s="27">
        <v>-1.619E-2</v>
      </c>
      <c r="U1667" s="27">
        <v>-3.2379999999999999E-2</v>
      </c>
      <c r="V1667" s="27">
        <v>0</v>
      </c>
      <c r="W1667" s="27">
        <v>0</v>
      </c>
      <c r="X1667" s="27" t="s">
        <v>60</v>
      </c>
    </row>
    <row r="1668" spans="1:24">
      <c r="A1668" s="27">
        <v>5</v>
      </c>
      <c r="B1668" s="27">
        <v>2</v>
      </c>
      <c r="C1668" s="27">
        <v>7</v>
      </c>
      <c r="D1668" s="27">
        <v>2010</v>
      </c>
      <c r="E1668" s="27">
        <v>2019</v>
      </c>
      <c r="F1668" s="27">
        <v>1</v>
      </c>
      <c r="G1668" s="27">
        <v>0</v>
      </c>
      <c r="H1668" s="27">
        <v>0</v>
      </c>
      <c r="I1668" s="27">
        <v>0</v>
      </c>
      <c r="J1668" s="27">
        <v>0</v>
      </c>
      <c r="K1668" s="27">
        <v>0.96</v>
      </c>
      <c r="L1668" s="27">
        <v>725</v>
      </c>
      <c r="M1668" s="27">
        <v>605</v>
      </c>
      <c r="N1668" s="27">
        <v>0</v>
      </c>
      <c r="O1668" s="27">
        <v>0</v>
      </c>
      <c r="P1668" s="27" t="s">
        <v>13</v>
      </c>
      <c r="Q1668" s="27">
        <v>1993</v>
      </c>
      <c r="R1668" s="27">
        <v>1</v>
      </c>
      <c r="S1668" s="27">
        <v>0</v>
      </c>
      <c r="T1668" s="27">
        <v>-1.619E-2</v>
      </c>
      <c r="U1668" s="27">
        <v>-3.2379999999999999E-2</v>
      </c>
      <c r="V1668" s="27">
        <v>0</v>
      </c>
      <c r="W1668" s="27">
        <v>0</v>
      </c>
      <c r="X1668" s="27" t="s">
        <v>61</v>
      </c>
    </row>
    <row r="1669" spans="1:24">
      <c r="A1669" s="27">
        <v>5</v>
      </c>
      <c r="B1669" s="27">
        <v>2</v>
      </c>
      <c r="C1669" s="27">
        <v>7</v>
      </c>
      <c r="D1669" s="27">
        <v>2010</v>
      </c>
      <c r="E1669" s="27">
        <v>2019</v>
      </c>
      <c r="F1669" s="27">
        <v>2</v>
      </c>
      <c r="G1669" s="27">
        <v>0</v>
      </c>
      <c r="H1669" s="27">
        <v>0</v>
      </c>
      <c r="I1669" s="27">
        <v>0</v>
      </c>
      <c r="J1669" s="27">
        <v>0</v>
      </c>
      <c r="K1669" s="27">
        <v>0.96</v>
      </c>
      <c r="L1669" s="27">
        <v>725</v>
      </c>
      <c r="M1669" s="27">
        <v>605</v>
      </c>
      <c r="N1669" s="27">
        <v>0</v>
      </c>
      <c r="O1669" s="27">
        <v>0</v>
      </c>
      <c r="P1669" s="27" t="s">
        <v>13</v>
      </c>
      <c r="Q1669" s="27">
        <v>1993</v>
      </c>
      <c r="R1669" s="27">
        <v>1</v>
      </c>
      <c r="S1669" s="27">
        <v>0</v>
      </c>
      <c r="T1669" s="27">
        <v>-1.619E-2</v>
      </c>
      <c r="U1669" s="27">
        <v>-3.2379999999999999E-2</v>
      </c>
      <c r="V1669" s="27">
        <v>0</v>
      </c>
      <c r="W1669" s="27">
        <v>0</v>
      </c>
      <c r="X1669" s="27" t="s">
        <v>61</v>
      </c>
    </row>
    <row r="1670" spans="1:24">
      <c r="A1670" s="27">
        <v>5</v>
      </c>
      <c r="B1670" s="27">
        <v>2</v>
      </c>
      <c r="C1670" s="27">
        <v>7</v>
      </c>
      <c r="D1670" s="27">
        <v>2010</v>
      </c>
      <c r="E1670" s="27">
        <v>2019</v>
      </c>
      <c r="F1670" s="27">
        <v>3</v>
      </c>
      <c r="G1670" s="27">
        <v>0</v>
      </c>
      <c r="H1670" s="27">
        <v>0</v>
      </c>
      <c r="I1670" s="27">
        <v>0</v>
      </c>
      <c r="J1670" s="27">
        <v>0</v>
      </c>
      <c r="K1670" s="27">
        <v>0.96</v>
      </c>
      <c r="L1670" s="27">
        <v>725</v>
      </c>
      <c r="M1670" s="27">
        <v>605</v>
      </c>
      <c r="N1670" s="27">
        <v>0</v>
      </c>
      <c r="O1670" s="27">
        <v>0</v>
      </c>
      <c r="P1670" s="27" t="s">
        <v>13</v>
      </c>
      <c r="Q1670" s="27">
        <v>1993</v>
      </c>
      <c r="R1670" s="27">
        <v>1</v>
      </c>
      <c r="S1670" s="27">
        <v>0</v>
      </c>
      <c r="T1670" s="27">
        <v>-1.619E-2</v>
      </c>
      <c r="U1670" s="27">
        <v>-3.2379999999999999E-2</v>
      </c>
      <c r="V1670" s="27">
        <v>0</v>
      </c>
      <c r="W1670" s="27">
        <v>0</v>
      </c>
      <c r="X1670" s="27" t="s">
        <v>61</v>
      </c>
    </row>
    <row r="1671" spans="1:24">
      <c r="A1671" s="27">
        <v>5</v>
      </c>
      <c r="B1671" s="27">
        <v>2</v>
      </c>
      <c r="C1671" s="27">
        <v>7</v>
      </c>
      <c r="D1671" s="27">
        <v>2010</v>
      </c>
      <c r="E1671" s="27">
        <v>2019</v>
      </c>
      <c r="F1671" s="27">
        <v>4</v>
      </c>
      <c r="G1671" s="27">
        <v>0</v>
      </c>
      <c r="H1671" s="27">
        <v>0</v>
      </c>
      <c r="I1671" s="27">
        <v>0</v>
      </c>
      <c r="J1671" s="27">
        <v>0</v>
      </c>
      <c r="K1671" s="27">
        <v>0.96</v>
      </c>
      <c r="L1671" s="27">
        <v>725</v>
      </c>
      <c r="M1671" s="27">
        <v>605</v>
      </c>
      <c r="N1671" s="27">
        <v>0</v>
      </c>
      <c r="O1671" s="27">
        <v>0</v>
      </c>
      <c r="P1671" s="27" t="s">
        <v>13</v>
      </c>
      <c r="Q1671" s="27">
        <v>1993</v>
      </c>
      <c r="R1671" s="27">
        <v>1</v>
      </c>
      <c r="S1671" s="27">
        <v>0</v>
      </c>
      <c r="T1671" s="27">
        <v>-1.619E-2</v>
      </c>
      <c r="U1671" s="27">
        <v>-3.2379999999999999E-2</v>
      </c>
      <c r="V1671" s="27">
        <v>0</v>
      </c>
      <c r="W1671" s="27">
        <v>0</v>
      </c>
      <c r="X1671" s="27" t="s">
        <v>61</v>
      </c>
    </row>
    <row r="1672" spans="1:24">
      <c r="A1672" s="27">
        <v>5</v>
      </c>
      <c r="B1672" s="27">
        <v>2</v>
      </c>
      <c r="C1672" s="27">
        <v>7</v>
      </c>
      <c r="D1672" s="27">
        <v>2010</v>
      </c>
      <c r="E1672" s="27">
        <v>2019</v>
      </c>
      <c r="F1672" s="27">
        <v>5</v>
      </c>
      <c r="G1672" s="27">
        <v>0</v>
      </c>
      <c r="H1672" s="27">
        <v>0</v>
      </c>
      <c r="I1672" s="27">
        <v>0</v>
      </c>
      <c r="J1672" s="27">
        <v>0</v>
      </c>
      <c r="K1672" s="27">
        <v>0.96</v>
      </c>
      <c r="L1672" s="27">
        <v>725</v>
      </c>
      <c r="M1672" s="27">
        <v>605</v>
      </c>
      <c r="N1672" s="27">
        <v>0</v>
      </c>
      <c r="O1672" s="27">
        <v>0</v>
      </c>
      <c r="P1672" s="27" t="s">
        <v>13</v>
      </c>
      <c r="Q1672" s="27">
        <v>1993</v>
      </c>
      <c r="R1672" s="27">
        <v>1</v>
      </c>
      <c r="S1672" s="27">
        <v>0</v>
      </c>
      <c r="T1672" s="27">
        <v>-1.619E-2</v>
      </c>
      <c r="U1672" s="27">
        <v>-3.2379999999999999E-2</v>
      </c>
      <c r="V1672" s="27">
        <v>0</v>
      </c>
      <c r="W1672" s="27">
        <v>0</v>
      </c>
      <c r="X1672" s="27" t="s">
        <v>61</v>
      </c>
    </row>
    <row r="1673" spans="1:24">
      <c r="A1673" s="27">
        <v>5</v>
      </c>
      <c r="B1673" s="27">
        <v>2</v>
      </c>
      <c r="C1673" s="27">
        <v>7</v>
      </c>
      <c r="D1673" s="27">
        <v>2010</v>
      </c>
      <c r="E1673" s="27">
        <v>2019</v>
      </c>
      <c r="F1673" s="27">
        <v>6</v>
      </c>
      <c r="G1673" s="27">
        <v>0</v>
      </c>
      <c r="H1673" s="27">
        <v>0</v>
      </c>
      <c r="I1673" s="27">
        <v>0</v>
      </c>
      <c r="J1673" s="27">
        <v>0</v>
      </c>
      <c r="K1673" s="27">
        <v>0.96</v>
      </c>
      <c r="L1673" s="27">
        <v>725</v>
      </c>
      <c r="M1673" s="27">
        <v>605</v>
      </c>
      <c r="N1673" s="27">
        <v>0</v>
      </c>
      <c r="O1673" s="27">
        <v>0</v>
      </c>
      <c r="P1673" s="27" t="s">
        <v>13</v>
      </c>
      <c r="Q1673" s="27">
        <v>1993</v>
      </c>
      <c r="R1673" s="27">
        <v>1</v>
      </c>
      <c r="S1673" s="27">
        <v>0</v>
      </c>
      <c r="T1673" s="27">
        <v>-1.619E-2</v>
      </c>
      <c r="U1673" s="27">
        <v>-3.2379999999999999E-2</v>
      </c>
      <c r="V1673" s="27">
        <v>0</v>
      </c>
      <c r="W1673" s="27">
        <v>0</v>
      </c>
      <c r="X1673" s="27" t="s">
        <v>61</v>
      </c>
    </row>
    <row r="1674" spans="1:24">
      <c r="A1674" s="27">
        <v>5</v>
      </c>
      <c r="B1674" s="27">
        <v>2</v>
      </c>
      <c r="C1674" s="27">
        <v>7</v>
      </c>
      <c r="D1674" s="27">
        <v>2010</v>
      </c>
      <c r="E1674" s="27">
        <v>2019</v>
      </c>
      <c r="F1674" s="27">
        <v>7</v>
      </c>
      <c r="G1674" s="27">
        <v>0</v>
      </c>
      <c r="H1674" s="27">
        <v>0</v>
      </c>
      <c r="I1674" s="27">
        <v>0</v>
      </c>
      <c r="J1674" s="27">
        <v>0</v>
      </c>
      <c r="K1674" s="27">
        <v>0.96</v>
      </c>
      <c r="L1674" s="27">
        <v>725</v>
      </c>
      <c r="M1674" s="27">
        <v>605</v>
      </c>
      <c r="N1674" s="27">
        <v>0</v>
      </c>
      <c r="O1674" s="27">
        <v>0</v>
      </c>
      <c r="P1674" s="27" t="s">
        <v>13</v>
      </c>
      <c r="Q1674" s="27">
        <v>1993</v>
      </c>
      <c r="R1674" s="27">
        <v>1</v>
      </c>
      <c r="S1674" s="27">
        <v>0</v>
      </c>
      <c r="T1674" s="27">
        <v>-1.619E-2</v>
      </c>
      <c r="U1674" s="27">
        <v>-3.2379999999999999E-2</v>
      </c>
      <c r="V1674" s="27">
        <v>0</v>
      </c>
      <c r="W1674" s="27">
        <v>0</v>
      </c>
      <c r="X1674" s="27" t="s">
        <v>61</v>
      </c>
    </row>
    <row r="1675" spans="1:24">
      <c r="A1675" s="27">
        <v>5</v>
      </c>
      <c r="B1675" s="27">
        <v>2</v>
      </c>
      <c r="C1675" s="27">
        <v>7</v>
      </c>
      <c r="D1675" s="27">
        <v>2010</v>
      </c>
      <c r="E1675" s="27">
        <v>2019</v>
      </c>
      <c r="F1675" s="27">
        <v>8</v>
      </c>
      <c r="G1675" s="27">
        <v>0</v>
      </c>
      <c r="H1675" s="27">
        <v>0</v>
      </c>
      <c r="I1675" s="27">
        <v>0</v>
      </c>
      <c r="J1675" s="27">
        <v>0</v>
      </c>
      <c r="K1675" s="27">
        <v>0.96</v>
      </c>
      <c r="L1675" s="27">
        <v>725</v>
      </c>
      <c r="M1675" s="27">
        <v>605</v>
      </c>
      <c r="N1675" s="27">
        <v>0</v>
      </c>
      <c r="O1675" s="27">
        <v>0</v>
      </c>
      <c r="P1675" s="27" t="s">
        <v>13</v>
      </c>
      <c r="Q1675" s="27">
        <v>1993</v>
      </c>
      <c r="R1675" s="27">
        <v>1</v>
      </c>
      <c r="S1675" s="27">
        <v>0</v>
      </c>
      <c r="T1675" s="27">
        <v>-1.619E-2</v>
      </c>
      <c r="U1675" s="27">
        <v>-3.2379999999999999E-2</v>
      </c>
      <c r="V1675" s="27">
        <v>0</v>
      </c>
      <c r="W1675" s="27">
        <v>0</v>
      </c>
      <c r="X1675" s="27" t="s">
        <v>61</v>
      </c>
    </row>
    <row r="1676" spans="1:24">
      <c r="A1676" s="27">
        <v>5</v>
      </c>
      <c r="B1676" s="27">
        <v>2</v>
      </c>
      <c r="C1676" s="27">
        <v>7</v>
      </c>
      <c r="D1676" s="27">
        <v>2010</v>
      </c>
      <c r="E1676" s="27">
        <v>2019</v>
      </c>
      <c r="F1676" s="27">
        <v>9</v>
      </c>
      <c r="G1676" s="27">
        <v>0</v>
      </c>
      <c r="H1676" s="27">
        <v>0</v>
      </c>
      <c r="I1676" s="27">
        <v>0</v>
      </c>
      <c r="J1676" s="27">
        <v>0</v>
      </c>
      <c r="K1676" s="27">
        <v>0.96</v>
      </c>
      <c r="L1676" s="27">
        <v>725</v>
      </c>
      <c r="M1676" s="27">
        <v>605</v>
      </c>
      <c r="N1676" s="27">
        <v>0</v>
      </c>
      <c r="O1676" s="27">
        <v>0</v>
      </c>
      <c r="P1676" s="27" t="s">
        <v>13</v>
      </c>
      <c r="Q1676" s="27">
        <v>1993</v>
      </c>
      <c r="R1676" s="27">
        <v>1</v>
      </c>
      <c r="S1676" s="27">
        <v>0</v>
      </c>
      <c r="T1676" s="27">
        <v>-1.619E-2</v>
      </c>
      <c r="U1676" s="27">
        <v>-3.2379999999999999E-2</v>
      </c>
      <c r="V1676" s="27">
        <v>0</v>
      </c>
      <c r="W1676" s="27">
        <v>0</v>
      </c>
      <c r="X1676" s="27" t="s">
        <v>61</v>
      </c>
    </row>
    <row r="1677" spans="1:24">
      <c r="A1677" s="27">
        <v>5</v>
      </c>
      <c r="B1677" s="27">
        <v>2</v>
      </c>
      <c r="C1677" s="27">
        <v>7</v>
      </c>
      <c r="D1677" s="27">
        <v>2020</v>
      </c>
      <c r="E1677" s="27">
        <v>2050</v>
      </c>
      <c r="F1677" s="27">
        <v>1</v>
      </c>
      <c r="G1677" s="27">
        <v>0</v>
      </c>
      <c r="H1677" s="27">
        <v>0</v>
      </c>
      <c r="I1677" s="27">
        <v>0</v>
      </c>
      <c r="J1677" s="27">
        <v>0</v>
      </c>
      <c r="K1677" s="27">
        <v>0.96</v>
      </c>
      <c r="L1677" s="27">
        <v>725</v>
      </c>
      <c r="M1677" s="27">
        <v>605</v>
      </c>
      <c r="N1677" s="27">
        <v>0</v>
      </c>
      <c r="O1677" s="27">
        <v>0</v>
      </c>
      <c r="P1677" s="27" t="s">
        <v>13</v>
      </c>
      <c r="Q1677" s="27">
        <v>1993</v>
      </c>
      <c r="R1677" s="27">
        <v>1</v>
      </c>
      <c r="S1677" s="27">
        <v>0</v>
      </c>
      <c r="T1677" s="27">
        <v>-1.619E-2</v>
      </c>
      <c r="U1677" s="27">
        <v>-3.2379999999999999E-2</v>
      </c>
      <c r="V1677" s="27">
        <v>0</v>
      </c>
      <c r="W1677" s="27">
        <v>0</v>
      </c>
      <c r="X1677" s="27" t="s">
        <v>61</v>
      </c>
    </row>
    <row r="1678" spans="1:24">
      <c r="A1678" s="27">
        <v>5</v>
      </c>
      <c r="B1678" s="27">
        <v>2</v>
      </c>
      <c r="C1678" s="27">
        <v>7</v>
      </c>
      <c r="D1678" s="27">
        <v>2020</v>
      </c>
      <c r="E1678" s="27">
        <v>2050</v>
      </c>
      <c r="F1678" s="27">
        <v>2</v>
      </c>
      <c r="G1678" s="27">
        <v>0</v>
      </c>
      <c r="H1678" s="27">
        <v>0</v>
      </c>
      <c r="I1678" s="27">
        <v>0</v>
      </c>
      <c r="J1678" s="27">
        <v>0</v>
      </c>
      <c r="K1678" s="27">
        <v>0.96</v>
      </c>
      <c r="L1678" s="27">
        <v>725</v>
      </c>
      <c r="M1678" s="27">
        <v>605</v>
      </c>
      <c r="N1678" s="27">
        <v>0</v>
      </c>
      <c r="O1678" s="27">
        <v>0</v>
      </c>
      <c r="P1678" s="27" t="s">
        <v>13</v>
      </c>
      <c r="Q1678" s="27">
        <v>1993</v>
      </c>
      <c r="R1678" s="27">
        <v>1</v>
      </c>
      <c r="S1678" s="27">
        <v>0</v>
      </c>
      <c r="T1678" s="27">
        <v>-1.619E-2</v>
      </c>
      <c r="U1678" s="27">
        <v>-3.2379999999999999E-2</v>
      </c>
      <c r="V1678" s="27">
        <v>0</v>
      </c>
      <c r="W1678" s="27">
        <v>0</v>
      </c>
      <c r="X1678" s="27" t="s">
        <v>61</v>
      </c>
    </row>
    <row r="1679" spans="1:24">
      <c r="A1679" s="27">
        <v>5</v>
      </c>
      <c r="B1679" s="27">
        <v>2</v>
      </c>
      <c r="C1679" s="27">
        <v>7</v>
      </c>
      <c r="D1679" s="27">
        <v>2020</v>
      </c>
      <c r="E1679" s="27">
        <v>2050</v>
      </c>
      <c r="F1679" s="27">
        <v>3</v>
      </c>
      <c r="G1679" s="27">
        <v>0</v>
      </c>
      <c r="H1679" s="27">
        <v>0</v>
      </c>
      <c r="I1679" s="27">
        <v>0</v>
      </c>
      <c r="J1679" s="27">
        <v>0</v>
      </c>
      <c r="K1679" s="27">
        <v>0.96</v>
      </c>
      <c r="L1679" s="27">
        <v>725</v>
      </c>
      <c r="M1679" s="27">
        <v>605</v>
      </c>
      <c r="N1679" s="27">
        <v>0</v>
      </c>
      <c r="O1679" s="27">
        <v>0</v>
      </c>
      <c r="P1679" s="27" t="s">
        <v>13</v>
      </c>
      <c r="Q1679" s="27">
        <v>1993</v>
      </c>
      <c r="R1679" s="27">
        <v>1</v>
      </c>
      <c r="S1679" s="27">
        <v>0</v>
      </c>
      <c r="T1679" s="27">
        <v>-1.619E-2</v>
      </c>
      <c r="U1679" s="27">
        <v>-3.2379999999999999E-2</v>
      </c>
      <c r="V1679" s="27">
        <v>0</v>
      </c>
      <c r="W1679" s="27">
        <v>0</v>
      </c>
      <c r="X1679" s="27" t="s">
        <v>61</v>
      </c>
    </row>
    <row r="1680" spans="1:24">
      <c r="A1680" s="27">
        <v>5</v>
      </c>
      <c r="B1680" s="27">
        <v>2</v>
      </c>
      <c r="C1680" s="27">
        <v>7</v>
      </c>
      <c r="D1680" s="27">
        <v>2020</v>
      </c>
      <c r="E1680" s="27">
        <v>2050</v>
      </c>
      <c r="F1680" s="27">
        <v>4</v>
      </c>
      <c r="G1680" s="27">
        <v>0</v>
      </c>
      <c r="H1680" s="27">
        <v>0</v>
      </c>
      <c r="I1680" s="27">
        <v>0</v>
      </c>
      <c r="J1680" s="27">
        <v>0</v>
      </c>
      <c r="K1680" s="27">
        <v>0.96</v>
      </c>
      <c r="L1680" s="27">
        <v>725</v>
      </c>
      <c r="M1680" s="27">
        <v>605</v>
      </c>
      <c r="N1680" s="27">
        <v>0</v>
      </c>
      <c r="O1680" s="27">
        <v>0</v>
      </c>
      <c r="P1680" s="27" t="s">
        <v>13</v>
      </c>
      <c r="Q1680" s="27">
        <v>1993</v>
      </c>
      <c r="R1680" s="27">
        <v>1</v>
      </c>
      <c r="S1680" s="27">
        <v>0</v>
      </c>
      <c r="T1680" s="27">
        <v>-1.619E-2</v>
      </c>
      <c r="U1680" s="27">
        <v>-3.2379999999999999E-2</v>
      </c>
      <c r="V1680" s="27">
        <v>0</v>
      </c>
      <c r="W1680" s="27">
        <v>0</v>
      </c>
      <c r="X1680" s="27" t="s">
        <v>61</v>
      </c>
    </row>
    <row r="1681" spans="1:24">
      <c r="A1681" s="27">
        <v>5</v>
      </c>
      <c r="B1681" s="27">
        <v>2</v>
      </c>
      <c r="C1681" s="27">
        <v>7</v>
      </c>
      <c r="D1681" s="27">
        <v>2020</v>
      </c>
      <c r="E1681" s="27">
        <v>2050</v>
      </c>
      <c r="F1681" s="27">
        <v>5</v>
      </c>
      <c r="G1681" s="27">
        <v>0</v>
      </c>
      <c r="H1681" s="27">
        <v>0</v>
      </c>
      <c r="I1681" s="27">
        <v>0</v>
      </c>
      <c r="J1681" s="27">
        <v>0</v>
      </c>
      <c r="K1681" s="27">
        <v>0.96</v>
      </c>
      <c r="L1681" s="27">
        <v>725</v>
      </c>
      <c r="M1681" s="27">
        <v>605</v>
      </c>
      <c r="N1681" s="27">
        <v>0</v>
      </c>
      <c r="O1681" s="27">
        <v>0</v>
      </c>
      <c r="P1681" s="27" t="s">
        <v>13</v>
      </c>
      <c r="Q1681" s="27">
        <v>1993</v>
      </c>
      <c r="R1681" s="27">
        <v>1</v>
      </c>
      <c r="S1681" s="27">
        <v>0</v>
      </c>
      <c r="T1681" s="27">
        <v>-1.619E-2</v>
      </c>
      <c r="U1681" s="27">
        <v>-3.2379999999999999E-2</v>
      </c>
      <c r="V1681" s="27">
        <v>0</v>
      </c>
      <c r="W1681" s="27">
        <v>0</v>
      </c>
      <c r="X1681" s="27" t="s">
        <v>61</v>
      </c>
    </row>
    <row r="1682" spans="1:24">
      <c r="A1682" s="27">
        <v>5</v>
      </c>
      <c r="B1682" s="27">
        <v>2</v>
      </c>
      <c r="C1682" s="27">
        <v>7</v>
      </c>
      <c r="D1682" s="27">
        <v>2020</v>
      </c>
      <c r="E1682" s="27">
        <v>2050</v>
      </c>
      <c r="F1682" s="27">
        <v>6</v>
      </c>
      <c r="G1682" s="27">
        <v>0</v>
      </c>
      <c r="H1682" s="27">
        <v>0</v>
      </c>
      <c r="I1682" s="27">
        <v>0</v>
      </c>
      <c r="J1682" s="27">
        <v>0</v>
      </c>
      <c r="K1682" s="27">
        <v>0.96</v>
      </c>
      <c r="L1682" s="27">
        <v>725</v>
      </c>
      <c r="M1682" s="27">
        <v>605</v>
      </c>
      <c r="N1682" s="27">
        <v>0</v>
      </c>
      <c r="O1682" s="27">
        <v>0</v>
      </c>
      <c r="P1682" s="27" t="s">
        <v>13</v>
      </c>
      <c r="Q1682" s="27">
        <v>1993</v>
      </c>
      <c r="R1682" s="27">
        <v>1</v>
      </c>
      <c r="S1682" s="27">
        <v>0</v>
      </c>
      <c r="T1682" s="27">
        <v>-1.619E-2</v>
      </c>
      <c r="U1682" s="27">
        <v>-3.2379999999999999E-2</v>
      </c>
      <c r="V1682" s="27">
        <v>0</v>
      </c>
      <c r="W1682" s="27">
        <v>0</v>
      </c>
      <c r="X1682" s="27" t="s">
        <v>61</v>
      </c>
    </row>
    <row r="1683" spans="1:24">
      <c r="A1683" s="27">
        <v>5</v>
      </c>
      <c r="B1683" s="27">
        <v>2</v>
      </c>
      <c r="C1683" s="27">
        <v>7</v>
      </c>
      <c r="D1683" s="27">
        <v>2020</v>
      </c>
      <c r="E1683" s="27">
        <v>2050</v>
      </c>
      <c r="F1683" s="27">
        <v>7</v>
      </c>
      <c r="G1683" s="27">
        <v>0</v>
      </c>
      <c r="H1683" s="27">
        <v>0</v>
      </c>
      <c r="I1683" s="27">
        <v>0</v>
      </c>
      <c r="J1683" s="27">
        <v>0</v>
      </c>
      <c r="K1683" s="27">
        <v>0.96</v>
      </c>
      <c r="L1683" s="27">
        <v>725</v>
      </c>
      <c r="M1683" s="27">
        <v>605</v>
      </c>
      <c r="N1683" s="27">
        <v>0</v>
      </c>
      <c r="O1683" s="27">
        <v>0</v>
      </c>
      <c r="P1683" s="27" t="s">
        <v>13</v>
      </c>
      <c r="Q1683" s="27">
        <v>1993</v>
      </c>
      <c r="R1683" s="27">
        <v>1</v>
      </c>
      <c r="S1683" s="27">
        <v>0</v>
      </c>
      <c r="T1683" s="27">
        <v>-1.619E-2</v>
      </c>
      <c r="U1683" s="27">
        <v>-3.2379999999999999E-2</v>
      </c>
      <c r="V1683" s="27">
        <v>0</v>
      </c>
      <c r="W1683" s="27">
        <v>0</v>
      </c>
      <c r="X1683" s="27" t="s">
        <v>61</v>
      </c>
    </row>
    <row r="1684" spans="1:24">
      <c r="A1684" s="27">
        <v>5</v>
      </c>
      <c r="B1684" s="27">
        <v>2</v>
      </c>
      <c r="C1684" s="27">
        <v>7</v>
      </c>
      <c r="D1684" s="27">
        <v>2020</v>
      </c>
      <c r="E1684" s="27">
        <v>2050</v>
      </c>
      <c r="F1684" s="27">
        <v>8</v>
      </c>
      <c r="G1684" s="27">
        <v>0</v>
      </c>
      <c r="H1684" s="27">
        <v>0</v>
      </c>
      <c r="I1684" s="27">
        <v>0</v>
      </c>
      <c r="J1684" s="27">
        <v>0</v>
      </c>
      <c r="K1684" s="27">
        <v>0.96</v>
      </c>
      <c r="L1684" s="27">
        <v>725</v>
      </c>
      <c r="M1684" s="27">
        <v>605</v>
      </c>
      <c r="N1684" s="27">
        <v>0</v>
      </c>
      <c r="O1684" s="27">
        <v>0</v>
      </c>
      <c r="P1684" s="27" t="s">
        <v>13</v>
      </c>
      <c r="Q1684" s="27">
        <v>1993</v>
      </c>
      <c r="R1684" s="27">
        <v>1</v>
      </c>
      <c r="S1684" s="27">
        <v>0</v>
      </c>
      <c r="T1684" s="27">
        <v>-1.619E-2</v>
      </c>
      <c r="U1684" s="27">
        <v>-3.2379999999999999E-2</v>
      </c>
      <c r="V1684" s="27">
        <v>0</v>
      </c>
      <c r="W1684" s="27">
        <v>0</v>
      </c>
      <c r="X1684" s="27" t="s">
        <v>61</v>
      </c>
    </row>
    <row r="1685" spans="1:24">
      <c r="A1685" s="27">
        <v>5</v>
      </c>
      <c r="B1685" s="27">
        <v>2</v>
      </c>
      <c r="C1685" s="27">
        <v>7</v>
      </c>
      <c r="D1685" s="27">
        <v>2020</v>
      </c>
      <c r="E1685" s="27">
        <v>2050</v>
      </c>
      <c r="F1685" s="27">
        <v>9</v>
      </c>
      <c r="G1685" s="27">
        <v>0</v>
      </c>
      <c r="H1685" s="27">
        <v>0</v>
      </c>
      <c r="I1685" s="27">
        <v>0</v>
      </c>
      <c r="J1685" s="27">
        <v>0</v>
      </c>
      <c r="K1685" s="27">
        <v>0.96</v>
      </c>
      <c r="L1685" s="27">
        <v>725</v>
      </c>
      <c r="M1685" s="27">
        <v>605</v>
      </c>
      <c r="N1685" s="27">
        <v>0</v>
      </c>
      <c r="O1685" s="27">
        <v>0</v>
      </c>
      <c r="P1685" s="27" t="s">
        <v>13</v>
      </c>
      <c r="Q1685" s="27">
        <v>1993</v>
      </c>
      <c r="R1685" s="27">
        <v>1</v>
      </c>
      <c r="S1685" s="27">
        <v>0</v>
      </c>
      <c r="T1685" s="27">
        <v>-1.619E-2</v>
      </c>
      <c r="U1685" s="27">
        <v>-3.2379999999999999E-2</v>
      </c>
      <c r="V1685" s="27">
        <v>0</v>
      </c>
      <c r="W1685" s="27">
        <v>0</v>
      </c>
      <c r="X1685" s="27" t="s">
        <v>61</v>
      </c>
    </row>
    <row r="1686" spans="1:24">
      <c r="A1686" s="27">
        <v>5</v>
      </c>
      <c r="B1686" s="27">
        <v>2</v>
      </c>
      <c r="C1686" s="27">
        <v>8</v>
      </c>
      <c r="D1686" s="27">
        <v>2010</v>
      </c>
      <c r="E1686" s="27">
        <v>2010</v>
      </c>
      <c r="F1686" s="27">
        <v>1</v>
      </c>
      <c r="G1686" s="27">
        <v>0</v>
      </c>
      <c r="H1686" s="27">
        <v>0</v>
      </c>
      <c r="I1686" s="27">
        <v>0</v>
      </c>
      <c r="J1686" s="27">
        <v>0</v>
      </c>
      <c r="K1686" s="27">
        <v>2</v>
      </c>
      <c r="L1686" s="27">
        <v>1850</v>
      </c>
      <c r="M1686" s="27">
        <v>1730</v>
      </c>
      <c r="N1686" s="27">
        <v>615</v>
      </c>
      <c r="O1686" s="27">
        <v>575</v>
      </c>
      <c r="P1686" s="27" t="s">
        <v>13</v>
      </c>
      <c r="Q1686" s="27">
        <v>1993</v>
      </c>
      <c r="R1686" s="27">
        <v>1</v>
      </c>
      <c r="S1686" s="27">
        <v>0</v>
      </c>
      <c r="T1686" s="27">
        <v>-1.619E-2</v>
      </c>
      <c r="U1686" s="27">
        <v>-3.2379999999999999E-2</v>
      </c>
      <c r="V1686" s="27">
        <v>0</v>
      </c>
      <c r="W1686" s="27">
        <v>0</v>
      </c>
      <c r="X1686" s="27" t="s">
        <v>62</v>
      </c>
    </row>
    <row r="1687" spans="1:24">
      <c r="A1687" s="27">
        <v>5</v>
      </c>
      <c r="B1687" s="27">
        <v>2</v>
      </c>
      <c r="C1687" s="27">
        <v>8</v>
      </c>
      <c r="D1687" s="27">
        <v>2010</v>
      </c>
      <c r="E1687" s="27">
        <v>2010</v>
      </c>
      <c r="F1687" s="27">
        <v>2</v>
      </c>
      <c r="G1687" s="27">
        <v>0</v>
      </c>
      <c r="H1687" s="27">
        <v>0</v>
      </c>
      <c r="I1687" s="27">
        <v>0</v>
      </c>
      <c r="J1687" s="27">
        <v>0</v>
      </c>
      <c r="K1687" s="27">
        <v>2</v>
      </c>
      <c r="L1687" s="27">
        <v>1850</v>
      </c>
      <c r="M1687" s="27">
        <v>1730</v>
      </c>
      <c r="N1687" s="27">
        <v>615</v>
      </c>
      <c r="O1687" s="27">
        <v>575</v>
      </c>
      <c r="P1687" s="27" t="s">
        <v>13</v>
      </c>
      <c r="Q1687" s="27">
        <v>1993</v>
      </c>
      <c r="R1687" s="27">
        <v>1</v>
      </c>
      <c r="S1687" s="27">
        <v>0</v>
      </c>
      <c r="T1687" s="27">
        <v>-1.619E-2</v>
      </c>
      <c r="U1687" s="27">
        <v>-3.2379999999999999E-2</v>
      </c>
      <c r="V1687" s="27">
        <v>0</v>
      </c>
      <c r="W1687" s="27">
        <v>0</v>
      </c>
      <c r="X1687" s="27" t="s">
        <v>62</v>
      </c>
    </row>
    <row r="1688" spans="1:24">
      <c r="A1688" s="27">
        <v>5</v>
      </c>
      <c r="B1688" s="27">
        <v>2</v>
      </c>
      <c r="C1688" s="27">
        <v>8</v>
      </c>
      <c r="D1688" s="27">
        <v>2010</v>
      </c>
      <c r="E1688" s="27">
        <v>2010</v>
      </c>
      <c r="F1688" s="27">
        <v>3</v>
      </c>
      <c r="G1688" s="27">
        <v>0</v>
      </c>
      <c r="H1688" s="27">
        <v>0</v>
      </c>
      <c r="I1688" s="27">
        <v>0</v>
      </c>
      <c r="J1688" s="27">
        <v>0</v>
      </c>
      <c r="K1688" s="27">
        <v>2</v>
      </c>
      <c r="L1688" s="27">
        <v>1850</v>
      </c>
      <c r="M1688" s="27">
        <v>1730</v>
      </c>
      <c r="N1688" s="27">
        <v>615</v>
      </c>
      <c r="O1688" s="27">
        <v>575</v>
      </c>
      <c r="P1688" s="27" t="s">
        <v>13</v>
      </c>
      <c r="Q1688" s="27">
        <v>1993</v>
      </c>
      <c r="R1688" s="27">
        <v>1</v>
      </c>
      <c r="S1688" s="27">
        <v>0</v>
      </c>
      <c r="T1688" s="27">
        <v>-1.619E-2</v>
      </c>
      <c r="U1688" s="27">
        <v>-3.2379999999999999E-2</v>
      </c>
      <c r="V1688" s="27">
        <v>0</v>
      </c>
      <c r="W1688" s="27">
        <v>0</v>
      </c>
      <c r="X1688" s="27" t="s">
        <v>62</v>
      </c>
    </row>
    <row r="1689" spans="1:24">
      <c r="A1689" s="27">
        <v>5</v>
      </c>
      <c r="B1689" s="27">
        <v>2</v>
      </c>
      <c r="C1689" s="27">
        <v>8</v>
      </c>
      <c r="D1689" s="27">
        <v>2010</v>
      </c>
      <c r="E1689" s="27">
        <v>2010</v>
      </c>
      <c r="F1689" s="27">
        <v>4</v>
      </c>
      <c r="G1689" s="27">
        <v>0</v>
      </c>
      <c r="H1689" s="27">
        <v>0</v>
      </c>
      <c r="I1689" s="27">
        <v>0</v>
      </c>
      <c r="J1689" s="27">
        <v>0</v>
      </c>
      <c r="K1689" s="27">
        <v>2</v>
      </c>
      <c r="L1689" s="27">
        <v>1850</v>
      </c>
      <c r="M1689" s="27">
        <v>1730</v>
      </c>
      <c r="N1689" s="27">
        <v>615</v>
      </c>
      <c r="O1689" s="27">
        <v>575</v>
      </c>
      <c r="P1689" s="27" t="s">
        <v>13</v>
      </c>
      <c r="Q1689" s="27">
        <v>1993</v>
      </c>
      <c r="R1689" s="27">
        <v>1</v>
      </c>
      <c r="S1689" s="27">
        <v>0</v>
      </c>
      <c r="T1689" s="27">
        <v>-1.619E-2</v>
      </c>
      <c r="U1689" s="27">
        <v>-3.2379999999999999E-2</v>
      </c>
      <c r="V1689" s="27">
        <v>0</v>
      </c>
      <c r="W1689" s="27">
        <v>0</v>
      </c>
      <c r="X1689" s="27" t="s">
        <v>62</v>
      </c>
    </row>
    <row r="1690" spans="1:24">
      <c r="A1690" s="27">
        <v>5</v>
      </c>
      <c r="B1690" s="27">
        <v>2</v>
      </c>
      <c r="C1690" s="27">
        <v>8</v>
      </c>
      <c r="D1690" s="27">
        <v>2010</v>
      </c>
      <c r="E1690" s="27">
        <v>2010</v>
      </c>
      <c r="F1690" s="27">
        <v>5</v>
      </c>
      <c r="G1690" s="27">
        <v>0</v>
      </c>
      <c r="H1690" s="27">
        <v>0</v>
      </c>
      <c r="I1690" s="27">
        <v>0</v>
      </c>
      <c r="J1690" s="27">
        <v>0</v>
      </c>
      <c r="K1690" s="27">
        <v>2</v>
      </c>
      <c r="L1690" s="27">
        <v>1850</v>
      </c>
      <c r="M1690" s="27">
        <v>1730</v>
      </c>
      <c r="N1690" s="27">
        <v>615</v>
      </c>
      <c r="O1690" s="27">
        <v>575</v>
      </c>
      <c r="P1690" s="27" t="s">
        <v>13</v>
      </c>
      <c r="Q1690" s="27">
        <v>1993</v>
      </c>
      <c r="R1690" s="27">
        <v>1</v>
      </c>
      <c r="S1690" s="27">
        <v>0</v>
      </c>
      <c r="T1690" s="27">
        <v>-1.619E-2</v>
      </c>
      <c r="U1690" s="27">
        <v>-3.2379999999999999E-2</v>
      </c>
      <c r="V1690" s="27">
        <v>0</v>
      </c>
      <c r="W1690" s="27">
        <v>0</v>
      </c>
      <c r="X1690" s="27" t="s">
        <v>62</v>
      </c>
    </row>
    <row r="1691" spans="1:24">
      <c r="A1691" s="27">
        <v>5</v>
      </c>
      <c r="B1691" s="27">
        <v>2</v>
      </c>
      <c r="C1691" s="27">
        <v>8</v>
      </c>
      <c r="D1691" s="27">
        <v>2010</v>
      </c>
      <c r="E1691" s="27">
        <v>2010</v>
      </c>
      <c r="F1691" s="27">
        <v>6</v>
      </c>
      <c r="G1691" s="27">
        <v>0</v>
      </c>
      <c r="H1691" s="27">
        <v>0</v>
      </c>
      <c r="I1691" s="27">
        <v>0</v>
      </c>
      <c r="J1691" s="27">
        <v>0</v>
      </c>
      <c r="K1691" s="27">
        <v>2</v>
      </c>
      <c r="L1691" s="27">
        <v>1850</v>
      </c>
      <c r="M1691" s="27">
        <v>1730</v>
      </c>
      <c r="N1691" s="27">
        <v>615</v>
      </c>
      <c r="O1691" s="27">
        <v>575</v>
      </c>
      <c r="P1691" s="27" t="s">
        <v>13</v>
      </c>
      <c r="Q1691" s="27">
        <v>1993</v>
      </c>
      <c r="R1691" s="27">
        <v>1</v>
      </c>
      <c r="S1691" s="27">
        <v>0</v>
      </c>
      <c r="T1691" s="27">
        <v>-1.619E-2</v>
      </c>
      <c r="U1691" s="27">
        <v>-3.2379999999999999E-2</v>
      </c>
      <c r="V1691" s="27">
        <v>0</v>
      </c>
      <c r="W1691" s="27">
        <v>0</v>
      </c>
      <c r="X1691" s="27" t="s">
        <v>62</v>
      </c>
    </row>
    <row r="1692" spans="1:24">
      <c r="A1692" s="27">
        <v>5</v>
      </c>
      <c r="B1692" s="27">
        <v>2</v>
      </c>
      <c r="C1692" s="27">
        <v>8</v>
      </c>
      <c r="D1692" s="27">
        <v>2010</v>
      </c>
      <c r="E1692" s="27">
        <v>2010</v>
      </c>
      <c r="F1692" s="27">
        <v>7</v>
      </c>
      <c r="G1692" s="27">
        <v>0</v>
      </c>
      <c r="H1692" s="27">
        <v>0</v>
      </c>
      <c r="I1692" s="27">
        <v>0</v>
      </c>
      <c r="J1692" s="27">
        <v>0</v>
      </c>
      <c r="K1692" s="27">
        <v>2</v>
      </c>
      <c r="L1692" s="27">
        <v>1850</v>
      </c>
      <c r="M1692" s="27">
        <v>1730</v>
      </c>
      <c r="N1692" s="27">
        <v>615</v>
      </c>
      <c r="O1692" s="27">
        <v>575</v>
      </c>
      <c r="P1692" s="27" t="s">
        <v>13</v>
      </c>
      <c r="Q1692" s="27">
        <v>1993</v>
      </c>
      <c r="R1692" s="27">
        <v>1</v>
      </c>
      <c r="S1692" s="27">
        <v>0</v>
      </c>
      <c r="T1692" s="27">
        <v>-1.619E-2</v>
      </c>
      <c r="U1692" s="27">
        <v>-3.2379999999999999E-2</v>
      </c>
      <c r="V1692" s="27">
        <v>0</v>
      </c>
      <c r="W1692" s="27">
        <v>0</v>
      </c>
      <c r="X1692" s="27" t="s">
        <v>62</v>
      </c>
    </row>
    <row r="1693" spans="1:24">
      <c r="A1693" s="27">
        <v>5</v>
      </c>
      <c r="B1693" s="27">
        <v>2</v>
      </c>
      <c r="C1693" s="27">
        <v>8</v>
      </c>
      <c r="D1693" s="27">
        <v>2010</v>
      </c>
      <c r="E1693" s="27">
        <v>2010</v>
      </c>
      <c r="F1693" s="27">
        <v>8</v>
      </c>
      <c r="G1693" s="27">
        <v>0</v>
      </c>
      <c r="H1693" s="27">
        <v>0</v>
      </c>
      <c r="I1693" s="27">
        <v>0</v>
      </c>
      <c r="J1693" s="27">
        <v>0</v>
      </c>
      <c r="K1693" s="27">
        <v>2</v>
      </c>
      <c r="L1693" s="27">
        <v>1850</v>
      </c>
      <c r="M1693" s="27">
        <v>1730</v>
      </c>
      <c r="N1693" s="27">
        <v>615</v>
      </c>
      <c r="O1693" s="27">
        <v>575</v>
      </c>
      <c r="P1693" s="27" t="s">
        <v>13</v>
      </c>
      <c r="Q1693" s="27">
        <v>1993</v>
      </c>
      <c r="R1693" s="27">
        <v>1</v>
      </c>
      <c r="S1693" s="27">
        <v>0</v>
      </c>
      <c r="T1693" s="27">
        <v>-1.619E-2</v>
      </c>
      <c r="U1693" s="27">
        <v>-3.2379999999999999E-2</v>
      </c>
      <c r="V1693" s="27">
        <v>0</v>
      </c>
      <c r="W1693" s="27">
        <v>0</v>
      </c>
      <c r="X1693" s="27" t="s">
        <v>62</v>
      </c>
    </row>
    <row r="1694" spans="1:24">
      <c r="A1694" s="27">
        <v>5</v>
      </c>
      <c r="B1694" s="27">
        <v>2</v>
      </c>
      <c r="C1694" s="27">
        <v>8</v>
      </c>
      <c r="D1694" s="27">
        <v>2010</v>
      </c>
      <c r="E1694" s="27">
        <v>2010</v>
      </c>
      <c r="F1694" s="27">
        <v>9</v>
      </c>
      <c r="G1694" s="27">
        <v>0</v>
      </c>
      <c r="H1694" s="27">
        <v>0</v>
      </c>
      <c r="I1694" s="27">
        <v>0</v>
      </c>
      <c r="J1694" s="27">
        <v>0</v>
      </c>
      <c r="K1694" s="27">
        <v>2</v>
      </c>
      <c r="L1694" s="27">
        <v>1850</v>
      </c>
      <c r="M1694" s="27">
        <v>1730</v>
      </c>
      <c r="N1694" s="27">
        <v>615</v>
      </c>
      <c r="O1694" s="27">
        <v>575</v>
      </c>
      <c r="P1694" s="27" t="s">
        <v>13</v>
      </c>
      <c r="Q1694" s="27">
        <v>1993</v>
      </c>
      <c r="R1694" s="27">
        <v>1</v>
      </c>
      <c r="S1694" s="27">
        <v>0</v>
      </c>
      <c r="T1694" s="27">
        <v>-1.619E-2</v>
      </c>
      <c r="U1694" s="27">
        <v>-3.2379999999999999E-2</v>
      </c>
      <c r="V1694" s="27">
        <v>0</v>
      </c>
      <c r="W1694" s="27">
        <v>0</v>
      </c>
      <c r="X1694" s="27" t="s">
        <v>62</v>
      </c>
    </row>
    <row r="1695" spans="1:24">
      <c r="A1695" s="27">
        <v>5</v>
      </c>
      <c r="B1695" s="27">
        <v>2</v>
      </c>
      <c r="C1695" s="27">
        <v>8</v>
      </c>
      <c r="D1695" s="27">
        <v>2011</v>
      </c>
      <c r="E1695" s="27">
        <v>2011</v>
      </c>
      <c r="F1695" s="27">
        <v>1</v>
      </c>
      <c r="G1695" s="27">
        <v>0</v>
      </c>
      <c r="H1695" s="27">
        <v>0</v>
      </c>
      <c r="I1695" s="27">
        <v>0</v>
      </c>
      <c r="J1695" s="27">
        <v>0</v>
      </c>
      <c r="K1695" s="27">
        <v>2</v>
      </c>
      <c r="L1695" s="27">
        <v>1850</v>
      </c>
      <c r="M1695" s="27">
        <v>1730</v>
      </c>
      <c r="N1695" s="27">
        <v>300</v>
      </c>
      <c r="O1695" s="27">
        <v>300</v>
      </c>
      <c r="P1695" s="27" t="s">
        <v>13</v>
      </c>
      <c r="Q1695" s="27">
        <v>1993</v>
      </c>
      <c r="R1695" s="27">
        <v>1</v>
      </c>
      <c r="S1695" s="27">
        <v>0</v>
      </c>
      <c r="T1695" s="27">
        <v>-1.619E-2</v>
      </c>
      <c r="U1695" s="27">
        <v>-3.2379999999999999E-2</v>
      </c>
      <c r="V1695" s="27">
        <v>0</v>
      </c>
      <c r="W1695" s="27">
        <v>0</v>
      </c>
      <c r="X1695" s="27" t="s">
        <v>62</v>
      </c>
    </row>
    <row r="1696" spans="1:24">
      <c r="A1696" s="27">
        <v>5</v>
      </c>
      <c r="B1696" s="27">
        <v>2</v>
      </c>
      <c r="C1696" s="27">
        <v>8</v>
      </c>
      <c r="D1696" s="27">
        <v>2011</v>
      </c>
      <c r="E1696" s="27">
        <v>2011</v>
      </c>
      <c r="F1696" s="27">
        <v>2</v>
      </c>
      <c r="G1696" s="27">
        <v>0</v>
      </c>
      <c r="H1696" s="27">
        <v>0</v>
      </c>
      <c r="I1696" s="27">
        <v>0</v>
      </c>
      <c r="J1696" s="27">
        <v>0</v>
      </c>
      <c r="K1696" s="27">
        <v>2</v>
      </c>
      <c r="L1696" s="27">
        <v>1850</v>
      </c>
      <c r="M1696" s="27">
        <v>1730</v>
      </c>
      <c r="N1696" s="27">
        <v>300</v>
      </c>
      <c r="O1696" s="27">
        <v>300</v>
      </c>
      <c r="P1696" s="27" t="s">
        <v>13</v>
      </c>
      <c r="Q1696" s="27">
        <v>1993</v>
      </c>
      <c r="R1696" s="27">
        <v>1</v>
      </c>
      <c r="S1696" s="27">
        <v>0</v>
      </c>
      <c r="T1696" s="27">
        <v>-1.619E-2</v>
      </c>
      <c r="U1696" s="27">
        <v>-3.2379999999999999E-2</v>
      </c>
      <c r="V1696" s="27">
        <v>0</v>
      </c>
      <c r="W1696" s="27">
        <v>0</v>
      </c>
      <c r="X1696" s="27" t="s">
        <v>62</v>
      </c>
    </row>
    <row r="1697" spans="1:24">
      <c r="A1697" s="27">
        <v>5</v>
      </c>
      <c r="B1697" s="27">
        <v>2</v>
      </c>
      <c r="C1697" s="27">
        <v>8</v>
      </c>
      <c r="D1697" s="27">
        <v>2011</v>
      </c>
      <c r="E1697" s="27">
        <v>2011</v>
      </c>
      <c r="F1697" s="27">
        <v>3</v>
      </c>
      <c r="G1697" s="27">
        <v>0</v>
      </c>
      <c r="H1697" s="27">
        <v>0</v>
      </c>
      <c r="I1697" s="27">
        <v>0</v>
      </c>
      <c r="J1697" s="27">
        <v>0</v>
      </c>
      <c r="K1697" s="27">
        <v>2</v>
      </c>
      <c r="L1697" s="27">
        <v>1850</v>
      </c>
      <c r="M1697" s="27">
        <v>1730</v>
      </c>
      <c r="N1697" s="27">
        <v>300</v>
      </c>
      <c r="O1697" s="27">
        <v>300</v>
      </c>
      <c r="P1697" s="27" t="s">
        <v>13</v>
      </c>
      <c r="Q1697" s="27">
        <v>1993</v>
      </c>
      <c r="R1697" s="27">
        <v>1</v>
      </c>
      <c r="S1697" s="27">
        <v>0</v>
      </c>
      <c r="T1697" s="27">
        <v>-1.619E-2</v>
      </c>
      <c r="U1697" s="27">
        <v>-3.2379999999999999E-2</v>
      </c>
      <c r="V1697" s="27">
        <v>0</v>
      </c>
      <c r="W1697" s="27">
        <v>0</v>
      </c>
      <c r="X1697" s="27" t="s">
        <v>62</v>
      </c>
    </row>
    <row r="1698" spans="1:24">
      <c r="A1698" s="27">
        <v>5</v>
      </c>
      <c r="B1698" s="27">
        <v>2</v>
      </c>
      <c r="C1698" s="27">
        <v>8</v>
      </c>
      <c r="D1698" s="27">
        <v>2011</v>
      </c>
      <c r="E1698" s="27">
        <v>2011</v>
      </c>
      <c r="F1698" s="27">
        <v>4</v>
      </c>
      <c r="G1698" s="27">
        <v>0</v>
      </c>
      <c r="H1698" s="27">
        <v>0</v>
      </c>
      <c r="I1698" s="27">
        <v>0</v>
      </c>
      <c r="J1698" s="27">
        <v>0</v>
      </c>
      <c r="K1698" s="27">
        <v>2</v>
      </c>
      <c r="L1698" s="27">
        <v>1850</v>
      </c>
      <c r="M1698" s="27">
        <v>1730</v>
      </c>
      <c r="N1698" s="27">
        <v>300</v>
      </c>
      <c r="O1698" s="27">
        <v>300</v>
      </c>
      <c r="P1698" s="27" t="s">
        <v>13</v>
      </c>
      <c r="Q1698" s="27">
        <v>1993</v>
      </c>
      <c r="R1698" s="27">
        <v>1</v>
      </c>
      <c r="S1698" s="27">
        <v>0</v>
      </c>
      <c r="T1698" s="27">
        <v>-1.619E-2</v>
      </c>
      <c r="U1698" s="27">
        <v>-3.2379999999999999E-2</v>
      </c>
      <c r="V1698" s="27">
        <v>0</v>
      </c>
      <c r="W1698" s="27">
        <v>0</v>
      </c>
      <c r="X1698" s="27" t="s">
        <v>62</v>
      </c>
    </row>
    <row r="1699" spans="1:24">
      <c r="A1699" s="27">
        <v>5</v>
      </c>
      <c r="B1699" s="27">
        <v>2</v>
      </c>
      <c r="C1699" s="27">
        <v>8</v>
      </c>
      <c r="D1699" s="27">
        <v>2011</v>
      </c>
      <c r="E1699" s="27">
        <v>2011</v>
      </c>
      <c r="F1699" s="27">
        <v>5</v>
      </c>
      <c r="G1699" s="27">
        <v>0</v>
      </c>
      <c r="H1699" s="27">
        <v>0</v>
      </c>
      <c r="I1699" s="27">
        <v>0</v>
      </c>
      <c r="J1699" s="27">
        <v>0</v>
      </c>
      <c r="K1699" s="27">
        <v>2</v>
      </c>
      <c r="L1699" s="27">
        <v>1850</v>
      </c>
      <c r="M1699" s="27">
        <v>1730</v>
      </c>
      <c r="N1699" s="27">
        <v>300</v>
      </c>
      <c r="O1699" s="27">
        <v>300</v>
      </c>
      <c r="P1699" s="27" t="s">
        <v>13</v>
      </c>
      <c r="Q1699" s="27">
        <v>1993</v>
      </c>
      <c r="R1699" s="27">
        <v>1</v>
      </c>
      <c r="S1699" s="27">
        <v>0</v>
      </c>
      <c r="T1699" s="27">
        <v>-1.619E-2</v>
      </c>
      <c r="U1699" s="27">
        <v>-3.2379999999999999E-2</v>
      </c>
      <c r="V1699" s="27">
        <v>0</v>
      </c>
      <c r="W1699" s="27">
        <v>0</v>
      </c>
      <c r="X1699" s="27" t="s">
        <v>62</v>
      </c>
    </row>
    <row r="1700" spans="1:24">
      <c r="A1700" s="27">
        <v>5</v>
      </c>
      <c r="B1700" s="27">
        <v>2</v>
      </c>
      <c r="C1700" s="27">
        <v>8</v>
      </c>
      <c r="D1700" s="27">
        <v>2011</v>
      </c>
      <c r="E1700" s="27">
        <v>2011</v>
      </c>
      <c r="F1700" s="27">
        <v>6</v>
      </c>
      <c r="G1700" s="27">
        <v>0</v>
      </c>
      <c r="H1700" s="27">
        <v>0</v>
      </c>
      <c r="I1700" s="27">
        <v>0</v>
      </c>
      <c r="J1700" s="27">
        <v>0</v>
      </c>
      <c r="K1700" s="27">
        <v>2</v>
      </c>
      <c r="L1700" s="27">
        <v>1850</v>
      </c>
      <c r="M1700" s="27">
        <v>1730</v>
      </c>
      <c r="N1700" s="27">
        <v>300</v>
      </c>
      <c r="O1700" s="27">
        <v>300</v>
      </c>
      <c r="P1700" s="27" t="s">
        <v>13</v>
      </c>
      <c r="Q1700" s="27">
        <v>1993</v>
      </c>
      <c r="R1700" s="27">
        <v>1</v>
      </c>
      <c r="S1700" s="27">
        <v>0</v>
      </c>
      <c r="T1700" s="27">
        <v>-1.619E-2</v>
      </c>
      <c r="U1700" s="27">
        <v>-3.2379999999999999E-2</v>
      </c>
      <c r="V1700" s="27">
        <v>0</v>
      </c>
      <c r="W1700" s="27">
        <v>0</v>
      </c>
      <c r="X1700" s="27" t="s">
        <v>62</v>
      </c>
    </row>
    <row r="1701" spans="1:24">
      <c r="A1701" s="27">
        <v>5</v>
      </c>
      <c r="B1701" s="27">
        <v>2</v>
      </c>
      <c r="C1701" s="27">
        <v>8</v>
      </c>
      <c r="D1701" s="27">
        <v>2011</v>
      </c>
      <c r="E1701" s="27">
        <v>2011</v>
      </c>
      <c r="F1701" s="27">
        <v>7</v>
      </c>
      <c r="G1701" s="27">
        <v>0</v>
      </c>
      <c r="H1701" s="27">
        <v>0</v>
      </c>
      <c r="I1701" s="27">
        <v>0</v>
      </c>
      <c r="J1701" s="27">
        <v>0</v>
      </c>
      <c r="K1701" s="27">
        <v>2</v>
      </c>
      <c r="L1701" s="27">
        <v>1850</v>
      </c>
      <c r="M1701" s="27">
        <v>1730</v>
      </c>
      <c r="N1701" s="27">
        <v>300</v>
      </c>
      <c r="O1701" s="27">
        <v>300</v>
      </c>
      <c r="P1701" s="27" t="s">
        <v>13</v>
      </c>
      <c r="Q1701" s="27">
        <v>1993</v>
      </c>
      <c r="R1701" s="27">
        <v>1</v>
      </c>
      <c r="S1701" s="27">
        <v>0</v>
      </c>
      <c r="T1701" s="27">
        <v>-1.619E-2</v>
      </c>
      <c r="U1701" s="27">
        <v>-3.2379999999999999E-2</v>
      </c>
      <c r="V1701" s="27">
        <v>0</v>
      </c>
      <c r="W1701" s="27">
        <v>0</v>
      </c>
      <c r="X1701" s="27" t="s">
        <v>62</v>
      </c>
    </row>
    <row r="1702" spans="1:24">
      <c r="A1702" s="27">
        <v>5</v>
      </c>
      <c r="B1702" s="27">
        <v>2</v>
      </c>
      <c r="C1702" s="27">
        <v>8</v>
      </c>
      <c r="D1702" s="27">
        <v>2011</v>
      </c>
      <c r="E1702" s="27">
        <v>2011</v>
      </c>
      <c r="F1702" s="27">
        <v>8</v>
      </c>
      <c r="G1702" s="27">
        <v>0</v>
      </c>
      <c r="H1702" s="27">
        <v>0</v>
      </c>
      <c r="I1702" s="27">
        <v>0</v>
      </c>
      <c r="J1702" s="27">
        <v>0</v>
      </c>
      <c r="K1702" s="27">
        <v>2</v>
      </c>
      <c r="L1702" s="27">
        <v>1850</v>
      </c>
      <c r="M1702" s="27">
        <v>1730</v>
      </c>
      <c r="N1702" s="27">
        <v>300</v>
      </c>
      <c r="O1702" s="27">
        <v>300</v>
      </c>
      <c r="P1702" s="27" t="s">
        <v>13</v>
      </c>
      <c r="Q1702" s="27">
        <v>1993</v>
      </c>
      <c r="R1702" s="27">
        <v>1</v>
      </c>
      <c r="S1702" s="27">
        <v>0</v>
      </c>
      <c r="T1702" s="27">
        <v>-1.619E-2</v>
      </c>
      <c r="U1702" s="27">
        <v>-3.2379999999999999E-2</v>
      </c>
      <c r="V1702" s="27">
        <v>0</v>
      </c>
      <c r="W1702" s="27">
        <v>0</v>
      </c>
      <c r="X1702" s="27" t="s">
        <v>62</v>
      </c>
    </row>
    <row r="1703" spans="1:24">
      <c r="A1703" s="27">
        <v>5</v>
      </c>
      <c r="B1703" s="27">
        <v>2</v>
      </c>
      <c r="C1703" s="27">
        <v>8</v>
      </c>
      <c r="D1703" s="27">
        <v>2011</v>
      </c>
      <c r="E1703" s="27">
        <v>2011</v>
      </c>
      <c r="F1703" s="27">
        <v>9</v>
      </c>
      <c r="G1703" s="27">
        <v>0</v>
      </c>
      <c r="H1703" s="27">
        <v>0</v>
      </c>
      <c r="I1703" s="27">
        <v>0</v>
      </c>
      <c r="J1703" s="27">
        <v>0</v>
      </c>
      <c r="K1703" s="27">
        <v>2</v>
      </c>
      <c r="L1703" s="27">
        <v>1850</v>
      </c>
      <c r="M1703" s="27">
        <v>1730</v>
      </c>
      <c r="N1703" s="27">
        <v>300</v>
      </c>
      <c r="O1703" s="27">
        <v>300</v>
      </c>
      <c r="P1703" s="27" t="s">
        <v>13</v>
      </c>
      <c r="Q1703" s="27">
        <v>1993</v>
      </c>
      <c r="R1703" s="27">
        <v>1</v>
      </c>
      <c r="S1703" s="27">
        <v>0</v>
      </c>
      <c r="T1703" s="27">
        <v>-1.619E-2</v>
      </c>
      <c r="U1703" s="27">
        <v>-3.2379999999999999E-2</v>
      </c>
      <c r="V1703" s="27">
        <v>0</v>
      </c>
      <c r="W1703" s="27">
        <v>0</v>
      </c>
      <c r="X1703" s="27" t="s">
        <v>62</v>
      </c>
    </row>
    <row r="1704" spans="1:24">
      <c r="A1704" s="27">
        <v>5</v>
      </c>
      <c r="B1704" s="27">
        <v>2</v>
      </c>
      <c r="C1704" s="27">
        <v>8</v>
      </c>
      <c r="D1704" s="27">
        <v>2012</v>
      </c>
      <c r="E1704" s="27">
        <v>2012</v>
      </c>
      <c r="F1704" s="27">
        <v>1</v>
      </c>
      <c r="G1704" s="27">
        <v>0</v>
      </c>
      <c r="H1704" s="27">
        <v>0</v>
      </c>
      <c r="I1704" s="27">
        <v>0</v>
      </c>
      <c r="J1704" s="27">
        <v>0</v>
      </c>
      <c r="K1704" s="27">
        <v>2</v>
      </c>
      <c r="L1704" s="27">
        <v>1850</v>
      </c>
      <c r="M1704" s="27">
        <v>1730</v>
      </c>
      <c r="N1704" s="27">
        <v>0</v>
      </c>
      <c r="O1704" s="27">
        <v>0</v>
      </c>
      <c r="P1704" s="27" t="s">
        <v>13</v>
      </c>
      <c r="Q1704" s="27">
        <v>1993</v>
      </c>
      <c r="R1704" s="27">
        <v>1</v>
      </c>
      <c r="S1704" s="27">
        <v>0</v>
      </c>
      <c r="T1704" s="27">
        <v>-1.619E-2</v>
      </c>
      <c r="U1704" s="27">
        <v>-3.2379999999999999E-2</v>
      </c>
      <c r="V1704" s="27">
        <v>0</v>
      </c>
      <c r="W1704" s="27">
        <v>0</v>
      </c>
      <c r="X1704" s="27" t="s">
        <v>62</v>
      </c>
    </row>
    <row r="1705" spans="1:24">
      <c r="A1705" s="27">
        <v>5</v>
      </c>
      <c r="B1705" s="27">
        <v>2</v>
      </c>
      <c r="C1705" s="27">
        <v>8</v>
      </c>
      <c r="D1705" s="27">
        <v>2012</v>
      </c>
      <c r="E1705" s="27">
        <v>2012</v>
      </c>
      <c r="F1705" s="27">
        <v>2</v>
      </c>
      <c r="G1705" s="27">
        <v>0</v>
      </c>
      <c r="H1705" s="27">
        <v>0</v>
      </c>
      <c r="I1705" s="27">
        <v>0</v>
      </c>
      <c r="J1705" s="27">
        <v>0</v>
      </c>
      <c r="K1705" s="27">
        <v>2</v>
      </c>
      <c r="L1705" s="27">
        <v>1850</v>
      </c>
      <c r="M1705" s="27">
        <v>1730</v>
      </c>
      <c r="N1705" s="27">
        <v>0</v>
      </c>
      <c r="O1705" s="27">
        <v>0</v>
      </c>
      <c r="P1705" s="27" t="s">
        <v>13</v>
      </c>
      <c r="Q1705" s="27">
        <v>1993</v>
      </c>
      <c r="R1705" s="27">
        <v>1</v>
      </c>
      <c r="S1705" s="27">
        <v>0</v>
      </c>
      <c r="T1705" s="27">
        <v>-1.619E-2</v>
      </c>
      <c r="U1705" s="27">
        <v>-3.2379999999999999E-2</v>
      </c>
      <c r="V1705" s="27">
        <v>0</v>
      </c>
      <c r="W1705" s="27">
        <v>0</v>
      </c>
      <c r="X1705" s="27" t="s">
        <v>62</v>
      </c>
    </row>
    <row r="1706" spans="1:24">
      <c r="A1706" s="27">
        <v>5</v>
      </c>
      <c r="B1706" s="27">
        <v>2</v>
      </c>
      <c r="C1706" s="27">
        <v>8</v>
      </c>
      <c r="D1706" s="27">
        <v>2012</v>
      </c>
      <c r="E1706" s="27">
        <v>2012</v>
      </c>
      <c r="F1706" s="27">
        <v>3</v>
      </c>
      <c r="G1706" s="27">
        <v>0</v>
      </c>
      <c r="H1706" s="27">
        <v>0</v>
      </c>
      <c r="I1706" s="27">
        <v>0</v>
      </c>
      <c r="J1706" s="27">
        <v>0</v>
      </c>
      <c r="K1706" s="27">
        <v>2</v>
      </c>
      <c r="L1706" s="27">
        <v>1850</v>
      </c>
      <c r="M1706" s="27">
        <v>1730</v>
      </c>
      <c r="N1706" s="27">
        <v>0</v>
      </c>
      <c r="O1706" s="27">
        <v>0</v>
      </c>
      <c r="P1706" s="27" t="s">
        <v>13</v>
      </c>
      <c r="Q1706" s="27">
        <v>1993</v>
      </c>
      <c r="R1706" s="27">
        <v>1</v>
      </c>
      <c r="S1706" s="27">
        <v>0</v>
      </c>
      <c r="T1706" s="27">
        <v>-1.619E-2</v>
      </c>
      <c r="U1706" s="27">
        <v>-3.2379999999999999E-2</v>
      </c>
      <c r="V1706" s="27">
        <v>0</v>
      </c>
      <c r="W1706" s="27">
        <v>0</v>
      </c>
      <c r="X1706" s="27" t="s">
        <v>62</v>
      </c>
    </row>
    <row r="1707" spans="1:24">
      <c r="A1707" s="27">
        <v>5</v>
      </c>
      <c r="B1707" s="27">
        <v>2</v>
      </c>
      <c r="C1707" s="27">
        <v>8</v>
      </c>
      <c r="D1707" s="27">
        <v>2012</v>
      </c>
      <c r="E1707" s="27">
        <v>2012</v>
      </c>
      <c r="F1707" s="27">
        <v>4</v>
      </c>
      <c r="G1707" s="27">
        <v>0</v>
      </c>
      <c r="H1707" s="27">
        <v>0</v>
      </c>
      <c r="I1707" s="27">
        <v>0</v>
      </c>
      <c r="J1707" s="27">
        <v>0</v>
      </c>
      <c r="K1707" s="27">
        <v>2</v>
      </c>
      <c r="L1707" s="27">
        <v>1850</v>
      </c>
      <c r="M1707" s="27">
        <v>1730</v>
      </c>
      <c r="N1707" s="27">
        <v>0</v>
      </c>
      <c r="O1707" s="27">
        <v>0</v>
      </c>
      <c r="P1707" s="27" t="s">
        <v>13</v>
      </c>
      <c r="Q1707" s="27">
        <v>1993</v>
      </c>
      <c r="R1707" s="27">
        <v>1</v>
      </c>
      <c r="S1707" s="27">
        <v>0</v>
      </c>
      <c r="T1707" s="27">
        <v>-1.619E-2</v>
      </c>
      <c r="U1707" s="27">
        <v>-3.2379999999999999E-2</v>
      </c>
      <c r="V1707" s="27">
        <v>0</v>
      </c>
      <c r="W1707" s="27">
        <v>0</v>
      </c>
      <c r="X1707" s="27" t="s">
        <v>62</v>
      </c>
    </row>
    <row r="1708" spans="1:24">
      <c r="A1708" s="27">
        <v>5</v>
      </c>
      <c r="B1708" s="27">
        <v>2</v>
      </c>
      <c r="C1708" s="27">
        <v>8</v>
      </c>
      <c r="D1708" s="27">
        <v>2012</v>
      </c>
      <c r="E1708" s="27">
        <v>2012</v>
      </c>
      <c r="F1708" s="27">
        <v>5</v>
      </c>
      <c r="G1708" s="27">
        <v>0</v>
      </c>
      <c r="H1708" s="27">
        <v>0</v>
      </c>
      <c r="I1708" s="27">
        <v>0</v>
      </c>
      <c r="J1708" s="27">
        <v>0</v>
      </c>
      <c r="K1708" s="27">
        <v>2</v>
      </c>
      <c r="L1708" s="27">
        <v>1850</v>
      </c>
      <c r="M1708" s="27">
        <v>1730</v>
      </c>
      <c r="N1708" s="27">
        <v>0</v>
      </c>
      <c r="O1708" s="27">
        <v>0</v>
      </c>
      <c r="P1708" s="27" t="s">
        <v>13</v>
      </c>
      <c r="Q1708" s="27">
        <v>1993</v>
      </c>
      <c r="R1708" s="27">
        <v>1</v>
      </c>
      <c r="S1708" s="27">
        <v>0</v>
      </c>
      <c r="T1708" s="27">
        <v>-1.619E-2</v>
      </c>
      <c r="U1708" s="27">
        <v>-3.2379999999999999E-2</v>
      </c>
      <c r="V1708" s="27">
        <v>0</v>
      </c>
      <c r="W1708" s="27">
        <v>0</v>
      </c>
      <c r="X1708" s="27" t="s">
        <v>62</v>
      </c>
    </row>
    <row r="1709" spans="1:24">
      <c r="A1709" s="27">
        <v>5</v>
      </c>
      <c r="B1709" s="27">
        <v>2</v>
      </c>
      <c r="C1709" s="27">
        <v>8</v>
      </c>
      <c r="D1709" s="27">
        <v>2012</v>
      </c>
      <c r="E1709" s="27">
        <v>2012</v>
      </c>
      <c r="F1709" s="27">
        <v>6</v>
      </c>
      <c r="G1709" s="27">
        <v>0</v>
      </c>
      <c r="H1709" s="27">
        <v>0</v>
      </c>
      <c r="I1709" s="27">
        <v>0</v>
      </c>
      <c r="J1709" s="27">
        <v>0</v>
      </c>
      <c r="K1709" s="27">
        <v>2</v>
      </c>
      <c r="L1709" s="27">
        <v>1850</v>
      </c>
      <c r="M1709" s="27">
        <v>1730</v>
      </c>
      <c r="N1709" s="27">
        <v>0</v>
      </c>
      <c r="O1709" s="27">
        <v>0</v>
      </c>
      <c r="P1709" s="27" t="s">
        <v>13</v>
      </c>
      <c r="Q1709" s="27">
        <v>1993</v>
      </c>
      <c r="R1709" s="27">
        <v>1</v>
      </c>
      <c r="S1709" s="27">
        <v>0</v>
      </c>
      <c r="T1709" s="27">
        <v>-1.619E-2</v>
      </c>
      <c r="U1709" s="27">
        <v>-3.2379999999999999E-2</v>
      </c>
      <c r="V1709" s="27">
        <v>0</v>
      </c>
      <c r="W1709" s="27">
        <v>0</v>
      </c>
      <c r="X1709" s="27" t="s">
        <v>62</v>
      </c>
    </row>
    <row r="1710" spans="1:24">
      <c r="A1710" s="27">
        <v>5</v>
      </c>
      <c r="B1710" s="27">
        <v>2</v>
      </c>
      <c r="C1710" s="27">
        <v>8</v>
      </c>
      <c r="D1710" s="27">
        <v>2012</v>
      </c>
      <c r="E1710" s="27">
        <v>2012</v>
      </c>
      <c r="F1710" s="27">
        <v>7</v>
      </c>
      <c r="G1710" s="27">
        <v>0</v>
      </c>
      <c r="H1710" s="27">
        <v>0</v>
      </c>
      <c r="I1710" s="27">
        <v>0</v>
      </c>
      <c r="J1710" s="27">
        <v>0</v>
      </c>
      <c r="K1710" s="27">
        <v>2</v>
      </c>
      <c r="L1710" s="27">
        <v>1850</v>
      </c>
      <c r="M1710" s="27">
        <v>1730</v>
      </c>
      <c r="N1710" s="27">
        <v>0</v>
      </c>
      <c r="O1710" s="27">
        <v>0</v>
      </c>
      <c r="P1710" s="27" t="s">
        <v>13</v>
      </c>
      <c r="Q1710" s="27">
        <v>1993</v>
      </c>
      <c r="R1710" s="27">
        <v>1</v>
      </c>
      <c r="S1710" s="27">
        <v>0</v>
      </c>
      <c r="T1710" s="27">
        <v>-1.619E-2</v>
      </c>
      <c r="U1710" s="27">
        <v>-3.2379999999999999E-2</v>
      </c>
      <c r="V1710" s="27">
        <v>0</v>
      </c>
      <c r="W1710" s="27">
        <v>0</v>
      </c>
      <c r="X1710" s="27" t="s">
        <v>62</v>
      </c>
    </row>
    <row r="1711" spans="1:24">
      <c r="A1711" s="27">
        <v>5</v>
      </c>
      <c r="B1711" s="27">
        <v>2</v>
      </c>
      <c r="C1711" s="27">
        <v>8</v>
      </c>
      <c r="D1711" s="27">
        <v>2012</v>
      </c>
      <c r="E1711" s="27">
        <v>2012</v>
      </c>
      <c r="F1711" s="27">
        <v>8</v>
      </c>
      <c r="G1711" s="27">
        <v>0</v>
      </c>
      <c r="H1711" s="27">
        <v>0</v>
      </c>
      <c r="I1711" s="27">
        <v>0</v>
      </c>
      <c r="J1711" s="27">
        <v>0</v>
      </c>
      <c r="K1711" s="27">
        <v>2</v>
      </c>
      <c r="L1711" s="27">
        <v>1850</v>
      </c>
      <c r="M1711" s="27">
        <v>1730</v>
      </c>
      <c r="N1711" s="27">
        <v>0</v>
      </c>
      <c r="O1711" s="27">
        <v>0</v>
      </c>
      <c r="P1711" s="27" t="s">
        <v>13</v>
      </c>
      <c r="Q1711" s="27">
        <v>1993</v>
      </c>
      <c r="R1711" s="27">
        <v>1</v>
      </c>
      <c r="S1711" s="27">
        <v>0</v>
      </c>
      <c r="T1711" s="27">
        <v>-1.619E-2</v>
      </c>
      <c r="U1711" s="27">
        <v>-3.2379999999999999E-2</v>
      </c>
      <c r="V1711" s="27">
        <v>0</v>
      </c>
      <c r="W1711" s="27">
        <v>0</v>
      </c>
      <c r="X1711" s="27" t="s">
        <v>62</v>
      </c>
    </row>
    <row r="1712" spans="1:24">
      <c r="A1712" s="27">
        <v>5</v>
      </c>
      <c r="B1712" s="27">
        <v>2</v>
      </c>
      <c r="C1712" s="27">
        <v>8</v>
      </c>
      <c r="D1712" s="27">
        <v>2012</v>
      </c>
      <c r="E1712" s="27">
        <v>2012</v>
      </c>
      <c r="F1712" s="27">
        <v>9</v>
      </c>
      <c r="G1712" s="27">
        <v>0</v>
      </c>
      <c r="H1712" s="27">
        <v>0</v>
      </c>
      <c r="I1712" s="27">
        <v>0</v>
      </c>
      <c r="J1712" s="27">
        <v>0</v>
      </c>
      <c r="K1712" s="27">
        <v>2</v>
      </c>
      <c r="L1712" s="27">
        <v>1850</v>
      </c>
      <c r="M1712" s="27">
        <v>1730</v>
      </c>
      <c r="N1712" s="27">
        <v>0</v>
      </c>
      <c r="O1712" s="27">
        <v>0</v>
      </c>
      <c r="P1712" s="27" t="s">
        <v>13</v>
      </c>
      <c r="Q1712" s="27">
        <v>1993</v>
      </c>
      <c r="R1712" s="27">
        <v>1</v>
      </c>
      <c r="S1712" s="27">
        <v>0</v>
      </c>
      <c r="T1712" s="27">
        <v>-1.619E-2</v>
      </c>
      <c r="U1712" s="27">
        <v>-3.2379999999999999E-2</v>
      </c>
      <c r="V1712" s="27">
        <v>0</v>
      </c>
      <c r="W1712" s="27">
        <v>0</v>
      </c>
      <c r="X1712" s="27" t="s">
        <v>62</v>
      </c>
    </row>
    <row r="1713" spans="1:24">
      <c r="A1713" s="27">
        <v>5</v>
      </c>
      <c r="B1713" s="27">
        <v>2</v>
      </c>
      <c r="C1713" s="27">
        <v>8</v>
      </c>
      <c r="D1713" s="27">
        <v>2013</v>
      </c>
      <c r="E1713" s="27">
        <v>2013</v>
      </c>
      <c r="F1713" s="27">
        <v>1</v>
      </c>
      <c r="G1713" s="27">
        <v>0</v>
      </c>
      <c r="H1713" s="27">
        <v>0</v>
      </c>
      <c r="I1713" s="27">
        <v>0</v>
      </c>
      <c r="J1713" s="27">
        <v>0</v>
      </c>
      <c r="K1713" s="27">
        <v>2</v>
      </c>
      <c r="L1713" s="27">
        <v>1850</v>
      </c>
      <c r="M1713" s="27">
        <v>1730</v>
      </c>
      <c r="N1713" s="27">
        <v>300</v>
      </c>
      <c r="O1713" s="27">
        <v>300</v>
      </c>
      <c r="P1713" s="27" t="s">
        <v>13</v>
      </c>
      <c r="Q1713" s="27">
        <v>1993</v>
      </c>
      <c r="R1713" s="27">
        <v>1</v>
      </c>
      <c r="S1713" s="27">
        <v>0</v>
      </c>
      <c r="T1713" s="27">
        <v>-1.619E-2</v>
      </c>
      <c r="U1713" s="27">
        <v>-3.2379999999999999E-2</v>
      </c>
      <c r="V1713" s="27">
        <v>0</v>
      </c>
      <c r="W1713" s="27">
        <v>0</v>
      </c>
      <c r="X1713" s="27" t="s">
        <v>62</v>
      </c>
    </row>
    <row r="1714" spans="1:24">
      <c r="A1714" s="27">
        <v>5</v>
      </c>
      <c r="B1714" s="27">
        <v>2</v>
      </c>
      <c r="C1714" s="27">
        <v>8</v>
      </c>
      <c r="D1714" s="27">
        <v>2013</v>
      </c>
      <c r="E1714" s="27">
        <v>2013</v>
      </c>
      <c r="F1714" s="27">
        <v>2</v>
      </c>
      <c r="G1714" s="27">
        <v>0</v>
      </c>
      <c r="H1714" s="27">
        <v>0</v>
      </c>
      <c r="I1714" s="27">
        <v>0</v>
      </c>
      <c r="J1714" s="27">
        <v>0</v>
      </c>
      <c r="K1714" s="27">
        <v>2</v>
      </c>
      <c r="L1714" s="27">
        <v>1850</v>
      </c>
      <c r="M1714" s="27">
        <v>1730</v>
      </c>
      <c r="N1714" s="27">
        <v>300</v>
      </c>
      <c r="O1714" s="27">
        <v>300</v>
      </c>
      <c r="P1714" s="27" t="s">
        <v>13</v>
      </c>
      <c r="Q1714" s="27">
        <v>1993</v>
      </c>
      <c r="R1714" s="27">
        <v>1</v>
      </c>
      <c r="S1714" s="27">
        <v>0</v>
      </c>
      <c r="T1714" s="27">
        <v>-1.619E-2</v>
      </c>
      <c r="U1714" s="27">
        <v>-3.2379999999999999E-2</v>
      </c>
      <c r="V1714" s="27">
        <v>0</v>
      </c>
      <c r="W1714" s="27">
        <v>0</v>
      </c>
      <c r="X1714" s="27" t="s">
        <v>62</v>
      </c>
    </row>
    <row r="1715" spans="1:24">
      <c r="A1715" s="27">
        <v>5</v>
      </c>
      <c r="B1715" s="27">
        <v>2</v>
      </c>
      <c r="C1715" s="27">
        <v>8</v>
      </c>
      <c r="D1715" s="27">
        <v>2013</v>
      </c>
      <c r="E1715" s="27">
        <v>2013</v>
      </c>
      <c r="F1715" s="27">
        <v>3</v>
      </c>
      <c r="G1715" s="27">
        <v>0</v>
      </c>
      <c r="H1715" s="27">
        <v>0</v>
      </c>
      <c r="I1715" s="27">
        <v>0</v>
      </c>
      <c r="J1715" s="27">
        <v>0</v>
      </c>
      <c r="K1715" s="27">
        <v>2</v>
      </c>
      <c r="L1715" s="27">
        <v>1850</v>
      </c>
      <c r="M1715" s="27">
        <v>1730</v>
      </c>
      <c r="N1715" s="27">
        <v>300</v>
      </c>
      <c r="O1715" s="27">
        <v>300</v>
      </c>
      <c r="P1715" s="27" t="s">
        <v>13</v>
      </c>
      <c r="Q1715" s="27">
        <v>1993</v>
      </c>
      <c r="R1715" s="27">
        <v>1</v>
      </c>
      <c r="S1715" s="27">
        <v>0</v>
      </c>
      <c r="T1715" s="27">
        <v>-1.619E-2</v>
      </c>
      <c r="U1715" s="27">
        <v>-3.2379999999999999E-2</v>
      </c>
      <c r="V1715" s="27">
        <v>0</v>
      </c>
      <c r="W1715" s="27">
        <v>0</v>
      </c>
      <c r="X1715" s="27" t="s">
        <v>62</v>
      </c>
    </row>
    <row r="1716" spans="1:24">
      <c r="A1716" s="27">
        <v>5</v>
      </c>
      <c r="B1716" s="27">
        <v>2</v>
      </c>
      <c r="C1716" s="27">
        <v>8</v>
      </c>
      <c r="D1716" s="27">
        <v>2013</v>
      </c>
      <c r="E1716" s="27">
        <v>2013</v>
      </c>
      <c r="F1716" s="27">
        <v>4</v>
      </c>
      <c r="G1716" s="27">
        <v>0</v>
      </c>
      <c r="H1716" s="27">
        <v>0</v>
      </c>
      <c r="I1716" s="27">
        <v>0</v>
      </c>
      <c r="J1716" s="27">
        <v>0</v>
      </c>
      <c r="K1716" s="27">
        <v>2</v>
      </c>
      <c r="L1716" s="27">
        <v>1850</v>
      </c>
      <c r="M1716" s="27">
        <v>1730</v>
      </c>
      <c r="N1716" s="27">
        <v>300</v>
      </c>
      <c r="O1716" s="27">
        <v>300</v>
      </c>
      <c r="P1716" s="27" t="s">
        <v>13</v>
      </c>
      <c r="Q1716" s="27">
        <v>1993</v>
      </c>
      <c r="R1716" s="27">
        <v>1</v>
      </c>
      <c r="S1716" s="27">
        <v>0</v>
      </c>
      <c r="T1716" s="27">
        <v>-1.619E-2</v>
      </c>
      <c r="U1716" s="27">
        <v>-3.2379999999999999E-2</v>
      </c>
      <c r="V1716" s="27">
        <v>0</v>
      </c>
      <c r="W1716" s="27">
        <v>0</v>
      </c>
      <c r="X1716" s="27" t="s">
        <v>62</v>
      </c>
    </row>
    <row r="1717" spans="1:24">
      <c r="A1717" s="27">
        <v>5</v>
      </c>
      <c r="B1717" s="27">
        <v>2</v>
      </c>
      <c r="C1717" s="27">
        <v>8</v>
      </c>
      <c r="D1717" s="27">
        <v>2013</v>
      </c>
      <c r="E1717" s="27">
        <v>2013</v>
      </c>
      <c r="F1717" s="27">
        <v>5</v>
      </c>
      <c r="G1717" s="27">
        <v>0</v>
      </c>
      <c r="H1717" s="27">
        <v>0</v>
      </c>
      <c r="I1717" s="27">
        <v>0</v>
      </c>
      <c r="J1717" s="27">
        <v>0</v>
      </c>
      <c r="K1717" s="27">
        <v>2</v>
      </c>
      <c r="L1717" s="27">
        <v>1850</v>
      </c>
      <c r="M1717" s="27">
        <v>1730</v>
      </c>
      <c r="N1717" s="27">
        <v>300</v>
      </c>
      <c r="O1717" s="27">
        <v>300</v>
      </c>
      <c r="P1717" s="27" t="s">
        <v>13</v>
      </c>
      <c r="Q1717" s="27">
        <v>1993</v>
      </c>
      <c r="R1717" s="27">
        <v>1</v>
      </c>
      <c r="S1717" s="27">
        <v>0</v>
      </c>
      <c r="T1717" s="27">
        <v>-1.619E-2</v>
      </c>
      <c r="U1717" s="27">
        <v>-3.2379999999999999E-2</v>
      </c>
      <c r="V1717" s="27">
        <v>0</v>
      </c>
      <c r="W1717" s="27">
        <v>0</v>
      </c>
      <c r="X1717" s="27" t="s">
        <v>62</v>
      </c>
    </row>
    <row r="1718" spans="1:24">
      <c r="A1718" s="27">
        <v>5</v>
      </c>
      <c r="B1718" s="27">
        <v>2</v>
      </c>
      <c r="C1718" s="27">
        <v>8</v>
      </c>
      <c r="D1718" s="27">
        <v>2013</v>
      </c>
      <c r="E1718" s="27">
        <v>2013</v>
      </c>
      <c r="F1718" s="27">
        <v>6</v>
      </c>
      <c r="G1718" s="27">
        <v>0</v>
      </c>
      <c r="H1718" s="27">
        <v>0</v>
      </c>
      <c r="I1718" s="27">
        <v>0</v>
      </c>
      <c r="J1718" s="27">
        <v>0</v>
      </c>
      <c r="K1718" s="27">
        <v>2</v>
      </c>
      <c r="L1718" s="27">
        <v>1850</v>
      </c>
      <c r="M1718" s="27">
        <v>1730</v>
      </c>
      <c r="N1718" s="27">
        <v>300</v>
      </c>
      <c r="O1718" s="27">
        <v>300</v>
      </c>
      <c r="P1718" s="27" t="s">
        <v>13</v>
      </c>
      <c r="Q1718" s="27">
        <v>1993</v>
      </c>
      <c r="R1718" s="27">
        <v>1</v>
      </c>
      <c r="S1718" s="27">
        <v>0</v>
      </c>
      <c r="T1718" s="27">
        <v>-1.619E-2</v>
      </c>
      <c r="U1718" s="27">
        <v>-3.2379999999999999E-2</v>
      </c>
      <c r="V1718" s="27">
        <v>0</v>
      </c>
      <c r="W1718" s="27">
        <v>0</v>
      </c>
      <c r="X1718" s="27" t="s">
        <v>62</v>
      </c>
    </row>
    <row r="1719" spans="1:24">
      <c r="A1719" s="27">
        <v>5</v>
      </c>
      <c r="B1719" s="27">
        <v>2</v>
      </c>
      <c r="C1719" s="27">
        <v>8</v>
      </c>
      <c r="D1719" s="27">
        <v>2013</v>
      </c>
      <c r="E1719" s="27">
        <v>2013</v>
      </c>
      <c r="F1719" s="27">
        <v>7</v>
      </c>
      <c r="G1719" s="27">
        <v>0</v>
      </c>
      <c r="H1719" s="27">
        <v>0</v>
      </c>
      <c r="I1719" s="27">
        <v>0</v>
      </c>
      <c r="J1719" s="27">
        <v>0</v>
      </c>
      <c r="K1719" s="27">
        <v>2</v>
      </c>
      <c r="L1719" s="27">
        <v>1850</v>
      </c>
      <c r="M1719" s="27">
        <v>1730</v>
      </c>
      <c r="N1719" s="27">
        <v>300</v>
      </c>
      <c r="O1719" s="27">
        <v>300</v>
      </c>
      <c r="P1719" s="27" t="s">
        <v>13</v>
      </c>
      <c r="Q1719" s="27">
        <v>1993</v>
      </c>
      <c r="R1719" s="27">
        <v>1</v>
      </c>
      <c r="S1719" s="27">
        <v>0</v>
      </c>
      <c r="T1719" s="27">
        <v>-1.619E-2</v>
      </c>
      <c r="U1719" s="27">
        <v>-3.2379999999999999E-2</v>
      </c>
      <c r="V1719" s="27">
        <v>0</v>
      </c>
      <c r="W1719" s="27">
        <v>0</v>
      </c>
      <c r="X1719" s="27" t="s">
        <v>62</v>
      </c>
    </row>
    <row r="1720" spans="1:24">
      <c r="A1720" s="27">
        <v>5</v>
      </c>
      <c r="B1720" s="27">
        <v>2</v>
      </c>
      <c r="C1720" s="27">
        <v>8</v>
      </c>
      <c r="D1720" s="27">
        <v>2013</v>
      </c>
      <c r="E1720" s="27">
        <v>2013</v>
      </c>
      <c r="F1720" s="27">
        <v>8</v>
      </c>
      <c r="G1720" s="27">
        <v>0</v>
      </c>
      <c r="H1720" s="27">
        <v>0</v>
      </c>
      <c r="I1720" s="27">
        <v>0</v>
      </c>
      <c r="J1720" s="27">
        <v>0</v>
      </c>
      <c r="K1720" s="27">
        <v>2</v>
      </c>
      <c r="L1720" s="27">
        <v>1850</v>
      </c>
      <c r="M1720" s="27">
        <v>1730</v>
      </c>
      <c r="N1720" s="27">
        <v>300</v>
      </c>
      <c r="O1720" s="27">
        <v>300</v>
      </c>
      <c r="P1720" s="27" t="s">
        <v>13</v>
      </c>
      <c r="Q1720" s="27">
        <v>1993</v>
      </c>
      <c r="R1720" s="27">
        <v>1</v>
      </c>
      <c r="S1720" s="27">
        <v>0</v>
      </c>
      <c r="T1720" s="27">
        <v>-1.619E-2</v>
      </c>
      <c r="U1720" s="27">
        <v>-3.2379999999999999E-2</v>
      </c>
      <c r="V1720" s="27">
        <v>0</v>
      </c>
      <c r="W1720" s="27">
        <v>0</v>
      </c>
      <c r="X1720" s="27" t="s">
        <v>62</v>
      </c>
    </row>
    <row r="1721" spans="1:24">
      <c r="A1721" s="27">
        <v>5</v>
      </c>
      <c r="B1721" s="27">
        <v>2</v>
      </c>
      <c r="C1721" s="27">
        <v>8</v>
      </c>
      <c r="D1721" s="27">
        <v>2013</v>
      </c>
      <c r="E1721" s="27">
        <v>2013</v>
      </c>
      <c r="F1721" s="27">
        <v>9</v>
      </c>
      <c r="G1721" s="27">
        <v>0</v>
      </c>
      <c r="H1721" s="27">
        <v>0</v>
      </c>
      <c r="I1721" s="27">
        <v>0</v>
      </c>
      <c r="J1721" s="27">
        <v>0</v>
      </c>
      <c r="K1721" s="27">
        <v>2</v>
      </c>
      <c r="L1721" s="27">
        <v>1850</v>
      </c>
      <c r="M1721" s="27">
        <v>1730</v>
      </c>
      <c r="N1721" s="27">
        <v>300</v>
      </c>
      <c r="O1721" s="27">
        <v>300</v>
      </c>
      <c r="P1721" s="27" t="s">
        <v>13</v>
      </c>
      <c r="Q1721" s="27">
        <v>1993</v>
      </c>
      <c r="R1721" s="27">
        <v>1</v>
      </c>
      <c r="S1721" s="27">
        <v>0</v>
      </c>
      <c r="T1721" s="27">
        <v>-1.619E-2</v>
      </c>
      <c r="U1721" s="27">
        <v>-3.2379999999999999E-2</v>
      </c>
      <c r="V1721" s="27">
        <v>0</v>
      </c>
      <c r="W1721" s="27">
        <v>0</v>
      </c>
      <c r="X1721" s="27" t="s">
        <v>62</v>
      </c>
    </row>
    <row r="1722" spans="1:24">
      <c r="A1722" s="27">
        <v>5</v>
      </c>
      <c r="B1722" s="27">
        <v>2</v>
      </c>
      <c r="C1722" s="27">
        <v>8</v>
      </c>
      <c r="D1722" s="27">
        <v>2014</v>
      </c>
      <c r="E1722" s="27">
        <v>2019</v>
      </c>
      <c r="F1722" s="27">
        <v>1</v>
      </c>
      <c r="G1722" s="27">
        <v>0</v>
      </c>
      <c r="H1722" s="27">
        <v>0</v>
      </c>
      <c r="I1722" s="27">
        <v>0</v>
      </c>
      <c r="J1722" s="27">
        <v>0</v>
      </c>
      <c r="K1722" s="27">
        <v>2</v>
      </c>
      <c r="L1722" s="27">
        <v>1850</v>
      </c>
      <c r="M1722" s="27">
        <v>1730</v>
      </c>
      <c r="N1722" s="27">
        <v>0</v>
      </c>
      <c r="O1722" s="27">
        <v>0</v>
      </c>
      <c r="P1722" s="27" t="s">
        <v>13</v>
      </c>
      <c r="Q1722" s="27">
        <v>1993</v>
      </c>
      <c r="R1722" s="27">
        <v>1</v>
      </c>
      <c r="S1722" s="27">
        <v>0</v>
      </c>
      <c r="T1722" s="27">
        <v>-1.619E-2</v>
      </c>
      <c r="U1722" s="27">
        <v>-3.2379999999999999E-2</v>
      </c>
      <c r="V1722" s="27">
        <v>0</v>
      </c>
      <c r="W1722" s="27">
        <v>0</v>
      </c>
      <c r="X1722" s="27" t="s">
        <v>62</v>
      </c>
    </row>
    <row r="1723" spans="1:24">
      <c r="A1723" s="27">
        <v>5</v>
      </c>
      <c r="B1723" s="27">
        <v>2</v>
      </c>
      <c r="C1723" s="27">
        <v>8</v>
      </c>
      <c r="D1723" s="27">
        <v>2014</v>
      </c>
      <c r="E1723" s="27">
        <v>2019</v>
      </c>
      <c r="F1723" s="27">
        <v>2</v>
      </c>
      <c r="G1723" s="27">
        <v>0</v>
      </c>
      <c r="H1723" s="27">
        <v>0</v>
      </c>
      <c r="I1723" s="27">
        <v>0</v>
      </c>
      <c r="J1723" s="27">
        <v>0</v>
      </c>
      <c r="K1723" s="27">
        <v>2</v>
      </c>
      <c r="L1723" s="27">
        <v>1850</v>
      </c>
      <c r="M1723" s="27">
        <v>1730</v>
      </c>
      <c r="N1723" s="27">
        <v>0</v>
      </c>
      <c r="O1723" s="27">
        <v>0</v>
      </c>
      <c r="P1723" s="27" t="s">
        <v>13</v>
      </c>
      <c r="Q1723" s="27">
        <v>1993</v>
      </c>
      <c r="R1723" s="27">
        <v>1</v>
      </c>
      <c r="S1723" s="27">
        <v>0</v>
      </c>
      <c r="T1723" s="27">
        <v>-1.619E-2</v>
      </c>
      <c r="U1723" s="27">
        <v>-3.2379999999999999E-2</v>
      </c>
      <c r="V1723" s="27">
        <v>0</v>
      </c>
      <c r="W1723" s="27">
        <v>0</v>
      </c>
      <c r="X1723" s="27" t="s">
        <v>62</v>
      </c>
    </row>
    <row r="1724" spans="1:24">
      <c r="A1724" s="27">
        <v>5</v>
      </c>
      <c r="B1724" s="27">
        <v>2</v>
      </c>
      <c r="C1724" s="27">
        <v>8</v>
      </c>
      <c r="D1724" s="27">
        <v>2014</v>
      </c>
      <c r="E1724" s="27">
        <v>2019</v>
      </c>
      <c r="F1724" s="27">
        <v>3</v>
      </c>
      <c r="G1724" s="27">
        <v>0</v>
      </c>
      <c r="H1724" s="27">
        <v>0</v>
      </c>
      <c r="I1724" s="27">
        <v>0</v>
      </c>
      <c r="J1724" s="27">
        <v>0</v>
      </c>
      <c r="K1724" s="27">
        <v>2</v>
      </c>
      <c r="L1724" s="27">
        <v>1850</v>
      </c>
      <c r="M1724" s="27">
        <v>1730</v>
      </c>
      <c r="N1724" s="27">
        <v>0</v>
      </c>
      <c r="O1724" s="27">
        <v>0</v>
      </c>
      <c r="P1724" s="27" t="s">
        <v>13</v>
      </c>
      <c r="Q1724" s="27">
        <v>1993</v>
      </c>
      <c r="R1724" s="27">
        <v>1</v>
      </c>
      <c r="S1724" s="27">
        <v>0</v>
      </c>
      <c r="T1724" s="27">
        <v>-1.619E-2</v>
      </c>
      <c r="U1724" s="27">
        <v>-3.2379999999999999E-2</v>
      </c>
      <c r="V1724" s="27">
        <v>0</v>
      </c>
      <c r="W1724" s="27">
        <v>0</v>
      </c>
      <c r="X1724" s="27" t="s">
        <v>62</v>
      </c>
    </row>
    <row r="1725" spans="1:24">
      <c r="A1725" s="27">
        <v>5</v>
      </c>
      <c r="B1725" s="27">
        <v>2</v>
      </c>
      <c r="C1725" s="27">
        <v>8</v>
      </c>
      <c r="D1725" s="27">
        <v>2014</v>
      </c>
      <c r="E1725" s="27">
        <v>2019</v>
      </c>
      <c r="F1725" s="27">
        <v>4</v>
      </c>
      <c r="G1725" s="27">
        <v>0</v>
      </c>
      <c r="H1725" s="27">
        <v>0</v>
      </c>
      <c r="I1725" s="27">
        <v>0</v>
      </c>
      <c r="J1725" s="27">
        <v>0</v>
      </c>
      <c r="K1725" s="27">
        <v>2</v>
      </c>
      <c r="L1725" s="27">
        <v>1850</v>
      </c>
      <c r="M1725" s="27">
        <v>1730</v>
      </c>
      <c r="N1725" s="27">
        <v>0</v>
      </c>
      <c r="O1725" s="27">
        <v>0</v>
      </c>
      <c r="P1725" s="27" t="s">
        <v>13</v>
      </c>
      <c r="Q1725" s="27">
        <v>1993</v>
      </c>
      <c r="R1725" s="27">
        <v>1</v>
      </c>
      <c r="S1725" s="27">
        <v>0</v>
      </c>
      <c r="T1725" s="27">
        <v>-1.619E-2</v>
      </c>
      <c r="U1725" s="27">
        <v>-3.2379999999999999E-2</v>
      </c>
      <c r="V1725" s="27">
        <v>0</v>
      </c>
      <c r="W1725" s="27">
        <v>0</v>
      </c>
      <c r="X1725" s="27" t="s">
        <v>62</v>
      </c>
    </row>
    <row r="1726" spans="1:24">
      <c r="A1726" s="27">
        <v>5</v>
      </c>
      <c r="B1726" s="27">
        <v>2</v>
      </c>
      <c r="C1726" s="27">
        <v>8</v>
      </c>
      <c r="D1726" s="27">
        <v>2014</v>
      </c>
      <c r="E1726" s="27">
        <v>2019</v>
      </c>
      <c r="F1726" s="27">
        <v>5</v>
      </c>
      <c r="G1726" s="27">
        <v>0</v>
      </c>
      <c r="H1726" s="27">
        <v>0</v>
      </c>
      <c r="I1726" s="27">
        <v>0</v>
      </c>
      <c r="J1726" s="27">
        <v>0</v>
      </c>
      <c r="K1726" s="27">
        <v>2</v>
      </c>
      <c r="L1726" s="27">
        <v>1850</v>
      </c>
      <c r="M1726" s="27">
        <v>1730</v>
      </c>
      <c r="N1726" s="27">
        <v>0</v>
      </c>
      <c r="O1726" s="27">
        <v>0</v>
      </c>
      <c r="P1726" s="27" t="s">
        <v>13</v>
      </c>
      <c r="Q1726" s="27">
        <v>1993</v>
      </c>
      <c r="R1726" s="27">
        <v>1</v>
      </c>
      <c r="S1726" s="27">
        <v>0</v>
      </c>
      <c r="T1726" s="27">
        <v>-1.619E-2</v>
      </c>
      <c r="U1726" s="27">
        <v>-3.2379999999999999E-2</v>
      </c>
      <c r="V1726" s="27">
        <v>0</v>
      </c>
      <c r="W1726" s="27">
        <v>0</v>
      </c>
      <c r="X1726" s="27" t="s">
        <v>62</v>
      </c>
    </row>
    <row r="1727" spans="1:24">
      <c r="A1727" s="27">
        <v>5</v>
      </c>
      <c r="B1727" s="27">
        <v>2</v>
      </c>
      <c r="C1727" s="27">
        <v>8</v>
      </c>
      <c r="D1727" s="27">
        <v>2014</v>
      </c>
      <c r="E1727" s="27">
        <v>2019</v>
      </c>
      <c r="F1727" s="27">
        <v>6</v>
      </c>
      <c r="G1727" s="27">
        <v>0</v>
      </c>
      <c r="H1727" s="27">
        <v>0</v>
      </c>
      <c r="I1727" s="27">
        <v>0</v>
      </c>
      <c r="J1727" s="27">
        <v>0</v>
      </c>
      <c r="K1727" s="27">
        <v>2</v>
      </c>
      <c r="L1727" s="27">
        <v>1850</v>
      </c>
      <c r="M1727" s="27">
        <v>1730</v>
      </c>
      <c r="N1727" s="27">
        <v>0</v>
      </c>
      <c r="O1727" s="27">
        <v>0</v>
      </c>
      <c r="P1727" s="27" t="s">
        <v>13</v>
      </c>
      <c r="Q1727" s="27">
        <v>1993</v>
      </c>
      <c r="R1727" s="27">
        <v>1</v>
      </c>
      <c r="S1727" s="27">
        <v>0</v>
      </c>
      <c r="T1727" s="27">
        <v>-1.619E-2</v>
      </c>
      <c r="U1727" s="27">
        <v>-3.2379999999999999E-2</v>
      </c>
      <c r="V1727" s="27">
        <v>0</v>
      </c>
      <c r="W1727" s="27">
        <v>0</v>
      </c>
      <c r="X1727" s="27" t="s">
        <v>62</v>
      </c>
    </row>
    <row r="1728" spans="1:24">
      <c r="A1728" s="27">
        <v>5</v>
      </c>
      <c r="B1728" s="27">
        <v>2</v>
      </c>
      <c r="C1728" s="27">
        <v>8</v>
      </c>
      <c r="D1728" s="27">
        <v>2014</v>
      </c>
      <c r="E1728" s="27">
        <v>2019</v>
      </c>
      <c r="F1728" s="27">
        <v>7</v>
      </c>
      <c r="G1728" s="27">
        <v>0</v>
      </c>
      <c r="H1728" s="27">
        <v>0</v>
      </c>
      <c r="I1728" s="27">
        <v>0</v>
      </c>
      <c r="J1728" s="27">
        <v>0</v>
      </c>
      <c r="K1728" s="27">
        <v>2</v>
      </c>
      <c r="L1728" s="27">
        <v>1850</v>
      </c>
      <c r="M1728" s="27">
        <v>1730</v>
      </c>
      <c r="N1728" s="27">
        <v>0</v>
      </c>
      <c r="O1728" s="27">
        <v>0</v>
      </c>
      <c r="P1728" s="27" t="s">
        <v>13</v>
      </c>
      <c r="Q1728" s="27">
        <v>1993</v>
      </c>
      <c r="R1728" s="27">
        <v>1</v>
      </c>
      <c r="S1728" s="27">
        <v>0</v>
      </c>
      <c r="T1728" s="27">
        <v>-1.619E-2</v>
      </c>
      <c r="U1728" s="27">
        <v>-3.2379999999999999E-2</v>
      </c>
      <c r="V1728" s="27">
        <v>0</v>
      </c>
      <c r="W1728" s="27">
        <v>0</v>
      </c>
      <c r="X1728" s="27" t="s">
        <v>62</v>
      </c>
    </row>
    <row r="1729" spans="1:24">
      <c r="A1729" s="27">
        <v>5</v>
      </c>
      <c r="B1729" s="27">
        <v>2</v>
      </c>
      <c r="C1729" s="27">
        <v>8</v>
      </c>
      <c r="D1729" s="27">
        <v>2014</v>
      </c>
      <c r="E1729" s="27">
        <v>2019</v>
      </c>
      <c r="F1729" s="27">
        <v>8</v>
      </c>
      <c r="G1729" s="27">
        <v>0</v>
      </c>
      <c r="H1729" s="27">
        <v>0</v>
      </c>
      <c r="I1729" s="27">
        <v>0</v>
      </c>
      <c r="J1729" s="27">
        <v>0</v>
      </c>
      <c r="K1729" s="27">
        <v>2</v>
      </c>
      <c r="L1729" s="27">
        <v>1850</v>
      </c>
      <c r="M1729" s="27">
        <v>1730</v>
      </c>
      <c r="N1729" s="27">
        <v>0</v>
      </c>
      <c r="O1729" s="27">
        <v>0</v>
      </c>
      <c r="P1729" s="27" t="s">
        <v>13</v>
      </c>
      <c r="Q1729" s="27">
        <v>1993</v>
      </c>
      <c r="R1729" s="27">
        <v>1</v>
      </c>
      <c r="S1729" s="27">
        <v>0</v>
      </c>
      <c r="T1729" s="27">
        <v>-1.619E-2</v>
      </c>
      <c r="U1729" s="27">
        <v>-3.2379999999999999E-2</v>
      </c>
      <c r="V1729" s="27">
        <v>0</v>
      </c>
      <c r="W1729" s="27">
        <v>0</v>
      </c>
      <c r="X1729" s="27" t="s">
        <v>62</v>
      </c>
    </row>
    <row r="1730" spans="1:24">
      <c r="A1730" s="27">
        <v>5</v>
      </c>
      <c r="B1730" s="27">
        <v>2</v>
      </c>
      <c r="C1730" s="27">
        <v>8</v>
      </c>
      <c r="D1730" s="27">
        <v>2014</v>
      </c>
      <c r="E1730" s="27">
        <v>2019</v>
      </c>
      <c r="F1730" s="27">
        <v>9</v>
      </c>
      <c r="G1730" s="27">
        <v>0</v>
      </c>
      <c r="H1730" s="27">
        <v>0</v>
      </c>
      <c r="I1730" s="27">
        <v>0</v>
      </c>
      <c r="J1730" s="27">
        <v>0</v>
      </c>
      <c r="K1730" s="27">
        <v>2</v>
      </c>
      <c r="L1730" s="27">
        <v>1850</v>
      </c>
      <c r="M1730" s="27">
        <v>1730</v>
      </c>
      <c r="N1730" s="27">
        <v>0</v>
      </c>
      <c r="O1730" s="27">
        <v>0</v>
      </c>
      <c r="P1730" s="27" t="s">
        <v>13</v>
      </c>
      <c r="Q1730" s="27">
        <v>1993</v>
      </c>
      <c r="R1730" s="27">
        <v>1</v>
      </c>
      <c r="S1730" s="27">
        <v>0</v>
      </c>
      <c r="T1730" s="27">
        <v>-1.619E-2</v>
      </c>
      <c r="U1730" s="27">
        <v>-3.2379999999999999E-2</v>
      </c>
      <c r="V1730" s="27">
        <v>0</v>
      </c>
      <c r="W1730" s="27">
        <v>0</v>
      </c>
      <c r="X1730" s="27" t="s">
        <v>62</v>
      </c>
    </row>
    <row r="1731" spans="1:24">
      <c r="A1731" s="27">
        <v>5</v>
      </c>
      <c r="B1731" s="27">
        <v>2</v>
      </c>
      <c r="C1731" s="27">
        <v>8</v>
      </c>
      <c r="D1731" s="27">
        <v>2020</v>
      </c>
      <c r="E1731" s="27">
        <v>2050</v>
      </c>
      <c r="F1731" s="27">
        <v>1</v>
      </c>
      <c r="G1731" s="27">
        <v>0</v>
      </c>
      <c r="H1731" s="27">
        <v>0</v>
      </c>
      <c r="I1731" s="27">
        <v>0</v>
      </c>
      <c r="J1731" s="27">
        <v>0</v>
      </c>
      <c r="K1731" s="27">
        <v>2</v>
      </c>
      <c r="L1731" s="27">
        <v>1800</v>
      </c>
      <c r="M1731" s="27">
        <v>1700</v>
      </c>
      <c r="N1731" s="27">
        <v>0</v>
      </c>
      <c r="O1731" s="27">
        <v>0</v>
      </c>
      <c r="P1731" s="27" t="s">
        <v>13</v>
      </c>
      <c r="Q1731" s="27">
        <v>1993</v>
      </c>
      <c r="R1731" s="27">
        <v>1</v>
      </c>
      <c r="S1731" s="27">
        <v>0</v>
      </c>
      <c r="T1731" s="27">
        <v>-1.619E-2</v>
      </c>
      <c r="U1731" s="27">
        <v>-3.2379999999999999E-2</v>
      </c>
      <c r="V1731" s="27">
        <v>0</v>
      </c>
      <c r="W1731" s="27">
        <v>0</v>
      </c>
      <c r="X1731" s="27" t="s">
        <v>62</v>
      </c>
    </row>
    <row r="1732" spans="1:24">
      <c r="A1732" s="27">
        <v>5</v>
      </c>
      <c r="B1732" s="27">
        <v>2</v>
      </c>
      <c r="C1732" s="27">
        <v>8</v>
      </c>
      <c r="D1732" s="27">
        <v>2020</v>
      </c>
      <c r="E1732" s="27">
        <v>2050</v>
      </c>
      <c r="F1732" s="27">
        <v>2</v>
      </c>
      <c r="G1732" s="27">
        <v>0</v>
      </c>
      <c r="H1732" s="27">
        <v>0</v>
      </c>
      <c r="I1732" s="27">
        <v>0</v>
      </c>
      <c r="J1732" s="27">
        <v>0</v>
      </c>
      <c r="K1732" s="27">
        <v>2</v>
      </c>
      <c r="L1732" s="27">
        <v>1800</v>
      </c>
      <c r="M1732" s="27">
        <v>1700</v>
      </c>
      <c r="N1732" s="27">
        <v>0</v>
      </c>
      <c r="O1732" s="27">
        <v>0</v>
      </c>
      <c r="P1732" s="27" t="s">
        <v>13</v>
      </c>
      <c r="Q1732" s="27">
        <v>1993</v>
      </c>
      <c r="R1732" s="27">
        <v>1</v>
      </c>
      <c r="S1732" s="27">
        <v>0</v>
      </c>
      <c r="T1732" s="27">
        <v>-1.619E-2</v>
      </c>
      <c r="U1732" s="27">
        <v>-3.2379999999999999E-2</v>
      </c>
      <c r="V1732" s="27">
        <v>0</v>
      </c>
      <c r="W1732" s="27">
        <v>0</v>
      </c>
      <c r="X1732" s="27" t="s">
        <v>62</v>
      </c>
    </row>
    <row r="1733" spans="1:24">
      <c r="A1733" s="27">
        <v>5</v>
      </c>
      <c r="B1733" s="27">
        <v>2</v>
      </c>
      <c r="C1733" s="27">
        <v>8</v>
      </c>
      <c r="D1733" s="27">
        <v>2020</v>
      </c>
      <c r="E1733" s="27">
        <v>2050</v>
      </c>
      <c r="F1733" s="27">
        <v>3</v>
      </c>
      <c r="G1733" s="27">
        <v>0</v>
      </c>
      <c r="H1733" s="27">
        <v>0</v>
      </c>
      <c r="I1733" s="27">
        <v>0</v>
      </c>
      <c r="J1733" s="27">
        <v>0</v>
      </c>
      <c r="K1733" s="27">
        <v>2</v>
      </c>
      <c r="L1733" s="27">
        <v>1800</v>
      </c>
      <c r="M1733" s="27">
        <v>1700</v>
      </c>
      <c r="N1733" s="27">
        <v>0</v>
      </c>
      <c r="O1733" s="27">
        <v>0</v>
      </c>
      <c r="P1733" s="27" t="s">
        <v>13</v>
      </c>
      <c r="Q1733" s="27">
        <v>1993</v>
      </c>
      <c r="R1733" s="27">
        <v>1</v>
      </c>
      <c r="S1733" s="27">
        <v>0</v>
      </c>
      <c r="T1733" s="27">
        <v>-1.619E-2</v>
      </c>
      <c r="U1733" s="27">
        <v>-3.2379999999999999E-2</v>
      </c>
      <c r="V1733" s="27">
        <v>0</v>
      </c>
      <c r="W1733" s="27">
        <v>0</v>
      </c>
      <c r="X1733" s="27" t="s">
        <v>62</v>
      </c>
    </row>
    <row r="1734" spans="1:24">
      <c r="A1734" s="27">
        <v>5</v>
      </c>
      <c r="B1734" s="27">
        <v>2</v>
      </c>
      <c r="C1734" s="27">
        <v>8</v>
      </c>
      <c r="D1734" s="27">
        <v>2020</v>
      </c>
      <c r="E1734" s="27">
        <v>2050</v>
      </c>
      <c r="F1734" s="27">
        <v>4</v>
      </c>
      <c r="G1734" s="27">
        <v>0</v>
      </c>
      <c r="H1734" s="27">
        <v>0</v>
      </c>
      <c r="I1734" s="27">
        <v>0</v>
      </c>
      <c r="J1734" s="27">
        <v>0</v>
      </c>
      <c r="K1734" s="27">
        <v>2</v>
      </c>
      <c r="L1734" s="27">
        <v>1800</v>
      </c>
      <c r="M1734" s="27">
        <v>1700</v>
      </c>
      <c r="N1734" s="27">
        <v>0</v>
      </c>
      <c r="O1734" s="27">
        <v>0</v>
      </c>
      <c r="P1734" s="27" t="s">
        <v>13</v>
      </c>
      <c r="Q1734" s="27">
        <v>1993</v>
      </c>
      <c r="R1734" s="27">
        <v>1</v>
      </c>
      <c r="S1734" s="27">
        <v>0</v>
      </c>
      <c r="T1734" s="27">
        <v>-1.619E-2</v>
      </c>
      <c r="U1734" s="27">
        <v>-3.2379999999999999E-2</v>
      </c>
      <c r="V1734" s="27">
        <v>0</v>
      </c>
      <c r="W1734" s="27">
        <v>0</v>
      </c>
      <c r="X1734" s="27" t="s">
        <v>62</v>
      </c>
    </row>
    <row r="1735" spans="1:24">
      <c r="A1735" s="27">
        <v>5</v>
      </c>
      <c r="B1735" s="27">
        <v>2</v>
      </c>
      <c r="C1735" s="27">
        <v>8</v>
      </c>
      <c r="D1735" s="27">
        <v>2020</v>
      </c>
      <c r="E1735" s="27">
        <v>2050</v>
      </c>
      <c r="F1735" s="27">
        <v>5</v>
      </c>
      <c r="G1735" s="27">
        <v>0</v>
      </c>
      <c r="H1735" s="27">
        <v>0</v>
      </c>
      <c r="I1735" s="27">
        <v>0</v>
      </c>
      <c r="J1735" s="27">
        <v>0</v>
      </c>
      <c r="K1735" s="27">
        <v>2</v>
      </c>
      <c r="L1735" s="27">
        <v>1800</v>
      </c>
      <c r="M1735" s="27">
        <v>1700</v>
      </c>
      <c r="N1735" s="27">
        <v>0</v>
      </c>
      <c r="O1735" s="27">
        <v>0</v>
      </c>
      <c r="P1735" s="27" t="s">
        <v>13</v>
      </c>
      <c r="Q1735" s="27">
        <v>1993</v>
      </c>
      <c r="R1735" s="27">
        <v>1</v>
      </c>
      <c r="S1735" s="27">
        <v>0</v>
      </c>
      <c r="T1735" s="27">
        <v>-1.619E-2</v>
      </c>
      <c r="U1735" s="27">
        <v>-3.2379999999999999E-2</v>
      </c>
      <c r="V1735" s="27">
        <v>0</v>
      </c>
      <c r="W1735" s="27">
        <v>0</v>
      </c>
      <c r="X1735" s="27" t="s">
        <v>62</v>
      </c>
    </row>
    <row r="1736" spans="1:24">
      <c r="A1736" s="27">
        <v>5</v>
      </c>
      <c r="B1736" s="27">
        <v>2</v>
      </c>
      <c r="C1736" s="27">
        <v>8</v>
      </c>
      <c r="D1736" s="27">
        <v>2020</v>
      </c>
      <c r="E1736" s="27">
        <v>2050</v>
      </c>
      <c r="F1736" s="27">
        <v>6</v>
      </c>
      <c r="G1736" s="27">
        <v>0</v>
      </c>
      <c r="H1736" s="27">
        <v>0</v>
      </c>
      <c r="I1736" s="27">
        <v>0</v>
      </c>
      <c r="J1736" s="27">
        <v>0</v>
      </c>
      <c r="K1736" s="27">
        <v>2</v>
      </c>
      <c r="L1736" s="27">
        <v>1800</v>
      </c>
      <c r="M1736" s="27">
        <v>1700</v>
      </c>
      <c r="N1736" s="27">
        <v>0</v>
      </c>
      <c r="O1736" s="27">
        <v>0</v>
      </c>
      <c r="P1736" s="27" t="s">
        <v>13</v>
      </c>
      <c r="Q1736" s="27">
        <v>1993</v>
      </c>
      <c r="R1736" s="27">
        <v>1</v>
      </c>
      <c r="S1736" s="27">
        <v>0</v>
      </c>
      <c r="T1736" s="27">
        <v>-1.619E-2</v>
      </c>
      <c r="U1736" s="27">
        <v>-3.2379999999999999E-2</v>
      </c>
      <c r="V1736" s="27">
        <v>0</v>
      </c>
      <c r="W1736" s="27">
        <v>0</v>
      </c>
      <c r="X1736" s="27" t="s">
        <v>62</v>
      </c>
    </row>
    <row r="1737" spans="1:24">
      <c r="A1737" s="27">
        <v>5</v>
      </c>
      <c r="B1737" s="27">
        <v>2</v>
      </c>
      <c r="C1737" s="27">
        <v>8</v>
      </c>
      <c r="D1737" s="27">
        <v>2020</v>
      </c>
      <c r="E1737" s="27">
        <v>2050</v>
      </c>
      <c r="F1737" s="27">
        <v>7</v>
      </c>
      <c r="G1737" s="27">
        <v>0</v>
      </c>
      <c r="H1737" s="27">
        <v>0</v>
      </c>
      <c r="I1737" s="27">
        <v>0</v>
      </c>
      <c r="J1737" s="27">
        <v>0</v>
      </c>
      <c r="K1737" s="27">
        <v>2</v>
      </c>
      <c r="L1737" s="27">
        <v>1800</v>
      </c>
      <c r="M1737" s="27">
        <v>1700</v>
      </c>
      <c r="N1737" s="27">
        <v>0</v>
      </c>
      <c r="O1737" s="27">
        <v>0</v>
      </c>
      <c r="P1737" s="27" t="s">
        <v>13</v>
      </c>
      <c r="Q1737" s="27">
        <v>1993</v>
      </c>
      <c r="R1737" s="27">
        <v>1</v>
      </c>
      <c r="S1737" s="27">
        <v>0</v>
      </c>
      <c r="T1737" s="27">
        <v>-1.619E-2</v>
      </c>
      <c r="U1737" s="27">
        <v>-3.2379999999999999E-2</v>
      </c>
      <c r="V1737" s="27">
        <v>0</v>
      </c>
      <c r="W1737" s="27">
        <v>0</v>
      </c>
      <c r="X1737" s="27" t="s">
        <v>62</v>
      </c>
    </row>
    <row r="1738" spans="1:24">
      <c r="A1738" s="27">
        <v>5</v>
      </c>
      <c r="B1738" s="27">
        <v>2</v>
      </c>
      <c r="C1738" s="27">
        <v>8</v>
      </c>
      <c r="D1738" s="27">
        <v>2020</v>
      </c>
      <c r="E1738" s="27">
        <v>2050</v>
      </c>
      <c r="F1738" s="27">
        <v>8</v>
      </c>
      <c r="G1738" s="27">
        <v>0</v>
      </c>
      <c r="H1738" s="27">
        <v>0</v>
      </c>
      <c r="I1738" s="27">
        <v>0</v>
      </c>
      <c r="J1738" s="27">
        <v>0</v>
      </c>
      <c r="K1738" s="27">
        <v>2</v>
      </c>
      <c r="L1738" s="27">
        <v>1800</v>
      </c>
      <c r="M1738" s="27">
        <v>1700</v>
      </c>
      <c r="N1738" s="27">
        <v>0</v>
      </c>
      <c r="O1738" s="27">
        <v>0</v>
      </c>
      <c r="P1738" s="27" t="s">
        <v>13</v>
      </c>
      <c r="Q1738" s="27">
        <v>1993</v>
      </c>
      <c r="R1738" s="27">
        <v>1</v>
      </c>
      <c r="S1738" s="27">
        <v>0</v>
      </c>
      <c r="T1738" s="27">
        <v>-1.619E-2</v>
      </c>
      <c r="U1738" s="27">
        <v>-3.2379999999999999E-2</v>
      </c>
      <c r="V1738" s="27">
        <v>0</v>
      </c>
      <c r="W1738" s="27">
        <v>0</v>
      </c>
      <c r="X1738" s="27" t="s">
        <v>62</v>
      </c>
    </row>
    <row r="1739" spans="1:24">
      <c r="A1739" s="27">
        <v>5</v>
      </c>
      <c r="B1739" s="27">
        <v>2</v>
      </c>
      <c r="C1739" s="27">
        <v>8</v>
      </c>
      <c r="D1739" s="27">
        <v>2020</v>
      </c>
      <c r="E1739" s="27">
        <v>2050</v>
      </c>
      <c r="F1739" s="27">
        <v>9</v>
      </c>
      <c r="G1739" s="27">
        <v>0</v>
      </c>
      <c r="H1739" s="27">
        <v>0</v>
      </c>
      <c r="I1739" s="27">
        <v>0</v>
      </c>
      <c r="J1739" s="27">
        <v>0</v>
      </c>
      <c r="K1739" s="27">
        <v>2</v>
      </c>
      <c r="L1739" s="27">
        <v>1800</v>
      </c>
      <c r="M1739" s="27">
        <v>1700</v>
      </c>
      <c r="N1739" s="27">
        <v>0</v>
      </c>
      <c r="O1739" s="27">
        <v>0</v>
      </c>
      <c r="P1739" s="27" t="s">
        <v>13</v>
      </c>
      <c r="Q1739" s="27">
        <v>1993</v>
      </c>
      <c r="R1739" s="27">
        <v>1</v>
      </c>
      <c r="S1739" s="27">
        <v>0</v>
      </c>
      <c r="T1739" s="27">
        <v>-1.619E-2</v>
      </c>
      <c r="U1739" s="27">
        <v>-3.2379999999999999E-2</v>
      </c>
      <c r="V1739" s="27">
        <v>0</v>
      </c>
      <c r="W1739" s="27">
        <v>0</v>
      </c>
      <c r="X1739" s="27" t="s">
        <v>62</v>
      </c>
    </row>
    <row r="1740" spans="1:24">
      <c r="A1740" s="27">
        <v>5</v>
      </c>
      <c r="B1740" s="27">
        <v>2</v>
      </c>
      <c r="C1740" s="27">
        <v>9</v>
      </c>
      <c r="D1740" s="27">
        <v>2010</v>
      </c>
      <c r="E1740" s="27">
        <v>2010</v>
      </c>
      <c r="F1740" s="27">
        <v>1</v>
      </c>
      <c r="G1740" s="27">
        <v>0</v>
      </c>
      <c r="H1740" s="27">
        <v>0</v>
      </c>
      <c r="I1740" s="27">
        <v>0</v>
      </c>
      <c r="J1740" s="27">
        <v>0</v>
      </c>
      <c r="K1740" s="27">
        <v>2.35</v>
      </c>
      <c r="L1740" s="27">
        <v>2050</v>
      </c>
      <c r="M1740" s="27">
        <v>1930</v>
      </c>
      <c r="N1740" s="27">
        <v>680</v>
      </c>
      <c r="O1740" s="27">
        <v>640</v>
      </c>
      <c r="P1740" s="27" t="s">
        <v>13</v>
      </c>
      <c r="Q1740" s="27">
        <v>1993</v>
      </c>
      <c r="R1740" s="27">
        <v>1</v>
      </c>
      <c r="S1740" s="27">
        <v>0</v>
      </c>
      <c r="T1740" s="27">
        <v>-1.619E-2</v>
      </c>
      <c r="U1740" s="27">
        <v>-3.2379999999999999E-2</v>
      </c>
      <c r="V1740" s="27">
        <v>0</v>
      </c>
      <c r="W1740" s="27">
        <v>0</v>
      </c>
      <c r="X1740" s="27" t="s">
        <v>63</v>
      </c>
    </row>
    <row r="1741" spans="1:24">
      <c r="A1741" s="27">
        <v>5</v>
      </c>
      <c r="B1741" s="27">
        <v>2</v>
      </c>
      <c r="C1741" s="27">
        <v>9</v>
      </c>
      <c r="D1741" s="27">
        <v>2010</v>
      </c>
      <c r="E1741" s="27">
        <v>2010</v>
      </c>
      <c r="F1741" s="27">
        <v>2</v>
      </c>
      <c r="G1741" s="27">
        <v>0</v>
      </c>
      <c r="H1741" s="27">
        <v>0</v>
      </c>
      <c r="I1741" s="27">
        <v>0</v>
      </c>
      <c r="J1741" s="27">
        <v>0</v>
      </c>
      <c r="K1741" s="27">
        <v>2.35</v>
      </c>
      <c r="L1741" s="27">
        <v>2050</v>
      </c>
      <c r="M1741" s="27">
        <v>1930</v>
      </c>
      <c r="N1741" s="27">
        <v>680</v>
      </c>
      <c r="O1741" s="27">
        <v>640</v>
      </c>
      <c r="P1741" s="27" t="s">
        <v>13</v>
      </c>
      <c r="Q1741" s="27">
        <v>1993</v>
      </c>
      <c r="R1741" s="27">
        <v>1</v>
      </c>
      <c r="S1741" s="27">
        <v>0</v>
      </c>
      <c r="T1741" s="27">
        <v>-1.619E-2</v>
      </c>
      <c r="U1741" s="27">
        <v>-3.2379999999999999E-2</v>
      </c>
      <c r="V1741" s="27">
        <v>0</v>
      </c>
      <c r="W1741" s="27">
        <v>0</v>
      </c>
      <c r="X1741" s="27" t="s">
        <v>63</v>
      </c>
    </row>
    <row r="1742" spans="1:24">
      <c r="A1742" s="27">
        <v>5</v>
      </c>
      <c r="B1742" s="27">
        <v>2</v>
      </c>
      <c r="C1742" s="27">
        <v>9</v>
      </c>
      <c r="D1742" s="27">
        <v>2010</v>
      </c>
      <c r="E1742" s="27">
        <v>2010</v>
      </c>
      <c r="F1742" s="27">
        <v>3</v>
      </c>
      <c r="G1742" s="27">
        <v>0</v>
      </c>
      <c r="H1742" s="27">
        <v>0</v>
      </c>
      <c r="I1742" s="27">
        <v>0</v>
      </c>
      <c r="J1742" s="27">
        <v>0</v>
      </c>
      <c r="K1742" s="27">
        <v>2.35</v>
      </c>
      <c r="L1742" s="27">
        <v>2050</v>
      </c>
      <c r="M1742" s="27">
        <v>1930</v>
      </c>
      <c r="N1742" s="27">
        <v>680</v>
      </c>
      <c r="O1742" s="27">
        <v>640</v>
      </c>
      <c r="P1742" s="27" t="s">
        <v>13</v>
      </c>
      <c r="Q1742" s="27">
        <v>1993</v>
      </c>
      <c r="R1742" s="27">
        <v>1</v>
      </c>
      <c r="S1742" s="27">
        <v>0</v>
      </c>
      <c r="T1742" s="27">
        <v>-1.619E-2</v>
      </c>
      <c r="U1742" s="27">
        <v>-3.2379999999999999E-2</v>
      </c>
      <c r="V1742" s="27">
        <v>0</v>
      </c>
      <c r="W1742" s="27">
        <v>0</v>
      </c>
      <c r="X1742" s="27" t="s">
        <v>63</v>
      </c>
    </row>
    <row r="1743" spans="1:24">
      <c r="A1743" s="27">
        <v>5</v>
      </c>
      <c r="B1743" s="27">
        <v>2</v>
      </c>
      <c r="C1743" s="27">
        <v>9</v>
      </c>
      <c r="D1743" s="27">
        <v>2010</v>
      </c>
      <c r="E1743" s="27">
        <v>2010</v>
      </c>
      <c r="F1743" s="27">
        <v>4</v>
      </c>
      <c r="G1743" s="27">
        <v>0</v>
      </c>
      <c r="H1743" s="27">
        <v>0</v>
      </c>
      <c r="I1743" s="27">
        <v>0</v>
      </c>
      <c r="J1743" s="27">
        <v>0</v>
      </c>
      <c r="K1743" s="27">
        <v>2.35</v>
      </c>
      <c r="L1743" s="27">
        <v>2050</v>
      </c>
      <c r="M1743" s="27">
        <v>1930</v>
      </c>
      <c r="N1743" s="27">
        <v>680</v>
      </c>
      <c r="O1743" s="27">
        <v>640</v>
      </c>
      <c r="P1743" s="27" t="s">
        <v>13</v>
      </c>
      <c r="Q1743" s="27">
        <v>1993</v>
      </c>
      <c r="R1743" s="27">
        <v>1</v>
      </c>
      <c r="S1743" s="27">
        <v>0</v>
      </c>
      <c r="T1743" s="27">
        <v>-1.619E-2</v>
      </c>
      <c r="U1743" s="27">
        <v>-3.2379999999999999E-2</v>
      </c>
      <c r="V1743" s="27">
        <v>0</v>
      </c>
      <c r="W1743" s="27">
        <v>0</v>
      </c>
      <c r="X1743" s="27" t="s">
        <v>63</v>
      </c>
    </row>
    <row r="1744" spans="1:24">
      <c r="A1744" s="27">
        <v>5</v>
      </c>
      <c r="B1744" s="27">
        <v>2</v>
      </c>
      <c r="C1744" s="27">
        <v>9</v>
      </c>
      <c r="D1744" s="27">
        <v>2010</v>
      </c>
      <c r="E1744" s="27">
        <v>2010</v>
      </c>
      <c r="F1744" s="27">
        <v>5</v>
      </c>
      <c r="G1744" s="27">
        <v>0</v>
      </c>
      <c r="H1744" s="27">
        <v>0</v>
      </c>
      <c r="I1744" s="27">
        <v>0</v>
      </c>
      <c r="J1744" s="27">
        <v>0</v>
      </c>
      <c r="K1744" s="27">
        <v>2.35</v>
      </c>
      <c r="L1744" s="27">
        <v>2050</v>
      </c>
      <c r="M1744" s="27">
        <v>1930</v>
      </c>
      <c r="N1744" s="27">
        <v>680</v>
      </c>
      <c r="O1744" s="27">
        <v>640</v>
      </c>
      <c r="P1744" s="27" t="s">
        <v>13</v>
      </c>
      <c r="Q1744" s="27">
        <v>1993</v>
      </c>
      <c r="R1744" s="27">
        <v>1</v>
      </c>
      <c r="S1744" s="27">
        <v>0</v>
      </c>
      <c r="T1744" s="27">
        <v>-1.619E-2</v>
      </c>
      <c r="U1744" s="27">
        <v>-3.2379999999999999E-2</v>
      </c>
      <c r="V1744" s="27">
        <v>0</v>
      </c>
      <c r="W1744" s="27">
        <v>0</v>
      </c>
      <c r="X1744" s="27" t="s">
        <v>63</v>
      </c>
    </row>
    <row r="1745" spans="1:24">
      <c r="A1745" s="27">
        <v>5</v>
      </c>
      <c r="B1745" s="27">
        <v>2</v>
      </c>
      <c r="C1745" s="27">
        <v>9</v>
      </c>
      <c r="D1745" s="27">
        <v>2010</v>
      </c>
      <c r="E1745" s="27">
        <v>2010</v>
      </c>
      <c r="F1745" s="27">
        <v>6</v>
      </c>
      <c r="G1745" s="27">
        <v>0</v>
      </c>
      <c r="H1745" s="27">
        <v>0</v>
      </c>
      <c r="I1745" s="27">
        <v>0</v>
      </c>
      <c r="J1745" s="27">
        <v>0</v>
      </c>
      <c r="K1745" s="27">
        <v>2.35</v>
      </c>
      <c r="L1745" s="27">
        <v>2050</v>
      </c>
      <c r="M1745" s="27">
        <v>1930</v>
      </c>
      <c r="N1745" s="27">
        <v>680</v>
      </c>
      <c r="O1745" s="27">
        <v>640</v>
      </c>
      <c r="P1745" s="27" t="s">
        <v>13</v>
      </c>
      <c r="Q1745" s="27">
        <v>1993</v>
      </c>
      <c r="R1745" s="27">
        <v>1</v>
      </c>
      <c r="S1745" s="27">
        <v>0</v>
      </c>
      <c r="T1745" s="27">
        <v>-1.619E-2</v>
      </c>
      <c r="U1745" s="27">
        <v>-3.2379999999999999E-2</v>
      </c>
      <c r="V1745" s="27">
        <v>0</v>
      </c>
      <c r="W1745" s="27">
        <v>0</v>
      </c>
      <c r="X1745" s="27" t="s">
        <v>63</v>
      </c>
    </row>
    <row r="1746" spans="1:24">
      <c r="A1746" s="27">
        <v>5</v>
      </c>
      <c r="B1746" s="27">
        <v>2</v>
      </c>
      <c r="C1746" s="27">
        <v>9</v>
      </c>
      <c r="D1746" s="27">
        <v>2010</v>
      </c>
      <c r="E1746" s="27">
        <v>2010</v>
      </c>
      <c r="F1746" s="27">
        <v>7</v>
      </c>
      <c r="G1746" s="27">
        <v>0</v>
      </c>
      <c r="H1746" s="27">
        <v>0</v>
      </c>
      <c r="I1746" s="27">
        <v>0</v>
      </c>
      <c r="J1746" s="27">
        <v>0</v>
      </c>
      <c r="K1746" s="27">
        <v>2.35</v>
      </c>
      <c r="L1746" s="27">
        <v>2050</v>
      </c>
      <c r="M1746" s="27">
        <v>1930</v>
      </c>
      <c r="N1746" s="27">
        <v>680</v>
      </c>
      <c r="O1746" s="27">
        <v>640</v>
      </c>
      <c r="P1746" s="27" t="s">
        <v>13</v>
      </c>
      <c r="Q1746" s="27">
        <v>1993</v>
      </c>
      <c r="R1746" s="27">
        <v>1</v>
      </c>
      <c r="S1746" s="27">
        <v>0</v>
      </c>
      <c r="T1746" s="27">
        <v>-1.619E-2</v>
      </c>
      <c r="U1746" s="27">
        <v>-3.2379999999999999E-2</v>
      </c>
      <c r="V1746" s="27">
        <v>0</v>
      </c>
      <c r="W1746" s="27">
        <v>0</v>
      </c>
      <c r="X1746" s="27" t="s">
        <v>63</v>
      </c>
    </row>
    <row r="1747" spans="1:24">
      <c r="A1747" s="27">
        <v>5</v>
      </c>
      <c r="B1747" s="27">
        <v>2</v>
      </c>
      <c r="C1747" s="27">
        <v>9</v>
      </c>
      <c r="D1747" s="27">
        <v>2010</v>
      </c>
      <c r="E1747" s="27">
        <v>2010</v>
      </c>
      <c r="F1747" s="27">
        <v>8</v>
      </c>
      <c r="G1747" s="27">
        <v>0</v>
      </c>
      <c r="H1747" s="27">
        <v>0</v>
      </c>
      <c r="I1747" s="27">
        <v>0</v>
      </c>
      <c r="J1747" s="27">
        <v>0</v>
      </c>
      <c r="K1747" s="27">
        <v>2.35</v>
      </c>
      <c r="L1747" s="27">
        <v>2050</v>
      </c>
      <c r="M1747" s="27">
        <v>1930</v>
      </c>
      <c r="N1747" s="27">
        <v>680</v>
      </c>
      <c r="O1747" s="27">
        <v>640</v>
      </c>
      <c r="P1747" s="27" t="s">
        <v>13</v>
      </c>
      <c r="Q1747" s="27">
        <v>1993</v>
      </c>
      <c r="R1747" s="27">
        <v>1</v>
      </c>
      <c r="S1747" s="27">
        <v>0</v>
      </c>
      <c r="T1747" s="27">
        <v>-1.619E-2</v>
      </c>
      <c r="U1747" s="27">
        <v>-3.2379999999999999E-2</v>
      </c>
      <c r="V1747" s="27">
        <v>0</v>
      </c>
      <c r="W1747" s="27">
        <v>0</v>
      </c>
      <c r="X1747" s="27" t="s">
        <v>63</v>
      </c>
    </row>
    <row r="1748" spans="1:24">
      <c r="A1748" s="27">
        <v>5</v>
      </c>
      <c r="B1748" s="27">
        <v>2</v>
      </c>
      <c r="C1748" s="27">
        <v>9</v>
      </c>
      <c r="D1748" s="27">
        <v>2010</v>
      </c>
      <c r="E1748" s="27">
        <v>2010</v>
      </c>
      <c r="F1748" s="27">
        <v>9</v>
      </c>
      <c r="G1748" s="27">
        <v>0</v>
      </c>
      <c r="H1748" s="27">
        <v>0</v>
      </c>
      <c r="I1748" s="27">
        <v>0</v>
      </c>
      <c r="J1748" s="27">
        <v>0</v>
      </c>
      <c r="K1748" s="27">
        <v>2.35</v>
      </c>
      <c r="L1748" s="27">
        <v>2050</v>
      </c>
      <c r="M1748" s="27">
        <v>1930</v>
      </c>
      <c r="N1748" s="27">
        <v>680</v>
      </c>
      <c r="O1748" s="27">
        <v>640</v>
      </c>
      <c r="P1748" s="27" t="s">
        <v>13</v>
      </c>
      <c r="Q1748" s="27">
        <v>1993</v>
      </c>
      <c r="R1748" s="27">
        <v>1</v>
      </c>
      <c r="S1748" s="27">
        <v>0</v>
      </c>
      <c r="T1748" s="27">
        <v>-1.619E-2</v>
      </c>
      <c r="U1748" s="27">
        <v>-3.2379999999999999E-2</v>
      </c>
      <c r="V1748" s="27">
        <v>0</v>
      </c>
      <c r="W1748" s="27">
        <v>0</v>
      </c>
      <c r="X1748" s="27" t="s">
        <v>63</v>
      </c>
    </row>
    <row r="1749" spans="1:24">
      <c r="A1749" s="27">
        <v>5</v>
      </c>
      <c r="B1749" s="27">
        <v>2</v>
      </c>
      <c r="C1749" s="27">
        <v>9</v>
      </c>
      <c r="D1749" s="27">
        <v>2011</v>
      </c>
      <c r="E1749" s="27">
        <v>2011</v>
      </c>
      <c r="F1749" s="27">
        <v>1</v>
      </c>
      <c r="G1749" s="27">
        <v>0</v>
      </c>
      <c r="H1749" s="27">
        <v>0</v>
      </c>
      <c r="I1749" s="27">
        <v>0</v>
      </c>
      <c r="J1749" s="27">
        <v>0</v>
      </c>
      <c r="K1749" s="27">
        <v>2.35</v>
      </c>
      <c r="L1749" s="27">
        <v>2050</v>
      </c>
      <c r="M1749" s="27">
        <v>1930</v>
      </c>
      <c r="N1749" s="27">
        <v>300</v>
      </c>
      <c r="O1749" s="27">
        <v>300</v>
      </c>
      <c r="P1749" s="27" t="s">
        <v>13</v>
      </c>
      <c r="Q1749" s="27">
        <v>1993</v>
      </c>
      <c r="R1749" s="27">
        <v>1</v>
      </c>
      <c r="S1749" s="27">
        <v>0</v>
      </c>
      <c r="T1749" s="27">
        <v>-1.619E-2</v>
      </c>
      <c r="U1749" s="27">
        <v>-3.2379999999999999E-2</v>
      </c>
      <c r="V1749" s="27">
        <v>0</v>
      </c>
      <c r="W1749" s="27">
        <v>0</v>
      </c>
      <c r="X1749" s="27" t="s">
        <v>63</v>
      </c>
    </row>
    <row r="1750" spans="1:24">
      <c r="A1750" s="27">
        <v>5</v>
      </c>
      <c r="B1750" s="27">
        <v>2</v>
      </c>
      <c r="C1750" s="27">
        <v>9</v>
      </c>
      <c r="D1750" s="27">
        <v>2011</v>
      </c>
      <c r="E1750" s="27">
        <v>2011</v>
      </c>
      <c r="F1750" s="27">
        <v>2</v>
      </c>
      <c r="G1750" s="27">
        <v>0</v>
      </c>
      <c r="H1750" s="27">
        <v>0</v>
      </c>
      <c r="I1750" s="27">
        <v>0</v>
      </c>
      <c r="J1750" s="27">
        <v>0</v>
      </c>
      <c r="K1750" s="27">
        <v>2.35</v>
      </c>
      <c r="L1750" s="27">
        <v>2050</v>
      </c>
      <c r="M1750" s="27">
        <v>1930</v>
      </c>
      <c r="N1750" s="27">
        <v>300</v>
      </c>
      <c r="O1750" s="27">
        <v>300</v>
      </c>
      <c r="P1750" s="27" t="s">
        <v>13</v>
      </c>
      <c r="Q1750" s="27">
        <v>1993</v>
      </c>
      <c r="R1750" s="27">
        <v>1</v>
      </c>
      <c r="S1750" s="27">
        <v>0</v>
      </c>
      <c r="T1750" s="27">
        <v>-1.619E-2</v>
      </c>
      <c r="U1750" s="27">
        <v>-3.2379999999999999E-2</v>
      </c>
      <c r="V1750" s="27">
        <v>0</v>
      </c>
      <c r="W1750" s="27">
        <v>0</v>
      </c>
      <c r="X1750" s="27" t="s">
        <v>63</v>
      </c>
    </row>
    <row r="1751" spans="1:24">
      <c r="A1751" s="27">
        <v>5</v>
      </c>
      <c r="B1751" s="27">
        <v>2</v>
      </c>
      <c r="C1751" s="27">
        <v>9</v>
      </c>
      <c r="D1751" s="27">
        <v>2011</v>
      </c>
      <c r="E1751" s="27">
        <v>2011</v>
      </c>
      <c r="F1751" s="27">
        <v>3</v>
      </c>
      <c r="G1751" s="27">
        <v>0</v>
      </c>
      <c r="H1751" s="27">
        <v>0</v>
      </c>
      <c r="I1751" s="27">
        <v>0</v>
      </c>
      <c r="J1751" s="27">
        <v>0</v>
      </c>
      <c r="K1751" s="27">
        <v>2.35</v>
      </c>
      <c r="L1751" s="27">
        <v>2050</v>
      </c>
      <c r="M1751" s="27">
        <v>1930</v>
      </c>
      <c r="N1751" s="27">
        <v>300</v>
      </c>
      <c r="O1751" s="27">
        <v>300</v>
      </c>
      <c r="P1751" s="27" t="s">
        <v>13</v>
      </c>
      <c r="Q1751" s="27">
        <v>1993</v>
      </c>
      <c r="R1751" s="27">
        <v>1</v>
      </c>
      <c r="S1751" s="27">
        <v>0</v>
      </c>
      <c r="T1751" s="27">
        <v>-1.619E-2</v>
      </c>
      <c r="U1751" s="27">
        <v>-3.2379999999999999E-2</v>
      </c>
      <c r="V1751" s="27">
        <v>0</v>
      </c>
      <c r="W1751" s="27">
        <v>0</v>
      </c>
      <c r="X1751" s="27" t="s">
        <v>63</v>
      </c>
    </row>
    <row r="1752" spans="1:24">
      <c r="A1752" s="27">
        <v>5</v>
      </c>
      <c r="B1752" s="27">
        <v>2</v>
      </c>
      <c r="C1752" s="27">
        <v>9</v>
      </c>
      <c r="D1752" s="27">
        <v>2011</v>
      </c>
      <c r="E1752" s="27">
        <v>2011</v>
      </c>
      <c r="F1752" s="27">
        <v>4</v>
      </c>
      <c r="G1752" s="27">
        <v>0</v>
      </c>
      <c r="H1752" s="27">
        <v>0</v>
      </c>
      <c r="I1752" s="27">
        <v>0</v>
      </c>
      <c r="J1752" s="27">
        <v>0</v>
      </c>
      <c r="K1752" s="27">
        <v>2.35</v>
      </c>
      <c r="L1752" s="27">
        <v>2050</v>
      </c>
      <c r="M1752" s="27">
        <v>1930</v>
      </c>
      <c r="N1752" s="27">
        <v>300</v>
      </c>
      <c r="O1752" s="27">
        <v>300</v>
      </c>
      <c r="P1752" s="27" t="s">
        <v>13</v>
      </c>
      <c r="Q1752" s="27">
        <v>1993</v>
      </c>
      <c r="R1752" s="27">
        <v>1</v>
      </c>
      <c r="S1752" s="27">
        <v>0</v>
      </c>
      <c r="T1752" s="27">
        <v>-1.619E-2</v>
      </c>
      <c r="U1752" s="27">
        <v>-3.2379999999999999E-2</v>
      </c>
      <c r="V1752" s="27">
        <v>0</v>
      </c>
      <c r="W1752" s="27">
        <v>0</v>
      </c>
      <c r="X1752" s="27" t="s">
        <v>63</v>
      </c>
    </row>
    <row r="1753" spans="1:24">
      <c r="A1753" s="27">
        <v>5</v>
      </c>
      <c r="B1753" s="27">
        <v>2</v>
      </c>
      <c r="C1753" s="27">
        <v>9</v>
      </c>
      <c r="D1753" s="27">
        <v>2011</v>
      </c>
      <c r="E1753" s="27">
        <v>2011</v>
      </c>
      <c r="F1753" s="27">
        <v>5</v>
      </c>
      <c r="G1753" s="27">
        <v>0</v>
      </c>
      <c r="H1753" s="27">
        <v>0</v>
      </c>
      <c r="I1753" s="27">
        <v>0</v>
      </c>
      <c r="J1753" s="27">
        <v>0</v>
      </c>
      <c r="K1753" s="27">
        <v>2.35</v>
      </c>
      <c r="L1753" s="27">
        <v>2050</v>
      </c>
      <c r="M1753" s="27">
        <v>1930</v>
      </c>
      <c r="N1753" s="27">
        <v>300</v>
      </c>
      <c r="O1753" s="27">
        <v>300</v>
      </c>
      <c r="P1753" s="27" t="s">
        <v>13</v>
      </c>
      <c r="Q1753" s="27">
        <v>1993</v>
      </c>
      <c r="R1753" s="27">
        <v>1</v>
      </c>
      <c r="S1753" s="27">
        <v>0</v>
      </c>
      <c r="T1753" s="27">
        <v>-1.619E-2</v>
      </c>
      <c r="U1753" s="27">
        <v>-3.2379999999999999E-2</v>
      </c>
      <c r="V1753" s="27">
        <v>0</v>
      </c>
      <c r="W1753" s="27">
        <v>0</v>
      </c>
      <c r="X1753" s="27" t="s">
        <v>63</v>
      </c>
    </row>
    <row r="1754" spans="1:24">
      <c r="A1754" s="27">
        <v>5</v>
      </c>
      <c r="B1754" s="27">
        <v>2</v>
      </c>
      <c r="C1754" s="27">
        <v>9</v>
      </c>
      <c r="D1754" s="27">
        <v>2011</v>
      </c>
      <c r="E1754" s="27">
        <v>2011</v>
      </c>
      <c r="F1754" s="27">
        <v>6</v>
      </c>
      <c r="G1754" s="27">
        <v>0</v>
      </c>
      <c r="H1754" s="27">
        <v>0</v>
      </c>
      <c r="I1754" s="27">
        <v>0</v>
      </c>
      <c r="J1754" s="27">
        <v>0</v>
      </c>
      <c r="K1754" s="27">
        <v>2.35</v>
      </c>
      <c r="L1754" s="27">
        <v>2050</v>
      </c>
      <c r="M1754" s="27">
        <v>1930</v>
      </c>
      <c r="N1754" s="27">
        <v>300</v>
      </c>
      <c r="O1754" s="27">
        <v>300</v>
      </c>
      <c r="P1754" s="27" t="s">
        <v>13</v>
      </c>
      <c r="Q1754" s="27">
        <v>1993</v>
      </c>
      <c r="R1754" s="27">
        <v>1</v>
      </c>
      <c r="S1754" s="27">
        <v>0</v>
      </c>
      <c r="T1754" s="27">
        <v>-1.619E-2</v>
      </c>
      <c r="U1754" s="27">
        <v>-3.2379999999999999E-2</v>
      </c>
      <c r="V1754" s="27">
        <v>0</v>
      </c>
      <c r="W1754" s="27">
        <v>0</v>
      </c>
      <c r="X1754" s="27" t="s">
        <v>63</v>
      </c>
    </row>
    <row r="1755" spans="1:24">
      <c r="A1755" s="27">
        <v>5</v>
      </c>
      <c r="B1755" s="27">
        <v>2</v>
      </c>
      <c r="C1755" s="27">
        <v>9</v>
      </c>
      <c r="D1755" s="27">
        <v>2011</v>
      </c>
      <c r="E1755" s="27">
        <v>2011</v>
      </c>
      <c r="F1755" s="27">
        <v>7</v>
      </c>
      <c r="G1755" s="27">
        <v>0</v>
      </c>
      <c r="H1755" s="27">
        <v>0</v>
      </c>
      <c r="I1755" s="27">
        <v>0</v>
      </c>
      <c r="J1755" s="27">
        <v>0</v>
      </c>
      <c r="K1755" s="27">
        <v>2.35</v>
      </c>
      <c r="L1755" s="27">
        <v>2050</v>
      </c>
      <c r="M1755" s="27">
        <v>1930</v>
      </c>
      <c r="N1755" s="27">
        <v>300</v>
      </c>
      <c r="O1755" s="27">
        <v>300</v>
      </c>
      <c r="P1755" s="27" t="s">
        <v>13</v>
      </c>
      <c r="Q1755" s="27">
        <v>1993</v>
      </c>
      <c r="R1755" s="27">
        <v>1</v>
      </c>
      <c r="S1755" s="27">
        <v>0</v>
      </c>
      <c r="T1755" s="27">
        <v>-1.619E-2</v>
      </c>
      <c r="U1755" s="27">
        <v>-3.2379999999999999E-2</v>
      </c>
      <c r="V1755" s="27">
        <v>0</v>
      </c>
      <c r="W1755" s="27">
        <v>0</v>
      </c>
      <c r="X1755" s="27" t="s">
        <v>63</v>
      </c>
    </row>
    <row r="1756" spans="1:24">
      <c r="A1756" s="27">
        <v>5</v>
      </c>
      <c r="B1756" s="27">
        <v>2</v>
      </c>
      <c r="C1756" s="27">
        <v>9</v>
      </c>
      <c r="D1756" s="27">
        <v>2011</v>
      </c>
      <c r="E1756" s="27">
        <v>2011</v>
      </c>
      <c r="F1756" s="27">
        <v>8</v>
      </c>
      <c r="G1756" s="27">
        <v>0</v>
      </c>
      <c r="H1756" s="27">
        <v>0</v>
      </c>
      <c r="I1756" s="27">
        <v>0</v>
      </c>
      <c r="J1756" s="27">
        <v>0</v>
      </c>
      <c r="K1756" s="27">
        <v>2.35</v>
      </c>
      <c r="L1756" s="27">
        <v>2050</v>
      </c>
      <c r="M1756" s="27">
        <v>1930</v>
      </c>
      <c r="N1756" s="27">
        <v>300</v>
      </c>
      <c r="O1756" s="27">
        <v>300</v>
      </c>
      <c r="P1756" s="27" t="s">
        <v>13</v>
      </c>
      <c r="Q1756" s="27">
        <v>1993</v>
      </c>
      <c r="R1756" s="27">
        <v>1</v>
      </c>
      <c r="S1756" s="27">
        <v>0</v>
      </c>
      <c r="T1756" s="27">
        <v>-1.619E-2</v>
      </c>
      <c r="U1756" s="27">
        <v>-3.2379999999999999E-2</v>
      </c>
      <c r="V1756" s="27">
        <v>0</v>
      </c>
      <c r="W1756" s="27">
        <v>0</v>
      </c>
      <c r="X1756" s="27" t="s">
        <v>63</v>
      </c>
    </row>
    <row r="1757" spans="1:24">
      <c r="A1757" s="27">
        <v>5</v>
      </c>
      <c r="B1757" s="27">
        <v>2</v>
      </c>
      <c r="C1757" s="27">
        <v>9</v>
      </c>
      <c r="D1757" s="27">
        <v>2011</v>
      </c>
      <c r="E1757" s="27">
        <v>2011</v>
      </c>
      <c r="F1757" s="27">
        <v>9</v>
      </c>
      <c r="G1757" s="27">
        <v>0</v>
      </c>
      <c r="H1757" s="27">
        <v>0</v>
      </c>
      <c r="I1757" s="27">
        <v>0</v>
      </c>
      <c r="J1757" s="27">
        <v>0</v>
      </c>
      <c r="K1757" s="27">
        <v>2.35</v>
      </c>
      <c r="L1757" s="27">
        <v>2050</v>
      </c>
      <c r="M1757" s="27">
        <v>1930</v>
      </c>
      <c r="N1757" s="27">
        <v>300</v>
      </c>
      <c r="O1757" s="27">
        <v>300</v>
      </c>
      <c r="P1757" s="27" t="s">
        <v>13</v>
      </c>
      <c r="Q1757" s="27">
        <v>1993</v>
      </c>
      <c r="R1757" s="27">
        <v>1</v>
      </c>
      <c r="S1757" s="27">
        <v>0</v>
      </c>
      <c r="T1757" s="27">
        <v>-1.619E-2</v>
      </c>
      <c r="U1757" s="27">
        <v>-3.2379999999999999E-2</v>
      </c>
      <c r="V1757" s="27">
        <v>0</v>
      </c>
      <c r="W1757" s="27">
        <v>0</v>
      </c>
      <c r="X1757" s="27" t="s">
        <v>63</v>
      </c>
    </row>
    <row r="1758" spans="1:24">
      <c r="A1758" s="27">
        <v>5</v>
      </c>
      <c r="B1758" s="27">
        <v>2</v>
      </c>
      <c r="C1758" s="27">
        <v>9</v>
      </c>
      <c r="D1758" s="27">
        <v>2012</v>
      </c>
      <c r="E1758" s="27">
        <v>2012</v>
      </c>
      <c r="F1758" s="27">
        <v>1</v>
      </c>
      <c r="G1758" s="27">
        <v>0</v>
      </c>
      <c r="H1758" s="27">
        <v>0</v>
      </c>
      <c r="I1758" s="27">
        <v>0</v>
      </c>
      <c r="J1758" s="27">
        <v>0</v>
      </c>
      <c r="K1758" s="27">
        <v>2.35</v>
      </c>
      <c r="L1758" s="27">
        <v>2050</v>
      </c>
      <c r="M1758" s="27">
        <v>1930</v>
      </c>
      <c r="N1758" s="27">
        <v>0</v>
      </c>
      <c r="O1758" s="27">
        <v>0</v>
      </c>
      <c r="P1758" s="27" t="s">
        <v>13</v>
      </c>
      <c r="Q1758" s="27">
        <v>1993</v>
      </c>
      <c r="R1758" s="27">
        <v>1</v>
      </c>
      <c r="S1758" s="27">
        <v>0</v>
      </c>
      <c r="T1758" s="27">
        <v>-1.619E-2</v>
      </c>
      <c r="U1758" s="27">
        <v>-3.2379999999999999E-2</v>
      </c>
      <c r="V1758" s="27">
        <v>0</v>
      </c>
      <c r="W1758" s="27">
        <v>0</v>
      </c>
      <c r="X1758" s="27" t="s">
        <v>63</v>
      </c>
    </row>
    <row r="1759" spans="1:24">
      <c r="A1759" s="27">
        <v>5</v>
      </c>
      <c r="B1759" s="27">
        <v>2</v>
      </c>
      <c r="C1759" s="27">
        <v>9</v>
      </c>
      <c r="D1759" s="27">
        <v>2012</v>
      </c>
      <c r="E1759" s="27">
        <v>2012</v>
      </c>
      <c r="F1759" s="27">
        <v>2</v>
      </c>
      <c r="G1759" s="27">
        <v>0</v>
      </c>
      <c r="H1759" s="27">
        <v>0</v>
      </c>
      <c r="I1759" s="27">
        <v>0</v>
      </c>
      <c r="J1759" s="27">
        <v>0</v>
      </c>
      <c r="K1759" s="27">
        <v>2.35</v>
      </c>
      <c r="L1759" s="27">
        <v>2050</v>
      </c>
      <c r="M1759" s="27">
        <v>1930</v>
      </c>
      <c r="N1759" s="27">
        <v>0</v>
      </c>
      <c r="O1759" s="27">
        <v>0</v>
      </c>
      <c r="P1759" s="27" t="s">
        <v>13</v>
      </c>
      <c r="Q1759" s="27">
        <v>1993</v>
      </c>
      <c r="R1759" s="27">
        <v>1</v>
      </c>
      <c r="S1759" s="27">
        <v>0</v>
      </c>
      <c r="T1759" s="27">
        <v>-1.619E-2</v>
      </c>
      <c r="U1759" s="27">
        <v>-3.2379999999999999E-2</v>
      </c>
      <c r="V1759" s="27">
        <v>0</v>
      </c>
      <c r="W1759" s="27">
        <v>0</v>
      </c>
      <c r="X1759" s="27" t="s">
        <v>63</v>
      </c>
    </row>
    <row r="1760" spans="1:24">
      <c r="A1760" s="27">
        <v>5</v>
      </c>
      <c r="B1760" s="27">
        <v>2</v>
      </c>
      <c r="C1760" s="27">
        <v>9</v>
      </c>
      <c r="D1760" s="27">
        <v>2012</v>
      </c>
      <c r="E1760" s="27">
        <v>2012</v>
      </c>
      <c r="F1760" s="27">
        <v>3</v>
      </c>
      <c r="G1760" s="27">
        <v>0</v>
      </c>
      <c r="H1760" s="27">
        <v>0</v>
      </c>
      <c r="I1760" s="27">
        <v>0</v>
      </c>
      <c r="J1760" s="27">
        <v>0</v>
      </c>
      <c r="K1760" s="27">
        <v>2.35</v>
      </c>
      <c r="L1760" s="27">
        <v>2050</v>
      </c>
      <c r="M1760" s="27">
        <v>1930</v>
      </c>
      <c r="N1760" s="27">
        <v>0</v>
      </c>
      <c r="O1760" s="27">
        <v>0</v>
      </c>
      <c r="P1760" s="27" t="s">
        <v>13</v>
      </c>
      <c r="Q1760" s="27">
        <v>1993</v>
      </c>
      <c r="R1760" s="27">
        <v>1</v>
      </c>
      <c r="S1760" s="27">
        <v>0</v>
      </c>
      <c r="T1760" s="27">
        <v>-1.619E-2</v>
      </c>
      <c r="U1760" s="27">
        <v>-3.2379999999999999E-2</v>
      </c>
      <c r="V1760" s="27">
        <v>0</v>
      </c>
      <c r="W1760" s="27">
        <v>0</v>
      </c>
      <c r="X1760" s="27" t="s">
        <v>63</v>
      </c>
    </row>
    <row r="1761" spans="1:24">
      <c r="A1761" s="27">
        <v>5</v>
      </c>
      <c r="B1761" s="27">
        <v>2</v>
      </c>
      <c r="C1761" s="27">
        <v>9</v>
      </c>
      <c r="D1761" s="27">
        <v>2012</v>
      </c>
      <c r="E1761" s="27">
        <v>2012</v>
      </c>
      <c r="F1761" s="27">
        <v>4</v>
      </c>
      <c r="G1761" s="27">
        <v>0</v>
      </c>
      <c r="H1761" s="27">
        <v>0</v>
      </c>
      <c r="I1761" s="27">
        <v>0</v>
      </c>
      <c r="J1761" s="27">
        <v>0</v>
      </c>
      <c r="K1761" s="27">
        <v>2.35</v>
      </c>
      <c r="L1761" s="27">
        <v>2050</v>
      </c>
      <c r="M1761" s="27">
        <v>1930</v>
      </c>
      <c r="N1761" s="27">
        <v>0</v>
      </c>
      <c r="O1761" s="27">
        <v>0</v>
      </c>
      <c r="P1761" s="27" t="s">
        <v>13</v>
      </c>
      <c r="Q1761" s="27">
        <v>1993</v>
      </c>
      <c r="R1761" s="27">
        <v>1</v>
      </c>
      <c r="S1761" s="27">
        <v>0</v>
      </c>
      <c r="T1761" s="27">
        <v>-1.619E-2</v>
      </c>
      <c r="U1761" s="27">
        <v>-3.2379999999999999E-2</v>
      </c>
      <c r="V1761" s="27">
        <v>0</v>
      </c>
      <c r="W1761" s="27">
        <v>0</v>
      </c>
      <c r="X1761" s="27" t="s">
        <v>63</v>
      </c>
    </row>
    <row r="1762" spans="1:24">
      <c r="A1762" s="27">
        <v>5</v>
      </c>
      <c r="B1762" s="27">
        <v>2</v>
      </c>
      <c r="C1762" s="27">
        <v>9</v>
      </c>
      <c r="D1762" s="27">
        <v>2012</v>
      </c>
      <c r="E1762" s="27">
        <v>2012</v>
      </c>
      <c r="F1762" s="27">
        <v>5</v>
      </c>
      <c r="G1762" s="27">
        <v>0</v>
      </c>
      <c r="H1762" s="27">
        <v>0</v>
      </c>
      <c r="I1762" s="27">
        <v>0</v>
      </c>
      <c r="J1762" s="27">
        <v>0</v>
      </c>
      <c r="K1762" s="27">
        <v>2.35</v>
      </c>
      <c r="L1762" s="27">
        <v>2050</v>
      </c>
      <c r="M1762" s="27">
        <v>1930</v>
      </c>
      <c r="N1762" s="27">
        <v>0</v>
      </c>
      <c r="O1762" s="27">
        <v>0</v>
      </c>
      <c r="P1762" s="27" t="s">
        <v>13</v>
      </c>
      <c r="Q1762" s="27">
        <v>1993</v>
      </c>
      <c r="R1762" s="27">
        <v>1</v>
      </c>
      <c r="S1762" s="27">
        <v>0</v>
      </c>
      <c r="T1762" s="27">
        <v>-1.619E-2</v>
      </c>
      <c r="U1762" s="27">
        <v>-3.2379999999999999E-2</v>
      </c>
      <c r="V1762" s="27">
        <v>0</v>
      </c>
      <c r="W1762" s="27">
        <v>0</v>
      </c>
      <c r="X1762" s="27" t="s">
        <v>63</v>
      </c>
    </row>
    <row r="1763" spans="1:24">
      <c r="A1763" s="27">
        <v>5</v>
      </c>
      <c r="B1763" s="27">
        <v>2</v>
      </c>
      <c r="C1763" s="27">
        <v>9</v>
      </c>
      <c r="D1763" s="27">
        <v>2012</v>
      </c>
      <c r="E1763" s="27">
        <v>2012</v>
      </c>
      <c r="F1763" s="27">
        <v>6</v>
      </c>
      <c r="G1763" s="27">
        <v>0</v>
      </c>
      <c r="H1763" s="27">
        <v>0</v>
      </c>
      <c r="I1763" s="27">
        <v>0</v>
      </c>
      <c r="J1763" s="27">
        <v>0</v>
      </c>
      <c r="K1763" s="27">
        <v>2.35</v>
      </c>
      <c r="L1763" s="27">
        <v>2050</v>
      </c>
      <c r="M1763" s="27">
        <v>1930</v>
      </c>
      <c r="N1763" s="27">
        <v>0</v>
      </c>
      <c r="O1763" s="27">
        <v>0</v>
      </c>
      <c r="P1763" s="27" t="s">
        <v>13</v>
      </c>
      <c r="Q1763" s="27">
        <v>1993</v>
      </c>
      <c r="R1763" s="27">
        <v>1</v>
      </c>
      <c r="S1763" s="27">
        <v>0</v>
      </c>
      <c r="T1763" s="27">
        <v>-1.619E-2</v>
      </c>
      <c r="U1763" s="27">
        <v>-3.2379999999999999E-2</v>
      </c>
      <c r="V1763" s="27">
        <v>0</v>
      </c>
      <c r="W1763" s="27">
        <v>0</v>
      </c>
      <c r="X1763" s="27" t="s">
        <v>63</v>
      </c>
    </row>
    <row r="1764" spans="1:24">
      <c r="A1764" s="27">
        <v>5</v>
      </c>
      <c r="B1764" s="27">
        <v>2</v>
      </c>
      <c r="C1764" s="27">
        <v>9</v>
      </c>
      <c r="D1764" s="27">
        <v>2012</v>
      </c>
      <c r="E1764" s="27">
        <v>2012</v>
      </c>
      <c r="F1764" s="27">
        <v>7</v>
      </c>
      <c r="G1764" s="27">
        <v>0</v>
      </c>
      <c r="H1764" s="27">
        <v>0</v>
      </c>
      <c r="I1764" s="27">
        <v>0</v>
      </c>
      <c r="J1764" s="27">
        <v>0</v>
      </c>
      <c r="K1764" s="27">
        <v>2.35</v>
      </c>
      <c r="L1764" s="27">
        <v>2050</v>
      </c>
      <c r="M1764" s="27">
        <v>1930</v>
      </c>
      <c r="N1764" s="27">
        <v>0</v>
      </c>
      <c r="O1764" s="27">
        <v>0</v>
      </c>
      <c r="P1764" s="27" t="s">
        <v>13</v>
      </c>
      <c r="Q1764" s="27">
        <v>1993</v>
      </c>
      <c r="R1764" s="27">
        <v>1</v>
      </c>
      <c r="S1764" s="27">
        <v>0</v>
      </c>
      <c r="T1764" s="27">
        <v>-1.619E-2</v>
      </c>
      <c r="U1764" s="27">
        <v>-3.2379999999999999E-2</v>
      </c>
      <c r="V1764" s="27">
        <v>0</v>
      </c>
      <c r="W1764" s="27">
        <v>0</v>
      </c>
      <c r="X1764" s="27" t="s">
        <v>63</v>
      </c>
    </row>
    <row r="1765" spans="1:24">
      <c r="A1765" s="27">
        <v>5</v>
      </c>
      <c r="B1765" s="27">
        <v>2</v>
      </c>
      <c r="C1765" s="27">
        <v>9</v>
      </c>
      <c r="D1765" s="27">
        <v>2012</v>
      </c>
      <c r="E1765" s="27">
        <v>2012</v>
      </c>
      <c r="F1765" s="27">
        <v>8</v>
      </c>
      <c r="G1765" s="27">
        <v>0</v>
      </c>
      <c r="H1765" s="27">
        <v>0</v>
      </c>
      <c r="I1765" s="27">
        <v>0</v>
      </c>
      <c r="J1765" s="27">
        <v>0</v>
      </c>
      <c r="K1765" s="27">
        <v>2.35</v>
      </c>
      <c r="L1765" s="27">
        <v>2050</v>
      </c>
      <c r="M1765" s="27">
        <v>1930</v>
      </c>
      <c r="N1765" s="27">
        <v>0</v>
      </c>
      <c r="O1765" s="27">
        <v>0</v>
      </c>
      <c r="P1765" s="27" t="s">
        <v>13</v>
      </c>
      <c r="Q1765" s="27">
        <v>1993</v>
      </c>
      <c r="R1765" s="27">
        <v>1</v>
      </c>
      <c r="S1765" s="27">
        <v>0</v>
      </c>
      <c r="T1765" s="27">
        <v>-1.619E-2</v>
      </c>
      <c r="U1765" s="27">
        <v>-3.2379999999999999E-2</v>
      </c>
      <c r="V1765" s="27">
        <v>0</v>
      </c>
      <c r="W1765" s="27">
        <v>0</v>
      </c>
      <c r="X1765" s="27" t="s">
        <v>63</v>
      </c>
    </row>
    <row r="1766" spans="1:24">
      <c r="A1766" s="27">
        <v>5</v>
      </c>
      <c r="B1766" s="27">
        <v>2</v>
      </c>
      <c r="C1766" s="27">
        <v>9</v>
      </c>
      <c r="D1766" s="27">
        <v>2012</v>
      </c>
      <c r="E1766" s="27">
        <v>2012</v>
      </c>
      <c r="F1766" s="27">
        <v>9</v>
      </c>
      <c r="G1766" s="27">
        <v>0</v>
      </c>
      <c r="H1766" s="27">
        <v>0</v>
      </c>
      <c r="I1766" s="27">
        <v>0</v>
      </c>
      <c r="J1766" s="27">
        <v>0</v>
      </c>
      <c r="K1766" s="27">
        <v>2.35</v>
      </c>
      <c r="L1766" s="27">
        <v>2050</v>
      </c>
      <c r="M1766" s="27">
        <v>1930</v>
      </c>
      <c r="N1766" s="27">
        <v>0</v>
      </c>
      <c r="O1766" s="27">
        <v>0</v>
      </c>
      <c r="P1766" s="27" t="s">
        <v>13</v>
      </c>
      <c r="Q1766" s="27">
        <v>1993</v>
      </c>
      <c r="R1766" s="27">
        <v>1</v>
      </c>
      <c r="S1766" s="27">
        <v>0</v>
      </c>
      <c r="T1766" s="27">
        <v>-1.619E-2</v>
      </c>
      <c r="U1766" s="27">
        <v>-3.2379999999999999E-2</v>
      </c>
      <c r="V1766" s="27">
        <v>0</v>
      </c>
      <c r="W1766" s="27">
        <v>0</v>
      </c>
      <c r="X1766" s="27" t="s">
        <v>63</v>
      </c>
    </row>
    <row r="1767" spans="1:24">
      <c r="A1767" s="27">
        <v>5</v>
      </c>
      <c r="B1767" s="27">
        <v>2</v>
      </c>
      <c r="C1767" s="27">
        <v>9</v>
      </c>
      <c r="D1767" s="27">
        <v>2013</v>
      </c>
      <c r="E1767" s="27">
        <v>2013</v>
      </c>
      <c r="F1767" s="27">
        <v>1</v>
      </c>
      <c r="G1767" s="27">
        <v>0</v>
      </c>
      <c r="H1767" s="27">
        <v>0</v>
      </c>
      <c r="I1767" s="27">
        <v>0</v>
      </c>
      <c r="J1767" s="27">
        <v>0</v>
      </c>
      <c r="K1767" s="27">
        <v>2.35</v>
      </c>
      <c r="L1767" s="27">
        <v>2050</v>
      </c>
      <c r="M1767" s="27">
        <v>1930</v>
      </c>
      <c r="N1767" s="27">
        <v>300</v>
      </c>
      <c r="O1767" s="27">
        <v>300</v>
      </c>
      <c r="P1767" s="27" t="s">
        <v>13</v>
      </c>
      <c r="Q1767" s="27">
        <v>1993</v>
      </c>
      <c r="R1767" s="27">
        <v>1</v>
      </c>
      <c r="S1767" s="27">
        <v>0</v>
      </c>
      <c r="T1767" s="27">
        <v>-1.619E-2</v>
      </c>
      <c r="U1767" s="27">
        <v>-3.2379999999999999E-2</v>
      </c>
      <c r="V1767" s="27">
        <v>0</v>
      </c>
      <c r="W1767" s="27">
        <v>0</v>
      </c>
      <c r="X1767" s="27" t="s">
        <v>63</v>
      </c>
    </row>
    <row r="1768" spans="1:24">
      <c r="A1768" s="27">
        <v>5</v>
      </c>
      <c r="B1768" s="27">
        <v>2</v>
      </c>
      <c r="C1768" s="27">
        <v>9</v>
      </c>
      <c r="D1768" s="27">
        <v>2013</v>
      </c>
      <c r="E1768" s="27">
        <v>2013</v>
      </c>
      <c r="F1768" s="27">
        <v>2</v>
      </c>
      <c r="G1768" s="27">
        <v>0</v>
      </c>
      <c r="H1768" s="27">
        <v>0</v>
      </c>
      <c r="I1768" s="27">
        <v>0</v>
      </c>
      <c r="J1768" s="27">
        <v>0</v>
      </c>
      <c r="K1768" s="27">
        <v>2.35</v>
      </c>
      <c r="L1768" s="27">
        <v>2050</v>
      </c>
      <c r="M1768" s="27">
        <v>1930</v>
      </c>
      <c r="N1768" s="27">
        <v>300</v>
      </c>
      <c r="O1768" s="27">
        <v>300</v>
      </c>
      <c r="P1768" s="27" t="s">
        <v>13</v>
      </c>
      <c r="Q1768" s="27">
        <v>1993</v>
      </c>
      <c r="R1768" s="27">
        <v>1</v>
      </c>
      <c r="S1768" s="27">
        <v>0</v>
      </c>
      <c r="T1768" s="27">
        <v>-1.619E-2</v>
      </c>
      <c r="U1768" s="27">
        <v>-3.2379999999999999E-2</v>
      </c>
      <c r="V1768" s="27">
        <v>0</v>
      </c>
      <c r="W1768" s="27">
        <v>0</v>
      </c>
      <c r="X1768" s="27" t="s">
        <v>63</v>
      </c>
    </row>
    <row r="1769" spans="1:24">
      <c r="A1769" s="27">
        <v>5</v>
      </c>
      <c r="B1769" s="27">
        <v>2</v>
      </c>
      <c r="C1769" s="27">
        <v>9</v>
      </c>
      <c r="D1769" s="27">
        <v>2013</v>
      </c>
      <c r="E1769" s="27">
        <v>2013</v>
      </c>
      <c r="F1769" s="27">
        <v>3</v>
      </c>
      <c r="G1769" s="27">
        <v>0</v>
      </c>
      <c r="H1769" s="27">
        <v>0</v>
      </c>
      <c r="I1769" s="27">
        <v>0</v>
      </c>
      <c r="J1769" s="27">
        <v>0</v>
      </c>
      <c r="K1769" s="27">
        <v>2.35</v>
      </c>
      <c r="L1769" s="27">
        <v>2050</v>
      </c>
      <c r="M1769" s="27">
        <v>1930</v>
      </c>
      <c r="N1769" s="27">
        <v>300</v>
      </c>
      <c r="O1769" s="27">
        <v>300</v>
      </c>
      <c r="P1769" s="27" t="s">
        <v>13</v>
      </c>
      <c r="Q1769" s="27">
        <v>1993</v>
      </c>
      <c r="R1769" s="27">
        <v>1</v>
      </c>
      <c r="S1769" s="27">
        <v>0</v>
      </c>
      <c r="T1769" s="27">
        <v>-1.619E-2</v>
      </c>
      <c r="U1769" s="27">
        <v>-3.2379999999999999E-2</v>
      </c>
      <c r="V1769" s="27">
        <v>0</v>
      </c>
      <c r="W1769" s="27">
        <v>0</v>
      </c>
      <c r="X1769" s="27" t="s">
        <v>63</v>
      </c>
    </row>
    <row r="1770" spans="1:24">
      <c r="A1770" s="27">
        <v>5</v>
      </c>
      <c r="B1770" s="27">
        <v>2</v>
      </c>
      <c r="C1770" s="27">
        <v>9</v>
      </c>
      <c r="D1770" s="27">
        <v>2013</v>
      </c>
      <c r="E1770" s="27">
        <v>2013</v>
      </c>
      <c r="F1770" s="27">
        <v>4</v>
      </c>
      <c r="G1770" s="27">
        <v>0</v>
      </c>
      <c r="H1770" s="27">
        <v>0</v>
      </c>
      <c r="I1770" s="27">
        <v>0</v>
      </c>
      <c r="J1770" s="27">
        <v>0</v>
      </c>
      <c r="K1770" s="27">
        <v>2.35</v>
      </c>
      <c r="L1770" s="27">
        <v>2050</v>
      </c>
      <c r="M1770" s="27">
        <v>1930</v>
      </c>
      <c r="N1770" s="27">
        <v>300</v>
      </c>
      <c r="O1770" s="27">
        <v>300</v>
      </c>
      <c r="P1770" s="27" t="s">
        <v>13</v>
      </c>
      <c r="Q1770" s="27">
        <v>1993</v>
      </c>
      <c r="R1770" s="27">
        <v>1</v>
      </c>
      <c r="S1770" s="27">
        <v>0</v>
      </c>
      <c r="T1770" s="27">
        <v>-1.619E-2</v>
      </c>
      <c r="U1770" s="27">
        <v>-3.2379999999999999E-2</v>
      </c>
      <c r="V1770" s="27">
        <v>0</v>
      </c>
      <c r="W1770" s="27">
        <v>0</v>
      </c>
      <c r="X1770" s="27" t="s">
        <v>63</v>
      </c>
    </row>
    <row r="1771" spans="1:24">
      <c r="A1771" s="27">
        <v>5</v>
      </c>
      <c r="B1771" s="27">
        <v>2</v>
      </c>
      <c r="C1771" s="27">
        <v>9</v>
      </c>
      <c r="D1771" s="27">
        <v>2013</v>
      </c>
      <c r="E1771" s="27">
        <v>2013</v>
      </c>
      <c r="F1771" s="27">
        <v>5</v>
      </c>
      <c r="G1771" s="27">
        <v>0</v>
      </c>
      <c r="H1771" s="27">
        <v>0</v>
      </c>
      <c r="I1771" s="27">
        <v>0</v>
      </c>
      <c r="J1771" s="27">
        <v>0</v>
      </c>
      <c r="K1771" s="27">
        <v>2.35</v>
      </c>
      <c r="L1771" s="27">
        <v>2050</v>
      </c>
      <c r="M1771" s="27">
        <v>1930</v>
      </c>
      <c r="N1771" s="27">
        <v>300</v>
      </c>
      <c r="O1771" s="27">
        <v>300</v>
      </c>
      <c r="P1771" s="27" t="s">
        <v>13</v>
      </c>
      <c r="Q1771" s="27">
        <v>1993</v>
      </c>
      <c r="R1771" s="27">
        <v>1</v>
      </c>
      <c r="S1771" s="27">
        <v>0</v>
      </c>
      <c r="T1771" s="27">
        <v>-1.619E-2</v>
      </c>
      <c r="U1771" s="27">
        <v>-3.2379999999999999E-2</v>
      </c>
      <c r="V1771" s="27">
        <v>0</v>
      </c>
      <c r="W1771" s="27">
        <v>0</v>
      </c>
      <c r="X1771" s="27" t="s">
        <v>63</v>
      </c>
    </row>
    <row r="1772" spans="1:24">
      <c r="A1772" s="27">
        <v>5</v>
      </c>
      <c r="B1772" s="27">
        <v>2</v>
      </c>
      <c r="C1772" s="27">
        <v>9</v>
      </c>
      <c r="D1772" s="27">
        <v>2013</v>
      </c>
      <c r="E1772" s="27">
        <v>2013</v>
      </c>
      <c r="F1772" s="27">
        <v>6</v>
      </c>
      <c r="G1772" s="27">
        <v>0</v>
      </c>
      <c r="H1772" s="27">
        <v>0</v>
      </c>
      <c r="I1772" s="27">
        <v>0</v>
      </c>
      <c r="J1772" s="27">
        <v>0</v>
      </c>
      <c r="K1772" s="27">
        <v>2.35</v>
      </c>
      <c r="L1772" s="27">
        <v>2050</v>
      </c>
      <c r="M1772" s="27">
        <v>1930</v>
      </c>
      <c r="N1772" s="27">
        <v>300</v>
      </c>
      <c r="O1772" s="27">
        <v>300</v>
      </c>
      <c r="P1772" s="27" t="s">
        <v>13</v>
      </c>
      <c r="Q1772" s="27">
        <v>1993</v>
      </c>
      <c r="R1772" s="27">
        <v>1</v>
      </c>
      <c r="S1772" s="27">
        <v>0</v>
      </c>
      <c r="T1772" s="27">
        <v>-1.619E-2</v>
      </c>
      <c r="U1772" s="27">
        <v>-3.2379999999999999E-2</v>
      </c>
      <c r="V1772" s="27">
        <v>0</v>
      </c>
      <c r="W1772" s="27">
        <v>0</v>
      </c>
      <c r="X1772" s="27" t="s">
        <v>63</v>
      </c>
    </row>
    <row r="1773" spans="1:24">
      <c r="A1773" s="27">
        <v>5</v>
      </c>
      <c r="B1773" s="27">
        <v>2</v>
      </c>
      <c r="C1773" s="27">
        <v>9</v>
      </c>
      <c r="D1773" s="27">
        <v>2013</v>
      </c>
      <c r="E1773" s="27">
        <v>2013</v>
      </c>
      <c r="F1773" s="27">
        <v>7</v>
      </c>
      <c r="G1773" s="27">
        <v>0</v>
      </c>
      <c r="H1773" s="27">
        <v>0</v>
      </c>
      <c r="I1773" s="27">
        <v>0</v>
      </c>
      <c r="J1773" s="27">
        <v>0</v>
      </c>
      <c r="K1773" s="27">
        <v>2.35</v>
      </c>
      <c r="L1773" s="27">
        <v>2050</v>
      </c>
      <c r="M1773" s="27">
        <v>1930</v>
      </c>
      <c r="N1773" s="27">
        <v>300</v>
      </c>
      <c r="O1773" s="27">
        <v>300</v>
      </c>
      <c r="P1773" s="27" t="s">
        <v>13</v>
      </c>
      <c r="Q1773" s="27">
        <v>1993</v>
      </c>
      <c r="R1773" s="27">
        <v>1</v>
      </c>
      <c r="S1773" s="27">
        <v>0</v>
      </c>
      <c r="T1773" s="27">
        <v>-1.619E-2</v>
      </c>
      <c r="U1773" s="27">
        <v>-3.2379999999999999E-2</v>
      </c>
      <c r="V1773" s="27">
        <v>0</v>
      </c>
      <c r="W1773" s="27">
        <v>0</v>
      </c>
      <c r="X1773" s="27" t="s">
        <v>63</v>
      </c>
    </row>
    <row r="1774" spans="1:24">
      <c r="A1774" s="27">
        <v>5</v>
      </c>
      <c r="B1774" s="27">
        <v>2</v>
      </c>
      <c r="C1774" s="27">
        <v>9</v>
      </c>
      <c r="D1774" s="27">
        <v>2013</v>
      </c>
      <c r="E1774" s="27">
        <v>2013</v>
      </c>
      <c r="F1774" s="27">
        <v>8</v>
      </c>
      <c r="G1774" s="27">
        <v>0</v>
      </c>
      <c r="H1774" s="27">
        <v>0</v>
      </c>
      <c r="I1774" s="27">
        <v>0</v>
      </c>
      <c r="J1774" s="27">
        <v>0</v>
      </c>
      <c r="K1774" s="27">
        <v>2.35</v>
      </c>
      <c r="L1774" s="27">
        <v>2050</v>
      </c>
      <c r="M1774" s="27">
        <v>1930</v>
      </c>
      <c r="N1774" s="27">
        <v>300</v>
      </c>
      <c r="O1774" s="27">
        <v>300</v>
      </c>
      <c r="P1774" s="27" t="s">
        <v>13</v>
      </c>
      <c r="Q1774" s="27">
        <v>1993</v>
      </c>
      <c r="R1774" s="27">
        <v>1</v>
      </c>
      <c r="S1774" s="27">
        <v>0</v>
      </c>
      <c r="T1774" s="27">
        <v>-1.619E-2</v>
      </c>
      <c r="U1774" s="27">
        <v>-3.2379999999999999E-2</v>
      </c>
      <c r="V1774" s="27">
        <v>0</v>
      </c>
      <c r="W1774" s="27">
        <v>0</v>
      </c>
      <c r="X1774" s="27" t="s">
        <v>63</v>
      </c>
    </row>
    <row r="1775" spans="1:24">
      <c r="A1775" s="27">
        <v>5</v>
      </c>
      <c r="B1775" s="27">
        <v>2</v>
      </c>
      <c r="C1775" s="27">
        <v>9</v>
      </c>
      <c r="D1775" s="27">
        <v>2013</v>
      </c>
      <c r="E1775" s="27">
        <v>2013</v>
      </c>
      <c r="F1775" s="27">
        <v>9</v>
      </c>
      <c r="G1775" s="27">
        <v>0</v>
      </c>
      <c r="H1775" s="27">
        <v>0</v>
      </c>
      <c r="I1775" s="27">
        <v>0</v>
      </c>
      <c r="J1775" s="27">
        <v>0</v>
      </c>
      <c r="K1775" s="27">
        <v>2.35</v>
      </c>
      <c r="L1775" s="27">
        <v>2050</v>
      </c>
      <c r="M1775" s="27">
        <v>1930</v>
      </c>
      <c r="N1775" s="27">
        <v>300</v>
      </c>
      <c r="O1775" s="27">
        <v>300</v>
      </c>
      <c r="P1775" s="27" t="s">
        <v>13</v>
      </c>
      <c r="Q1775" s="27">
        <v>1993</v>
      </c>
      <c r="R1775" s="27">
        <v>1</v>
      </c>
      <c r="S1775" s="27">
        <v>0</v>
      </c>
      <c r="T1775" s="27">
        <v>-1.619E-2</v>
      </c>
      <c r="U1775" s="27">
        <v>-3.2379999999999999E-2</v>
      </c>
      <c r="V1775" s="27">
        <v>0</v>
      </c>
      <c r="W1775" s="27">
        <v>0</v>
      </c>
      <c r="X1775" s="27" t="s">
        <v>63</v>
      </c>
    </row>
    <row r="1776" spans="1:24">
      <c r="A1776" s="27">
        <v>5</v>
      </c>
      <c r="B1776" s="27">
        <v>2</v>
      </c>
      <c r="C1776" s="27">
        <v>9</v>
      </c>
      <c r="D1776" s="27">
        <v>2014</v>
      </c>
      <c r="E1776" s="27">
        <v>2050</v>
      </c>
      <c r="F1776" s="27">
        <v>1</v>
      </c>
      <c r="G1776" s="27">
        <v>0</v>
      </c>
      <c r="H1776" s="27">
        <v>0</v>
      </c>
      <c r="I1776" s="27">
        <v>0</v>
      </c>
      <c r="J1776" s="27">
        <v>0</v>
      </c>
      <c r="K1776" s="27">
        <v>2.35</v>
      </c>
      <c r="L1776" s="27">
        <v>2050</v>
      </c>
      <c r="M1776" s="27">
        <v>1930</v>
      </c>
      <c r="N1776" s="27">
        <v>0</v>
      </c>
      <c r="O1776" s="27">
        <v>0</v>
      </c>
      <c r="P1776" s="27" t="s">
        <v>13</v>
      </c>
      <c r="Q1776" s="27">
        <v>1993</v>
      </c>
      <c r="R1776" s="27">
        <v>1</v>
      </c>
      <c r="S1776" s="27">
        <v>0</v>
      </c>
      <c r="T1776" s="27">
        <v>-1.619E-2</v>
      </c>
      <c r="U1776" s="27">
        <v>-3.2379999999999999E-2</v>
      </c>
      <c r="V1776" s="27">
        <v>0</v>
      </c>
      <c r="W1776" s="27">
        <v>0</v>
      </c>
      <c r="X1776" s="27" t="s">
        <v>63</v>
      </c>
    </row>
    <row r="1777" spans="1:24">
      <c r="A1777" s="27">
        <v>5</v>
      </c>
      <c r="B1777" s="27">
        <v>2</v>
      </c>
      <c r="C1777" s="27">
        <v>9</v>
      </c>
      <c r="D1777" s="27">
        <v>2014</v>
      </c>
      <c r="E1777" s="27">
        <v>2050</v>
      </c>
      <c r="F1777" s="27">
        <v>2</v>
      </c>
      <c r="G1777" s="27">
        <v>0</v>
      </c>
      <c r="H1777" s="27">
        <v>0</v>
      </c>
      <c r="I1777" s="27">
        <v>0</v>
      </c>
      <c r="J1777" s="27">
        <v>0</v>
      </c>
      <c r="K1777" s="27">
        <v>2.35</v>
      </c>
      <c r="L1777" s="27">
        <v>2050</v>
      </c>
      <c r="M1777" s="27">
        <v>1930</v>
      </c>
      <c r="N1777" s="27">
        <v>0</v>
      </c>
      <c r="O1777" s="27">
        <v>0</v>
      </c>
      <c r="P1777" s="27" t="s">
        <v>13</v>
      </c>
      <c r="Q1777" s="27">
        <v>1993</v>
      </c>
      <c r="R1777" s="27">
        <v>1</v>
      </c>
      <c r="S1777" s="27">
        <v>0</v>
      </c>
      <c r="T1777" s="27">
        <v>-1.619E-2</v>
      </c>
      <c r="U1777" s="27">
        <v>-3.2379999999999999E-2</v>
      </c>
      <c r="V1777" s="27">
        <v>0</v>
      </c>
      <c r="W1777" s="27">
        <v>0</v>
      </c>
      <c r="X1777" s="27" t="s">
        <v>63</v>
      </c>
    </row>
    <row r="1778" spans="1:24">
      <c r="A1778" s="27">
        <v>5</v>
      </c>
      <c r="B1778" s="27">
        <v>2</v>
      </c>
      <c r="C1778" s="27">
        <v>9</v>
      </c>
      <c r="D1778" s="27">
        <v>2014</v>
      </c>
      <c r="E1778" s="27">
        <v>2050</v>
      </c>
      <c r="F1778" s="27">
        <v>3</v>
      </c>
      <c r="G1778" s="27">
        <v>0</v>
      </c>
      <c r="H1778" s="27">
        <v>0</v>
      </c>
      <c r="I1778" s="27">
        <v>0</v>
      </c>
      <c r="J1778" s="27">
        <v>0</v>
      </c>
      <c r="K1778" s="27">
        <v>2.35</v>
      </c>
      <c r="L1778" s="27">
        <v>2050</v>
      </c>
      <c r="M1778" s="27">
        <v>1930</v>
      </c>
      <c r="N1778" s="27">
        <v>0</v>
      </c>
      <c r="O1778" s="27">
        <v>0</v>
      </c>
      <c r="P1778" s="27" t="s">
        <v>13</v>
      </c>
      <c r="Q1778" s="27">
        <v>1993</v>
      </c>
      <c r="R1778" s="27">
        <v>1</v>
      </c>
      <c r="S1778" s="27">
        <v>0</v>
      </c>
      <c r="T1778" s="27">
        <v>-1.619E-2</v>
      </c>
      <c r="U1778" s="27">
        <v>-3.2379999999999999E-2</v>
      </c>
      <c r="V1778" s="27">
        <v>0</v>
      </c>
      <c r="W1778" s="27">
        <v>0</v>
      </c>
      <c r="X1778" s="27" t="s">
        <v>63</v>
      </c>
    </row>
    <row r="1779" spans="1:24">
      <c r="A1779" s="27">
        <v>5</v>
      </c>
      <c r="B1779" s="27">
        <v>2</v>
      </c>
      <c r="C1779" s="27">
        <v>9</v>
      </c>
      <c r="D1779" s="27">
        <v>2014</v>
      </c>
      <c r="E1779" s="27">
        <v>2050</v>
      </c>
      <c r="F1779" s="27">
        <v>4</v>
      </c>
      <c r="G1779" s="27">
        <v>0</v>
      </c>
      <c r="H1779" s="27">
        <v>0</v>
      </c>
      <c r="I1779" s="27">
        <v>0</v>
      </c>
      <c r="J1779" s="27">
        <v>0</v>
      </c>
      <c r="K1779" s="27">
        <v>2.35</v>
      </c>
      <c r="L1779" s="27">
        <v>2050</v>
      </c>
      <c r="M1779" s="27">
        <v>1930</v>
      </c>
      <c r="N1779" s="27">
        <v>0</v>
      </c>
      <c r="O1779" s="27">
        <v>0</v>
      </c>
      <c r="P1779" s="27" t="s">
        <v>13</v>
      </c>
      <c r="Q1779" s="27">
        <v>1993</v>
      </c>
      <c r="R1779" s="27">
        <v>1</v>
      </c>
      <c r="S1779" s="27">
        <v>0</v>
      </c>
      <c r="T1779" s="27">
        <v>-1.619E-2</v>
      </c>
      <c r="U1779" s="27">
        <v>-3.2379999999999999E-2</v>
      </c>
      <c r="V1779" s="27">
        <v>0</v>
      </c>
      <c r="W1779" s="27">
        <v>0</v>
      </c>
      <c r="X1779" s="27" t="s">
        <v>63</v>
      </c>
    </row>
    <row r="1780" spans="1:24">
      <c r="A1780" s="27">
        <v>5</v>
      </c>
      <c r="B1780" s="27">
        <v>2</v>
      </c>
      <c r="C1780" s="27">
        <v>9</v>
      </c>
      <c r="D1780" s="27">
        <v>2014</v>
      </c>
      <c r="E1780" s="27">
        <v>2050</v>
      </c>
      <c r="F1780" s="27">
        <v>5</v>
      </c>
      <c r="G1780" s="27">
        <v>0</v>
      </c>
      <c r="H1780" s="27">
        <v>0</v>
      </c>
      <c r="I1780" s="27">
        <v>0</v>
      </c>
      <c r="J1780" s="27">
        <v>0</v>
      </c>
      <c r="K1780" s="27">
        <v>2.35</v>
      </c>
      <c r="L1780" s="27">
        <v>2050</v>
      </c>
      <c r="M1780" s="27">
        <v>1930</v>
      </c>
      <c r="N1780" s="27">
        <v>0</v>
      </c>
      <c r="O1780" s="27">
        <v>0</v>
      </c>
      <c r="P1780" s="27" t="s">
        <v>13</v>
      </c>
      <c r="Q1780" s="27">
        <v>1993</v>
      </c>
      <c r="R1780" s="27">
        <v>1</v>
      </c>
      <c r="S1780" s="27">
        <v>0</v>
      </c>
      <c r="T1780" s="27">
        <v>-1.619E-2</v>
      </c>
      <c r="U1780" s="27">
        <v>-3.2379999999999999E-2</v>
      </c>
      <c r="V1780" s="27">
        <v>0</v>
      </c>
      <c r="W1780" s="27">
        <v>0</v>
      </c>
      <c r="X1780" s="27" t="s">
        <v>63</v>
      </c>
    </row>
    <row r="1781" spans="1:24">
      <c r="A1781" s="27">
        <v>5</v>
      </c>
      <c r="B1781" s="27">
        <v>2</v>
      </c>
      <c r="C1781" s="27">
        <v>9</v>
      </c>
      <c r="D1781" s="27">
        <v>2014</v>
      </c>
      <c r="E1781" s="27">
        <v>2050</v>
      </c>
      <c r="F1781" s="27">
        <v>6</v>
      </c>
      <c r="G1781" s="27">
        <v>0</v>
      </c>
      <c r="H1781" s="27">
        <v>0</v>
      </c>
      <c r="I1781" s="27">
        <v>0</v>
      </c>
      <c r="J1781" s="27">
        <v>0</v>
      </c>
      <c r="K1781" s="27">
        <v>2.35</v>
      </c>
      <c r="L1781" s="27">
        <v>2050</v>
      </c>
      <c r="M1781" s="27">
        <v>1930</v>
      </c>
      <c r="N1781" s="27">
        <v>0</v>
      </c>
      <c r="O1781" s="27">
        <v>0</v>
      </c>
      <c r="P1781" s="27" t="s">
        <v>13</v>
      </c>
      <c r="Q1781" s="27">
        <v>1993</v>
      </c>
      <c r="R1781" s="27">
        <v>1</v>
      </c>
      <c r="S1781" s="27">
        <v>0</v>
      </c>
      <c r="T1781" s="27">
        <v>-1.619E-2</v>
      </c>
      <c r="U1781" s="27">
        <v>-3.2379999999999999E-2</v>
      </c>
      <c r="V1781" s="27">
        <v>0</v>
      </c>
      <c r="W1781" s="27">
        <v>0</v>
      </c>
      <c r="X1781" s="27" t="s">
        <v>63</v>
      </c>
    </row>
    <row r="1782" spans="1:24">
      <c r="A1782" s="27">
        <v>5</v>
      </c>
      <c r="B1782" s="27">
        <v>2</v>
      </c>
      <c r="C1782" s="27">
        <v>9</v>
      </c>
      <c r="D1782" s="27">
        <v>2014</v>
      </c>
      <c r="E1782" s="27">
        <v>2050</v>
      </c>
      <c r="F1782" s="27">
        <v>7</v>
      </c>
      <c r="G1782" s="27">
        <v>0</v>
      </c>
      <c r="H1782" s="27">
        <v>0</v>
      </c>
      <c r="I1782" s="27">
        <v>0</v>
      </c>
      <c r="J1782" s="27">
        <v>0</v>
      </c>
      <c r="K1782" s="27">
        <v>2.35</v>
      </c>
      <c r="L1782" s="27">
        <v>2050</v>
      </c>
      <c r="M1782" s="27">
        <v>1930</v>
      </c>
      <c r="N1782" s="27">
        <v>0</v>
      </c>
      <c r="O1782" s="27">
        <v>0</v>
      </c>
      <c r="P1782" s="27" t="s">
        <v>13</v>
      </c>
      <c r="Q1782" s="27">
        <v>1993</v>
      </c>
      <c r="R1782" s="27">
        <v>1</v>
      </c>
      <c r="S1782" s="27">
        <v>0</v>
      </c>
      <c r="T1782" s="27">
        <v>-1.619E-2</v>
      </c>
      <c r="U1782" s="27">
        <v>-3.2379999999999999E-2</v>
      </c>
      <c r="V1782" s="27">
        <v>0</v>
      </c>
      <c r="W1782" s="27">
        <v>0</v>
      </c>
      <c r="X1782" s="27" t="s">
        <v>63</v>
      </c>
    </row>
    <row r="1783" spans="1:24">
      <c r="A1783" s="27">
        <v>5</v>
      </c>
      <c r="B1783" s="27">
        <v>2</v>
      </c>
      <c r="C1783" s="27">
        <v>9</v>
      </c>
      <c r="D1783" s="27">
        <v>2014</v>
      </c>
      <c r="E1783" s="27">
        <v>2050</v>
      </c>
      <c r="F1783" s="27">
        <v>8</v>
      </c>
      <c r="G1783" s="27">
        <v>0</v>
      </c>
      <c r="H1783" s="27">
        <v>0</v>
      </c>
      <c r="I1783" s="27">
        <v>0</v>
      </c>
      <c r="J1783" s="27">
        <v>0</v>
      </c>
      <c r="K1783" s="27">
        <v>2.35</v>
      </c>
      <c r="L1783" s="27">
        <v>2050</v>
      </c>
      <c r="M1783" s="27">
        <v>1930</v>
      </c>
      <c r="N1783" s="27">
        <v>0</v>
      </c>
      <c r="O1783" s="27">
        <v>0</v>
      </c>
      <c r="P1783" s="27" t="s">
        <v>13</v>
      </c>
      <c r="Q1783" s="27">
        <v>1993</v>
      </c>
      <c r="R1783" s="27">
        <v>1</v>
      </c>
      <c r="S1783" s="27">
        <v>0</v>
      </c>
      <c r="T1783" s="27">
        <v>-1.619E-2</v>
      </c>
      <c r="U1783" s="27">
        <v>-3.2379999999999999E-2</v>
      </c>
      <c r="V1783" s="27">
        <v>0</v>
      </c>
      <c r="W1783" s="27">
        <v>0</v>
      </c>
      <c r="X1783" s="27" t="s">
        <v>63</v>
      </c>
    </row>
    <row r="1784" spans="1:24">
      <c r="A1784" s="27">
        <v>5</v>
      </c>
      <c r="B1784" s="27">
        <v>2</v>
      </c>
      <c r="C1784" s="27">
        <v>9</v>
      </c>
      <c r="D1784" s="27">
        <v>2014</v>
      </c>
      <c r="E1784" s="27">
        <v>2050</v>
      </c>
      <c r="F1784" s="27">
        <v>9</v>
      </c>
      <c r="G1784" s="27">
        <v>0</v>
      </c>
      <c r="H1784" s="27">
        <v>0</v>
      </c>
      <c r="I1784" s="27">
        <v>0</v>
      </c>
      <c r="J1784" s="27">
        <v>0</v>
      </c>
      <c r="K1784" s="27">
        <v>2.35</v>
      </c>
      <c r="L1784" s="27">
        <v>2050</v>
      </c>
      <c r="M1784" s="27">
        <v>1930</v>
      </c>
      <c r="N1784" s="27">
        <v>0</v>
      </c>
      <c r="O1784" s="27">
        <v>0</v>
      </c>
      <c r="P1784" s="27" t="s">
        <v>13</v>
      </c>
      <c r="Q1784" s="27">
        <v>1993</v>
      </c>
      <c r="R1784" s="27">
        <v>1</v>
      </c>
      <c r="S1784" s="27">
        <v>0</v>
      </c>
      <c r="T1784" s="27">
        <v>-1.619E-2</v>
      </c>
      <c r="U1784" s="27">
        <v>-3.2379999999999999E-2</v>
      </c>
      <c r="V1784" s="27">
        <v>0</v>
      </c>
      <c r="W1784" s="27">
        <v>0</v>
      </c>
      <c r="X1784" s="27" t="s">
        <v>63</v>
      </c>
    </row>
    <row r="1785" spans="1:24">
      <c r="A1785" s="27">
        <v>5</v>
      </c>
      <c r="B1785" s="27">
        <v>3</v>
      </c>
      <c r="C1785" s="27">
        <v>10</v>
      </c>
      <c r="D1785" s="27">
        <v>2010</v>
      </c>
      <c r="E1785" s="27">
        <v>2014</v>
      </c>
      <c r="F1785" s="27">
        <v>1</v>
      </c>
      <c r="G1785" s="27">
        <v>0</v>
      </c>
      <c r="H1785" s="27">
        <v>0</v>
      </c>
      <c r="I1785" s="27">
        <v>0</v>
      </c>
      <c r="J1785" s="27">
        <v>0</v>
      </c>
      <c r="K1785" s="27">
        <v>0.53</v>
      </c>
      <c r="L1785" s="27">
        <v>1900</v>
      </c>
      <c r="M1785" s="27">
        <v>1660</v>
      </c>
      <c r="N1785" s="27">
        <v>0</v>
      </c>
      <c r="O1785" s="27">
        <v>0</v>
      </c>
      <c r="P1785" s="27" t="s">
        <v>13</v>
      </c>
      <c r="Q1785" s="27">
        <v>1993</v>
      </c>
      <c r="R1785" s="27">
        <v>1</v>
      </c>
      <c r="S1785" s="27">
        <v>0</v>
      </c>
      <c r="T1785" s="27">
        <v>-1.8E-3</v>
      </c>
      <c r="U1785" s="27">
        <v>-1.2E-2</v>
      </c>
      <c r="V1785" s="27">
        <v>0</v>
      </c>
      <c r="W1785" s="27">
        <v>0</v>
      </c>
      <c r="X1785" s="27" t="s">
        <v>64</v>
      </c>
    </row>
    <row r="1786" spans="1:24">
      <c r="A1786" s="27">
        <v>5</v>
      </c>
      <c r="B1786" s="27">
        <v>3</v>
      </c>
      <c r="C1786" s="27">
        <v>10</v>
      </c>
      <c r="D1786" s="27">
        <v>2010</v>
      </c>
      <c r="E1786" s="27">
        <v>2014</v>
      </c>
      <c r="F1786" s="27">
        <v>2</v>
      </c>
      <c r="G1786" s="27">
        <v>0</v>
      </c>
      <c r="H1786" s="27">
        <v>0</v>
      </c>
      <c r="I1786" s="27">
        <v>0</v>
      </c>
      <c r="J1786" s="27">
        <v>0</v>
      </c>
      <c r="K1786" s="27">
        <v>0.53</v>
      </c>
      <c r="L1786" s="27">
        <v>1900</v>
      </c>
      <c r="M1786" s="27">
        <v>1660</v>
      </c>
      <c r="N1786" s="27">
        <v>0</v>
      </c>
      <c r="O1786" s="27">
        <v>0</v>
      </c>
      <c r="P1786" s="27" t="s">
        <v>13</v>
      </c>
      <c r="Q1786" s="27">
        <v>1993</v>
      </c>
      <c r="R1786" s="27">
        <v>1</v>
      </c>
      <c r="S1786" s="27">
        <v>0</v>
      </c>
      <c r="T1786" s="27">
        <v>-1.8E-3</v>
      </c>
      <c r="U1786" s="27">
        <v>-1.2E-2</v>
      </c>
      <c r="V1786" s="27">
        <v>0</v>
      </c>
      <c r="W1786" s="27">
        <v>0</v>
      </c>
      <c r="X1786" s="27" t="s">
        <v>64</v>
      </c>
    </row>
    <row r="1787" spans="1:24">
      <c r="A1787" s="27">
        <v>5</v>
      </c>
      <c r="B1787" s="27">
        <v>3</v>
      </c>
      <c r="C1787" s="27">
        <v>10</v>
      </c>
      <c r="D1787" s="27">
        <v>2010</v>
      </c>
      <c r="E1787" s="27">
        <v>2014</v>
      </c>
      <c r="F1787" s="27">
        <v>3</v>
      </c>
      <c r="G1787" s="27">
        <v>0</v>
      </c>
      <c r="H1787" s="27">
        <v>0</v>
      </c>
      <c r="I1787" s="27">
        <v>0</v>
      </c>
      <c r="J1787" s="27">
        <v>0</v>
      </c>
      <c r="K1787" s="27">
        <v>0.53</v>
      </c>
      <c r="L1787" s="27">
        <v>1900</v>
      </c>
      <c r="M1787" s="27">
        <v>1660</v>
      </c>
      <c r="N1787" s="27">
        <v>0</v>
      </c>
      <c r="O1787" s="27">
        <v>0</v>
      </c>
      <c r="P1787" s="27" t="s">
        <v>13</v>
      </c>
      <c r="Q1787" s="27">
        <v>1993</v>
      </c>
      <c r="R1787" s="27">
        <v>1</v>
      </c>
      <c r="S1787" s="27">
        <v>0</v>
      </c>
      <c r="T1787" s="27">
        <v>-1.8E-3</v>
      </c>
      <c r="U1787" s="27">
        <v>-1.2E-2</v>
      </c>
      <c r="V1787" s="27">
        <v>0</v>
      </c>
      <c r="W1787" s="27">
        <v>0</v>
      </c>
      <c r="X1787" s="27" t="s">
        <v>64</v>
      </c>
    </row>
    <row r="1788" spans="1:24">
      <c r="A1788" s="27">
        <v>5</v>
      </c>
      <c r="B1788" s="27">
        <v>3</v>
      </c>
      <c r="C1788" s="27">
        <v>10</v>
      </c>
      <c r="D1788" s="27">
        <v>2010</v>
      </c>
      <c r="E1788" s="27">
        <v>2014</v>
      </c>
      <c r="F1788" s="27">
        <v>4</v>
      </c>
      <c r="G1788" s="27">
        <v>0</v>
      </c>
      <c r="H1788" s="27">
        <v>0</v>
      </c>
      <c r="I1788" s="27">
        <v>0</v>
      </c>
      <c r="J1788" s="27">
        <v>0</v>
      </c>
      <c r="K1788" s="27">
        <v>0.53</v>
      </c>
      <c r="L1788" s="27">
        <v>1900</v>
      </c>
      <c r="M1788" s="27">
        <v>1660</v>
      </c>
      <c r="N1788" s="27">
        <v>0</v>
      </c>
      <c r="O1788" s="27">
        <v>0</v>
      </c>
      <c r="P1788" s="27" t="s">
        <v>13</v>
      </c>
      <c r="Q1788" s="27">
        <v>1993</v>
      </c>
      <c r="R1788" s="27">
        <v>1</v>
      </c>
      <c r="S1788" s="27">
        <v>0</v>
      </c>
      <c r="T1788" s="27">
        <v>-1.8E-3</v>
      </c>
      <c r="U1788" s="27">
        <v>-1.2E-2</v>
      </c>
      <c r="V1788" s="27">
        <v>0</v>
      </c>
      <c r="W1788" s="27">
        <v>0</v>
      </c>
      <c r="X1788" s="27" t="s">
        <v>64</v>
      </c>
    </row>
    <row r="1789" spans="1:24">
      <c r="A1789" s="27">
        <v>5</v>
      </c>
      <c r="B1789" s="27">
        <v>3</v>
      </c>
      <c r="C1789" s="27">
        <v>10</v>
      </c>
      <c r="D1789" s="27">
        <v>2010</v>
      </c>
      <c r="E1789" s="27">
        <v>2014</v>
      </c>
      <c r="F1789" s="27">
        <v>5</v>
      </c>
      <c r="G1789" s="27">
        <v>0</v>
      </c>
      <c r="H1789" s="27">
        <v>0</v>
      </c>
      <c r="I1789" s="27">
        <v>0</v>
      </c>
      <c r="J1789" s="27">
        <v>0</v>
      </c>
      <c r="K1789" s="27">
        <v>0.53</v>
      </c>
      <c r="L1789" s="27">
        <v>1900</v>
      </c>
      <c r="M1789" s="27">
        <v>1660</v>
      </c>
      <c r="N1789" s="27">
        <v>0</v>
      </c>
      <c r="O1789" s="27">
        <v>0</v>
      </c>
      <c r="P1789" s="27" t="s">
        <v>13</v>
      </c>
      <c r="Q1789" s="27">
        <v>1993</v>
      </c>
      <c r="R1789" s="27">
        <v>1</v>
      </c>
      <c r="S1789" s="27">
        <v>0</v>
      </c>
      <c r="T1789" s="27">
        <v>-1.8E-3</v>
      </c>
      <c r="U1789" s="27">
        <v>-1.2E-2</v>
      </c>
      <c r="V1789" s="27">
        <v>0</v>
      </c>
      <c r="W1789" s="27">
        <v>0</v>
      </c>
      <c r="X1789" s="27" t="s">
        <v>64</v>
      </c>
    </row>
    <row r="1790" spans="1:24">
      <c r="A1790" s="27">
        <v>5</v>
      </c>
      <c r="B1790" s="27">
        <v>3</v>
      </c>
      <c r="C1790" s="27">
        <v>10</v>
      </c>
      <c r="D1790" s="27">
        <v>2010</v>
      </c>
      <c r="E1790" s="27">
        <v>2014</v>
      </c>
      <c r="F1790" s="27">
        <v>6</v>
      </c>
      <c r="G1790" s="27">
        <v>0</v>
      </c>
      <c r="H1790" s="27">
        <v>0</v>
      </c>
      <c r="I1790" s="27">
        <v>0</v>
      </c>
      <c r="J1790" s="27">
        <v>0</v>
      </c>
      <c r="K1790" s="27">
        <v>0.53</v>
      </c>
      <c r="L1790" s="27">
        <v>1900</v>
      </c>
      <c r="M1790" s="27">
        <v>1660</v>
      </c>
      <c r="N1790" s="27">
        <v>0</v>
      </c>
      <c r="O1790" s="27">
        <v>0</v>
      </c>
      <c r="P1790" s="27" t="s">
        <v>13</v>
      </c>
      <c r="Q1790" s="27">
        <v>1993</v>
      </c>
      <c r="R1790" s="27">
        <v>1</v>
      </c>
      <c r="S1790" s="27">
        <v>0</v>
      </c>
      <c r="T1790" s="27">
        <v>-1.8E-3</v>
      </c>
      <c r="U1790" s="27">
        <v>-1.2E-2</v>
      </c>
      <c r="V1790" s="27">
        <v>0</v>
      </c>
      <c r="W1790" s="27">
        <v>0</v>
      </c>
      <c r="X1790" s="27" t="s">
        <v>64</v>
      </c>
    </row>
    <row r="1791" spans="1:24">
      <c r="A1791" s="27">
        <v>5</v>
      </c>
      <c r="B1791" s="27">
        <v>3</v>
      </c>
      <c r="C1791" s="27">
        <v>10</v>
      </c>
      <c r="D1791" s="27">
        <v>2010</v>
      </c>
      <c r="E1791" s="27">
        <v>2014</v>
      </c>
      <c r="F1791" s="27">
        <v>7</v>
      </c>
      <c r="G1791" s="27">
        <v>0</v>
      </c>
      <c r="H1791" s="27">
        <v>0</v>
      </c>
      <c r="I1791" s="27">
        <v>0</v>
      </c>
      <c r="J1791" s="27">
        <v>0</v>
      </c>
      <c r="K1791" s="27">
        <v>0.53</v>
      </c>
      <c r="L1791" s="27">
        <v>1900</v>
      </c>
      <c r="M1791" s="27">
        <v>1660</v>
      </c>
      <c r="N1791" s="27">
        <v>0</v>
      </c>
      <c r="O1791" s="27">
        <v>0</v>
      </c>
      <c r="P1791" s="27" t="s">
        <v>13</v>
      </c>
      <c r="Q1791" s="27">
        <v>1993</v>
      </c>
      <c r="R1791" s="27">
        <v>1</v>
      </c>
      <c r="S1791" s="27">
        <v>0</v>
      </c>
      <c r="T1791" s="27">
        <v>-1.8E-3</v>
      </c>
      <c r="U1791" s="27">
        <v>-1.2E-2</v>
      </c>
      <c r="V1791" s="27">
        <v>0</v>
      </c>
      <c r="W1791" s="27">
        <v>0</v>
      </c>
      <c r="X1791" s="27" t="s">
        <v>64</v>
      </c>
    </row>
    <row r="1792" spans="1:24">
      <c r="A1792" s="27">
        <v>5</v>
      </c>
      <c r="B1792" s="27">
        <v>3</v>
      </c>
      <c r="C1792" s="27">
        <v>10</v>
      </c>
      <c r="D1792" s="27">
        <v>2010</v>
      </c>
      <c r="E1792" s="27">
        <v>2014</v>
      </c>
      <c r="F1792" s="27">
        <v>8</v>
      </c>
      <c r="G1792" s="27">
        <v>0</v>
      </c>
      <c r="H1792" s="27">
        <v>0</v>
      </c>
      <c r="I1792" s="27">
        <v>0</v>
      </c>
      <c r="J1792" s="27">
        <v>0</v>
      </c>
      <c r="K1792" s="27">
        <v>0.53</v>
      </c>
      <c r="L1792" s="27">
        <v>1900</v>
      </c>
      <c r="M1792" s="27">
        <v>1660</v>
      </c>
      <c r="N1792" s="27">
        <v>0</v>
      </c>
      <c r="O1792" s="27">
        <v>0</v>
      </c>
      <c r="P1792" s="27" t="s">
        <v>13</v>
      </c>
      <c r="Q1792" s="27">
        <v>1993</v>
      </c>
      <c r="R1792" s="27">
        <v>1</v>
      </c>
      <c r="S1792" s="27">
        <v>0</v>
      </c>
      <c r="T1792" s="27">
        <v>-1.8E-3</v>
      </c>
      <c r="U1792" s="27">
        <v>-1.2E-2</v>
      </c>
      <c r="V1792" s="27">
        <v>0</v>
      </c>
      <c r="W1792" s="27">
        <v>0</v>
      </c>
      <c r="X1792" s="27" t="s">
        <v>64</v>
      </c>
    </row>
    <row r="1793" spans="1:24">
      <c r="A1793" s="27">
        <v>5</v>
      </c>
      <c r="B1793" s="27">
        <v>3</v>
      </c>
      <c r="C1793" s="27">
        <v>10</v>
      </c>
      <c r="D1793" s="27">
        <v>2010</v>
      </c>
      <c r="E1793" s="27">
        <v>2014</v>
      </c>
      <c r="F1793" s="27">
        <v>9</v>
      </c>
      <c r="G1793" s="27">
        <v>0</v>
      </c>
      <c r="H1793" s="27">
        <v>0</v>
      </c>
      <c r="I1793" s="27">
        <v>0</v>
      </c>
      <c r="J1793" s="27">
        <v>0</v>
      </c>
      <c r="K1793" s="27">
        <v>0.53</v>
      </c>
      <c r="L1793" s="27">
        <v>1900</v>
      </c>
      <c r="M1793" s="27">
        <v>1660</v>
      </c>
      <c r="N1793" s="27">
        <v>0</v>
      </c>
      <c r="O1793" s="27">
        <v>0</v>
      </c>
      <c r="P1793" s="27" t="s">
        <v>13</v>
      </c>
      <c r="Q1793" s="27">
        <v>1993</v>
      </c>
      <c r="R1793" s="27">
        <v>1</v>
      </c>
      <c r="S1793" s="27">
        <v>0</v>
      </c>
      <c r="T1793" s="27">
        <v>-1.8E-3</v>
      </c>
      <c r="U1793" s="27">
        <v>-1.2E-2</v>
      </c>
      <c r="V1793" s="27">
        <v>0</v>
      </c>
      <c r="W1793" s="27">
        <v>0</v>
      </c>
      <c r="X1793" s="27" t="s">
        <v>64</v>
      </c>
    </row>
    <row r="1794" spans="1:24">
      <c r="A1794" s="27">
        <v>5</v>
      </c>
      <c r="B1794" s="27">
        <v>3</v>
      </c>
      <c r="C1794" s="27">
        <v>10</v>
      </c>
      <c r="D1794" s="27">
        <v>2015</v>
      </c>
      <c r="E1794" s="27">
        <v>2050</v>
      </c>
      <c r="F1794" s="27">
        <v>1</v>
      </c>
      <c r="G1794" s="27">
        <v>0</v>
      </c>
      <c r="H1794" s="27">
        <v>0</v>
      </c>
      <c r="I1794" s="27">
        <v>0</v>
      </c>
      <c r="J1794" s="27">
        <v>0</v>
      </c>
      <c r="K1794" s="27">
        <v>0.62</v>
      </c>
      <c r="L1794" s="27">
        <v>2100</v>
      </c>
      <c r="M1794" s="27">
        <v>1860</v>
      </c>
      <c r="N1794" s="27">
        <v>0</v>
      </c>
      <c r="O1794" s="27">
        <v>0</v>
      </c>
      <c r="P1794" s="27" t="s">
        <v>13</v>
      </c>
      <c r="Q1794" s="27">
        <v>1993</v>
      </c>
      <c r="R1794" s="27">
        <v>1</v>
      </c>
      <c r="S1794" s="27">
        <v>0</v>
      </c>
      <c r="T1794" s="27">
        <v>-1</v>
      </c>
      <c r="U1794" s="27">
        <v>-1</v>
      </c>
      <c r="V1794" s="27">
        <v>0</v>
      </c>
      <c r="W1794" s="27">
        <v>0</v>
      </c>
      <c r="X1794" s="27" t="s">
        <v>64</v>
      </c>
    </row>
    <row r="1795" spans="1:24">
      <c r="A1795" s="27">
        <v>5</v>
      </c>
      <c r="B1795" s="27">
        <v>3</v>
      </c>
      <c r="C1795" s="27">
        <v>10</v>
      </c>
      <c r="D1795" s="27">
        <v>2015</v>
      </c>
      <c r="E1795" s="27">
        <v>2050</v>
      </c>
      <c r="F1795" s="27">
        <v>2</v>
      </c>
      <c r="G1795" s="27">
        <v>0</v>
      </c>
      <c r="H1795" s="27">
        <v>0</v>
      </c>
      <c r="I1795" s="27">
        <v>0</v>
      </c>
      <c r="J1795" s="27">
        <v>0</v>
      </c>
      <c r="K1795" s="27">
        <v>0.62</v>
      </c>
      <c r="L1795" s="27">
        <v>2100</v>
      </c>
      <c r="M1795" s="27">
        <v>1860</v>
      </c>
      <c r="N1795" s="27">
        <v>0</v>
      </c>
      <c r="O1795" s="27">
        <v>0</v>
      </c>
      <c r="P1795" s="27" t="s">
        <v>13</v>
      </c>
      <c r="Q1795" s="27">
        <v>1993</v>
      </c>
      <c r="R1795" s="27">
        <v>1</v>
      </c>
      <c r="S1795" s="27">
        <v>0</v>
      </c>
      <c r="T1795" s="27">
        <v>-1</v>
      </c>
      <c r="U1795" s="27">
        <v>-1</v>
      </c>
      <c r="V1795" s="27">
        <v>0</v>
      </c>
      <c r="W1795" s="27">
        <v>0</v>
      </c>
      <c r="X1795" s="27" t="s">
        <v>64</v>
      </c>
    </row>
    <row r="1796" spans="1:24">
      <c r="A1796" s="27">
        <v>5</v>
      </c>
      <c r="B1796" s="27">
        <v>3</v>
      </c>
      <c r="C1796" s="27">
        <v>10</v>
      </c>
      <c r="D1796" s="27">
        <v>2015</v>
      </c>
      <c r="E1796" s="27">
        <v>2050</v>
      </c>
      <c r="F1796" s="27">
        <v>3</v>
      </c>
      <c r="G1796" s="27">
        <v>0</v>
      </c>
      <c r="H1796" s="27">
        <v>0</v>
      </c>
      <c r="I1796" s="27">
        <v>0</v>
      </c>
      <c r="J1796" s="27">
        <v>0</v>
      </c>
      <c r="K1796" s="27">
        <v>0.62</v>
      </c>
      <c r="L1796" s="27">
        <v>2100</v>
      </c>
      <c r="M1796" s="27">
        <v>1860</v>
      </c>
      <c r="N1796" s="27">
        <v>0</v>
      </c>
      <c r="O1796" s="27">
        <v>0</v>
      </c>
      <c r="P1796" s="27" t="s">
        <v>13</v>
      </c>
      <c r="Q1796" s="27">
        <v>1993</v>
      </c>
      <c r="R1796" s="27">
        <v>1</v>
      </c>
      <c r="S1796" s="27">
        <v>0</v>
      </c>
      <c r="T1796" s="27">
        <v>-1</v>
      </c>
      <c r="U1796" s="27">
        <v>-1</v>
      </c>
      <c r="V1796" s="27">
        <v>0</v>
      </c>
      <c r="W1796" s="27">
        <v>0</v>
      </c>
      <c r="X1796" s="27" t="s">
        <v>64</v>
      </c>
    </row>
    <row r="1797" spans="1:24">
      <c r="A1797" s="27">
        <v>5</v>
      </c>
      <c r="B1797" s="27">
        <v>3</v>
      </c>
      <c r="C1797" s="27">
        <v>10</v>
      </c>
      <c r="D1797" s="27">
        <v>2015</v>
      </c>
      <c r="E1797" s="27">
        <v>2050</v>
      </c>
      <c r="F1797" s="27">
        <v>4</v>
      </c>
      <c r="G1797" s="27">
        <v>0</v>
      </c>
      <c r="H1797" s="27">
        <v>0</v>
      </c>
      <c r="I1797" s="27">
        <v>0</v>
      </c>
      <c r="J1797" s="27">
        <v>0</v>
      </c>
      <c r="K1797" s="27">
        <v>0.62</v>
      </c>
      <c r="L1797" s="27">
        <v>2100</v>
      </c>
      <c r="M1797" s="27">
        <v>1860</v>
      </c>
      <c r="N1797" s="27">
        <v>0</v>
      </c>
      <c r="O1797" s="27">
        <v>0</v>
      </c>
      <c r="P1797" s="27" t="s">
        <v>13</v>
      </c>
      <c r="Q1797" s="27">
        <v>1993</v>
      </c>
      <c r="R1797" s="27">
        <v>1</v>
      </c>
      <c r="S1797" s="27">
        <v>0</v>
      </c>
      <c r="T1797" s="27">
        <v>-1</v>
      </c>
      <c r="U1797" s="27">
        <v>-1</v>
      </c>
      <c r="V1797" s="27">
        <v>0</v>
      </c>
      <c r="W1797" s="27">
        <v>0</v>
      </c>
      <c r="X1797" s="27" t="s">
        <v>64</v>
      </c>
    </row>
    <row r="1798" spans="1:24">
      <c r="A1798" s="27">
        <v>5</v>
      </c>
      <c r="B1798" s="27">
        <v>3</v>
      </c>
      <c r="C1798" s="27">
        <v>10</v>
      </c>
      <c r="D1798" s="27">
        <v>2015</v>
      </c>
      <c r="E1798" s="27">
        <v>2050</v>
      </c>
      <c r="F1798" s="27">
        <v>5</v>
      </c>
      <c r="G1798" s="27">
        <v>0</v>
      </c>
      <c r="H1798" s="27">
        <v>0</v>
      </c>
      <c r="I1798" s="27">
        <v>0</v>
      </c>
      <c r="J1798" s="27">
        <v>0</v>
      </c>
      <c r="K1798" s="27">
        <v>0.62</v>
      </c>
      <c r="L1798" s="27">
        <v>2100</v>
      </c>
      <c r="M1798" s="27">
        <v>1860</v>
      </c>
      <c r="N1798" s="27">
        <v>0</v>
      </c>
      <c r="O1798" s="27">
        <v>0</v>
      </c>
      <c r="P1798" s="27" t="s">
        <v>13</v>
      </c>
      <c r="Q1798" s="27">
        <v>1993</v>
      </c>
      <c r="R1798" s="27">
        <v>1</v>
      </c>
      <c r="S1798" s="27">
        <v>0</v>
      </c>
      <c r="T1798" s="27">
        <v>-1</v>
      </c>
      <c r="U1798" s="27">
        <v>-1</v>
      </c>
      <c r="V1798" s="27">
        <v>0</v>
      </c>
      <c r="W1798" s="27">
        <v>0</v>
      </c>
      <c r="X1798" s="27" t="s">
        <v>64</v>
      </c>
    </row>
    <row r="1799" spans="1:24">
      <c r="A1799" s="27">
        <v>5</v>
      </c>
      <c r="B1799" s="27">
        <v>3</v>
      </c>
      <c r="C1799" s="27">
        <v>10</v>
      </c>
      <c r="D1799" s="27">
        <v>2015</v>
      </c>
      <c r="E1799" s="27">
        <v>2050</v>
      </c>
      <c r="F1799" s="27">
        <v>6</v>
      </c>
      <c r="G1799" s="27">
        <v>0</v>
      </c>
      <c r="H1799" s="27">
        <v>0</v>
      </c>
      <c r="I1799" s="27">
        <v>0</v>
      </c>
      <c r="J1799" s="27">
        <v>0</v>
      </c>
      <c r="K1799" s="27">
        <v>0.62</v>
      </c>
      <c r="L1799" s="27">
        <v>2100</v>
      </c>
      <c r="M1799" s="27">
        <v>1860</v>
      </c>
      <c r="N1799" s="27">
        <v>0</v>
      </c>
      <c r="O1799" s="27">
        <v>0</v>
      </c>
      <c r="P1799" s="27" t="s">
        <v>13</v>
      </c>
      <c r="Q1799" s="27">
        <v>1993</v>
      </c>
      <c r="R1799" s="27">
        <v>1</v>
      </c>
      <c r="S1799" s="27">
        <v>0</v>
      </c>
      <c r="T1799" s="27">
        <v>-1</v>
      </c>
      <c r="U1799" s="27">
        <v>-1</v>
      </c>
      <c r="V1799" s="27">
        <v>0</v>
      </c>
      <c r="W1799" s="27">
        <v>0</v>
      </c>
      <c r="X1799" s="27" t="s">
        <v>64</v>
      </c>
    </row>
    <row r="1800" spans="1:24">
      <c r="A1800" s="27">
        <v>5</v>
      </c>
      <c r="B1800" s="27">
        <v>3</v>
      </c>
      <c r="C1800" s="27">
        <v>10</v>
      </c>
      <c r="D1800" s="27">
        <v>2015</v>
      </c>
      <c r="E1800" s="27">
        <v>2050</v>
      </c>
      <c r="F1800" s="27">
        <v>7</v>
      </c>
      <c r="G1800" s="27">
        <v>0</v>
      </c>
      <c r="H1800" s="27">
        <v>0</v>
      </c>
      <c r="I1800" s="27">
        <v>0</v>
      </c>
      <c r="J1800" s="27">
        <v>0</v>
      </c>
      <c r="K1800" s="27">
        <v>0.62</v>
      </c>
      <c r="L1800" s="27">
        <v>2100</v>
      </c>
      <c r="M1800" s="27">
        <v>1860</v>
      </c>
      <c r="N1800" s="27">
        <v>0</v>
      </c>
      <c r="O1800" s="27">
        <v>0</v>
      </c>
      <c r="P1800" s="27" t="s">
        <v>13</v>
      </c>
      <c r="Q1800" s="27">
        <v>1993</v>
      </c>
      <c r="R1800" s="27">
        <v>1</v>
      </c>
      <c r="S1800" s="27">
        <v>0</v>
      </c>
      <c r="T1800" s="27">
        <v>-1</v>
      </c>
      <c r="U1800" s="27">
        <v>-1</v>
      </c>
      <c r="V1800" s="27">
        <v>0</v>
      </c>
      <c r="W1800" s="27">
        <v>0</v>
      </c>
      <c r="X1800" s="27" t="s">
        <v>64</v>
      </c>
    </row>
    <row r="1801" spans="1:24">
      <c r="A1801" s="27">
        <v>5</v>
      </c>
      <c r="B1801" s="27">
        <v>3</v>
      </c>
      <c r="C1801" s="27">
        <v>10</v>
      </c>
      <c r="D1801" s="27">
        <v>2015</v>
      </c>
      <c r="E1801" s="27">
        <v>2050</v>
      </c>
      <c r="F1801" s="27">
        <v>8</v>
      </c>
      <c r="G1801" s="27">
        <v>0</v>
      </c>
      <c r="H1801" s="27">
        <v>0</v>
      </c>
      <c r="I1801" s="27">
        <v>0</v>
      </c>
      <c r="J1801" s="27">
        <v>0</v>
      </c>
      <c r="K1801" s="27">
        <v>0.62</v>
      </c>
      <c r="L1801" s="27">
        <v>2100</v>
      </c>
      <c r="M1801" s="27">
        <v>1860</v>
      </c>
      <c r="N1801" s="27">
        <v>0</v>
      </c>
      <c r="O1801" s="27">
        <v>0</v>
      </c>
      <c r="P1801" s="27" t="s">
        <v>13</v>
      </c>
      <c r="Q1801" s="27">
        <v>1993</v>
      </c>
      <c r="R1801" s="27">
        <v>1</v>
      </c>
      <c r="S1801" s="27">
        <v>0</v>
      </c>
      <c r="T1801" s="27">
        <v>-1</v>
      </c>
      <c r="U1801" s="27">
        <v>-1</v>
      </c>
      <c r="V1801" s="27">
        <v>0</v>
      </c>
      <c r="W1801" s="27">
        <v>0</v>
      </c>
      <c r="X1801" s="27" t="s">
        <v>64</v>
      </c>
    </row>
    <row r="1802" spans="1:24">
      <c r="A1802" s="27">
        <v>5</v>
      </c>
      <c r="B1802" s="27">
        <v>3</v>
      </c>
      <c r="C1802" s="27">
        <v>10</v>
      </c>
      <c r="D1802" s="27">
        <v>2015</v>
      </c>
      <c r="E1802" s="27">
        <v>2050</v>
      </c>
      <c r="F1802" s="27">
        <v>9</v>
      </c>
      <c r="G1802" s="27">
        <v>0</v>
      </c>
      <c r="H1802" s="27">
        <v>0</v>
      </c>
      <c r="I1802" s="27">
        <v>0</v>
      </c>
      <c r="J1802" s="27">
        <v>0</v>
      </c>
      <c r="K1802" s="27">
        <v>0.62</v>
      </c>
      <c r="L1802" s="27">
        <v>2100</v>
      </c>
      <c r="M1802" s="27">
        <v>1860</v>
      </c>
      <c r="N1802" s="27">
        <v>0</v>
      </c>
      <c r="O1802" s="27">
        <v>0</v>
      </c>
      <c r="P1802" s="27" t="s">
        <v>13</v>
      </c>
      <c r="Q1802" s="27">
        <v>1993</v>
      </c>
      <c r="R1802" s="27">
        <v>1</v>
      </c>
      <c r="S1802" s="27">
        <v>0</v>
      </c>
      <c r="T1802" s="27">
        <v>-1</v>
      </c>
      <c r="U1802" s="27">
        <v>-1</v>
      </c>
      <c r="V1802" s="27">
        <v>0</v>
      </c>
      <c r="W1802" s="27">
        <v>0</v>
      </c>
      <c r="X1802" s="27" t="s">
        <v>64</v>
      </c>
    </row>
    <row r="1803" spans="1:24">
      <c r="A1803" s="27">
        <v>5</v>
      </c>
      <c r="B1803" s="27">
        <v>3</v>
      </c>
      <c r="C1803" s="27">
        <v>11</v>
      </c>
      <c r="D1803" s="27">
        <v>2010</v>
      </c>
      <c r="E1803" s="27">
        <v>2050</v>
      </c>
      <c r="F1803" s="27">
        <v>1</v>
      </c>
      <c r="G1803" s="27">
        <v>0</v>
      </c>
      <c r="H1803" s="27">
        <v>0</v>
      </c>
      <c r="I1803" s="27">
        <v>0</v>
      </c>
      <c r="J1803" s="27">
        <v>0</v>
      </c>
      <c r="K1803" s="27">
        <v>0.62</v>
      </c>
      <c r="L1803" s="27">
        <v>2100</v>
      </c>
      <c r="M1803" s="27">
        <v>1860</v>
      </c>
      <c r="N1803" s="27">
        <v>0</v>
      </c>
      <c r="O1803" s="27">
        <v>0</v>
      </c>
      <c r="P1803" s="27" t="s">
        <v>13</v>
      </c>
      <c r="Q1803" s="27">
        <v>1993</v>
      </c>
      <c r="R1803" s="27">
        <v>1</v>
      </c>
      <c r="S1803" s="27">
        <v>0</v>
      </c>
      <c r="T1803" s="27">
        <v>-1.8E-3</v>
      </c>
      <c r="U1803" s="27">
        <v>-1.2E-2</v>
      </c>
      <c r="V1803" s="27">
        <v>0</v>
      </c>
      <c r="W1803" s="27">
        <v>0</v>
      </c>
      <c r="X1803" s="27" t="s">
        <v>65</v>
      </c>
    </row>
    <row r="1804" spans="1:24">
      <c r="A1804" s="27">
        <v>5</v>
      </c>
      <c r="B1804" s="27">
        <v>3</v>
      </c>
      <c r="C1804" s="27">
        <v>11</v>
      </c>
      <c r="D1804" s="27">
        <v>2010</v>
      </c>
      <c r="E1804" s="27">
        <v>2050</v>
      </c>
      <c r="F1804" s="27">
        <v>2</v>
      </c>
      <c r="G1804" s="27">
        <v>0</v>
      </c>
      <c r="H1804" s="27">
        <v>0</v>
      </c>
      <c r="I1804" s="27">
        <v>0</v>
      </c>
      <c r="J1804" s="27">
        <v>0</v>
      </c>
      <c r="K1804" s="27">
        <v>0.62</v>
      </c>
      <c r="L1804" s="27">
        <v>2100</v>
      </c>
      <c r="M1804" s="27">
        <v>1860</v>
      </c>
      <c r="N1804" s="27">
        <v>0</v>
      </c>
      <c r="O1804" s="27">
        <v>0</v>
      </c>
      <c r="P1804" s="27" t="s">
        <v>13</v>
      </c>
      <c r="Q1804" s="27">
        <v>1993</v>
      </c>
      <c r="R1804" s="27">
        <v>1</v>
      </c>
      <c r="S1804" s="27">
        <v>0</v>
      </c>
      <c r="T1804" s="27">
        <v>-1.8E-3</v>
      </c>
      <c r="U1804" s="27">
        <v>-1.2E-2</v>
      </c>
      <c r="V1804" s="27">
        <v>0</v>
      </c>
      <c r="W1804" s="27">
        <v>0</v>
      </c>
      <c r="X1804" s="27" t="s">
        <v>65</v>
      </c>
    </row>
    <row r="1805" spans="1:24">
      <c r="A1805" s="27">
        <v>5</v>
      </c>
      <c r="B1805" s="27">
        <v>3</v>
      </c>
      <c r="C1805" s="27">
        <v>11</v>
      </c>
      <c r="D1805" s="27">
        <v>2010</v>
      </c>
      <c r="E1805" s="27">
        <v>2050</v>
      </c>
      <c r="F1805" s="27">
        <v>3</v>
      </c>
      <c r="G1805" s="27">
        <v>0</v>
      </c>
      <c r="H1805" s="27">
        <v>0</v>
      </c>
      <c r="I1805" s="27">
        <v>0</v>
      </c>
      <c r="J1805" s="27">
        <v>0</v>
      </c>
      <c r="K1805" s="27">
        <v>0.62</v>
      </c>
      <c r="L1805" s="27">
        <v>2100</v>
      </c>
      <c r="M1805" s="27">
        <v>1860</v>
      </c>
      <c r="N1805" s="27">
        <v>0</v>
      </c>
      <c r="O1805" s="27">
        <v>0</v>
      </c>
      <c r="P1805" s="27" t="s">
        <v>13</v>
      </c>
      <c r="Q1805" s="27">
        <v>1993</v>
      </c>
      <c r="R1805" s="27">
        <v>1</v>
      </c>
      <c r="S1805" s="27">
        <v>0</v>
      </c>
      <c r="T1805" s="27">
        <v>-1.8E-3</v>
      </c>
      <c r="U1805" s="27">
        <v>-1.2E-2</v>
      </c>
      <c r="V1805" s="27">
        <v>0</v>
      </c>
      <c r="W1805" s="27">
        <v>0</v>
      </c>
      <c r="X1805" s="27" t="s">
        <v>65</v>
      </c>
    </row>
    <row r="1806" spans="1:24">
      <c r="A1806" s="27">
        <v>5</v>
      </c>
      <c r="B1806" s="27">
        <v>3</v>
      </c>
      <c r="C1806" s="27">
        <v>11</v>
      </c>
      <c r="D1806" s="27">
        <v>2010</v>
      </c>
      <c r="E1806" s="27">
        <v>2050</v>
      </c>
      <c r="F1806" s="27">
        <v>4</v>
      </c>
      <c r="G1806" s="27">
        <v>0</v>
      </c>
      <c r="H1806" s="27">
        <v>0</v>
      </c>
      <c r="I1806" s="27">
        <v>0</v>
      </c>
      <c r="J1806" s="27">
        <v>0</v>
      </c>
      <c r="K1806" s="27">
        <v>0.62</v>
      </c>
      <c r="L1806" s="27">
        <v>2100</v>
      </c>
      <c r="M1806" s="27">
        <v>1860</v>
      </c>
      <c r="N1806" s="27">
        <v>0</v>
      </c>
      <c r="O1806" s="27">
        <v>0</v>
      </c>
      <c r="P1806" s="27" t="s">
        <v>13</v>
      </c>
      <c r="Q1806" s="27">
        <v>1993</v>
      </c>
      <c r="R1806" s="27">
        <v>1</v>
      </c>
      <c r="S1806" s="27">
        <v>0</v>
      </c>
      <c r="T1806" s="27">
        <v>-1.8E-3</v>
      </c>
      <c r="U1806" s="27">
        <v>-1.2E-2</v>
      </c>
      <c r="V1806" s="27">
        <v>0</v>
      </c>
      <c r="W1806" s="27">
        <v>0</v>
      </c>
      <c r="X1806" s="27" t="s">
        <v>65</v>
      </c>
    </row>
    <row r="1807" spans="1:24">
      <c r="A1807" s="27">
        <v>5</v>
      </c>
      <c r="B1807" s="27">
        <v>3</v>
      </c>
      <c r="C1807" s="27">
        <v>11</v>
      </c>
      <c r="D1807" s="27">
        <v>2010</v>
      </c>
      <c r="E1807" s="27">
        <v>2050</v>
      </c>
      <c r="F1807" s="27">
        <v>5</v>
      </c>
      <c r="G1807" s="27">
        <v>0</v>
      </c>
      <c r="H1807" s="27">
        <v>0</v>
      </c>
      <c r="I1807" s="27">
        <v>0</v>
      </c>
      <c r="J1807" s="27">
        <v>0</v>
      </c>
      <c r="K1807" s="27">
        <v>0.62</v>
      </c>
      <c r="L1807" s="27">
        <v>2100</v>
      </c>
      <c r="M1807" s="27">
        <v>1860</v>
      </c>
      <c r="N1807" s="27">
        <v>0</v>
      </c>
      <c r="O1807" s="27">
        <v>0</v>
      </c>
      <c r="P1807" s="27" t="s">
        <v>13</v>
      </c>
      <c r="Q1807" s="27">
        <v>1993</v>
      </c>
      <c r="R1807" s="27">
        <v>1</v>
      </c>
      <c r="S1807" s="27">
        <v>0</v>
      </c>
      <c r="T1807" s="27">
        <v>-1.8E-3</v>
      </c>
      <c r="U1807" s="27">
        <v>-1.2E-2</v>
      </c>
      <c r="V1807" s="27">
        <v>0</v>
      </c>
      <c r="W1807" s="27">
        <v>0</v>
      </c>
      <c r="X1807" s="27" t="s">
        <v>65</v>
      </c>
    </row>
    <row r="1808" spans="1:24">
      <c r="A1808" s="27">
        <v>5</v>
      </c>
      <c r="B1808" s="27">
        <v>3</v>
      </c>
      <c r="C1808" s="27">
        <v>11</v>
      </c>
      <c r="D1808" s="27">
        <v>2010</v>
      </c>
      <c r="E1808" s="27">
        <v>2050</v>
      </c>
      <c r="F1808" s="27">
        <v>6</v>
      </c>
      <c r="G1808" s="27">
        <v>0</v>
      </c>
      <c r="H1808" s="27">
        <v>0</v>
      </c>
      <c r="I1808" s="27">
        <v>0</v>
      </c>
      <c r="J1808" s="27">
        <v>0</v>
      </c>
      <c r="K1808" s="27">
        <v>0.62</v>
      </c>
      <c r="L1808" s="27">
        <v>2100</v>
      </c>
      <c r="M1808" s="27">
        <v>1860</v>
      </c>
      <c r="N1808" s="27">
        <v>0</v>
      </c>
      <c r="O1808" s="27">
        <v>0</v>
      </c>
      <c r="P1808" s="27" t="s">
        <v>13</v>
      </c>
      <c r="Q1808" s="27">
        <v>1993</v>
      </c>
      <c r="R1808" s="27">
        <v>1</v>
      </c>
      <c r="S1808" s="27">
        <v>0</v>
      </c>
      <c r="T1808" s="27">
        <v>-1.8E-3</v>
      </c>
      <c r="U1808" s="27">
        <v>-1.2E-2</v>
      </c>
      <c r="V1808" s="27">
        <v>0</v>
      </c>
      <c r="W1808" s="27">
        <v>0</v>
      </c>
      <c r="X1808" s="27" t="s">
        <v>65</v>
      </c>
    </row>
    <row r="1809" spans="1:24">
      <c r="A1809" s="27">
        <v>5</v>
      </c>
      <c r="B1809" s="27">
        <v>3</v>
      </c>
      <c r="C1809" s="27">
        <v>11</v>
      </c>
      <c r="D1809" s="27">
        <v>2010</v>
      </c>
      <c r="E1809" s="27">
        <v>2050</v>
      </c>
      <c r="F1809" s="27">
        <v>7</v>
      </c>
      <c r="G1809" s="27">
        <v>0</v>
      </c>
      <c r="H1809" s="27">
        <v>0</v>
      </c>
      <c r="I1809" s="27">
        <v>0</v>
      </c>
      <c r="J1809" s="27">
        <v>0</v>
      </c>
      <c r="K1809" s="27">
        <v>0.62</v>
      </c>
      <c r="L1809" s="27">
        <v>2100</v>
      </c>
      <c r="M1809" s="27">
        <v>1860</v>
      </c>
      <c r="N1809" s="27">
        <v>0</v>
      </c>
      <c r="O1809" s="27">
        <v>0</v>
      </c>
      <c r="P1809" s="27" t="s">
        <v>13</v>
      </c>
      <c r="Q1809" s="27">
        <v>1993</v>
      </c>
      <c r="R1809" s="27">
        <v>1</v>
      </c>
      <c r="S1809" s="27">
        <v>0</v>
      </c>
      <c r="T1809" s="27">
        <v>-1.8E-3</v>
      </c>
      <c r="U1809" s="27">
        <v>-1.2E-2</v>
      </c>
      <c r="V1809" s="27">
        <v>0</v>
      </c>
      <c r="W1809" s="27">
        <v>0</v>
      </c>
      <c r="X1809" s="27" t="s">
        <v>65</v>
      </c>
    </row>
    <row r="1810" spans="1:24">
      <c r="A1810" s="27">
        <v>5</v>
      </c>
      <c r="B1810" s="27">
        <v>3</v>
      </c>
      <c r="C1810" s="27">
        <v>11</v>
      </c>
      <c r="D1810" s="27">
        <v>2010</v>
      </c>
      <c r="E1810" s="27">
        <v>2050</v>
      </c>
      <c r="F1810" s="27">
        <v>8</v>
      </c>
      <c r="G1810" s="27">
        <v>0</v>
      </c>
      <c r="H1810" s="27">
        <v>0</v>
      </c>
      <c r="I1810" s="27">
        <v>0</v>
      </c>
      <c r="J1810" s="27">
        <v>0</v>
      </c>
      <c r="K1810" s="27">
        <v>0.62</v>
      </c>
      <c r="L1810" s="27">
        <v>2100</v>
      </c>
      <c r="M1810" s="27">
        <v>1860</v>
      </c>
      <c r="N1810" s="27">
        <v>0</v>
      </c>
      <c r="O1810" s="27">
        <v>0</v>
      </c>
      <c r="P1810" s="27" t="s">
        <v>13</v>
      </c>
      <c r="Q1810" s="27">
        <v>1993</v>
      </c>
      <c r="R1810" s="27">
        <v>1</v>
      </c>
      <c r="S1810" s="27">
        <v>0</v>
      </c>
      <c r="T1810" s="27">
        <v>-1.8E-3</v>
      </c>
      <c r="U1810" s="27">
        <v>-1.2E-2</v>
      </c>
      <c r="V1810" s="27">
        <v>0</v>
      </c>
      <c r="W1810" s="27">
        <v>0</v>
      </c>
      <c r="X1810" s="27" t="s">
        <v>65</v>
      </c>
    </row>
    <row r="1811" spans="1:24">
      <c r="A1811" s="27">
        <v>5</v>
      </c>
      <c r="B1811" s="27">
        <v>3</v>
      </c>
      <c r="C1811" s="27">
        <v>11</v>
      </c>
      <c r="D1811" s="27">
        <v>2010</v>
      </c>
      <c r="E1811" s="27">
        <v>2050</v>
      </c>
      <c r="F1811" s="27">
        <v>9</v>
      </c>
      <c r="G1811" s="27">
        <v>0</v>
      </c>
      <c r="H1811" s="27">
        <v>0</v>
      </c>
      <c r="I1811" s="27">
        <v>0</v>
      </c>
      <c r="J1811" s="27">
        <v>0</v>
      </c>
      <c r="K1811" s="27">
        <v>0.62</v>
      </c>
      <c r="L1811" s="27">
        <v>2100</v>
      </c>
      <c r="M1811" s="27">
        <v>1860</v>
      </c>
      <c r="N1811" s="27">
        <v>0</v>
      </c>
      <c r="O1811" s="27">
        <v>0</v>
      </c>
      <c r="P1811" s="27" t="s">
        <v>13</v>
      </c>
      <c r="Q1811" s="27">
        <v>1993</v>
      </c>
      <c r="R1811" s="27">
        <v>1</v>
      </c>
      <c r="S1811" s="27">
        <v>0</v>
      </c>
      <c r="T1811" s="27">
        <v>-1.8E-3</v>
      </c>
      <c r="U1811" s="27">
        <v>-1.2E-2</v>
      </c>
      <c r="V1811" s="27">
        <v>0</v>
      </c>
      <c r="W1811" s="27">
        <v>0</v>
      </c>
      <c r="X1811" s="27" t="s">
        <v>65</v>
      </c>
    </row>
    <row r="1812" spans="1:24">
      <c r="A1812" s="27">
        <v>5</v>
      </c>
      <c r="B1812" s="27">
        <v>3</v>
      </c>
      <c r="C1812" s="27">
        <v>12</v>
      </c>
      <c r="D1812" s="27">
        <v>2010</v>
      </c>
      <c r="E1812" s="27">
        <v>2050</v>
      </c>
      <c r="F1812" s="27">
        <v>1</v>
      </c>
      <c r="G1812" s="27">
        <v>0</v>
      </c>
      <c r="H1812" s="27">
        <v>0</v>
      </c>
      <c r="I1812" s="27">
        <v>0</v>
      </c>
      <c r="J1812" s="27">
        <v>0</v>
      </c>
      <c r="K1812" s="27">
        <v>0.68</v>
      </c>
      <c r="L1812" s="27">
        <v>2250</v>
      </c>
      <c r="M1812" s="27">
        <v>2010</v>
      </c>
      <c r="N1812" s="27">
        <v>0</v>
      </c>
      <c r="O1812" s="27">
        <v>0</v>
      </c>
      <c r="P1812" s="27" t="s">
        <v>13</v>
      </c>
      <c r="Q1812" s="27">
        <v>1993</v>
      </c>
      <c r="R1812" s="27">
        <v>1</v>
      </c>
      <c r="S1812" s="27">
        <v>0</v>
      </c>
      <c r="T1812" s="27">
        <v>-1.8E-3</v>
      </c>
      <c r="U1812" s="27">
        <v>-1.2E-2</v>
      </c>
      <c r="V1812" s="27">
        <v>0</v>
      </c>
      <c r="W1812" s="27">
        <v>0</v>
      </c>
      <c r="X1812" s="27" t="s">
        <v>172</v>
      </c>
    </row>
    <row r="1813" spans="1:24">
      <c r="A1813" s="27">
        <v>5</v>
      </c>
      <c r="B1813" s="27">
        <v>3</v>
      </c>
      <c r="C1813" s="27">
        <v>12</v>
      </c>
      <c r="D1813" s="27">
        <v>2010</v>
      </c>
      <c r="E1813" s="27">
        <v>2050</v>
      </c>
      <c r="F1813" s="27">
        <v>2</v>
      </c>
      <c r="G1813" s="27">
        <v>0</v>
      </c>
      <c r="H1813" s="27">
        <v>0</v>
      </c>
      <c r="I1813" s="27">
        <v>0</v>
      </c>
      <c r="J1813" s="27">
        <v>0</v>
      </c>
      <c r="K1813" s="27">
        <v>0.68</v>
      </c>
      <c r="L1813" s="27">
        <v>2250</v>
      </c>
      <c r="M1813" s="27">
        <v>2010</v>
      </c>
      <c r="N1813" s="27">
        <v>0</v>
      </c>
      <c r="O1813" s="27">
        <v>0</v>
      </c>
      <c r="P1813" s="27" t="s">
        <v>13</v>
      </c>
      <c r="Q1813" s="27">
        <v>1993</v>
      </c>
      <c r="R1813" s="27">
        <v>1</v>
      </c>
      <c r="S1813" s="27">
        <v>0</v>
      </c>
      <c r="T1813" s="27">
        <v>-1.8E-3</v>
      </c>
      <c r="U1813" s="27">
        <v>-1.2E-2</v>
      </c>
      <c r="V1813" s="27">
        <v>0</v>
      </c>
      <c r="W1813" s="27">
        <v>0</v>
      </c>
      <c r="X1813" s="27" t="s">
        <v>172</v>
      </c>
    </row>
    <row r="1814" spans="1:24">
      <c r="A1814" s="27">
        <v>5</v>
      </c>
      <c r="B1814" s="27">
        <v>3</v>
      </c>
      <c r="C1814" s="27">
        <v>12</v>
      </c>
      <c r="D1814" s="27">
        <v>2010</v>
      </c>
      <c r="E1814" s="27">
        <v>2050</v>
      </c>
      <c r="F1814" s="27">
        <v>3</v>
      </c>
      <c r="G1814" s="27">
        <v>0</v>
      </c>
      <c r="H1814" s="27">
        <v>0</v>
      </c>
      <c r="I1814" s="27">
        <v>0</v>
      </c>
      <c r="J1814" s="27">
        <v>0</v>
      </c>
      <c r="K1814" s="27">
        <v>0.68</v>
      </c>
      <c r="L1814" s="27">
        <v>2250</v>
      </c>
      <c r="M1814" s="27">
        <v>2010</v>
      </c>
      <c r="N1814" s="27">
        <v>0</v>
      </c>
      <c r="O1814" s="27">
        <v>0</v>
      </c>
      <c r="P1814" s="27" t="s">
        <v>13</v>
      </c>
      <c r="Q1814" s="27">
        <v>1993</v>
      </c>
      <c r="R1814" s="27">
        <v>1</v>
      </c>
      <c r="S1814" s="27">
        <v>0</v>
      </c>
      <c r="T1814" s="27">
        <v>-1.8E-3</v>
      </c>
      <c r="U1814" s="27">
        <v>-1.2E-2</v>
      </c>
      <c r="V1814" s="27">
        <v>0</v>
      </c>
      <c r="W1814" s="27">
        <v>0</v>
      </c>
      <c r="X1814" s="27" t="s">
        <v>172</v>
      </c>
    </row>
    <row r="1815" spans="1:24">
      <c r="A1815" s="27">
        <v>5</v>
      </c>
      <c r="B1815" s="27">
        <v>3</v>
      </c>
      <c r="C1815" s="27">
        <v>12</v>
      </c>
      <c r="D1815" s="27">
        <v>2010</v>
      </c>
      <c r="E1815" s="27">
        <v>2050</v>
      </c>
      <c r="F1815" s="27">
        <v>4</v>
      </c>
      <c r="G1815" s="27">
        <v>0</v>
      </c>
      <c r="H1815" s="27">
        <v>0</v>
      </c>
      <c r="I1815" s="27">
        <v>0</v>
      </c>
      <c r="J1815" s="27">
        <v>0</v>
      </c>
      <c r="K1815" s="27">
        <v>0.68</v>
      </c>
      <c r="L1815" s="27">
        <v>2250</v>
      </c>
      <c r="M1815" s="27">
        <v>2010</v>
      </c>
      <c r="N1815" s="27">
        <v>0</v>
      </c>
      <c r="O1815" s="27">
        <v>0</v>
      </c>
      <c r="P1815" s="27" t="s">
        <v>13</v>
      </c>
      <c r="Q1815" s="27">
        <v>1993</v>
      </c>
      <c r="R1815" s="27">
        <v>1</v>
      </c>
      <c r="S1815" s="27">
        <v>0</v>
      </c>
      <c r="T1815" s="27">
        <v>-1.8E-3</v>
      </c>
      <c r="U1815" s="27">
        <v>-1.2E-2</v>
      </c>
      <c r="V1815" s="27">
        <v>0</v>
      </c>
      <c r="W1815" s="27">
        <v>0</v>
      </c>
      <c r="X1815" s="27" t="s">
        <v>172</v>
      </c>
    </row>
    <row r="1816" spans="1:24">
      <c r="A1816" s="27">
        <v>5</v>
      </c>
      <c r="B1816" s="27">
        <v>3</v>
      </c>
      <c r="C1816" s="27">
        <v>12</v>
      </c>
      <c r="D1816" s="27">
        <v>2010</v>
      </c>
      <c r="E1816" s="27">
        <v>2050</v>
      </c>
      <c r="F1816" s="27">
        <v>5</v>
      </c>
      <c r="G1816" s="27">
        <v>0</v>
      </c>
      <c r="H1816" s="27">
        <v>0</v>
      </c>
      <c r="I1816" s="27">
        <v>0</v>
      </c>
      <c r="J1816" s="27">
        <v>0</v>
      </c>
      <c r="K1816" s="27">
        <v>0.68</v>
      </c>
      <c r="L1816" s="27">
        <v>2250</v>
      </c>
      <c r="M1816" s="27">
        <v>2010</v>
      </c>
      <c r="N1816" s="27">
        <v>0</v>
      </c>
      <c r="O1816" s="27">
        <v>0</v>
      </c>
      <c r="P1816" s="27" t="s">
        <v>13</v>
      </c>
      <c r="Q1816" s="27">
        <v>1993</v>
      </c>
      <c r="R1816" s="27">
        <v>1</v>
      </c>
      <c r="S1816" s="27">
        <v>0</v>
      </c>
      <c r="T1816" s="27">
        <v>-1.8E-3</v>
      </c>
      <c r="U1816" s="27">
        <v>-1.2E-2</v>
      </c>
      <c r="V1816" s="27">
        <v>0</v>
      </c>
      <c r="W1816" s="27">
        <v>0</v>
      </c>
      <c r="X1816" s="27" t="s">
        <v>172</v>
      </c>
    </row>
    <row r="1817" spans="1:24">
      <c r="A1817" s="27">
        <v>5</v>
      </c>
      <c r="B1817" s="27">
        <v>3</v>
      </c>
      <c r="C1817" s="27">
        <v>12</v>
      </c>
      <c r="D1817" s="27">
        <v>2010</v>
      </c>
      <c r="E1817" s="27">
        <v>2050</v>
      </c>
      <c r="F1817" s="27">
        <v>6</v>
      </c>
      <c r="G1817" s="27">
        <v>0</v>
      </c>
      <c r="H1817" s="27">
        <v>0</v>
      </c>
      <c r="I1817" s="27">
        <v>0</v>
      </c>
      <c r="J1817" s="27">
        <v>0</v>
      </c>
      <c r="K1817" s="27">
        <v>0.68</v>
      </c>
      <c r="L1817" s="27">
        <v>2250</v>
      </c>
      <c r="M1817" s="27">
        <v>2010</v>
      </c>
      <c r="N1817" s="27">
        <v>0</v>
      </c>
      <c r="O1817" s="27">
        <v>0</v>
      </c>
      <c r="P1817" s="27" t="s">
        <v>13</v>
      </c>
      <c r="Q1817" s="27">
        <v>1993</v>
      </c>
      <c r="R1817" s="27">
        <v>1</v>
      </c>
      <c r="S1817" s="27">
        <v>0</v>
      </c>
      <c r="T1817" s="27">
        <v>-1.8E-3</v>
      </c>
      <c r="U1817" s="27">
        <v>-1.2E-2</v>
      </c>
      <c r="V1817" s="27">
        <v>0</v>
      </c>
      <c r="W1817" s="27">
        <v>0</v>
      </c>
      <c r="X1817" s="27" t="s">
        <v>172</v>
      </c>
    </row>
    <row r="1818" spans="1:24">
      <c r="A1818" s="27">
        <v>5</v>
      </c>
      <c r="B1818" s="27">
        <v>3</v>
      </c>
      <c r="C1818" s="27">
        <v>12</v>
      </c>
      <c r="D1818" s="27">
        <v>2010</v>
      </c>
      <c r="E1818" s="27">
        <v>2050</v>
      </c>
      <c r="F1818" s="27">
        <v>7</v>
      </c>
      <c r="G1818" s="27">
        <v>0</v>
      </c>
      <c r="H1818" s="27">
        <v>0</v>
      </c>
      <c r="I1818" s="27">
        <v>0</v>
      </c>
      <c r="J1818" s="27">
        <v>0</v>
      </c>
      <c r="K1818" s="27">
        <v>0.68</v>
      </c>
      <c r="L1818" s="27">
        <v>2250</v>
      </c>
      <c r="M1818" s="27">
        <v>2010</v>
      </c>
      <c r="N1818" s="27">
        <v>0</v>
      </c>
      <c r="O1818" s="27">
        <v>0</v>
      </c>
      <c r="P1818" s="27" t="s">
        <v>13</v>
      </c>
      <c r="Q1818" s="27">
        <v>1993</v>
      </c>
      <c r="R1818" s="27">
        <v>1</v>
      </c>
      <c r="S1818" s="27">
        <v>0</v>
      </c>
      <c r="T1818" s="27">
        <v>-1.8E-3</v>
      </c>
      <c r="U1818" s="27">
        <v>-1.2E-2</v>
      </c>
      <c r="V1818" s="27">
        <v>0</v>
      </c>
      <c r="W1818" s="27">
        <v>0</v>
      </c>
      <c r="X1818" s="27" t="s">
        <v>172</v>
      </c>
    </row>
    <row r="1819" spans="1:24">
      <c r="A1819" s="27">
        <v>5</v>
      </c>
      <c r="B1819" s="27">
        <v>3</v>
      </c>
      <c r="C1819" s="27">
        <v>12</v>
      </c>
      <c r="D1819" s="27">
        <v>2010</v>
      </c>
      <c r="E1819" s="27">
        <v>2050</v>
      </c>
      <c r="F1819" s="27">
        <v>8</v>
      </c>
      <c r="G1819" s="27">
        <v>0</v>
      </c>
      <c r="H1819" s="27">
        <v>0</v>
      </c>
      <c r="I1819" s="27">
        <v>0</v>
      </c>
      <c r="J1819" s="27">
        <v>0</v>
      </c>
      <c r="K1819" s="27">
        <v>0.68</v>
      </c>
      <c r="L1819" s="27">
        <v>2250</v>
      </c>
      <c r="M1819" s="27">
        <v>2010</v>
      </c>
      <c r="N1819" s="27">
        <v>0</v>
      </c>
      <c r="O1819" s="27">
        <v>0</v>
      </c>
      <c r="P1819" s="27" t="s">
        <v>13</v>
      </c>
      <c r="Q1819" s="27">
        <v>1993</v>
      </c>
      <c r="R1819" s="27">
        <v>1</v>
      </c>
      <c r="S1819" s="27">
        <v>0</v>
      </c>
      <c r="T1819" s="27">
        <v>-1.8E-3</v>
      </c>
      <c r="U1819" s="27">
        <v>-1.2E-2</v>
      </c>
      <c r="V1819" s="27">
        <v>0</v>
      </c>
      <c r="W1819" s="27">
        <v>0</v>
      </c>
      <c r="X1819" s="27" t="s">
        <v>172</v>
      </c>
    </row>
    <row r="1820" spans="1:24">
      <c r="A1820" s="27">
        <v>5</v>
      </c>
      <c r="B1820" s="27">
        <v>3</v>
      </c>
      <c r="C1820" s="27">
        <v>12</v>
      </c>
      <c r="D1820" s="27">
        <v>2010</v>
      </c>
      <c r="E1820" s="27">
        <v>2050</v>
      </c>
      <c r="F1820" s="27">
        <v>9</v>
      </c>
      <c r="G1820" s="27">
        <v>0</v>
      </c>
      <c r="H1820" s="27">
        <v>0</v>
      </c>
      <c r="I1820" s="27">
        <v>0</v>
      </c>
      <c r="J1820" s="27">
        <v>0</v>
      </c>
      <c r="K1820" s="27">
        <v>0.68</v>
      </c>
      <c r="L1820" s="27">
        <v>2250</v>
      </c>
      <c r="M1820" s="27">
        <v>2010</v>
      </c>
      <c r="N1820" s="27">
        <v>0</v>
      </c>
      <c r="O1820" s="27">
        <v>0</v>
      </c>
      <c r="P1820" s="27" t="s">
        <v>13</v>
      </c>
      <c r="Q1820" s="27">
        <v>1993</v>
      </c>
      <c r="R1820" s="27">
        <v>1</v>
      </c>
      <c r="S1820" s="27">
        <v>0</v>
      </c>
      <c r="T1820" s="27">
        <v>-1.8E-3</v>
      </c>
      <c r="U1820" s="27">
        <v>-1.2E-2</v>
      </c>
      <c r="V1820" s="27">
        <v>0</v>
      </c>
      <c r="W1820" s="27">
        <v>0</v>
      </c>
      <c r="X1820" s="27" t="s">
        <v>172</v>
      </c>
    </row>
    <row r="1821" spans="1:24">
      <c r="A1821" s="27">
        <v>5</v>
      </c>
      <c r="B1821" s="27">
        <v>4</v>
      </c>
      <c r="C1821" s="27">
        <v>13</v>
      </c>
      <c r="D1821" s="27">
        <v>2010</v>
      </c>
      <c r="E1821" s="27">
        <v>2014</v>
      </c>
      <c r="F1821" s="27">
        <v>1</v>
      </c>
      <c r="G1821" s="27">
        <v>0</v>
      </c>
      <c r="H1821" s="27">
        <v>0</v>
      </c>
      <c r="I1821" s="27">
        <v>0</v>
      </c>
      <c r="J1821" s="27">
        <v>0</v>
      </c>
      <c r="K1821" s="27">
        <v>0.59</v>
      </c>
      <c r="L1821" s="27">
        <v>900</v>
      </c>
      <c r="M1821" s="27">
        <v>720</v>
      </c>
      <c r="N1821" s="27">
        <v>0</v>
      </c>
      <c r="O1821" s="27">
        <v>0</v>
      </c>
      <c r="P1821" s="27" t="s">
        <v>13</v>
      </c>
      <c r="Q1821" s="27">
        <v>1993</v>
      </c>
      <c r="R1821" s="27">
        <v>1</v>
      </c>
      <c r="S1821" s="27">
        <v>0</v>
      </c>
      <c r="T1821" s="27">
        <v>-1.619E-2</v>
      </c>
      <c r="U1821" s="27">
        <v>-5.3969999999999997E-2</v>
      </c>
      <c r="V1821" s="27">
        <v>0</v>
      </c>
      <c r="W1821" s="27">
        <v>0</v>
      </c>
      <c r="X1821" s="27" t="s">
        <v>66</v>
      </c>
    </row>
    <row r="1822" spans="1:24">
      <c r="A1822" s="27">
        <v>5</v>
      </c>
      <c r="B1822" s="27">
        <v>4</v>
      </c>
      <c r="C1822" s="27">
        <v>13</v>
      </c>
      <c r="D1822" s="27">
        <v>2010</v>
      </c>
      <c r="E1822" s="27">
        <v>2014</v>
      </c>
      <c r="F1822" s="27">
        <v>2</v>
      </c>
      <c r="G1822" s="27">
        <v>0</v>
      </c>
      <c r="H1822" s="27">
        <v>0</v>
      </c>
      <c r="I1822" s="27">
        <v>0</v>
      </c>
      <c r="J1822" s="27">
        <v>0</v>
      </c>
      <c r="K1822" s="27">
        <v>0.59</v>
      </c>
      <c r="L1822" s="27">
        <v>900</v>
      </c>
      <c r="M1822" s="27">
        <v>720</v>
      </c>
      <c r="N1822" s="27">
        <v>0</v>
      </c>
      <c r="O1822" s="27">
        <v>0</v>
      </c>
      <c r="P1822" s="27" t="s">
        <v>13</v>
      </c>
      <c r="Q1822" s="27">
        <v>1993</v>
      </c>
      <c r="R1822" s="27">
        <v>1</v>
      </c>
      <c r="S1822" s="27">
        <v>0</v>
      </c>
      <c r="T1822" s="27">
        <v>-1.619E-2</v>
      </c>
      <c r="U1822" s="27">
        <v>-5.3969999999999997E-2</v>
      </c>
      <c r="V1822" s="27">
        <v>0</v>
      </c>
      <c r="W1822" s="27">
        <v>0</v>
      </c>
      <c r="X1822" s="27" t="s">
        <v>66</v>
      </c>
    </row>
    <row r="1823" spans="1:24">
      <c r="A1823" s="27">
        <v>5</v>
      </c>
      <c r="B1823" s="27">
        <v>4</v>
      </c>
      <c r="C1823" s="27">
        <v>13</v>
      </c>
      <c r="D1823" s="27">
        <v>2010</v>
      </c>
      <c r="E1823" s="27">
        <v>2014</v>
      </c>
      <c r="F1823" s="27">
        <v>3</v>
      </c>
      <c r="G1823" s="27">
        <v>0</v>
      </c>
      <c r="H1823" s="27">
        <v>0</v>
      </c>
      <c r="I1823" s="27">
        <v>0</v>
      </c>
      <c r="J1823" s="27">
        <v>0</v>
      </c>
      <c r="K1823" s="27">
        <v>0.59</v>
      </c>
      <c r="L1823" s="27">
        <v>900</v>
      </c>
      <c r="M1823" s="27">
        <v>720</v>
      </c>
      <c r="N1823" s="27">
        <v>0</v>
      </c>
      <c r="O1823" s="27">
        <v>0</v>
      </c>
      <c r="P1823" s="27" t="s">
        <v>13</v>
      </c>
      <c r="Q1823" s="27">
        <v>1993</v>
      </c>
      <c r="R1823" s="27">
        <v>1</v>
      </c>
      <c r="S1823" s="27">
        <v>0</v>
      </c>
      <c r="T1823" s="27">
        <v>-1.619E-2</v>
      </c>
      <c r="U1823" s="27">
        <v>-5.3969999999999997E-2</v>
      </c>
      <c r="V1823" s="27">
        <v>0</v>
      </c>
      <c r="W1823" s="27">
        <v>0</v>
      </c>
      <c r="X1823" s="27" t="s">
        <v>66</v>
      </c>
    </row>
    <row r="1824" spans="1:24">
      <c r="A1824" s="27">
        <v>5</v>
      </c>
      <c r="B1824" s="27">
        <v>4</v>
      </c>
      <c r="C1824" s="27">
        <v>13</v>
      </c>
      <c r="D1824" s="27">
        <v>2010</v>
      </c>
      <c r="E1824" s="27">
        <v>2014</v>
      </c>
      <c r="F1824" s="27">
        <v>4</v>
      </c>
      <c r="G1824" s="27">
        <v>0</v>
      </c>
      <c r="H1824" s="27">
        <v>0</v>
      </c>
      <c r="I1824" s="27">
        <v>0</v>
      </c>
      <c r="J1824" s="27">
        <v>0</v>
      </c>
      <c r="K1824" s="27">
        <v>0.59</v>
      </c>
      <c r="L1824" s="27">
        <v>900</v>
      </c>
      <c r="M1824" s="27">
        <v>720</v>
      </c>
      <c r="N1824" s="27">
        <v>0</v>
      </c>
      <c r="O1824" s="27">
        <v>0</v>
      </c>
      <c r="P1824" s="27" t="s">
        <v>13</v>
      </c>
      <c r="Q1824" s="27">
        <v>1993</v>
      </c>
      <c r="R1824" s="27">
        <v>1</v>
      </c>
      <c r="S1824" s="27">
        <v>0</v>
      </c>
      <c r="T1824" s="27">
        <v>-1.619E-2</v>
      </c>
      <c r="U1824" s="27">
        <v>-5.3969999999999997E-2</v>
      </c>
      <c r="V1824" s="27">
        <v>0</v>
      </c>
      <c r="W1824" s="27">
        <v>0</v>
      </c>
      <c r="X1824" s="27" t="s">
        <v>66</v>
      </c>
    </row>
    <row r="1825" spans="1:24">
      <c r="A1825" s="27">
        <v>5</v>
      </c>
      <c r="B1825" s="27">
        <v>4</v>
      </c>
      <c r="C1825" s="27">
        <v>13</v>
      </c>
      <c r="D1825" s="27">
        <v>2010</v>
      </c>
      <c r="E1825" s="27">
        <v>2014</v>
      </c>
      <c r="F1825" s="27">
        <v>5</v>
      </c>
      <c r="G1825" s="27">
        <v>0</v>
      </c>
      <c r="H1825" s="27">
        <v>0</v>
      </c>
      <c r="I1825" s="27">
        <v>0</v>
      </c>
      <c r="J1825" s="27">
        <v>0</v>
      </c>
      <c r="K1825" s="27">
        <v>0.59</v>
      </c>
      <c r="L1825" s="27">
        <v>900</v>
      </c>
      <c r="M1825" s="27">
        <v>720</v>
      </c>
      <c r="N1825" s="27">
        <v>0</v>
      </c>
      <c r="O1825" s="27">
        <v>0</v>
      </c>
      <c r="P1825" s="27" t="s">
        <v>13</v>
      </c>
      <c r="Q1825" s="27">
        <v>1993</v>
      </c>
      <c r="R1825" s="27">
        <v>1</v>
      </c>
      <c r="S1825" s="27">
        <v>0</v>
      </c>
      <c r="T1825" s="27">
        <v>-1.619E-2</v>
      </c>
      <c r="U1825" s="27">
        <v>-5.3969999999999997E-2</v>
      </c>
      <c r="V1825" s="27">
        <v>0</v>
      </c>
      <c r="W1825" s="27">
        <v>0</v>
      </c>
      <c r="X1825" s="27" t="s">
        <v>66</v>
      </c>
    </row>
    <row r="1826" spans="1:24">
      <c r="A1826" s="27">
        <v>5</v>
      </c>
      <c r="B1826" s="27">
        <v>4</v>
      </c>
      <c r="C1826" s="27">
        <v>13</v>
      </c>
      <c r="D1826" s="27">
        <v>2010</v>
      </c>
      <c r="E1826" s="27">
        <v>2014</v>
      </c>
      <c r="F1826" s="27">
        <v>6</v>
      </c>
      <c r="G1826" s="27">
        <v>0</v>
      </c>
      <c r="H1826" s="27">
        <v>0</v>
      </c>
      <c r="I1826" s="27">
        <v>0</v>
      </c>
      <c r="J1826" s="27">
        <v>0</v>
      </c>
      <c r="K1826" s="27">
        <v>0.59</v>
      </c>
      <c r="L1826" s="27">
        <v>900</v>
      </c>
      <c r="M1826" s="27">
        <v>720</v>
      </c>
      <c r="N1826" s="27">
        <v>0</v>
      </c>
      <c r="O1826" s="27">
        <v>0</v>
      </c>
      <c r="P1826" s="27" t="s">
        <v>13</v>
      </c>
      <c r="Q1826" s="27">
        <v>1993</v>
      </c>
      <c r="R1826" s="27">
        <v>1</v>
      </c>
      <c r="S1826" s="27">
        <v>0</v>
      </c>
      <c r="T1826" s="27">
        <v>-1.619E-2</v>
      </c>
      <c r="U1826" s="27">
        <v>-5.3969999999999997E-2</v>
      </c>
      <c r="V1826" s="27">
        <v>0</v>
      </c>
      <c r="W1826" s="27">
        <v>0</v>
      </c>
      <c r="X1826" s="27" t="s">
        <v>66</v>
      </c>
    </row>
    <row r="1827" spans="1:24">
      <c r="A1827" s="27">
        <v>5</v>
      </c>
      <c r="B1827" s="27">
        <v>4</v>
      </c>
      <c r="C1827" s="27">
        <v>13</v>
      </c>
      <c r="D1827" s="27">
        <v>2010</v>
      </c>
      <c r="E1827" s="27">
        <v>2014</v>
      </c>
      <c r="F1827" s="27">
        <v>7</v>
      </c>
      <c r="G1827" s="27">
        <v>0</v>
      </c>
      <c r="H1827" s="27">
        <v>0</v>
      </c>
      <c r="I1827" s="27">
        <v>0</v>
      </c>
      <c r="J1827" s="27">
        <v>0</v>
      </c>
      <c r="K1827" s="27">
        <v>0.59</v>
      </c>
      <c r="L1827" s="27">
        <v>900</v>
      </c>
      <c r="M1827" s="27">
        <v>720</v>
      </c>
      <c r="N1827" s="27">
        <v>0</v>
      </c>
      <c r="O1827" s="27">
        <v>0</v>
      </c>
      <c r="P1827" s="27" t="s">
        <v>13</v>
      </c>
      <c r="Q1827" s="27">
        <v>1993</v>
      </c>
      <c r="R1827" s="27">
        <v>1</v>
      </c>
      <c r="S1827" s="27">
        <v>0</v>
      </c>
      <c r="T1827" s="27">
        <v>-1.619E-2</v>
      </c>
      <c r="U1827" s="27">
        <v>-5.3969999999999997E-2</v>
      </c>
      <c r="V1827" s="27">
        <v>0</v>
      </c>
      <c r="W1827" s="27">
        <v>0</v>
      </c>
      <c r="X1827" s="27" t="s">
        <v>66</v>
      </c>
    </row>
    <row r="1828" spans="1:24">
      <c r="A1828" s="27">
        <v>5</v>
      </c>
      <c r="B1828" s="27">
        <v>4</v>
      </c>
      <c r="C1828" s="27">
        <v>13</v>
      </c>
      <c r="D1828" s="27">
        <v>2010</v>
      </c>
      <c r="E1828" s="27">
        <v>2014</v>
      </c>
      <c r="F1828" s="27">
        <v>8</v>
      </c>
      <c r="G1828" s="27">
        <v>0</v>
      </c>
      <c r="H1828" s="27">
        <v>0</v>
      </c>
      <c r="I1828" s="27">
        <v>0</v>
      </c>
      <c r="J1828" s="27">
        <v>0</v>
      </c>
      <c r="K1828" s="27">
        <v>0.59</v>
      </c>
      <c r="L1828" s="27">
        <v>900</v>
      </c>
      <c r="M1828" s="27">
        <v>720</v>
      </c>
      <c r="N1828" s="27">
        <v>0</v>
      </c>
      <c r="O1828" s="27">
        <v>0</v>
      </c>
      <c r="P1828" s="27" t="s">
        <v>13</v>
      </c>
      <c r="Q1828" s="27">
        <v>1993</v>
      </c>
      <c r="R1828" s="27">
        <v>1</v>
      </c>
      <c r="S1828" s="27">
        <v>0</v>
      </c>
      <c r="T1828" s="27">
        <v>-1.619E-2</v>
      </c>
      <c r="U1828" s="27">
        <v>-5.3969999999999997E-2</v>
      </c>
      <c r="V1828" s="27">
        <v>0</v>
      </c>
      <c r="W1828" s="27">
        <v>0</v>
      </c>
      <c r="X1828" s="27" t="s">
        <v>66</v>
      </c>
    </row>
    <row r="1829" spans="1:24">
      <c r="A1829" s="27">
        <v>5</v>
      </c>
      <c r="B1829" s="27">
        <v>4</v>
      </c>
      <c r="C1829" s="27">
        <v>13</v>
      </c>
      <c r="D1829" s="27">
        <v>2010</v>
      </c>
      <c r="E1829" s="27">
        <v>2014</v>
      </c>
      <c r="F1829" s="27">
        <v>9</v>
      </c>
      <c r="G1829" s="27">
        <v>0</v>
      </c>
      <c r="H1829" s="27">
        <v>0</v>
      </c>
      <c r="I1829" s="27">
        <v>0</v>
      </c>
      <c r="J1829" s="27">
        <v>0</v>
      </c>
      <c r="K1829" s="27">
        <v>0.59</v>
      </c>
      <c r="L1829" s="27">
        <v>900</v>
      </c>
      <c r="M1829" s="27">
        <v>720</v>
      </c>
      <c r="N1829" s="27">
        <v>0</v>
      </c>
      <c r="O1829" s="27">
        <v>0</v>
      </c>
      <c r="P1829" s="27" t="s">
        <v>13</v>
      </c>
      <c r="Q1829" s="27">
        <v>1993</v>
      </c>
      <c r="R1829" s="27">
        <v>1</v>
      </c>
      <c r="S1829" s="27">
        <v>0</v>
      </c>
      <c r="T1829" s="27">
        <v>-1.619E-2</v>
      </c>
      <c r="U1829" s="27">
        <v>-5.3969999999999997E-2</v>
      </c>
      <c r="V1829" s="27">
        <v>0</v>
      </c>
      <c r="W1829" s="27">
        <v>0</v>
      </c>
      <c r="X1829" s="27" t="s">
        <v>66</v>
      </c>
    </row>
    <row r="1830" spans="1:24">
      <c r="A1830" s="27">
        <v>5</v>
      </c>
      <c r="B1830" s="27">
        <v>4</v>
      </c>
      <c r="C1830" s="27">
        <v>13</v>
      </c>
      <c r="D1830" s="27">
        <v>2015</v>
      </c>
      <c r="E1830" s="27">
        <v>2050</v>
      </c>
      <c r="F1830" s="27">
        <v>1</v>
      </c>
      <c r="G1830" s="27">
        <v>0</v>
      </c>
      <c r="H1830" s="27">
        <v>0</v>
      </c>
      <c r="I1830" s="27">
        <v>0</v>
      </c>
      <c r="J1830" s="27">
        <v>0</v>
      </c>
      <c r="K1830" s="27">
        <v>0.62</v>
      </c>
      <c r="L1830" s="27">
        <v>920</v>
      </c>
      <c r="M1830" s="27">
        <v>740</v>
      </c>
      <c r="N1830" s="27">
        <v>0</v>
      </c>
      <c r="O1830" s="27">
        <v>0</v>
      </c>
      <c r="P1830" s="27" t="s">
        <v>13</v>
      </c>
      <c r="Q1830" s="27">
        <v>1993</v>
      </c>
      <c r="R1830" s="27">
        <v>1</v>
      </c>
      <c r="S1830" s="27">
        <v>0</v>
      </c>
      <c r="T1830" s="27">
        <v>-1.619E-2</v>
      </c>
      <c r="U1830" s="27">
        <v>-5.3969999999999997E-2</v>
      </c>
      <c r="V1830" s="27">
        <v>0</v>
      </c>
      <c r="W1830" s="27">
        <v>0</v>
      </c>
      <c r="X1830" s="27" t="s">
        <v>66</v>
      </c>
    </row>
    <row r="1831" spans="1:24">
      <c r="A1831" s="27">
        <v>5</v>
      </c>
      <c r="B1831" s="27">
        <v>4</v>
      </c>
      <c r="C1831" s="27">
        <v>13</v>
      </c>
      <c r="D1831" s="27">
        <v>2015</v>
      </c>
      <c r="E1831" s="27">
        <v>2050</v>
      </c>
      <c r="F1831" s="27">
        <v>2</v>
      </c>
      <c r="G1831" s="27">
        <v>0</v>
      </c>
      <c r="H1831" s="27">
        <v>0</v>
      </c>
      <c r="I1831" s="27">
        <v>0</v>
      </c>
      <c r="J1831" s="27">
        <v>0</v>
      </c>
      <c r="K1831" s="27">
        <v>0.62</v>
      </c>
      <c r="L1831" s="27">
        <v>920</v>
      </c>
      <c r="M1831" s="27">
        <v>740</v>
      </c>
      <c r="N1831" s="27">
        <v>0</v>
      </c>
      <c r="O1831" s="27">
        <v>0</v>
      </c>
      <c r="P1831" s="27" t="s">
        <v>13</v>
      </c>
      <c r="Q1831" s="27">
        <v>1993</v>
      </c>
      <c r="R1831" s="27">
        <v>1</v>
      </c>
      <c r="S1831" s="27">
        <v>0</v>
      </c>
      <c r="T1831" s="27">
        <v>-1.619E-2</v>
      </c>
      <c r="U1831" s="27">
        <v>-5.3969999999999997E-2</v>
      </c>
      <c r="V1831" s="27">
        <v>0</v>
      </c>
      <c r="W1831" s="27">
        <v>0</v>
      </c>
      <c r="X1831" s="27" t="s">
        <v>66</v>
      </c>
    </row>
    <row r="1832" spans="1:24">
      <c r="A1832" s="27">
        <v>5</v>
      </c>
      <c r="B1832" s="27">
        <v>4</v>
      </c>
      <c r="C1832" s="27">
        <v>13</v>
      </c>
      <c r="D1832" s="27">
        <v>2015</v>
      </c>
      <c r="E1832" s="27">
        <v>2050</v>
      </c>
      <c r="F1832" s="27">
        <v>3</v>
      </c>
      <c r="G1832" s="27">
        <v>0</v>
      </c>
      <c r="H1832" s="27">
        <v>0</v>
      </c>
      <c r="I1832" s="27">
        <v>0</v>
      </c>
      <c r="J1832" s="27">
        <v>0</v>
      </c>
      <c r="K1832" s="27">
        <v>0.62</v>
      </c>
      <c r="L1832" s="27">
        <v>920</v>
      </c>
      <c r="M1832" s="27">
        <v>740</v>
      </c>
      <c r="N1832" s="27">
        <v>0</v>
      </c>
      <c r="O1832" s="27">
        <v>0</v>
      </c>
      <c r="P1832" s="27" t="s">
        <v>13</v>
      </c>
      <c r="Q1832" s="27">
        <v>1993</v>
      </c>
      <c r="R1832" s="27">
        <v>1</v>
      </c>
      <c r="S1832" s="27">
        <v>0</v>
      </c>
      <c r="T1832" s="27">
        <v>-1.619E-2</v>
      </c>
      <c r="U1832" s="27">
        <v>-5.3969999999999997E-2</v>
      </c>
      <c r="V1832" s="27">
        <v>0</v>
      </c>
      <c r="W1832" s="27">
        <v>0</v>
      </c>
      <c r="X1832" s="27" t="s">
        <v>66</v>
      </c>
    </row>
    <row r="1833" spans="1:24">
      <c r="A1833" s="27">
        <v>5</v>
      </c>
      <c r="B1833" s="27">
        <v>4</v>
      </c>
      <c r="C1833" s="27">
        <v>13</v>
      </c>
      <c r="D1833" s="27">
        <v>2015</v>
      </c>
      <c r="E1833" s="27">
        <v>2050</v>
      </c>
      <c r="F1833" s="27">
        <v>4</v>
      </c>
      <c r="G1833" s="27">
        <v>0</v>
      </c>
      <c r="H1833" s="27">
        <v>0</v>
      </c>
      <c r="I1833" s="27">
        <v>0</v>
      </c>
      <c r="J1833" s="27">
        <v>0</v>
      </c>
      <c r="K1833" s="27">
        <v>0.62</v>
      </c>
      <c r="L1833" s="27">
        <v>920</v>
      </c>
      <c r="M1833" s="27">
        <v>740</v>
      </c>
      <c r="N1833" s="27">
        <v>0</v>
      </c>
      <c r="O1833" s="27">
        <v>0</v>
      </c>
      <c r="P1833" s="27" t="s">
        <v>13</v>
      </c>
      <c r="Q1833" s="27">
        <v>1993</v>
      </c>
      <c r="R1833" s="27">
        <v>1</v>
      </c>
      <c r="S1833" s="27">
        <v>0</v>
      </c>
      <c r="T1833" s="27">
        <v>-1.619E-2</v>
      </c>
      <c r="U1833" s="27">
        <v>-5.3969999999999997E-2</v>
      </c>
      <c r="V1833" s="27">
        <v>0</v>
      </c>
      <c r="W1833" s="27">
        <v>0</v>
      </c>
      <c r="X1833" s="27" t="s">
        <v>66</v>
      </c>
    </row>
    <row r="1834" spans="1:24">
      <c r="A1834" s="27">
        <v>5</v>
      </c>
      <c r="B1834" s="27">
        <v>4</v>
      </c>
      <c r="C1834" s="27">
        <v>13</v>
      </c>
      <c r="D1834" s="27">
        <v>2015</v>
      </c>
      <c r="E1834" s="27">
        <v>2050</v>
      </c>
      <c r="F1834" s="27">
        <v>5</v>
      </c>
      <c r="G1834" s="27">
        <v>0</v>
      </c>
      <c r="H1834" s="27">
        <v>0</v>
      </c>
      <c r="I1834" s="27">
        <v>0</v>
      </c>
      <c r="J1834" s="27">
        <v>0</v>
      </c>
      <c r="K1834" s="27">
        <v>0.62</v>
      </c>
      <c r="L1834" s="27">
        <v>920</v>
      </c>
      <c r="M1834" s="27">
        <v>740</v>
      </c>
      <c r="N1834" s="27">
        <v>0</v>
      </c>
      <c r="O1834" s="27">
        <v>0</v>
      </c>
      <c r="P1834" s="27" t="s">
        <v>13</v>
      </c>
      <c r="Q1834" s="27">
        <v>1993</v>
      </c>
      <c r="R1834" s="27">
        <v>1</v>
      </c>
      <c r="S1834" s="27">
        <v>0</v>
      </c>
      <c r="T1834" s="27">
        <v>-1.619E-2</v>
      </c>
      <c r="U1834" s="27">
        <v>-5.3969999999999997E-2</v>
      </c>
      <c r="V1834" s="27">
        <v>0</v>
      </c>
      <c r="W1834" s="27">
        <v>0</v>
      </c>
      <c r="X1834" s="27" t="s">
        <v>66</v>
      </c>
    </row>
    <row r="1835" spans="1:24">
      <c r="A1835" s="27">
        <v>5</v>
      </c>
      <c r="B1835" s="27">
        <v>4</v>
      </c>
      <c r="C1835" s="27">
        <v>13</v>
      </c>
      <c r="D1835" s="27">
        <v>2015</v>
      </c>
      <c r="E1835" s="27">
        <v>2050</v>
      </c>
      <c r="F1835" s="27">
        <v>6</v>
      </c>
      <c r="G1835" s="27">
        <v>0</v>
      </c>
      <c r="H1835" s="27">
        <v>0</v>
      </c>
      <c r="I1835" s="27">
        <v>0</v>
      </c>
      <c r="J1835" s="27">
        <v>0</v>
      </c>
      <c r="K1835" s="27">
        <v>0.62</v>
      </c>
      <c r="L1835" s="27">
        <v>920</v>
      </c>
      <c r="M1835" s="27">
        <v>740</v>
      </c>
      <c r="N1835" s="27">
        <v>0</v>
      </c>
      <c r="O1835" s="27">
        <v>0</v>
      </c>
      <c r="P1835" s="27" t="s">
        <v>13</v>
      </c>
      <c r="Q1835" s="27">
        <v>1993</v>
      </c>
      <c r="R1835" s="27">
        <v>1</v>
      </c>
      <c r="S1835" s="27">
        <v>0</v>
      </c>
      <c r="T1835" s="27">
        <v>-1.619E-2</v>
      </c>
      <c r="U1835" s="27">
        <v>-5.3969999999999997E-2</v>
      </c>
      <c r="V1835" s="27">
        <v>0</v>
      </c>
      <c r="W1835" s="27">
        <v>0</v>
      </c>
      <c r="X1835" s="27" t="s">
        <v>66</v>
      </c>
    </row>
    <row r="1836" spans="1:24">
      <c r="A1836" s="27">
        <v>5</v>
      </c>
      <c r="B1836" s="27">
        <v>4</v>
      </c>
      <c r="C1836" s="27">
        <v>13</v>
      </c>
      <c r="D1836" s="27">
        <v>2015</v>
      </c>
      <c r="E1836" s="27">
        <v>2050</v>
      </c>
      <c r="F1836" s="27">
        <v>7</v>
      </c>
      <c r="G1836" s="27">
        <v>0</v>
      </c>
      <c r="H1836" s="27">
        <v>0</v>
      </c>
      <c r="I1836" s="27">
        <v>0</v>
      </c>
      <c r="J1836" s="27">
        <v>0</v>
      </c>
      <c r="K1836" s="27">
        <v>0.62</v>
      </c>
      <c r="L1836" s="27">
        <v>920</v>
      </c>
      <c r="M1836" s="27">
        <v>740</v>
      </c>
      <c r="N1836" s="27">
        <v>0</v>
      </c>
      <c r="O1836" s="27">
        <v>0</v>
      </c>
      <c r="P1836" s="27" t="s">
        <v>13</v>
      </c>
      <c r="Q1836" s="27">
        <v>1993</v>
      </c>
      <c r="R1836" s="27">
        <v>1</v>
      </c>
      <c r="S1836" s="27">
        <v>0</v>
      </c>
      <c r="T1836" s="27">
        <v>-1.619E-2</v>
      </c>
      <c r="U1836" s="27">
        <v>-5.3969999999999997E-2</v>
      </c>
      <c r="V1836" s="27">
        <v>0</v>
      </c>
      <c r="W1836" s="27">
        <v>0</v>
      </c>
      <c r="X1836" s="27" t="s">
        <v>66</v>
      </c>
    </row>
    <row r="1837" spans="1:24">
      <c r="A1837" s="27">
        <v>5</v>
      </c>
      <c r="B1837" s="27">
        <v>4</v>
      </c>
      <c r="C1837" s="27">
        <v>13</v>
      </c>
      <c r="D1837" s="27">
        <v>2015</v>
      </c>
      <c r="E1837" s="27">
        <v>2050</v>
      </c>
      <c r="F1837" s="27">
        <v>8</v>
      </c>
      <c r="G1837" s="27">
        <v>0</v>
      </c>
      <c r="H1837" s="27">
        <v>0</v>
      </c>
      <c r="I1837" s="27">
        <v>0</v>
      </c>
      <c r="J1837" s="27">
        <v>0</v>
      </c>
      <c r="K1837" s="27">
        <v>0.62</v>
      </c>
      <c r="L1837" s="27">
        <v>920</v>
      </c>
      <c r="M1837" s="27">
        <v>740</v>
      </c>
      <c r="N1837" s="27">
        <v>0</v>
      </c>
      <c r="O1837" s="27">
        <v>0</v>
      </c>
      <c r="P1837" s="27" t="s">
        <v>13</v>
      </c>
      <c r="Q1837" s="27">
        <v>1993</v>
      </c>
      <c r="R1837" s="27">
        <v>1</v>
      </c>
      <c r="S1837" s="27">
        <v>0</v>
      </c>
      <c r="T1837" s="27">
        <v>-1.619E-2</v>
      </c>
      <c r="U1837" s="27">
        <v>-5.3969999999999997E-2</v>
      </c>
      <c r="V1837" s="27">
        <v>0</v>
      </c>
      <c r="W1837" s="27">
        <v>0</v>
      </c>
      <c r="X1837" s="27" t="s">
        <v>66</v>
      </c>
    </row>
    <row r="1838" spans="1:24">
      <c r="A1838" s="27">
        <v>5</v>
      </c>
      <c r="B1838" s="27">
        <v>4</v>
      </c>
      <c r="C1838" s="27">
        <v>13</v>
      </c>
      <c r="D1838" s="27">
        <v>2015</v>
      </c>
      <c r="E1838" s="27">
        <v>2050</v>
      </c>
      <c r="F1838" s="27">
        <v>9</v>
      </c>
      <c r="G1838" s="27">
        <v>0</v>
      </c>
      <c r="H1838" s="27">
        <v>0</v>
      </c>
      <c r="I1838" s="27">
        <v>0</v>
      </c>
      <c r="J1838" s="27">
        <v>0</v>
      </c>
      <c r="K1838" s="27">
        <v>0.62</v>
      </c>
      <c r="L1838" s="27">
        <v>920</v>
      </c>
      <c r="M1838" s="27">
        <v>740</v>
      </c>
      <c r="N1838" s="27">
        <v>0</v>
      </c>
      <c r="O1838" s="27">
        <v>0</v>
      </c>
      <c r="P1838" s="27" t="s">
        <v>13</v>
      </c>
      <c r="Q1838" s="27">
        <v>1993</v>
      </c>
      <c r="R1838" s="27">
        <v>1</v>
      </c>
      <c r="S1838" s="27">
        <v>0</v>
      </c>
      <c r="T1838" s="27">
        <v>-1.619E-2</v>
      </c>
      <c r="U1838" s="27">
        <v>-5.3969999999999997E-2</v>
      </c>
      <c r="V1838" s="27">
        <v>0</v>
      </c>
      <c r="W1838" s="27">
        <v>0</v>
      </c>
      <c r="X1838" s="27" t="s">
        <v>66</v>
      </c>
    </row>
    <row r="1839" spans="1:24">
      <c r="A1839" s="27">
        <v>5</v>
      </c>
      <c r="B1839" s="27">
        <v>4</v>
      </c>
      <c r="C1839" s="27">
        <v>14</v>
      </c>
      <c r="D1839" s="27">
        <v>2010</v>
      </c>
      <c r="E1839" s="27">
        <v>2050</v>
      </c>
      <c r="F1839" s="27">
        <v>1</v>
      </c>
      <c r="G1839" s="27">
        <v>0</v>
      </c>
      <c r="H1839" s="27">
        <v>0</v>
      </c>
      <c r="I1839" s="27">
        <v>0</v>
      </c>
      <c r="J1839" s="27">
        <v>0</v>
      </c>
      <c r="K1839" s="27">
        <v>0.67</v>
      </c>
      <c r="L1839" s="27">
        <v>1250</v>
      </c>
      <c r="M1839" s="27">
        <v>1070</v>
      </c>
      <c r="N1839" s="27">
        <v>0</v>
      </c>
      <c r="O1839" s="27">
        <v>0</v>
      </c>
      <c r="P1839" s="27" t="s">
        <v>13</v>
      </c>
      <c r="Q1839" s="27">
        <v>1993</v>
      </c>
      <c r="R1839" s="27">
        <v>1</v>
      </c>
      <c r="S1839" s="27">
        <v>0</v>
      </c>
      <c r="T1839" s="27">
        <v>-1.619E-2</v>
      </c>
      <c r="U1839" s="27">
        <v>-5.3969999999999997E-2</v>
      </c>
      <c r="V1839" s="27">
        <v>0</v>
      </c>
      <c r="W1839" s="27">
        <v>0</v>
      </c>
      <c r="X1839" s="27" t="s">
        <v>67</v>
      </c>
    </row>
    <row r="1840" spans="1:24">
      <c r="A1840" s="27">
        <v>5</v>
      </c>
      <c r="B1840" s="27">
        <v>4</v>
      </c>
      <c r="C1840" s="27">
        <v>14</v>
      </c>
      <c r="D1840" s="27">
        <v>2010</v>
      </c>
      <c r="E1840" s="27">
        <v>2050</v>
      </c>
      <c r="F1840" s="27">
        <v>2</v>
      </c>
      <c r="G1840" s="27">
        <v>0</v>
      </c>
      <c r="H1840" s="27">
        <v>0</v>
      </c>
      <c r="I1840" s="27">
        <v>0</v>
      </c>
      <c r="J1840" s="27">
        <v>0</v>
      </c>
      <c r="K1840" s="27">
        <v>0.67</v>
      </c>
      <c r="L1840" s="27">
        <v>1250</v>
      </c>
      <c r="M1840" s="27">
        <v>1070</v>
      </c>
      <c r="N1840" s="27">
        <v>0</v>
      </c>
      <c r="O1840" s="27">
        <v>0</v>
      </c>
      <c r="P1840" s="27" t="s">
        <v>13</v>
      </c>
      <c r="Q1840" s="27">
        <v>1993</v>
      </c>
      <c r="R1840" s="27">
        <v>1</v>
      </c>
      <c r="S1840" s="27">
        <v>0</v>
      </c>
      <c r="T1840" s="27">
        <v>-1.619E-2</v>
      </c>
      <c r="U1840" s="27">
        <v>-5.3969999999999997E-2</v>
      </c>
      <c r="V1840" s="27">
        <v>0</v>
      </c>
      <c r="W1840" s="27">
        <v>0</v>
      </c>
      <c r="X1840" s="27" t="s">
        <v>67</v>
      </c>
    </row>
    <row r="1841" spans="1:24">
      <c r="A1841" s="27">
        <v>5</v>
      </c>
      <c r="B1841" s="27">
        <v>4</v>
      </c>
      <c r="C1841" s="27">
        <v>14</v>
      </c>
      <c r="D1841" s="27">
        <v>2010</v>
      </c>
      <c r="E1841" s="27">
        <v>2050</v>
      </c>
      <c r="F1841" s="27">
        <v>3</v>
      </c>
      <c r="G1841" s="27">
        <v>0</v>
      </c>
      <c r="H1841" s="27">
        <v>0</v>
      </c>
      <c r="I1841" s="27">
        <v>0</v>
      </c>
      <c r="J1841" s="27">
        <v>0</v>
      </c>
      <c r="K1841" s="27">
        <v>0.67</v>
      </c>
      <c r="L1841" s="27">
        <v>1250</v>
      </c>
      <c r="M1841" s="27">
        <v>1070</v>
      </c>
      <c r="N1841" s="27">
        <v>0</v>
      </c>
      <c r="O1841" s="27">
        <v>0</v>
      </c>
      <c r="P1841" s="27" t="s">
        <v>13</v>
      </c>
      <c r="Q1841" s="27">
        <v>1993</v>
      </c>
      <c r="R1841" s="27">
        <v>1</v>
      </c>
      <c r="S1841" s="27">
        <v>0</v>
      </c>
      <c r="T1841" s="27">
        <v>-1.619E-2</v>
      </c>
      <c r="U1841" s="27">
        <v>-5.3969999999999997E-2</v>
      </c>
      <c r="V1841" s="27">
        <v>0</v>
      </c>
      <c r="W1841" s="27">
        <v>0</v>
      </c>
      <c r="X1841" s="27" t="s">
        <v>67</v>
      </c>
    </row>
    <row r="1842" spans="1:24">
      <c r="A1842" s="27">
        <v>5</v>
      </c>
      <c r="B1842" s="27">
        <v>4</v>
      </c>
      <c r="C1842" s="27">
        <v>14</v>
      </c>
      <c r="D1842" s="27">
        <v>2010</v>
      </c>
      <c r="E1842" s="27">
        <v>2050</v>
      </c>
      <c r="F1842" s="27">
        <v>4</v>
      </c>
      <c r="G1842" s="27">
        <v>0</v>
      </c>
      <c r="H1842" s="27">
        <v>0</v>
      </c>
      <c r="I1842" s="27">
        <v>0</v>
      </c>
      <c r="J1842" s="27">
        <v>0</v>
      </c>
      <c r="K1842" s="27">
        <v>0.67</v>
      </c>
      <c r="L1842" s="27">
        <v>1250</v>
      </c>
      <c r="M1842" s="27">
        <v>1070</v>
      </c>
      <c r="N1842" s="27">
        <v>0</v>
      </c>
      <c r="O1842" s="27">
        <v>0</v>
      </c>
      <c r="P1842" s="27" t="s">
        <v>13</v>
      </c>
      <c r="Q1842" s="27">
        <v>1993</v>
      </c>
      <c r="R1842" s="27">
        <v>1</v>
      </c>
      <c r="S1842" s="27">
        <v>0</v>
      </c>
      <c r="T1842" s="27">
        <v>-1.619E-2</v>
      </c>
      <c r="U1842" s="27">
        <v>-5.3969999999999997E-2</v>
      </c>
      <c r="V1842" s="27">
        <v>0</v>
      </c>
      <c r="W1842" s="27">
        <v>0</v>
      </c>
      <c r="X1842" s="27" t="s">
        <v>67</v>
      </c>
    </row>
    <row r="1843" spans="1:24">
      <c r="A1843" s="27">
        <v>5</v>
      </c>
      <c r="B1843" s="27">
        <v>4</v>
      </c>
      <c r="C1843" s="27">
        <v>14</v>
      </c>
      <c r="D1843" s="27">
        <v>2010</v>
      </c>
      <c r="E1843" s="27">
        <v>2050</v>
      </c>
      <c r="F1843" s="27">
        <v>5</v>
      </c>
      <c r="G1843" s="27">
        <v>0</v>
      </c>
      <c r="H1843" s="27">
        <v>0</v>
      </c>
      <c r="I1843" s="27">
        <v>0</v>
      </c>
      <c r="J1843" s="27">
        <v>0</v>
      </c>
      <c r="K1843" s="27">
        <v>0.67</v>
      </c>
      <c r="L1843" s="27">
        <v>1250</v>
      </c>
      <c r="M1843" s="27">
        <v>1070</v>
      </c>
      <c r="N1843" s="27">
        <v>0</v>
      </c>
      <c r="O1843" s="27">
        <v>0</v>
      </c>
      <c r="P1843" s="27" t="s">
        <v>13</v>
      </c>
      <c r="Q1843" s="27">
        <v>1993</v>
      </c>
      <c r="R1843" s="27">
        <v>1</v>
      </c>
      <c r="S1843" s="27">
        <v>0</v>
      </c>
      <c r="T1843" s="27">
        <v>-1.619E-2</v>
      </c>
      <c r="U1843" s="27">
        <v>-5.3969999999999997E-2</v>
      </c>
      <c r="V1843" s="27">
        <v>0</v>
      </c>
      <c r="W1843" s="27">
        <v>0</v>
      </c>
      <c r="X1843" s="27" t="s">
        <v>67</v>
      </c>
    </row>
    <row r="1844" spans="1:24">
      <c r="A1844" s="27">
        <v>5</v>
      </c>
      <c r="B1844" s="27">
        <v>4</v>
      </c>
      <c r="C1844" s="27">
        <v>14</v>
      </c>
      <c r="D1844" s="27">
        <v>2010</v>
      </c>
      <c r="E1844" s="27">
        <v>2050</v>
      </c>
      <c r="F1844" s="27">
        <v>6</v>
      </c>
      <c r="G1844" s="27">
        <v>0</v>
      </c>
      <c r="H1844" s="27">
        <v>0</v>
      </c>
      <c r="I1844" s="27">
        <v>0</v>
      </c>
      <c r="J1844" s="27">
        <v>0</v>
      </c>
      <c r="K1844" s="27">
        <v>0.67</v>
      </c>
      <c r="L1844" s="27">
        <v>1250</v>
      </c>
      <c r="M1844" s="27">
        <v>1070</v>
      </c>
      <c r="N1844" s="27">
        <v>0</v>
      </c>
      <c r="O1844" s="27">
        <v>0</v>
      </c>
      <c r="P1844" s="27" t="s">
        <v>13</v>
      </c>
      <c r="Q1844" s="27">
        <v>1993</v>
      </c>
      <c r="R1844" s="27">
        <v>1</v>
      </c>
      <c r="S1844" s="27">
        <v>0</v>
      </c>
      <c r="T1844" s="27">
        <v>-1.619E-2</v>
      </c>
      <c r="U1844" s="27">
        <v>-5.3969999999999997E-2</v>
      </c>
      <c r="V1844" s="27">
        <v>0</v>
      </c>
      <c r="W1844" s="27">
        <v>0</v>
      </c>
      <c r="X1844" s="27" t="s">
        <v>67</v>
      </c>
    </row>
    <row r="1845" spans="1:24">
      <c r="A1845" s="27">
        <v>5</v>
      </c>
      <c r="B1845" s="27">
        <v>4</v>
      </c>
      <c r="C1845" s="27">
        <v>14</v>
      </c>
      <c r="D1845" s="27">
        <v>2010</v>
      </c>
      <c r="E1845" s="27">
        <v>2050</v>
      </c>
      <c r="F1845" s="27">
        <v>7</v>
      </c>
      <c r="G1845" s="27">
        <v>0</v>
      </c>
      <c r="H1845" s="27">
        <v>0</v>
      </c>
      <c r="I1845" s="27">
        <v>0</v>
      </c>
      <c r="J1845" s="27">
        <v>0</v>
      </c>
      <c r="K1845" s="27">
        <v>0.67</v>
      </c>
      <c r="L1845" s="27">
        <v>1250</v>
      </c>
      <c r="M1845" s="27">
        <v>1070</v>
      </c>
      <c r="N1845" s="27">
        <v>0</v>
      </c>
      <c r="O1845" s="27">
        <v>0</v>
      </c>
      <c r="P1845" s="27" t="s">
        <v>13</v>
      </c>
      <c r="Q1845" s="27">
        <v>1993</v>
      </c>
      <c r="R1845" s="27">
        <v>1</v>
      </c>
      <c r="S1845" s="27">
        <v>0</v>
      </c>
      <c r="T1845" s="27">
        <v>-1.619E-2</v>
      </c>
      <c r="U1845" s="27">
        <v>-5.3969999999999997E-2</v>
      </c>
      <c r="V1845" s="27">
        <v>0</v>
      </c>
      <c r="W1845" s="27">
        <v>0</v>
      </c>
      <c r="X1845" s="27" t="s">
        <v>67</v>
      </c>
    </row>
    <row r="1846" spans="1:24">
      <c r="A1846" s="27">
        <v>5</v>
      </c>
      <c r="B1846" s="27">
        <v>4</v>
      </c>
      <c r="C1846" s="27">
        <v>14</v>
      </c>
      <c r="D1846" s="27">
        <v>2010</v>
      </c>
      <c r="E1846" s="27">
        <v>2050</v>
      </c>
      <c r="F1846" s="27">
        <v>8</v>
      </c>
      <c r="G1846" s="27">
        <v>0</v>
      </c>
      <c r="H1846" s="27">
        <v>0</v>
      </c>
      <c r="I1846" s="27">
        <v>0</v>
      </c>
      <c r="J1846" s="27">
        <v>0</v>
      </c>
      <c r="K1846" s="27">
        <v>0.67</v>
      </c>
      <c r="L1846" s="27">
        <v>1250</v>
      </c>
      <c r="M1846" s="27">
        <v>1070</v>
      </c>
      <c r="N1846" s="27">
        <v>0</v>
      </c>
      <c r="O1846" s="27">
        <v>0</v>
      </c>
      <c r="P1846" s="27" t="s">
        <v>13</v>
      </c>
      <c r="Q1846" s="27">
        <v>1993</v>
      </c>
      <c r="R1846" s="27">
        <v>1</v>
      </c>
      <c r="S1846" s="27">
        <v>0</v>
      </c>
      <c r="T1846" s="27">
        <v>-1.619E-2</v>
      </c>
      <c r="U1846" s="27">
        <v>-5.3969999999999997E-2</v>
      </c>
      <c r="V1846" s="27">
        <v>0</v>
      </c>
      <c r="W1846" s="27">
        <v>0</v>
      </c>
      <c r="X1846" s="27" t="s">
        <v>67</v>
      </c>
    </row>
    <row r="1847" spans="1:24">
      <c r="A1847" s="27">
        <v>5</v>
      </c>
      <c r="B1847" s="27">
        <v>4</v>
      </c>
      <c r="C1847" s="27">
        <v>14</v>
      </c>
      <c r="D1847" s="27">
        <v>2010</v>
      </c>
      <c r="E1847" s="27">
        <v>2050</v>
      </c>
      <c r="F1847" s="27">
        <v>9</v>
      </c>
      <c r="G1847" s="27">
        <v>0</v>
      </c>
      <c r="H1847" s="27">
        <v>0</v>
      </c>
      <c r="I1847" s="27">
        <v>0</v>
      </c>
      <c r="J1847" s="27">
        <v>0</v>
      </c>
      <c r="K1847" s="27">
        <v>0.67</v>
      </c>
      <c r="L1847" s="27">
        <v>1250</v>
      </c>
      <c r="M1847" s="27">
        <v>1070</v>
      </c>
      <c r="N1847" s="27">
        <v>0</v>
      </c>
      <c r="O1847" s="27">
        <v>0</v>
      </c>
      <c r="P1847" s="27" t="s">
        <v>13</v>
      </c>
      <c r="Q1847" s="27">
        <v>1993</v>
      </c>
      <c r="R1847" s="27">
        <v>1</v>
      </c>
      <c r="S1847" s="27">
        <v>0</v>
      </c>
      <c r="T1847" s="27">
        <v>-1.619E-2</v>
      </c>
      <c r="U1847" s="27">
        <v>-5.3969999999999997E-2</v>
      </c>
      <c r="V1847" s="27">
        <v>0</v>
      </c>
      <c r="W1847" s="27">
        <v>0</v>
      </c>
      <c r="X1847" s="27" t="s">
        <v>67</v>
      </c>
    </row>
    <row r="1848" spans="1:24">
      <c r="A1848" s="27">
        <v>5</v>
      </c>
      <c r="B1848" s="27">
        <v>4</v>
      </c>
      <c r="C1848" s="27">
        <v>15</v>
      </c>
      <c r="D1848" s="27">
        <v>2010</v>
      </c>
      <c r="E1848" s="27">
        <v>2010</v>
      </c>
      <c r="F1848" s="27">
        <v>1</v>
      </c>
      <c r="G1848" s="27">
        <v>0</v>
      </c>
      <c r="H1848" s="27">
        <v>0</v>
      </c>
      <c r="I1848" s="27">
        <v>0</v>
      </c>
      <c r="J1848" s="27">
        <v>0</v>
      </c>
      <c r="K1848" s="27">
        <v>0.82</v>
      </c>
      <c r="L1848" s="27">
        <v>2200</v>
      </c>
      <c r="M1848" s="27">
        <v>2000</v>
      </c>
      <c r="N1848" s="27">
        <v>600</v>
      </c>
      <c r="O1848" s="27">
        <v>560</v>
      </c>
      <c r="P1848" s="27" t="s">
        <v>13</v>
      </c>
      <c r="Q1848" s="27">
        <v>1993</v>
      </c>
      <c r="R1848" s="27">
        <v>1</v>
      </c>
      <c r="S1848" s="27">
        <v>0</v>
      </c>
      <c r="T1848" s="27">
        <v>-1.619E-2</v>
      </c>
      <c r="U1848" s="27">
        <v>-5.3969999999999997E-2</v>
      </c>
      <c r="V1848" s="27">
        <v>0</v>
      </c>
      <c r="W1848" s="27">
        <v>0</v>
      </c>
      <c r="X1848" s="27" t="s">
        <v>68</v>
      </c>
    </row>
    <row r="1849" spans="1:24">
      <c r="A1849" s="27">
        <v>5</v>
      </c>
      <c r="B1849" s="27">
        <v>4</v>
      </c>
      <c r="C1849" s="27">
        <v>15</v>
      </c>
      <c r="D1849" s="27">
        <v>2010</v>
      </c>
      <c r="E1849" s="27">
        <v>2010</v>
      </c>
      <c r="F1849" s="27">
        <v>2</v>
      </c>
      <c r="G1849" s="27">
        <v>0</v>
      </c>
      <c r="H1849" s="27">
        <v>0</v>
      </c>
      <c r="I1849" s="27">
        <v>0</v>
      </c>
      <c r="J1849" s="27">
        <v>0</v>
      </c>
      <c r="K1849" s="27">
        <v>0.82</v>
      </c>
      <c r="L1849" s="27">
        <v>2200</v>
      </c>
      <c r="M1849" s="27">
        <v>2000</v>
      </c>
      <c r="N1849" s="27">
        <v>600</v>
      </c>
      <c r="O1849" s="27">
        <v>560</v>
      </c>
      <c r="P1849" s="27" t="s">
        <v>13</v>
      </c>
      <c r="Q1849" s="27">
        <v>1993</v>
      </c>
      <c r="R1849" s="27">
        <v>1</v>
      </c>
      <c r="S1849" s="27">
        <v>0</v>
      </c>
      <c r="T1849" s="27">
        <v>-1.619E-2</v>
      </c>
      <c r="U1849" s="27">
        <v>-5.3969999999999997E-2</v>
      </c>
      <c r="V1849" s="27">
        <v>0</v>
      </c>
      <c r="W1849" s="27">
        <v>0</v>
      </c>
      <c r="X1849" s="27" t="s">
        <v>68</v>
      </c>
    </row>
    <row r="1850" spans="1:24">
      <c r="A1850" s="27">
        <v>5</v>
      </c>
      <c r="B1850" s="27">
        <v>4</v>
      </c>
      <c r="C1850" s="27">
        <v>15</v>
      </c>
      <c r="D1850" s="27">
        <v>2010</v>
      </c>
      <c r="E1850" s="27">
        <v>2010</v>
      </c>
      <c r="F1850" s="27">
        <v>3</v>
      </c>
      <c r="G1850" s="27">
        <v>0</v>
      </c>
      <c r="H1850" s="27">
        <v>0</v>
      </c>
      <c r="I1850" s="27">
        <v>0</v>
      </c>
      <c r="J1850" s="27">
        <v>0</v>
      </c>
      <c r="K1850" s="27">
        <v>0.82</v>
      </c>
      <c r="L1850" s="27">
        <v>2200</v>
      </c>
      <c r="M1850" s="27">
        <v>2000</v>
      </c>
      <c r="N1850" s="27">
        <v>600</v>
      </c>
      <c r="O1850" s="27">
        <v>560</v>
      </c>
      <c r="P1850" s="27" t="s">
        <v>13</v>
      </c>
      <c r="Q1850" s="27">
        <v>1993</v>
      </c>
      <c r="R1850" s="27">
        <v>1</v>
      </c>
      <c r="S1850" s="27">
        <v>0</v>
      </c>
      <c r="T1850" s="27">
        <v>-1.619E-2</v>
      </c>
      <c r="U1850" s="27">
        <v>-5.3969999999999997E-2</v>
      </c>
      <c r="V1850" s="27">
        <v>0</v>
      </c>
      <c r="W1850" s="27">
        <v>0</v>
      </c>
      <c r="X1850" s="27" t="s">
        <v>68</v>
      </c>
    </row>
    <row r="1851" spans="1:24">
      <c r="A1851" s="27">
        <v>5</v>
      </c>
      <c r="B1851" s="27">
        <v>4</v>
      </c>
      <c r="C1851" s="27">
        <v>15</v>
      </c>
      <c r="D1851" s="27">
        <v>2010</v>
      </c>
      <c r="E1851" s="27">
        <v>2010</v>
      </c>
      <c r="F1851" s="27">
        <v>4</v>
      </c>
      <c r="G1851" s="27">
        <v>0</v>
      </c>
      <c r="H1851" s="27">
        <v>0</v>
      </c>
      <c r="I1851" s="27">
        <v>0</v>
      </c>
      <c r="J1851" s="27">
        <v>0</v>
      </c>
      <c r="K1851" s="27">
        <v>0.82</v>
      </c>
      <c r="L1851" s="27">
        <v>2200</v>
      </c>
      <c r="M1851" s="27">
        <v>2000</v>
      </c>
      <c r="N1851" s="27">
        <v>600</v>
      </c>
      <c r="O1851" s="27">
        <v>560</v>
      </c>
      <c r="P1851" s="27" t="s">
        <v>13</v>
      </c>
      <c r="Q1851" s="27">
        <v>1993</v>
      </c>
      <c r="R1851" s="27">
        <v>1</v>
      </c>
      <c r="S1851" s="27">
        <v>0</v>
      </c>
      <c r="T1851" s="27">
        <v>-1.619E-2</v>
      </c>
      <c r="U1851" s="27">
        <v>-5.3969999999999997E-2</v>
      </c>
      <c r="V1851" s="27">
        <v>0</v>
      </c>
      <c r="W1851" s="27">
        <v>0</v>
      </c>
      <c r="X1851" s="27" t="s">
        <v>68</v>
      </c>
    </row>
    <row r="1852" spans="1:24">
      <c r="A1852" s="27">
        <v>5</v>
      </c>
      <c r="B1852" s="27">
        <v>4</v>
      </c>
      <c r="C1852" s="27">
        <v>15</v>
      </c>
      <c r="D1852" s="27">
        <v>2010</v>
      </c>
      <c r="E1852" s="27">
        <v>2010</v>
      </c>
      <c r="F1852" s="27">
        <v>5</v>
      </c>
      <c r="G1852" s="27">
        <v>0</v>
      </c>
      <c r="H1852" s="27">
        <v>0</v>
      </c>
      <c r="I1852" s="27">
        <v>0</v>
      </c>
      <c r="J1852" s="27">
        <v>0</v>
      </c>
      <c r="K1852" s="27">
        <v>0.82</v>
      </c>
      <c r="L1852" s="27">
        <v>2200</v>
      </c>
      <c r="M1852" s="27">
        <v>2000</v>
      </c>
      <c r="N1852" s="27">
        <v>600</v>
      </c>
      <c r="O1852" s="27">
        <v>560</v>
      </c>
      <c r="P1852" s="27" t="s">
        <v>13</v>
      </c>
      <c r="Q1852" s="27">
        <v>1993</v>
      </c>
      <c r="R1852" s="27">
        <v>1</v>
      </c>
      <c r="S1852" s="27">
        <v>0</v>
      </c>
      <c r="T1852" s="27">
        <v>-1.619E-2</v>
      </c>
      <c r="U1852" s="27">
        <v>-5.3969999999999997E-2</v>
      </c>
      <c r="V1852" s="27">
        <v>0</v>
      </c>
      <c r="W1852" s="27">
        <v>0</v>
      </c>
      <c r="X1852" s="27" t="s">
        <v>68</v>
      </c>
    </row>
    <row r="1853" spans="1:24">
      <c r="A1853" s="27">
        <v>5</v>
      </c>
      <c r="B1853" s="27">
        <v>4</v>
      </c>
      <c r="C1853" s="27">
        <v>15</v>
      </c>
      <c r="D1853" s="27">
        <v>2010</v>
      </c>
      <c r="E1853" s="27">
        <v>2010</v>
      </c>
      <c r="F1853" s="27">
        <v>6</v>
      </c>
      <c r="G1853" s="27">
        <v>0</v>
      </c>
      <c r="H1853" s="27">
        <v>0</v>
      </c>
      <c r="I1853" s="27">
        <v>0</v>
      </c>
      <c r="J1853" s="27">
        <v>0</v>
      </c>
      <c r="K1853" s="27">
        <v>0.82</v>
      </c>
      <c r="L1853" s="27">
        <v>2200</v>
      </c>
      <c r="M1853" s="27">
        <v>2000</v>
      </c>
      <c r="N1853" s="27">
        <v>600</v>
      </c>
      <c r="O1853" s="27">
        <v>560</v>
      </c>
      <c r="P1853" s="27" t="s">
        <v>13</v>
      </c>
      <c r="Q1853" s="27">
        <v>1993</v>
      </c>
      <c r="R1853" s="27">
        <v>1</v>
      </c>
      <c r="S1853" s="27">
        <v>0</v>
      </c>
      <c r="T1853" s="27">
        <v>-1.619E-2</v>
      </c>
      <c r="U1853" s="27">
        <v>-5.3969999999999997E-2</v>
      </c>
      <c r="V1853" s="27">
        <v>0</v>
      </c>
      <c r="W1853" s="27">
        <v>0</v>
      </c>
      <c r="X1853" s="27" t="s">
        <v>68</v>
      </c>
    </row>
    <row r="1854" spans="1:24">
      <c r="A1854" s="27">
        <v>5</v>
      </c>
      <c r="B1854" s="27">
        <v>4</v>
      </c>
      <c r="C1854" s="27">
        <v>15</v>
      </c>
      <c r="D1854" s="27">
        <v>2010</v>
      </c>
      <c r="E1854" s="27">
        <v>2010</v>
      </c>
      <c r="F1854" s="27">
        <v>7</v>
      </c>
      <c r="G1854" s="27">
        <v>0</v>
      </c>
      <c r="H1854" s="27">
        <v>0</v>
      </c>
      <c r="I1854" s="27">
        <v>0</v>
      </c>
      <c r="J1854" s="27">
        <v>0</v>
      </c>
      <c r="K1854" s="27">
        <v>0.82</v>
      </c>
      <c r="L1854" s="27">
        <v>2200</v>
      </c>
      <c r="M1854" s="27">
        <v>2000</v>
      </c>
      <c r="N1854" s="27">
        <v>600</v>
      </c>
      <c r="O1854" s="27">
        <v>560</v>
      </c>
      <c r="P1854" s="27" t="s">
        <v>13</v>
      </c>
      <c r="Q1854" s="27">
        <v>1993</v>
      </c>
      <c r="R1854" s="27">
        <v>1</v>
      </c>
      <c r="S1854" s="27">
        <v>0</v>
      </c>
      <c r="T1854" s="27">
        <v>-1.619E-2</v>
      </c>
      <c r="U1854" s="27">
        <v>-5.3969999999999997E-2</v>
      </c>
      <c r="V1854" s="27">
        <v>0</v>
      </c>
      <c r="W1854" s="27">
        <v>0</v>
      </c>
      <c r="X1854" s="27" t="s">
        <v>68</v>
      </c>
    </row>
    <row r="1855" spans="1:24">
      <c r="A1855" s="27">
        <v>5</v>
      </c>
      <c r="B1855" s="27">
        <v>4</v>
      </c>
      <c r="C1855" s="27">
        <v>15</v>
      </c>
      <c r="D1855" s="27">
        <v>2010</v>
      </c>
      <c r="E1855" s="27">
        <v>2010</v>
      </c>
      <c r="F1855" s="27">
        <v>8</v>
      </c>
      <c r="G1855" s="27">
        <v>0</v>
      </c>
      <c r="H1855" s="27">
        <v>0</v>
      </c>
      <c r="I1855" s="27">
        <v>0</v>
      </c>
      <c r="J1855" s="27">
        <v>0</v>
      </c>
      <c r="K1855" s="27">
        <v>0.82</v>
      </c>
      <c r="L1855" s="27">
        <v>2200</v>
      </c>
      <c r="M1855" s="27">
        <v>2000</v>
      </c>
      <c r="N1855" s="27">
        <v>600</v>
      </c>
      <c r="O1855" s="27">
        <v>560</v>
      </c>
      <c r="P1855" s="27" t="s">
        <v>13</v>
      </c>
      <c r="Q1855" s="27">
        <v>1993</v>
      </c>
      <c r="R1855" s="27">
        <v>1</v>
      </c>
      <c r="S1855" s="27">
        <v>0</v>
      </c>
      <c r="T1855" s="27">
        <v>-1.619E-2</v>
      </c>
      <c r="U1855" s="27">
        <v>-5.3969999999999997E-2</v>
      </c>
      <c r="V1855" s="27">
        <v>0</v>
      </c>
      <c r="W1855" s="27">
        <v>0</v>
      </c>
      <c r="X1855" s="27" t="s">
        <v>68</v>
      </c>
    </row>
    <row r="1856" spans="1:24">
      <c r="A1856" s="27">
        <v>5</v>
      </c>
      <c r="B1856" s="27">
        <v>4</v>
      </c>
      <c r="C1856" s="27">
        <v>15</v>
      </c>
      <c r="D1856" s="27">
        <v>2010</v>
      </c>
      <c r="E1856" s="27">
        <v>2010</v>
      </c>
      <c r="F1856" s="27">
        <v>9</v>
      </c>
      <c r="G1856" s="27">
        <v>0</v>
      </c>
      <c r="H1856" s="27">
        <v>0</v>
      </c>
      <c r="I1856" s="27">
        <v>0</v>
      </c>
      <c r="J1856" s="27">
        <v>0</v>
      </c>
      <c r="K1856" s="27">
        <v>0.82</v>
      </c>
      <c r="L1856" s="27">
        <v>2200</v>
      </c>
      <c r="M1856" s="27">
        <v>2000</v>
      </c>
      <c r="N1856" s="27">
        <v>600</v>
      </c>
      <c r="O1856" s="27">
        <v>560</v>
      </c>
      <c r="P1856" s="27" t="s">
        <v>13</v>
      </c>
      <c r="Q1856" s="27">
        <v>1993</v>
      </c>
      <c r="R1856" s="27">
        <v>1</v>
      </c>
      <c r="S1856" s="27">
        <v>0</v>
      </c>
      <c r="T1856" s="27">
        <v>-1.619E-2</v>
      </c>
      <c r="U1856" s="27">
        <v>-5.3969999999999997E-2</v>
      </c>
      <c r="V1856" s="27">
        <v>0</v>
      </c>
      <c r="W1856" s="27">
        <v>0</v>
      </c>
      <c r="X1856" s="27" t="s">
        <v>68</v>
      </c>
    </row>
    <row r="1857" spans="1:24">
      <c r="A1857" s="27">
        <v>5</v>
      </c>
      <c r="B1857" s="27">
        <v>4</v>
      </c>
      <c r="C1857" s="27">
        <v>15</v>
      </c>
      <c r="D1857" s="27">
        <v>2011</v>
      </c>
      <c r="E1857" s="27">
        <v>2011</v>
      </c>
      <c r="F1857" s="27">
        <v>1</v>
      </c>
      <c r="G1857" s="27">
        <v>0</v>
      </c>
      <c r="H1857" s="27">
        <v>0</v>
      </c>
      <c r="I1857" s="27">
        <v>0</v>
      </c>
      <c r="J1857" s="27">
        <v>0</v>
      </c>
      <c r="K1857" s="27">
        <v>0.82</v>
      </c>
      <c r="L1857" s="27">
        <v>2200</v>
      </c>
      <c r="M1857" s="27">
        <v>2000</v>
      </c>
      <c r="N1857" s="27">
        <v>300</v>
      </c>
      <c r="O1857" s="27">
        <v>300</v>
      </c>
      <c r="P1857" s="27" t="s">
        <v>13</v>
      </c>
      <c r="Q1857" s="27">
        <v>1993</v>
      </c>
      <c r="R1857" s="27">
        <v>1</v>
      </c>
      <c r="S1857" s="27">
        <v>0</v>
      </c>
      <c r="T1857" s="27">
        <v>-1.619E-2</v>
      </c>
      <c r="U1857" s="27">
        <v>-5.3969999999999997E-2</v>
      </c>
      <c r="V1857" s="27">
        <v>0</v>
      </c>
      <c r="W1857" s="27">
        <v>0</v>
      </c>
      <c r="X1857" s="27" t="s">
        <v>68</v>
      </c>
    </row>
    <row r="1858" spans="1:24">
      <c r="A1858" s="27">
        <v>5</v>
      </c>
      <c r="B1858" s="27">
        <v>4</v>
      </c>
      <c r="C1858" s="27">
        <v>15</v>
      </c>
      <c r="D1858" s="27">
        <v>2011</v>
      </c>
      <c r="E1858" s="27">
        <v>2011</v>
      </c>
      <c r="F1858" s="27">
        <v>2</v>
      </c>
      <c r="G1858" s="27">
        <v>0</v>
      </c>
      <c r="H1858" s="27">
        <v>0</v>
      </c>
      <c r="I1858" s="27">
        <v>0</v>
      </c>
      <c r="J1858" s="27">
        <v>0</v>
      </c>
      <c r="K1858" s="27">
        <v>0.82</v>
      </c>
      <c r="L1858" s="27">
        <v>2200</v>
      </c>
      <c r="M1858" s="27">
        <v>2000</v>
      </c>
      <c r="N1858" s="27">
        <v>300</v>
      </c>
      <c r="O1858" s="27">
        <v>300</v>
      </c>
      <c r="P1858" s="27" t="s">
        <v>13</v>
      </c>
      <c r="Q1858" s="27">
        <v>1993</v>
      </c>
      <c r="R1858" s="27">
        <v>1</v>
      </c>
      <c r="S1858" s="27">
        <v>0</v>
      </c>
      <c r="T1858" s="27">
        <v>-1.619E-2</v>
      </c>
      <c r="U1858" s="27">
        <v>-5.3969999999999997E-2</v>
      </c>
      <c r="V1858" s="27">
        <v>0</v>
      </c>
      <c r="W1858" s="27">
        <v>0</v>
      </c>
      <c r="X1858" s="27" t="s">
        <v>68</v>
      </c>
    </row>
    <row r="1859" spans="1:24">
      <c r="A1859" s="27">
        <v>5</v>
      </c>
      <c r="B1859" s="27">
        <v>4</v>
      </c>
      <c r="C1859" s="27">
        <v>15</v>
      </c>
      <c r="D1859" s="27">
        <v>2011</v>
      </c>
      <c r="E1859" s="27">
        <v>2011</v>
      </c>
      <c r="F1859" s="27">
        <v>3</v>
      </c>
      <c r="G1859" s="27">
        <v>0</v>
      </c>
      <c r="H1859" s="27">
        <v>0</v>
      </c>
      <c r="I1859" s="27">
        <v>0</v>
      </c>
      <c r="J1859" s="27">
        <v>0</v>
      </c>
      <c r="K1859" s="27">
        <v>0.82</v>
      </c>
      <c r="L1859" s="27">
        <v>2200</v>
      </c>
      <c r="M1859" s="27">
        <v>2000</v>
      </c>
      <c r="N1859" s="27">
        <v>300</v>
      </c>
      <c r="O1859" s="27">
        <v>300</v>
      </c>
      <c r="P1859" s="27" t="s">
        <v>13</v>
      </c>
      <c r="Q1859" s="27">
        <v>1993</v>
      </c>
      <c r="R1859" s="27">
        <v>1</v>
      </c>
      <c r="S1859" s="27">
        <v>0</v>
      </c>
      <c r="T1859" s="27">
        <v>-1.619E-2</v>
      </c>
      <c r="U1859" s="27">
        <v>-5.3969999999999997E-2</v>
      </c>
      <c r="V1859" s="27">
        <v>0</v>
      </c>
      <c r="W1859" s="27">
        <v>0</v>
      </c>
      <c r="X1859" s="27" t="s">
        <v>68</v>
      </c>
    </row>
    <row r="1860" spans="1:24">
      <c r="A1860" s="27">
        <v>5</v>
      </c>
      <c r="B1860" s="27">
        <v>4</v>
      </c>
      <c r="C1860" s="27">
        <v>15</v>
      </c>
      <c r="D1860" s="27">
        <v>2011</v>
      </c>
      <c r="E1860" s="27">
        <v>2011</v>
      </c>
      <c r="F1860" s="27">
        <v>4</v>
      </c>
      <c r="G1860" s="27">
        <v>0</v>
      </c>
      <c r="H1860" s="27">
        <v>0</v>
      </c>
      <c r="I1860" s="27">
        <v>0</v>
      </c>
      <c r="J1860" s="27">
        <v>0</v>
      </c>
      <c r="K1860" s="27">
        <v>0.82</v>
      </c>
      <c r="L1860" s="27">
        <v>2200</v>
      </c>
      <c r="M1860" s="27">
        <v>2000</v>
      </c>
      <c r="N1860" s="27">
        <v>300</v>
      </c>
      <c r="O1860" s="27">
        <v>300</v>
      </c>
      <c r="P1860" s="27" t="s">
        <v>13</v>
      </c>
      <c r="Q1860" s="27">
        <v>1993</v>
      </c>
      <c r="R1860" s="27">
        <v>1</v>
      </c>
      <c r="S1860" s="27">
        <v>0</v>
      </c>
      <c r="T1860" s="27">
        <v>-1.619E-2</v>
      </c>
      <c r="U1860" s="27">
        <v>-5.3969999999999997E-2</v>
      </c>
      <c r="V1860" s="27">
        <v>0</v>
      </c>
      <c r="W1860" s="27">
        <v>0</v>
      </c>
      <c r="X1860" s="27" t="s">
        <v>68</v>
      </c>
    </row>
    <row r="1861" spans="1:24">
      <c r="A1861" s="27">
        <v>5</v>
      </c>
      <c r="B1861" s="27">
        <v>4</v>
      </c>
      <c r="C1861" s="27">
        <v>15</v>
      </c>
      <c r="D1861" s="27">
        <v>2011</v>
      </c>
      <c r="E1861" s="27">
        <v>2011</v>
      </c>
      <c r="F1861" s="27">
        <v>5</v>
      </c>
      <c r="G1861" s="27">
        <v>0</v>
      </c>
      <c r="H1861" s="27">
        <v>0</v>
      </c>
      <c r="I1861" s="27">
        <v>0</v>
      </c>
      <c r="J1861" s="27">
        <v>0</v>
      </c>
      <c r="K1861" s="27">
        <v>0.82</v>
      </c>
      <c r="L1861" s="27">
        <v>2200</v>
      </c>
      <c r="M1861" s="27">
        <v>2000</v>
      </c>
      <c r="N1861" s="27">
        <v>300</v>
      </c>
      <c r="O1861" s="27">
        <v>300</v>
      </c>
      <c r="P1861" s="27" t="s">
        <v>13</v>
      </c>
      <c r="Q1861" s="27">
        <v>1993</v>
      </c>
      <c r="R1861" s="27">
        <v>1</v>
      </c>
      <c r="S1861" s="27">
        <v>0</v>
      </c>
      <c r="T1861" s="27">
        <v>-1.619E-2</v>
      </c>
      <c r="U1861" s="27">
        <v>-5.3969999999999997E-2</v>
      </c>
      <c r="V1861" s="27">
        <v>0</v>
      </c>
      <c r="W1861" s="27">
        <v>0</v>
      </c>
      <c r="X1861" s="27" t="s">
        <v>68</v>
      </c>
    </row>
    <row r="1862" spans="1:24">
      <c r="A1862" s="27">
        <v>5</v>
      </c>
      <c r="B1862" s="27">
        <v>4</v>
      </c>
      <c r="C1862" s="27">
        <v>15</v>
      </c>
      <c r="D1862" s="27">
        <v>2011</v>
      </c>
      <c r="E1862" s="27">
        <v>2011</v>
      </c>
      <c r="F1862" s="27">
        <v>6</v>
      </c>
      <c r="G1862" s="27">
        <v>0</v>
      </c>
      <c r="H1862" s="27">
        <v>0</v>
      </c>
      <c r="I1862" s="27">
        <v>0</v>
      </c>
      <c r="J1862" s="27">
        <v>0</v>
      </c>
      <c r="K1862" s="27">
        <v>0.82</v>
      </c>
      <c r="L1862" s="27">
        <v>2200</v>
      </c>
      <c r="M1862" s="27">
        <v>2000</v>
      </c>
      <c r="N1862" s="27">
        <v>300</v>
      </c>
      <c r="O1862" s="27">
        <v>300</v>
      </c>
      <c r="P1862" s="27" t="s">
        <v>13</v>
      </c>
      <c r="Q1862" s="27">
        <v>1993</v>
      </c>
      <c r="R1862" s="27">
        <v>1</v>
      </c>
      <c r="S1862" s="27">
        <v>0</v>
      </c>
      <c r="T1862" s="27">
        <v>-1.619E-2</v>
      </c>
      <c r="U1862" s="27">
        <v>-5.3969999999999997E-2</v>
      </c>
      <c r="V1862" s="27">
        <v>0</v>
      </c>
      <c r="W1862" s="27">
        <v>0</v>
      </c>
      <c r="X1862" s="27" t="s">
        <v>68</v>
      </c>
    </row>
    <row r="1863" spans="1:24">
      <c r="A1863" s="27">
        <v>5</v>
      </c>
      <c r="B1863" s="27">
        <v>4</v>
      </c>
      <c r="C1863" s="27">
        <v>15</v>
      </c>
      <c r="D1863" s="27">
        <v>2011</v>
      </c>
      <c r="E1863" s="27">
        <v>2011</v>
      </c>
      <c r="F1863" s="27">
        <v>7</v>
      </c>
      <c r="G1863" s="27">
        <v>0</v>
      </c>
      <c r="H1863" s="27">
        <v>0</v>
      </c>
      <c r="I1863" s="27">
        <v>0</v>
      </c>
      <c r="J1863" s="27">
        <v>0</v>
      </c>
      <c r="K1863" s="27">
        <v>0.82</v>
      </c>
      <c r="L1863" s="27">
        <v>2200</v>
      </c>
      <c r="M1863" s="27">
        <v>2000</v>
      </c>
      <c r="N1863" s="27">
        <v>300</v>
      </c>
      <c r="O1863" s="27">
        <v>300</v>
      </c>
      <c r="P1863" s="27" t="s">
        <v>13</v>
      </c>
      <c r="Q1863" s="27">
        <v>1993</v>
      </c>
      <c r="R1863" s="27">
        <v>1</v>
      </c>
      <c r="S1863" s="27">
        <v>0</v>
      </c>
      <c r="T1863" s="27">
        <v>-1.619E-2</v>
      </c>
      <c r="U1863" s="27">
        <v>-5.3969999999999997E-2</v>
      </c>
      <c r="V1863" s="27">
        <v>0</v>
      </c>
      <c r="W1863" s="27">
        <v>0</v>
      </c>
      <c r="X1863" s="27" t="s">
        <v>68</v>
      </c>
    </row>
    <row r="1864" spans="1:24">
      <c r="A1864" s="27">
        <v>5</v>
      </c>
      <c r="B1864" s="27">
        <v>4</v>
      </c>
      <c r="C1864" s="27">
        <v>15</v>
      </c>
      <c r="D1864" s="27">
        <v>2011</v>
      </c>
      <c r="E1864" s="27">
        <v>2011</v>
      </c>
      <c r="F1864" s="27">
        <v>8</v>
      </c>
      <c r="G1864" s="27">
        <v>0</v>
      </c>
      <c r="H1864" s="27">
        <v>0</v>
      </c>
      <c r="I1864" s="27">
        <v>0</v>
      </c>
      <c r="J1864" s="27">
        <v>0</v>
      </c>
      <c r="K1864" s="27">
        <v>0.82</v>
      </c>
      <c r="L1864" s="27">
        <v>2200</v>
      </c>
      <c r="M1864" s="27">
        <v>2000</v>
      </c>
      <c r="N1864" s="27">
        <v>300</v>
      </c>
      <c r="O1864" s="27">
        <v>300</v>
      </c>
      <c r="P1864" s="27" t="s">
        <v>13</v>
      </c>
      <c r="Q1864" s="27">
        <v>1993</v>
      </c>
      <c r="R1864" s="27">
        <v>1</v>
      </c>
      <c r="S1864" s="27">
        <v>0</v>
      </c>
      <c r="T1864" s="27">
        <v>-1.619E-2</v>
      </c>
      <c r="U1864" s="27">
        <v>-5.3969999999999997E-2</v>
      </c>
      <c r="V1864" s="27">
        <v>0</v>
      </c>
      <c r="W1864" s="27">
        <v>0</v>
      </c>
      <c r="X1864" s="27" t="s">
        <v>68</v>
      </c>
    </row>
    <row r="1865" spans="1:24">
      <c r="A1865" s="27">
        <v>5</v>
      </c>
      <c r="B1865" s="27">
        <v>4</v>
      </c>
      <c r="C1865" s="27">
        <v>15</v>
      </c>
      <c r="D1865" s="27">
        <v>2011</v>
      </c>
      <c r="E1865" s="27">
        <v>2011</v>
      </c>
      <c r="F1865" s="27">
        <v>9</v>
      </c>
      <c r="G1865" s="27">
        <v>0</v>
      </c>
      <c r="H1865" s="27">
        <v>0</v>
      </c>
      <c r="I1865" s="27">
        <v>0</v>
      </c>
      <c r="J1865" s="27">
        <v>0</v>
      </c>
      <c r="K1865" s="27">
        <v>0.82</v>
      </c>
      <c r="L1865" s="27">
        <v>2200</v>
      </c>
      <c r="M1865" s="27">
        <v>2000</v>
      </c>
      <c r="N1865" s="27">
        <v>300</v>
      </c>
      <c r="O1865" s="27">
        <v>300</v>
      </c>
      <c r="P1865" s="27" t="s">
        <v>13</v>
      </c>
      <c r="Q1865" s="27">
        <v>1993</v>
      </c>
      <c r="R1865" s="27">
        <v>1</v>
      </c>
      <c r="S1865" s="27">
        <v>0</v>
      </c>
      <c r="T1865" s="27">
        <v>-1.619E-2</v>
      </c>
      <c r="U1865" s="27">
        <v>-5.3969999999999997E-2</v>
      </c>
      <c r="V1865" s="27">
        <v>0</v>
      </c>
      <c r="W1865" s="27">
        <v>0</v>
      </c>
      <c r="X1865" s="27" t="s">
        <v>68</v>
      </c>
    </row>
    <row r="1866" spans="1:24">
      <c r="A1866" s="27">
        <v>5</v>
      </c>
      <c r="B1866" s="27">
        <v>4</v>
      </c>
      <c r="C1866" s="27">
        <v>15</v>
      </c>
      <c r="D1866" s="27">
        <v>2012</v>
      </c>
      <c r="E1866" s="27">
        <v>2012</v>
      </c>
      <c r="F1866" s="27">
        <v>1</v>
      </c>
      <c r="G1866" s="27">
        <v>0</v>
      </c>
      <c r="H1866" s="27">
        <v>0</v>
      </c>
      <c r="I1866" s="27">
        <v>0</v>
      </c>
      <c r="J1866" s="27">
        <v>0</v>
      </c>
      <c r="K1866" s="27">
        <v>0.82</v>
      </c>
      <c r="L1866" s="27">
        <v>2200</v>
      </c>
      <c r="M1866" s="27">
        <v>2000</v>
      </c>
      <c r="N1866" s="27">
        <v>0</v>
      </c>
      <c r="O1866" s="27">
        <v>0</v>
      </c>
      <c r="P1866" s="27" t="s">
        <v>13</v>
      </c>
      <c r="Q1866" s="27">
        <v>1993</v>
      </c>
      <c r="R1866" s="27">
        <v>1</v>
      </c>
      <c r="S1866" s="27">
        <v>0</v>
      </c>
      <c r="T1866" s="27">
        <v>-1.619E-2</v>
      </c>
      <c r="U1866" s="27">
        <v>-5.3969999999999997E-2</v>
      </c>
      <c r="V1866" s="27">
        <v>0</v>
      </c>
      <c r="W1866" s="27">
        <v>0</v>
      </c>
      <c r="X1866" s="27" t="s">
        <v>68</v>
      </c>
    </row>
    <row r="1867" spans="1:24">
      <c r="A1867" s="27">
        <v>5</v>
      </c>
      <c r="B1867" s="27">
        <v>4</v>
      </c>
      <c r="C1867" s="27">
        <v>15</v>
      </c>
      <c r="D1867" s="27">
        <v>2012</v>
      </c>
      <c r="E1867" s="27">
        <v>2012</v>
      </c>
      <c r="F1867" s="27">
        <v>2</v>
      </c>
      <c r="G1867" s="27">
        <v>0</v>
      </c>
      <c r="H1867" s="27">
        <v>0</v>
      </c>
      <c r="I1867" s="27">
        <v>0</v>
      </c>
      <c r="J1867" s="27">
        <v>0</v>
      </c>
      <c r="K1867" s="27">
        <v>0.82</v>
      </c>
      <c r="L1867" s="27">
        <v>2200</v>
      </c>
      <c r="M1867" s="27">
        <v>2000</v>
      </c>
      <c r="N1867" s="27">
        <v>0</v>
      </c>
      <c r="O1867" s="27">
        <v>0</v>
      </c>
      <c r="P1867" s="27" t="s">
        <v>13</v>
      </c>
      <c r="Q1867" s="27">
        <v>1993</v>
      </c>
      <c r="R1867" s="27">
        <v>1</v>
      </c>
      <c r="S1867" s="27">
        <v>0</v>
      </c>
      <c r="T1867" s="27">
        <v>-1.619E-2</v>
      </c>
      <c r="U1867" s="27">
        <v>-5.3969999999999997E-2</v>
      </c>
      <c r="V1867" s="27">
        <v>0</v>
      </c>
      <c r="W1867" s="27">
        <v>0</v>
      </c>
      <c r="X1867" s="27" t="s">
        <v>68</v>
      </c>
    </row>
    <row r="1868" spans="1:24">
      <c r="A1868" s="27">
        <v>5</v>
      </c>
      <c r="B1868" s="27">
        <v>4</v>
      </c>
      <c r="C1868" s="27">
        <v>15</v>
      </c>
      <c r="D1868" s="27">
        <v>2012</v>
      </c>
      <c r="E1868" s="27">
        <v>2012</v>
      </c>
      <c r="F1868" s="27">
        <v>3</v>
      </c>
      <c r="G1868" s="27">
        <v>0</v>
      </c>
      <c r="H1868" s="27">
        <v>0</v>
      </c>
      <c r="I1868" s="27">
        <v>0</v>
      </c>
      <c r="J1868" s="27">
        <v>0</v>
      </c>
      <c r="K1868" s="27">
        <v>0.82</v>
      </c>
      <c r="L1868" s="27">
        <v>2200</v>
      </c>
      <c r="M1868" s="27">
        <v>2000</v>
      </c>
      <c r="N1868" s="27">
        <v>0</v>
      </c>
      <c r="O1868" s="27">
        <v>0</v>
      </c>
      <c r="P1868" s="27" t="s">
        <v>13</v>
      </c>
      <c r="Q1868" s="27">
        <v>1993</v>
      </c>
      <c r="R1868" s="27">
        <v>1</v>
      </c>
      <c r="S1868" s="27">
        <v>0</v>
      </c>
      <c r="T1868" s="27">
        <v>-1.619E-2</v>
      </c>
      <c r="U1868" s="27">
        <v>-5.3969999999999997E-2</v>
      </c>
      <c r="V1868" s="27">
        <v>0</v>
      </c>
      <c r="W1868" s="27">
        <v>0</v>
      </c>
      <c r="X1868" s="27" t="s">
        <v>68</v>
      </c>
    </row>
    <row r="1869" spans="1:24">
      <c r="A1869" s="27">
        <v>5</v>
      </c>
      <c r="B1869" s="27">
        <v>4</v>
      </c>
      <c r="C1869" s="27">
        <v>15</v>
      </c>
      <c r="D1869" s="27">
        <v>2012</v>
      </c>
      <c r="E1869" s="27">
        <v>2012</v>
      </c>
      <c r="F1869" s="27">
        <v>4</v>
      </c>
      <c r="G1869" s="27">
        <v>0</v>
      </c>
      <c r="H1869" s="27">
        <v>0</v>
      </c>
      <c r="I1869" s="27">
        <v>0</v>
      </c>
      <c r="J1869" s="27">
        <v>0</v>
      </c>
      <c r="K1869" s="27">
        <v>0.82</v>
      </c>
      <c r="L1869" s="27">
        <v>2200</v>
      </c>
      <c r="M1869" s="27">
        <v>2000</v>
      </c>
      <c r="N1869" s="27">
        <v>0</v>
      </c>
      <c r="O1869" s="27">
        <v>0</v>
      </c>
      <c r="P1869" s="27" t="s">
        <v>13</v>
      </c>
      <c r="Q1869" s="27">
        <v>1993</v>
      </c>
      <c r="R1869" s="27">
        <v>1</v>
      </c>
      <c r="S1869" s="27">
        <v>0</v>
      </c>
      <c r="T1869" s="27">
        <v>-1.619E-2</v>
      </c>
      <c r="U1869" s="27">
        <v>-5.3969999999999997E-2</v>
      </c>
      <c r="V1869" s="27">
        <v>0</v>
      </c>
      <c r="W1869" s="27">
        <v>0</v>
      </c>
      <c r="X1869" s="27" t="s">
        <v>68</v>
      </c>
    </row>
    <row r="1870" spans="1:24">
      <c r="A1870" s="27">
        <v>5</v>
      </c>
      <c r="B1870" s="27">
        <v>4</v>
      </c>
      <c r="C1870" s="27">
        <v>15</v>
      </c>
      <c r="D1870" s="27">
        <v>2012</v>
      </c>
      <c r="E1870" s="27">
        <v>2012</v>
      </c>
      <c r="F1870" s="27">
        <v>5</v>
      </c>
      <c r="G1870" s="27">
        <v>0</v>
      </c>
      <c r="H1870" s="27">
        <v>0</v>
      </c>
      <c r="I1870" s="27">
        <v>0</v>
      </c>
      <c r="J1870" s="27">
        <v>0</v>
      </c>
      <c r="K1870" s="27">
        <v>0.82</v>
      </c>
      <c r="L1870" s="27">
        <v>2200</v>
      </c>
      <c r="M1870" s="27">
        <v>2000</v>
      </c>
      <c r="N1870" s="27">
        <v>0</v>
      </c>
      <c r="O1870" s="27">
        <v>0</v>
      </c>
      <c r="P1870" s="27" t="s">
        <v>13</v>
      </c>
      <c r="Q1870" s="27">
        <v>1993</v>
      </c>
      <c r="R1870" s="27">
        <v>1</v>
      </c>
      <c r="S1870" s="27">
        <v>0</v>
      </c>
      <c r="T1870" s="27">
        <v>-1.619E-2</v>
      </c>
      <c r="U1870" s="27">
        <v>-5.3969999999999997E-2</v>
      </c>
      <c r="V1870" s="27">
        <v>0</v>
      </c>
      <c r="W1870" s="27">
        <v>0</v>
      </c>
      <c r="X1870" s="27" t="s">
        <v>68</v>
      </c>
    </row>
    <row r="1871" spans="1:24">
      <c r="A1871" s="27">
        <v>5</v>
      </c>
      <c r="B1871" s="27">
        <v>4</v>
      </c>
      <c r="C1871" s="27">
        <v>15</v>
      </c>
      <c r="D1871" s="27">
        <v>2012</v>
      </c>
      <c r="E1871" s="27">
        <v>2012</v>
      </c>
      <c r="F1871" s="27">
        <v>6</v>
      </c>
      <c r="G1871" s="27">
        <v>0</v>
      </c>
      <c r="H1871" s="27">
        <v>0</v>
      </c>
      <c r="I1871" s="27">
        <v>0</v>
      </c>
      <c r="J1871" s="27">
        <v>0</v>
      </c>
      <c r="K1871" s="27">
        <v>0.82</v>
      </c>
      <c r="L1871" s="27">
        <v>2200</v>
      </c>
      <c r="M1871" s="27">
        <v>2000</v>
      </c>
      <c r="N1871" s="27">
        <v>0</v>
      </c>
      <c r="O1871" s="27">
        <v>0</v>
      </c>
      <c r="P1871" s="27" t="s">
        <v>13</v>
      </c>
      <c r="Q1871" s="27">
        <v>1993</v>
      </c>
      <c r="R1871" s="27">
        <v>1</v>
      </c>
      <c r="S1871" s="27">
        <v>0</v>
      </c>
      <c r="T1871" s="27">
        <v>-1.619E-2</v>
      </c>
      <c r="U1871" s="27">
        <v>-5.3969999999999997E-2</v>
      </c>
      <c r="V1871" s="27">
        <v>0</v>
      </c>
      <c r="W1871" s="27">
        <v>0</v>
      </c>
      <c r="X1871" s="27" t="s">
        <v>68</v>
      </c>
    </row>
    <row r="1872" spans="1:24">
      <c r="A1872" s="27">
        <v>5</v>
      </c>
      <c r="B1872" s="27">
        <v>4</v>
      </c>
      <c r="C1872" s="27">
        <v>15</v>
      </c>
      <c r="D1872" s="27">
        <v>2012</v>
      </c>
      <c r="E1872" s="27">
        <v>2012</v>
      </c>
      <c r="F1872" s="27">
        <v>7</v>
      </c>
      <c r="G1872" s="27">
        <v>0</v>
      </c>
      <c r="H1872" s="27">
        <v>0</v>
      </c>
      <c r="I1872" s="27">
        <v>0</v>
      </c>
      <c r="J1872" s="27">
        <v>0</v>
      </c>
      <c r="K1872" s="27">
        <v>0.82</v>
      </c>
      <c r="L1872" s="27">
        <v>2200</v>
      </c>
      <c r="M1872" s="27">
        <v>2000</v>
      </c>
      <c r="N1872" s="27">
        <v>0</v>
      </c>
      <c r="O1872" s="27">
        <v>0</v>
      </c>
      <c r="P1872" s="27" t="s">
        <v>13</v>
      </c>
      <c r="Q1872" s="27">
        <v>1993</v>
      </c>
      <c r="R1872" s="27">
        <v>1</v>
      </c>
      <c r="S1872" s="27">
        <v>0</v>
      </c>
      <c r="T1872" s="27">
        <v>-1.619E-2</v>
      </c>
      <c r="U1872" s="27">
        <v>-5.3969999999999997E-2</v>
      </c>
      <c r="V1872" s="27">
        <v>0</v>
      </c>
      <c r="W1872" s="27">
        <v>0</v>
      </c>
      <c r="X1872" s="27" t="s">
        <v>68</v>
      </c>
    </row>
    <row r="1873" spans="1:24">
      <c r="A1873" s="27">
        <v>5</v>
      </c>
      <c r="B1873" s="27">
        <v>4</v>
      </c>
      <c r="C1873" s="27">
        <v>15</v>
      </c>
      <c r="D1873" s="27">
        <v>2012</v>
      </c>
      <c r="E1873" s="27">
        <v>2012</v>
      </c>
      <c r="F1873" s="27">
        <v>8</v>
      </c>
      <c r="G1873" s="27">
        <v>0</v>
      </c>
      <c r="H1873" s="27">
        <v>0</v>
      </c>
      <c r="I1873" s="27">
        <v>0</v>
      </c>
      <c r="J1873" s="27">
        <v>0</v>
      </c>
      <c r="K1873" s="27">
        <v>0.82</v>
      </c>
      <c r="L1873" s="27">
        <v>2200</v>
      </c>
      <c r="M1873" s="27">
        <v>2000</v>
      </c>
      <c r="N1873" s="27">
        <v>0</v>
      </c>
      <c r="O1873" s="27">
        <v>0</v>
      </c>
      <c r="P1873" s="27" t="s">
        <v>13</v>
      </c>
      <c r="Q1873" s="27">
        <v>1993</v>
      </c>
      <c r="R1873" s="27">
        <v>1</v>
      </c>
      <c r="S1873" s="27">
        <v>0</v>
      </c>
      <c r="T1873" s="27">
        <v>-1.619E-2</v>
      </c>
      <c r="U1873" s="27">
        <v>-5.3969999999999997E-2</v>
      </c>
      <c r="V1873" s="27">
        <v>0</v>
      </c>
      <c r="W1873" s="27">
        <v>0</v>
      </c>
      <c r="X1873" s="27" t="s">
        <v>68</v>
      </c>
    </row>
    <row r="1874" spans="1:24">
      <c r="A1874" s="27">
        <v>5</v>
      </c>
      <c r="B1874" s="27">
        <v>4</v>
      </c>
      <c r="C1874" s="27">
        <v>15</v>
      </c>
      <c r="D1874" s="27">
        <v>2012</v>
      </c>
      <c r="E1874" s="27">
        <v>2012</v>
      </c>
      <c r="F1874" s="27">
        <v>9</v>
      </c>
      <c r="G1874" s="27">
        <v>0</v>
      </c>
      <c r="H1874" s="27">
        <v>0</v>
      </c>
      <c r="I1874" s="27">
        <v>0</v>
      </c>
      <c r="J1874" s="27">
        <v>0</v>
      </c>
      <c r="K1874" s="27">
        <v>0.82</v>
      </c>
      <c r="L1874" s="27">
        <v>2200</v>
      </c>
      <c r="M1874" s="27">
        <v>2000</v>
      </c>
      <c r="N1874" s="27">
        <v>0</v>
      </c>
      <c r="O1874" s="27">
        <v>0</v>
      </c>
      <c r="P1874" s="27" t="s">
        <v>13</v>
      </c>
      <c r="Q1874" s="27">
        <v>1993</v>
      </c>
      <c r="R1874" s="27">
        <v>1</v>
      </c>
      <c r="S1874" s="27">
        <v>0</v>
      </c>
      <c r="T1874" s="27">
        <v>-1.619E-2</v>
      </c>
      <c r="U1874" s="27">
        <v>-5.3969999999999997E-2</v>
      </c>
      <c r="V1874" s="27">
        <v>0</v>
      </c>
      <c r="W1874" s="27">
        <v>0</v>
      </c>
      <c r="X1874" s="27" t="s">
        <v>68</v>
      </c>
    </row>
    <row r="1875" spans="1:24">
      <c r="A1875" s="27">
        <v>5</v>
      </c>
      <c r="B1875" s="27">
        <v>4</v>
      </c>
      <c r="C1875" s="27">
        <v>15</v>
      </c>
      <c r="D1875" s="27">
        <v>2013</v>
      </c>
      <c r="E1875" s="27">
        <v>2013</v>
      </c>
      <c r="F1875" s="27">
        <v>1</v>
      </c>
      <c r="G1875" s="27">
        <v>0</v>
      </c>
      <c r="H1875" s="27">
        <v>0</v>
      </c>
      <c r="I1875" s="27">
        <v>0</v>
      </c>
      <c r="J1875" s="27">
        <v>0</v>
      </c>
      <c r="K1875" s="27">
        <v>0.82</v>
      </c>
      <c r="L1875" s="27">
        <v>2200</v>
      </c>
      <c r="M1875" s="27">
        <v>2000</v>
      </c>
      <c r="N1875" s="27">
        <v>300</v>
      </c>
      <c r="O1875" s="27">
        <v>300</v>
      </c>
      <c r="P1875" s="27" t="s">
        <v>13</v>
      </c>
      <c r="Q1875" s="27">
        <v>1993</v>
      </c>
      <c r="R1875" s="27">
        <v>1</v>
      </c>
      <c r="S1875" s="27">
        <v>0</v>
      </c>
      <c r="T1875" s="27">
        <v>-1.619E-2</v>
      </c>
      <c r="U1875" s="27">
        <v>-5.3969999999999997E-2</v>
      </c>
      <c r="V1875" s="27">
        <v>0</v>
      </c>
      <c r="W1875" s="27">
        <v>0</v>
      </c>
      <c r="X1875" s="27" t="s">
        <v>68</v>
      </c>
    </row>
    <row r="1876" spans="1:24">
      <c r="A1876" s="27">
        <v>5</v>
      </c>
      <c r="B1876" s="27">
        <v>4</v>
      </c>
      <c r="C1876" s="27">
        <v>15</v>
      </c>
      <c r="D1876" s="27">
        <v>2013</v>
      </c>
      <c r="E1876" s="27">
        <v>2013</v>
      </c>
      <c r="F1876" s="27">
        <v>2</v>
      </c>
      <c r="G1876" s="27">
        <v>0</v>
      </c>
      <c r="H1876" s="27">
        <v>0</v>
      </c>
      <c r="I1876" s="27">
        <v>0</v>
      </c>
      <c r="J1876" s="27">
        <v>0</v>
      </c>
      <c r="K1876" s="27">
        <v>0.82</v>
      </c>
      <c r="L1876" s="27">
        <v>2200</v>
      </c>
      <c r="M1876" s="27">
        <v>2000</v>
      </c>
      <c r="N1876" s="27">
        <v>300</v>
      </c>
      <c r="O1876" s="27">
        <v>300</v>
      </c>
      <c r="P1876" s="27" t="s">
        <v>13</v>
      </c>
      <c r="Q1876" s="27">
        <v>1993</v>
      </c>
      <c r="R1876" s="27">
        <v>1</v>
      </c>
      <c r="S1876" s="27">
        <v>0</v>
      </c>
      <c r="T1876" s="27">
        <v>-1.619E-2</v>
      </c>
      <c r="U1876" s="27">
        <v>-5.3969999999999997E-2</v>
      </c>
      <c r="V1876" s="27">
        <v>0</v>
      </c>
      <c r="W1876" s="27">
        <v>0</v>
      </c>
      <c r="X1876" s="27" t="s">
        <v>68</v>
      </c>
    </row>
    <row r="1877" spans="1:24">
      <c r="A1877" s="27">
        <v>5</v>
      </c>
      <c r="B1877" s="27">
        <v>4</v>
      </c>
      <c r="C1877" s="27">
        <v>15</v>
      </c>
      <c r="D1877" s="27">
        <v>2013</v>
      </c>
      <c r="E1877" s="27">
        <v>2013</v>
      </c>
      <c r="F1877" s="27">
        <v>3</v>
      </c>
      <c r="G1877" s="27">
        <v>0</v>
      </c>
      <c r="H1877" s="27">
        <v>0</v>
      </c>
      <c r="I1877" s="27">
        <v>0</v>
      </c>
      <c r="J1877" s="27">
        <v>0</v>
      </c>
      <c r="K1877" s="27">
        <v>0.82</v>
      </c>
      <c r="L1877" s="27">
        <v>2200</v>
      </c>
      <c r="M1877" s="27">
        <v>2000</v>
      </c>
      <c r="N1877" s="27">
        <v>300</v>
      </c>
      <c r="O1877" s="27">
        <v>300</v>
      </c>
      <c r="P1877" s="27" t="s">
        <v>13</v>
      </c>
      <c r="Q1877" s="27">
        <v>1993</v>
      </c>
      <c r="R1877" s="27">
        <v>1</v>
      </c>
      <c r="S1877" s="27">
        <v>0</v>
      </c>
      <c r="T1877" s="27">
        <v>-1.619E-2</v>
      </c>
      <c r="U1877" s="27">
        <v>-5.3969999999999997E-2</v>
      </c>
      <c r="V1877" s="27">
        <v>0</v>
      </c>
      <c r="W1877" s="27">
        <v>0</v>
      </c>
      <c r="X1877" s="27" t="s">
        <v>68</v>
      </c>
    </row>
    <row r="1878" spans="1:24">
      <c r="A1878" s="27">
        <v>5</v>
      </c>
      <c r="B1878" s="27">
        <v>4</v>
      </c>
      <c r="C1878" s="27">
        <v>15</v>
      </c>
      <c r="D1878" s="27">
        <v>2013</v>
      </c>
      <c r="E1878" s="27">
        <v>2013</v>
      </c>
      <c r="F1878" s="27">
        <v>4</v>
      </c>
      <c r="G1878" s="27">
        <v>0</v>
      </c>
      <c r="H1878" s="27">
        <v>0</v>
      </c>
      <c r="I1878" s="27">
        <v>0</v>
      </c>
      <c r="J1878" s="27">
        <v>0</v>
      </c>
      <c r="K1878" s="27">
        <v>0.82</v>
      </c>
      <c r="L1878" s="27">
        <v>2200</v>
      </c>
      <c r="M1878" s="27">
        <v>2000</v>
      </c>
      <c r="N1878" s="27">
        <v>300</v>
      </c>
      <c r="O1878" s="27">
        <v>300</v>
      </c>
      <c r="P1878" s="27" t="s">
        <v>13</v>
      </c>
      <c r="Q1878" s="27">
        <v>1993</v>
      </c>
      <c r="R1878" s="27">
        <v>1</v>
      </c>
      <c r="S1878" s="27">
        <v>0</v>
      </c>
      <c r="T1878" s="27">
        <v>-1.619E-2</v>
      </c>
      <c r="U1878" s="27">
        <v>-5.3969999999999997E-2</v>
      </c>
      <c r="V1878" s="27">
        <v>0</v>
      </c>
      <c r="W1878" s="27">
        <v>0</v>
      </c>
      <c r="X1878" s="27" t="s">
        <v>68</v>
      </c>
    </row>
    <row r="1879" spans="1:24">
      <c r="A1879" s="27">
        <v>5</v>
      </c>
      <c r="B1879" s="27">
        <v>4</v>
      </c>
      <c r="C1879" s="27">
        <v>15</v>
      </c>
      <c r="D1879" s="27">
        <v>2013</v>
      </c>
      <c r="E1879" s="27">
        <v>2013</v>
      </c>
      <c r="F1879" s="27">
        <v>5</v>
      </c>
      <c r="G1879" s="27">
        <v>0</v>
      </c>
      <c r="H1879" s="27">
        <v>0</v>
      </c>
      <c r="I1879" s="27">
        <v>0</v>
      </c>
      <c r="J1879" s="27">
        <v>0</v>
      </c>
      <c r="K1879" s="27">
        <v>0.82</v>
      </c>
      <c r="L1879" s="27">
        <v>2200</v>
      </c>
      <c r="M1879" s="27">
        <v>2000</v>
      </c>
      <c r="N1879" s="27">
        <v>300</v>
      </c>
      <c r="O1879" s="27">
        <v>300</v>
      </c>
      <c r="P1879" s="27" t="s">
        <v>13</v>
      </c>
      <c r="Q1879" s="27">
        <v>1993</v>
      </c>
      <c r="R1879" s="27">
        <v>1</v>
      </c>
      <c r="S1879" s="27">
        <v>0</v>
      </c>
      <c r="T1879" s="27">
        <v>-1.619E-2</v>
      </c>
      <c r="U1879" s="27">
        <v>-5.3969999999999997E-2</v>
      </c>
      <c r="V1879" s="27">
        <v>0</v>
      </c>
      <c r="W1879" s="27">
        <v>0</v>
      </c>
      <c r="X1879" s="27" t="s">
        <v>68</v>
      </c>
    </row>
    <row r="1880" spans="1:24">
      <c r="A1880" s="27">
        <v>5</v>
      </c>
      <c r="B1880" s="27">
        <v>4</v>
      </c>
      <c r="C1880" s="27">
        <v>15</v>
      </c>
      <c r="D1880" s="27">
        <v>2013</v>
      </c>
      <c r="E1880" s="27">
        <v>2013</v>
      </c>
      <c r="F1880" s="27">
        <v>6</v>
      </c>
      <c r="G1880" s="27">
        <v>0</v>
      </c>
      <c r="H1880" s="27">
        <v>0</v>
      </c>
      <c r="I1880" s="27">
        <v>0</v>
      </c>
      <c r="J1880" s="27">
        <v>0</v>
      </c>
      <c r="K1880" s="27">
        <v>0.82</v>
      </c>
      <c r="L1880" s="27">
        <v>2200</v>
      </c>
      <c r="M1880" s="27">
        <v>2000</v>
      </c>
      <c r="N1880" s="27">
        <v>300</v>
      </c>
      <c r="O1880" s="27">
        <v>300</v>
      </c>
      <c r="P1880" s="27" t="s">
        <v>13</v>
      </c>
      <c r="Q1880" s="27">
        <v>1993</v>
      </c>
      <c r="R1880" s="27">
        <v>1</v>
      </c>
      <c r="S1880" s="27">
        <v>0</v>
      </c>
      <c r="T1880" s="27">
        <v>-1.619E-2</v>
      </c>
      <c r="U1880" s="27">
        <v>-5.3969999999999997E-2</v>
      </c>
      <c r="V1880" s="27">
        <v>0</v>
      </c>
      <c r="W1880" s="27">
        <v>0</v>
      </c>
      <c r="X1880" s="27" t="s">
        <v>68</v>
      </c>
    </row>
    <row r="1881" spans="1:24">
      <c r="A1881" s="27">
        <v>5</v>
      </c>
      <c r="B1881" s="27">
        <v>4</v>
      </c>
      <c r="C1881" s="27">
        <v>15</v>
      </c>
      <c r="D1881" s="27">
        <v>2013</v>
      </c>
      <c r="E1881" s="27">
        <v>2013</v>
      </c>
      <c r="F1881" s="27">
        <v>7</v>
      </c>
      <c r="G1881" s="27">
        <v>0</v>
      </c>
      <c r="H1881" s="27">
        <v>0</v>
      </c>
      <c r="I1881" s="27">
        <v>0</v>
      </c>
      <c r="J1881" s="27">
        <v>0</v>
      </c>
      <c r="K1881" s="27">
        <v>0.82</v>
      </c>
      <c r="L1881" s="27">
        <v>2200</v>
      </c>
      <c r="M1881" s="27">
        <v>2000</v>
      </c>
      <c r="N1881" s="27">
        <v>300</v>
      </c>
      <c r="O1881" s="27">
        <v>300</v>
      </c>
      <c r="P1881" s="27" t="s">
        <v>13</v>
      </c>
      <c r="Q1881" s="27">
        <v>1993</v>
      </c>
      <c r="R1881" s="27">
        <v>1</v>
      </c>
      <c r="S1881" s="27">
        <v>0</v>
      </c>
      <c r="T1881" s="27">
        <v>-1.619E-2</v>
      </c>
      <c r="U1881" s="27">
        <v>-5.3969999999999997E-2</v>
      </c>
      <c r="V1881" s="27">
        <v>0</v>
      </c>
      <c r="W1881" s="27">
        <v>0</v>
      </c>
      <c r="X1881" s="27" t="s">
        <v>68</v>
      </c>
    </row>
    <row r="1882" spans="1:24">
      <c r="A1882" s="27">
        <v>5</v>
      </c>
      <c r="B1882" s="27">
        <v>4</v>
      </c>
      <c r="C1882" s="27">
        <v>15</v>
      </c>
      <c r="D1882" s="27">
        <v>2013</v>
      </c>
      <c r="E1882" s="27">
        <v>2013</v>
      </c>
      <c r="F1882" s="27">
        <v>8</v>
      </c>
      <c r="G1882" s="27">
        <v>0</v>
      </c>
      <c r="H1882" s="27">
        <v>0</v>
      </c>
      <c r="I1882" s="27">
        <v>0</v>
      </c>
      <c r="J1882" s="27">
        <v>0</v>
      </c>
      <c r="K1882" s="27">
        <v>0.82</v>
      </c>
      <c r="L1882" s="27">
        <v>2200</v>
      </c>
      <c r="M1882" s="27">
        <v>2000</v>
      </c>
      <c r="N1882" s="27">
        <v>300</v>
      </c>
      <c r="O1882" s="27">
        <v>300</v>
      </c>
      <c r="P1882" s="27" t="s">
        <v>13</v>
      </c>
      <c r="Q1882" s="27">
        <v>1993</v>
      </c>
      <c r="R1882" s="27">
        <v>1</v>
      </c>
      <c r="S1882" s="27">
        <v>0</v>
      </c>
      <c r="T1882" s="27">
        <v>-1.619E-2</v>
      </c>
      <c r="U1882" s="27">
        <v>-5.3969999999999997E-2</v>
      </c>
      <c r="V1882" s="27">
        <v>0</v>
      </c>
      <c r="W1882" s="27">
        <v>0</v>
      </c>
      <c r="X1882" s="27" t="s">
        <v>68</v>
      </c>
    </row>
    <row r="1883" spans="1:24">
      <c r="A1883" s="27">
        <v>5</v>
      </c>
      <c r="B1883" s="27">
        <v>4</v>
      </c>
      <c r="C1883" s="27">
        <v>15</v>
      </c>
      <c r="D1883" s="27">
        <v>2013</v>
      </c>
      <c r="E1883" s="27">
        <v>2013</v>
      </c>
      <c r="F1883" s="27">
        <v>9</v>
      </c>
      <c r="G1883" s="27">
        <v>0</v>
      </c>
      <c r="H1883" s="27">
        <v>0</v>
      </c>
      <c r="I1883" s="27">
        <v>0</v>
      </c>
      <c r="J1883" s="27">
        <v>0</v>
      </c>
      <c r="K1883" s="27">
        <v>0.82</v>
      </c>
      <c r="L1883" s="27">
        <v>2200</v>
      </c>
      <c r="M1883" s="27">
        <v>2000</v>
      </c>
      <c r="N1883" s="27">
        <v>300</v>
      </c>
      <c r="O1883" s="27">
        <v>300</v>
      </c>
      <c r="P1883" s="27" t="s">
        <v>13</v>
      </c>
      <c r="Q1883" s="27">
        <v>1993</v>
      </c>
      <c r="R1883" s="27">
        <v>1</v>
      </c>
      <c r="S1883" s="27">
        <v>0</v>
      </c>
      <c r="T1883" s="27">
        <v>-1.619E-2</v>
      </c>
      <c r="U1883" s="27">
        <v>-5.3969999999999997E-2</v>
      </c>
      <c r="V1883" s="27">
        <v>0</v>
      </c>
      <c r="W1883" s="27">
        <v>0</v>
      </c>
      <c r="X1883" s="27" t="s">
        <v>68</v>
      </c>
    </row>
    <row r="1884" spans="1:24">
      <c r="A1884" s="27">
        <v>5</v>
      </c>
      <c r="B1884" s="27">
        <v>4</v>
      </c>
      <c r="C1884" s="27">
        <v>15</v>
      </c>
      <c r="D1884" s="27">
        <v>2014</v>
      </c>
      <c r="E1884" s="27">
        <v>2019</v>
      </c>
      <c r="F1884" s="27">
        <v>1</v>
      </c>
      <c r="G1884" s="27">
        <v>0</v>
      </c>
      <c r="H1884" s="27">
        <v>0</v>
      </c>
      <c r="I1884" s="27">
        <v>0</v>
      </c>
      <c r="J1884" s="27">
        <v>0</v>
      </c>
      <c r="K1884" s="27">
        <v>0.82</v>
      </c>
      <c r="L1884" s="27">
        <v>2200</v>
      </c>
      <c r="M1884" s="27">
        <v>2000</v>
      </c>
      <c r="N1884" s="27">
        <v>0</v>
      </c>
      <c r="O1884" s="27">
        <v>0</v>
      </c>
      <c r="P1884" s="27" t="s">
        <v>13</v>
      </c>
      <c r="Q1884" s="27">
        <v>1993</v>
      </c>
      <c r="R1884" s="27">
        <v>1</v>
      </c>
      <c r="S1884" s="27">
        <v>0</v>
      </c>
      <c r="T1884" s="27">
        <v>-1.619E-2</v>
      </c>
      <c r="U1884" s="27">
        <v>-5.3969999999999997E-2</v>
      </c>
      <c r="V1884" s="27">
        <v>0</v>
      </c>
      <c r="W1884" s="27">
        <v>0</v>
      </c>
      <c r="X1884" s="27" t="s">
        <v>68</v>
      </c>
    </row>
    <row r="1885" spans="1:24">
      <c r="A1885" s="27">
        <v>5</v>
      </c>
      <c r="B1885" s="27">
        <v>4</v>
      </c>
      <c r="C1885" s="27">
        <v>15</v>
      </c>
      <c r="D1885" s="27">
        <v>2014</v>
      </c>
      <c r="E1885" s="27">
        <v>2019</v>
      </c>
      <c r="F1885" s="27">
        <v>2</v>
      </c>
      <c r="G1885" s="27">
        <v>0</v>
      </c>
      <c r="H1885" s="27">
        <v>0</v>
      </c>
      <c r="I1885" s="27">
        <v>0</v>
      </c>
      <c r="J1885" s="27">
        <v>0</v>
      </c>
      <c r="K1885" s="27">
        <v>0.82</v>
      </c>
      <c r="L1885" s="27">
        <v>2200</v>
      </c>
      <c r="M1885" s="27">
        <v>2000</v>
      </c>
      <c r="N1885" s="27">
        <v>0</v>
      </c>
      <c r="O1885" s="27">
        <v>0</v>
      </c>
      <c r="P1885" s="27" t="s">
        <v>13</v>
      </c>
      <c r="Q1885" s="27">
        <v>1993</v>
      </c>
      <c r="R1885" s="27">
        <v>1</v>
      </c>
      <c r="S1885" s="27">
        <v>0</v>
      </c>
      <c r="T1885" s="27">
        <v>-1.619E-2</v>
      </c>
      <c r="U1885" s="27">
        <v>-5.3969999999999997E-2</v>
      </c>
      <c r="V1885" s="27">
        <v>0</v>
      </c>
      <c r="W1885" s="27">
        <v>0</v>
      </c>
      <c r="X1885" s="27" t="s">
        <v>68</v>
      </c>
    </row>
    <row r="1886" spans="1:24">
      <c r="A1886" s="27">
        <v>5</v>
      </c>
      <c r="B1886" s="27">
        <v>4</v>
      </c>
      <c r="C1886" s="27">
        <v>15</v>
      </c>
      <c r="D1886" s="27">
        <v>2014</v>
      </c>
      <c r="E1886" s="27">
        <v>2019</v>
      </c>
      <c r="F1886" s="27">
        <v>3</v>
      </c>
      <c r="G1886" s="27">
        <v>0</v>
      </c>
      <c r="H1886" s="27">
        <v>0</v>
      </c>
      <c r="I1886" s="27">
        <v>0</v>
      </c>
      <c r="J1886" s="27">
        <v>0</v>
      </c>
      <c r="K1886" s="27">
        <v>0.82</v>
      </c>
      <c r="L1886" s="27">
        <v>2200</v>
      </c>
      <c r="M1886" s="27">
        <v>2000</v>
      </c>
      <c r="N1886" s="27">
        <v>0</v>
      </c>
      <c r="O1886" s="27">
        <v>0</v>
      </c>
      <c r="P1886" s="27" t="s">
        <v>13</v>
      </c>
      <c r="Q1886" s="27">
        <v>1993</v>
      </c>
      <c r="R1886" s="27">
        <v>1</v>
      </c>
      <c r="S1886" s="27">
        <v>0</v>
      </c>
      <c r="T1886" s="27">
        <v>-1.619E-2</v>
      </c>
      <c r="U1886" s="27">
        <v>-5.3969999999999997E-2</v>
      </c>
      <c r="V1886" s="27">
        <v>0</v>
      </c>
      <c r="W1886" s="27">
        <v>0</v>
      </c>
      <c r="X1886" s="27" t="s">
        <v>68</v>
      </c>
    </row>
    <row r="1887" spans="1:24">
      <c r="A1887" s="27">
        <v>5</v>
      </c>
      <c r="B1887" s="27">
        <v>4</v>
      </c>
      <c r="C1887" s="27">
        <v>15</v>
      </c>
      <c r="D1887" s="27">
        <v>2014</v>
      </c>
      <c r="E1887" s="27">
        <v>2019</v>
      </c>
      <c r="F1887" s="27">
        <v>4</v>
      </c>
      <c r="G1887" s="27">
        <v>0</v>
      </c>
      <c r="H1887" s="27">
        <v>0</v>
      </c>
      <c r="I1887" s="27">
        <v>0</v>
      </c>
      <c r="J1887" s="27">
        <v>0</v>
      </c>
      <c r="K1887" s="27">
        <v>0.82</v>
      </c>
      <c r="L1887" s="27">
        <v>2200</v>
      </c>
      <c r="M1887" s="27">
        <v>2000</v>
      </c>
      <c r="N1887" s="27">
        <v>0</v>
      </c>
      <c r="O1887" s="27">
        <v>0</v>
      </c>
      <c r="P1887" s="27" t="s">
        <v>13</v>
      </c>
      <c r="Q1887" s="27">
        <v>1993</v>
      </c>
      <c r="R1887" s="27">
        <v>1</v>
      </c>
      <c r="S1887" s="27">
        <v>0</v>
      </c>
      <c r="T1887" s="27">
        <v>-1.619E-2</v>
      </c>
      <c r="U1887" s="27">
        <v>-5.3969999999999997E-2</v>
      </c>
      <c r="V1887" s="27">
        <v>0</v>
      </c>
      <c r="W1887" s="27">
        <v>0</v>
      </c>
      <c r="X1887" s="27" t="s">
        <v>68</v>
      </c>
    </row>
    <row r="1888" spans="1:24">
      <c r="A1888" s="27">
        <v>5</v>
      </c>
      <c r="B1888" s="27">
        <v>4</v>
      </c>
      <c r="C1888" s="27">
        <v>15</v>
      </c>
      <c r="D1888" s="27">
        <v>2014</v>
      </c>
      <c r="E1888" s="27">
        <v>2019</v>
      </c>
      <c r="F1888" s="27">
        <v>5</v>
      </c>
      <c r="G1888" s="27">
        <v>0</v>
      </c>
      <c r="H1888" s="27">
        <v>0</v>
      </c>
      <c r="I1888" s="27">
        <v>0</v>
      </c>
      <c r="J1888" s="27">
        <v>0</v>
      </c>
      <c r="K1888" s="27">
        <v>0.82</v>
      </c>
      <c r="L1888" s="27">
        <v>2200</v>
      </c>
      <c r="M1888" s="27">
        <v>2000</v>
      </c>
      <c r="N1888" s="27">
        <v>0</v>
      </c>
      <c r="O1888" s="27">
        <v>0</v>
      </c>
      <c r="P1888" s="27" t="s">
        <v>13</v>
      </c>
      <c r="Q1888" s="27">
        <v>1993</v>
      </c>
      <c r="R1888" s="27">
        <v>1</v>
      </c>
      <c r="S1888" s="27">
        <v>0</v>
      </c>
      <c r="T1888" s="27">
        <v>-1.619E-2</v>
      </c>
      <c r="U1888" s="27">
        <v>-5.3969999999999997E-2</v>
      </c>
      <c r="V1888" s="27">
        <v>0</v>
      </c>
      <c r="W1888" s="27">
        <v>0</v>
      </c>
      <c r="X1888" s="27" t="s">
        <v>68</v>
      </c>
    </row>
    <row r="1889" spans="1:24">
      <c r="A1889" s="27">
        <v>5</v>
      </c>
      <c r="B1889" s="27">
        <v>4</v>
      </c>
      <c r="C1889" s="27">
        <v>15</v>
      </c>
      <c r="D1889" s="27">
        <v>2014</v>
      </c>
      <c r="E1889" s="27">
        <v>2019</v>
      </c>
      <c r="F1889" s="27">
        <v>6</v>
      </c>
      <c r="G1889" s="27">
        <v>0</v>
      </c>
      <c r="H1889" s="27">
        <v>0</v>
      </c>
      <c r="I1889" s="27">
        <v>0</v>
      </c>
      <c r="J1889" s="27">
        <v>0</v>
      </c>
      <c r="K1889" s="27">
        <v>0.82</v>
      </c>
      <c r="L1889" s="27">
        <v>2200</v>
      </c>
      <c r="M1889" s="27">
        <v>2000</v>
      </c>
      <c r="N1889" s="27">
        <v>0</v>
      </c>
      <c r="O1889" s="27">
        <v>0</v>
      </c>
      <c r="P1889" s="27" t="s">
        <v>13</v>
      </c>
      <c r="Q1889" s="27">
        <v>1993</v>
      </c>
      <c r="R1889" s="27">
        <v>1</v>
      </c>
      <c r="S1889" s="27">
        <v>0</v>
      </c>
      <c r="T1889" s="27">
        <v>-1.619E-2</v>
      </c>
      <c r="U1889" s="27">
        <v>-5.3969999999999997E-2</v>
      </c>
      <c r="V1889" s="27">
        <v>0</v>
      </c>
      <c r="W1889" s="27">
        <v>0</v>
      </c>
      <c r="X1889" s="27" t="s">
        <v>68</v>
      </c>
    </row>
    <row r="1890" spans="1:24">
      <c r="A1890" s="27">
        <v>5</v>
      </c>
      <c r="B1890" s="27">
        <v>4</v>
      </c>
      <c r="C1890" s="27">
        <v>15</v>
      </c>
      <c r="D1890" s="27">
        <v>2014</v>
      </c>
      <c r="E1890" s="27">
        <v>2019</v>
      </c>
      <c r="F1890" s="27">
        <v>7</v>
      </c>
      <c r="G1890" s="27">
        <v>0</v>
      </c>
      <c r="H1890" s="27">
        <v>0</v>
      </c>
      <c r="I1890" s="27">
        <v>0</v>
      </c>
      <c r="J1890" s="27">
        <v>0</v>
      </c>
      <c r="K1890" s="27">
        <v>0.82</v>
      </c>
      <c r="L1890" s="27">
        <v>2200</v>
      </c>
      <c r="M1890" s="27">
        <v>2000</v>
      </c>
      <c r="N1890" s="27">
        <v>0</v>
      </c>
      <c r="O1890" s="27">
        <v>0</v>
      </c>
      <c r="P1890" s="27" t="s">
        <v>13</v>
      </c>
      <c r="Q1890" s="27">
        <v>1993</v>
      </c>
      <c r="R1890" s="27">
        <v>1</v>
      </c>
      <c r="S1890" s="27">
        <v>0</v>
      </c>
      <c r="T1890" s="27">
        <v>-1.619E-2</v>
      </c>
      <c r="U1890" s="27">
        <v>-5.3969999999999997E-2</v>
      </c>
      <c r="V1890" s="27">
        <v>0</v>
      </c>
      <c r="W1890" s="27">
        <v>0</v>
      </c>
      <c r="X1890" s="27" t="s">
        <v>68</v>
      </c>
    </row>
    <row r="1891" spans="1:24">
      <c r="A1891" s="27">
        <v>5</v>
      </c>
      <c r="B1891" s="27">
        <v>4</v>
      </c>
      <c r="C1891" s="27">
        <v>15</v>
      </c>
      <c r="D1891" s="27">
        <v>2014</v>
      </c>
      <c r="E1891" s="27">
        <v>2019</v>
      </c>
      <c r="F1891" s="27">
        <v>8</v>
      </c>
      <c r="G1891" s="27">
        <v>0</v>
      </c>
      <c r="H1891" s="27">
        <v>0</v>
      </c>
      <c r="I1891" s="27">
        <v>0</v>
      </c>
      <c r="J1891" s="27">
        <v>0</v>
      </c>
      <c r="K1891" s="27">
        <v>0.82</v>
      </c>
      <c r="L1891" s="27">
        <v>2200</v>
      </c>
      <c r="M1891" s="27">
        <v>2000</v>
      </c>
      <c r="N1891" s="27">
        <v>0</v>
      </c>
      <c r="O1891" s="27">
        <v>0</v>
      </c>
      <c r="P1891" s="27" t="s">
        <v>13</v>
      </c>
      <c r="Q1891" s="27">
        <v>1993</v>
      </c>
      <c r="R1891" s="27">
        <v>1</v>
      </c>
      <c r="S1891" s="27">
        <v>0</v>
      </c>
      <c r="T1891" s="27">
        <v>-1.619E-2</v>
      </c>
      <c r="U1891" s="27">
        <v>-5.3969999999999997E-2</v>
      </c>
      <c r="V1891" s="27">
        <v>0</v>
      </c>
      <c r="W1891" s="27">
        <v>0</v>
      </c>
      <c r="X1891" s="27" t="s">
        <v>68</v>
      </c>
    </row>
    <row r="1892" spans="1:24">
      <c r="A1892" s="27">
        <v>5</v>
      </c>
      <c r="B1892" s="27">
        <v>4</v>
      </c>
      <c r="C1892" s="27">
        <v>15</v>
      </c>
      <c r="D1892" s="27">
        <v>2014</v>
      </c>
      <c r="E1892" s="27">
        <v>2019</v>
      </c>
      <c r="F1892" s="27">
        <v>9</v>
      </c>
      <c r="G1892" s="27">
        <v>0</v>
      </c>
      <c r="H1892" s="27">
        <v>0</v>
      </c>
      <c r="I1892" s="27">
        <v>0</v>
      </c>
      <c r="J1892" s="27">
        <v>0</v>
      </c>
      <c r="K1892" s="27">
        <v>0.82</v>
      </c>
      <c r="L1892" s="27">
        <v>2200</v>
      </c>
      <c r="M1892" s="27">
        <v>2000</v>
      </c>
      <c r="N1892" s="27">
        <v>0</v>
      </c>
      <c r="O1892" s="27">
        <v>0</v>
      </c>
      <c r="P1892" s="27" t="s">
        <v>13</v>
      </c>
      <c r="Q1892" s="27">
        <v>1993</v>
      </c>
      <c r="R1892" s="27">
        <v>1</v>
      </c>
      <c r="S1892" s="27">
        <v>0</v>
      </c>
      <c r="T1892" s="27">
        <v>-1.619E-2</v>
      </c>
      <c r="U1892" s="27">
        <v>-5.3969999999999997E-2</v>
      </c>
      <c r="V1892" s="27">
        <v>0</v>
      </c>
      <c r="W1892" s="27">
        <v>0</v>
      </c>
      <c r="X1892" s="27" t="s">
        <v>68</v>
      </c>
    </row>
    <row r="1893" spans="1:24">
      <c r="A1893" s="27">
        <v>5</v>
      </c>
      <c r="B1893" s="27">
        <v>4</v>
      </c>
      <c r="C1893" s="27">
        <v>15</v>
      </c>
      <c r="D1893" s="27">
        <v>2020</v>
      </c>
      <c r="E1893" s="27">
        <v>2029</v>
      </c>
      <c r="F1893" s="27">
        <v>1</v>
      </c>
      <c r="G1893" s="27">
        <v>0</v>
      </c>
      <c r="H1893" s="27">
        <v>0</v>
      </c>
      <c r="I1893" s="27">
        <v>0</v>
      </c>
      <c r="J1893" s="27">
        <v>0</v>
      </c>
      <c r="K1893" s="27">
        <v>0.9</v>
      </c>
      <c r="L1893" s="27">
        <v>2100</v>
      </c>
      <c r="M1893" s="27">
        <v>1900</v>
      </c>
      <c r="N1893" s="27">
        <v>0</v>
      </c>
      <c r="O1893" s="27">
        <v>0</v>
      </c>
      <c r="P1893" s="27" t="s">
        <v>13</v>
      </c>
      <c r="Q1893" s="27">
        <v>1993</v>
      </c>
      <c r="R1893" s="27">
        <v>1</v>
      </c>
      <c r="S1893" s="27">
        <v>0</v>
      </c>
      <c r="T1893" s="27">
        <v>-1.619E-2</v>
      </c>
      <c r="U1893" s="27">
        <v>-5.3969999999999997E-2</v>
      </c>
      <c r="V1893" s="27">
        <v>0</v>
      </c>
      <c r="W1893" s="27">
        <v>0</v>
      </c>
      <c r="X1893" s="27" t="s">
        <v>68</v>
      </c>
    </row>
    <row r="1894" spans="1:24">
      <c r="A1894" s="27">
        <v>5</v>
      </c>
      <c r="B1894" s="27">
        <v>4</v>
      </c>
      <c r="C1894" s="27">
        <v>15</v>
      </c>
      <c r="D1894" s="27">
        <v>2020</v>
      </c>
      <c r="E1894" s="27">
        <v>2029</v>
      </c>
      <c r="F1894" s="27">
        <v>2</v>
      </c>
      <c r="G1894" s="27">
        <v>0</v>
      </c>
      <c r="H1894" s="27">
        <v>0</v>
      </c>
      <c r="I1894" s="27">
        <v>0</v>
      </c>
      <c r="J1894" s="27">
        <v>0</v>
      </c>
      <c r="K1894" s="27">
        <v>0.9</v>
      </c>
      <c r="L1894" s="27">
        <v>2100</v>
      </c>
      <c r="M1894" s="27">
        <v>1900</v>
      </c>
      <c r="N1894" s="27">
        <v>0</v>
      </c>
      <c r="O1894" s="27">
        <v>0</v>
      </c>
      <c r="P1894" s="27" t="s">
        <v>13</v>
      </c>
      <c r="Q1894" s="27">
        <v>1993</v>
      </c>
      <c r="R1894" s="27">
        <v>1</v>
      </c>
      <c r="S1894" s="27">
        <v>0</v>
      </c>
      <c r="T1894" s="27">
        <v>-1.619E-2</v>
      </c>
      <c r="U1894" s="27">
        <v>-5.3969999999999997E-2</v>
      </c>
      <c r="V1894" s="27">
        <v>0</v>
      </c>
      <c r="W1894" s="27">
        <v>0</v>
      </c>
      <c r="X1894" s="27" t="s">
        <v>68</v>
      </c>
    </row>
    <row r="1895" spans="1:24">
      <c r="A1895" s="27">
        <v>5</v>
      </c>
      <c r="B1895" s="27">
        <v>4</v>
      </c>
      <c r="C1895" s="27">
        <v>15</v>
      </c>
      <c r="D1895" s="27">
        <v>2020</v>
      </c>
      <c r="E1895" s="27">
        <v>2029</v>
      </c>
      <c r="F1895" s="27">
        <v>3</v>
      </c>
      <c r="G1895" s="27">
        <v>0</v>
      </c>
      <c r="H1895" s="27">
        <v>0</v>
      </c>
      <c r="I1895" s="27">
        <v>0</v>
      </c>
      <c r="J1895" s="27">
        <v>0</v>
      </c>
      <c r="K1895" s="27">
        <v>0.9</v>
      </c>
      <c r="L1895" s="27">
        <v>2100</v>
      </c>
      <c r="M1895" s="27">
        <v>1900</v>
      </c>
      <c r="N1895" s="27">
        <v>0</v>
      </c>
      <c r="O1895" s="27">
        <v>0</v>
      </c>
      <c r="P1895" s="27" t="s">
        <v>13</v>
      </c>
      <c r="Q1895" s="27">
        <v>1993</v>
      </c>
      <c r="R1895" s="27">
        <v>1</v>
      </c>
      <c r="S1895" s="27">
        <v>0</v>
      </c>
      <c r="T1895" s="27">
        <v>-1.619E-2</v>
      </c>
      <c r="U1895" s="27">
        <v>-5.3969999999999997E-2</v>
      </c>
      <c r="V1895" s="27">
        <v>0</v>
      </c>
      <c r="W1895" s="27">
        <v>0</v>
      </c>
      <c r="X1895" s="27" t="s">
        <v>68</v>
      </c>
    </row>
    <row r="1896" spans="1:24">
      <c r="A1896" s="27">
        <v>5</v>
      </c>
      <c r="B1896" s="27">
        <v>4</v>
      </c>
      <c r="C1896" s="27">
        <v>15</v>
      </c>
      <c r="D1896" s="27">
        <v>2020</v>
      </c>
      <c r="E1896" s="27">
        <v>2029</v>
      </c>
      <c r="F1896" s="27">
        <v>4</v>
      </c>
      <c r="G1896" s="27">
        <v>0</v>
      </c>
      <c r="H1896" s="27">
        <v>0</v>
      </c>
      <c r="I1896" s="27">
        <v>0</v>
      </c>
      <c r="J1896" s="27">
        <v>0</v>
      </c>
      <c r="K1896" s="27">
        <v>0.9</v>
      </c>
      <c r="L1896" s="27">
        <v>2100</v>
      </c>
      <c r="M1896" s="27">
        <v>1900</v>
      </c>
      <c r="N1896" s="27">
        <v>0</v>
      </c>
      <c r="O1896" s="27">
        <v>0</v>
      </c>
      <c r="P1896" s="27" t="s">
        <v>13</v>
      </c>
      <c r="Q1896" s="27">
        <v>1993</v>
      </c>
      <c r="R1896" s="27">
        <v>1</v>
      </c>
      <c r="S1896" s="27">
        <v>0</v>
      </c>
      <c r="T1896" s="27">
        <v>-1.619E-2</v>
      </c>
      <c r="U1896" s="27">
        <v>-5.3969999999999997E-2</v>
      </c>
      <c r="V1896" s="27">
        <v>0</v>
      </c>
      <c r="W1896" s="27">
        <v>0</v>
      </c>
      <c r="X1896" s="27" t="s">
        <v>68</v>
      </c>
    </row>
    <row r="1897" spans="1:24">
      <c r="A1897" s="27">
        <v>5</v>
      </c>
      <c r="B1897" s="27">
        <v>4</v>
      </c>
      <c r="C1897" s="27">
        <v>15</v>
      </c>
      <c r="D1897" s="27">
        <v>2020</v>
      </c>
      <c r="E1897" s="27">
        <v>2029</v>
      </c>
      <c r="F1897" s="27">
        <v>5</v>
      </c>
      <c r="G1897" s="27">
        <v>0</v>
      </c>
      <c r="H1897" s="27">
        <v>0</v>
      </c>
      <c r="I1897" s="27">
        <v>0</v>
      </c>
      <c r="J1897" s="27">
        <v>0</v>
      </c>
      <c r="K1897" s="27">
        <v>0.9</v>
      </c>
      <c r="L1897" s="27">
        <v>2100</v>
      </c>
      <c r="M1897" s="27">
        <v>1900</v>
      </c>
      <c r="N1897" s="27">
        <v>0</v>
      </c>
      <c r="O1897" s="27">
        <v>0</v>
      </c>
      <c r="P1897" s="27" t="s">
        <v>13</v>
      </c>
      <c r="Q1897" s="27">
        <v>1993</v>
      </c>
      <c r="R1897" s="27">
        <v>1</v>
      </c>
      <c r="S1897" s="27">
        <v>0</v>
      </c>
      <c r="T1897" s="27">
        <v>-1.619E-2</v>
      </c>
      <c r="U1897" s="27">
        <v>-5.3969999999999997E-2</v>
      </c>
      <c r="V1897" s="27">
        <v>0</v>
      </c>
      <c r="W1897" s="27">
        <v>0</v>
      </c>
      <c r="X1897" s="27" t="s">
        <v>68</v>
      </c>
    </row>
    <row r="1898" spans="1:24">
      <c r="A1898" s="27">
        <v>5</v>
      </c>
      <c r="B1898" s="27">
        <v>4</v>
      </c>
      <c r="C1898" s="27">
        <v>15</v>
      </c>
      <c r="D1898" s="27">
        <v>2020</v>
      </c>
      <c r="E1898" s="27">
        <v>2029</v>
      </c>
      <c r="F1898" s="27">
        <v>6</v>
      </c>
      <c r="G1898" s="27">
        <v>0</v>
      </c>
      <c r="H1898" s="27">
        <v>0</v>
      </c>
      <c r="I1898" s="27">
        <v>0</v>
      </c>
      <c r="J1898" s="27">
        <v>0</v>
      </c>
      <c r="K1898" s="27">
        <v>0.9</v>
      </c>
      <c r="L1898" s="27">
        <v>2100</v>
      </c>
      <c r="M1898" s="27">
        <v>1900</v>
      </c>
      <c r="N1898" s="27">
        <v>0</v>
      </c>
      <c r="O1898" s="27">
        <v>0</v>
      </c>
      <c r="P1898" s="27" t="s">
        <v>13</v>
      </c>
      <c r="Q1898" s="27">
        <v>1993</v>
      </c>
      <c r="R1898" s="27">
        <v>1</v>
      </c>
      <c r="S1898" s="27">
        <v>0</v>
      </c>
      <c r="T1898" s="27">
        <v>-1.619E-2</v>
      </c>
      <c r="U1898" s="27">
        <v>-5.3969999999999997E-2</v>
      </c>
      <c r="V1898" s="27">
        <v>0</v>
      </c>
      <c r="W1898" s="27">
        <v>0</v>
      </c>
      <c r="X1898" s="27" t="s">
        <v>68</v>
      </c>
    </row>
    <row r="1899" spans="1:24">
      <c r="A1899" s="27">
        <v>5</v>
      </c>
      <c r="B1899" s="27">
        <v>4</v>
      </c>
      <c r="C1899" s="27">
        <v>15</v>
      </c>
      <c r="D1899" s="27">
        <v>2020</v>
      </c>
      <c r="E1899" s="27">
        <v>2029</v>
      </c>
      <c r="F1899" s="27">
        <v>7</v>
      </c>
      <c r="G1899" s="27">
        <v>0</v>
      </c>
      <c r="H1899" s="27">
        <v>0</v>
      </c>
      <c r="I1899" s="27">
        <v>0</v>
      </c>
      <c r="J1899" s="27">
        <v>0</v>
      </c>
      <c r="K1899" s="27">
        <v>0.9</v>
      </c>
      <c r="L1899" s="27">
        <v>2100</v>
      </c>
      <c r="M1899" s="27">
        <v>1900</v>
      </c>
      <c r="N1899" s="27">
        <v>0</v>
      </c>
      <c r="O1899" s="27">
        <v>0</v>
      </c>
      <c r="P1899" s="27" t="s">
        <v>13</v>
      </c>
      <c r="Q1899" s="27">
        <v>1993</v>
      </c>
      <c r="R1899" s="27">
        <v>1</v>
      </c>
      <c r="S1899" s="27">
        <v>0</v>
      </c>
      <c r="T1899" s="27">
        <v>-1.619E-2</v>
      </c>
      <c r="U1899" s="27">
        <v>-5.3969999999999997E-2</v>
      </c>
      <c r="V1899" s="27">
        <v>0</v>
      </c>
      <c r="W1899" s="27">
        <v>0</v>
      </c>
      <c r="X1899" s="27" t="s">
        <v>68</v>
      </c>
    </row>
    <row r="1900" spans="1:24">
      <c r="A1900" s="27">
        <v>5</v>
      </c>
      <c r="B1900" s="27">
        <v>4</v>
      </c>
      <c r="C1900" s="27">
        <v>15</v>
      </c>
      <c r="D1900" s="27">
        <v>2020</v>
      </c>
      <c r="E1900" s="27">
        <v>2029</v>
      </c>
      <c r="F1900" s="27">
        <v>8</v>
      </c>
      <c r="G1900" s="27">
        <v>0</v>
      </c>
      <c r="H1900" s="27">
        <v>0</v>
      </c>
      <c r="I1900" s="27">
        <v>0</v>
      </c>
      <c r="J1900" s="27">
        <v>0</v>
      </c>
      <c r="K1900" s="27">
        <v>0.9</v>
      </c>
      <c r="L1900" s="27">
        <v>2100</v>
      </c>
      <c r="M1900" s="27">
        <v>1900</v>
      </c>
      <c r="N1900" s="27">
        <v>0</v>
      </c>
      <c r="O1900" s="27">
        <v>0</v>
      </c>
      <c r="P1900" s="27" t="s">
        <v>13</v>
      </c>
      <c r="Q1900" s="27">
        <v>1993</v>
      </c>
      <c r="R1900" s="27">
        <v>1</v>
      </c>
      <c r="S1900" s="27">
        <v>0</v>
      </c>
      <c r="T1900" s="27">
        <v>-1.619E-2</v>
      </c>
      <c r="U1900" s="27">
        <v>-5.3969999999999997E-2</v>
      </c>
      <c r="V1900" s="27">
        <v>0</v>
      </c>
      <c r="W1900" s="27">
        <v>0</v>
      </c>
      <c r="X1900" s="27" t="s">
        <v>68</v>
      </c>
    </row>
    <row r="1901" spans="1:24">
      <c r="A1901" s="27">
        <v>5</v>
      </c>
      <c r="B1901" s="27">
        <v>4</v>
      </c>
      <c r="C1901" s="27">
        <v>15</v>
      </c>
      <c r="D1901" s="27">
        <v>2020</v>
      </c>
      <c r="E1901" s="27">
        <v>2029</v>
      </c>
      <c r="F1901" s="27">
        <v>9</v>
      </c>
      <c r="G1901" s="27">
        <v>0</v>
      </c>
      <c r="H1901" s="27">
        <v>0</v>
      </c>
      <c r="I1901" s="27">
        <v>0</v>
      </c>
      <c r="J1901" s="27">
        <v>0</v>
      </c>
      <c r="K1901" s="27">
        <v>0.9</v>
      </c>
      <c r="L1901" s="27">
        <v>2100</v>
      </c>
      <c r="M1901" s="27">
        <v>1900</v>
      </c>
      <c r="N1901" s="27">
        <v>0</v>
      </c>
      <c r="O1901" s="27">
        <v>0</v>
      </c>
      <c r="P1901" s="27" t="s">
        <v>13</v>
      </c>
      <c r="Q1901" s="27">
        <v>1993</v>
      </c>
      <c r="R1901" s="27">
        <v>1</v>
      </c>
      <c r="S1901" s="27">
        <v>0</v>
      </c>
      <c r="T1901" s="27">
        <v>-1.619E-2</v>
      </c>
      <c r="U1901" s="27">
        <v>-5.3969999999999997E-2</v>
      </c>
      <c r="V1901" s="27">
        <v>0</v>
      </c>
      <c r="W1901" s="27">
        <v>0</v>
      </c>
      <c r="X1901" s="27" t="s">
        <v>68</v>
      </c>
    </row>
    <row r="1902" spans="1:24">
      <c r="A1902" s="27">
        <v>5</v>
      </c>
      <c r="B1902" s="27">
        <v>4</v>
      </c>
      <c r="C1902" s="27">
        <v>15</v>
      </c>
      <c r="D1902" s="27">
        <v>2030</v>
      </c>
      <c r="E1902" s="27">
        <v>2050</v>
      </c>
      <c r="F1902" s="27">
        <v>1</v>
      </c>
      <c r="G1902" s="27">
        <v>0</v>
      </c>
      <c r="H1902" s="27">
        <v>0</v>
      </c>
      <c r="I1902" s="27">
        <v>0</v>
      </c>
      <c r="J1902" s="27">
        <v>0</v>
      </c>
      <c r="K1902" s="27">
        <v>0.85</v>
      </c>
      <c r="L1902" s="27">
        <v>1900</v>
      </c>
      <c r="M1902" s="27">
        <v>1720</v>
      </c>
      <c r="N1902" s="27">
        <v>0</v>
      </c>
      <c r="O1902" s="27">
        <v>0</v>
      </c>
      <c r="P1902" s="27" t="s">
        <v>13</v>
      </c>
      <c r="Q1902" s="27">
        <v>1993</v>
      </c>
      <c r="R1902" s="27">
        <v>1</v>
      </c>
      <c r="S1902" s="27">
        <v>0</v>
      </c>
      <c r="T1902" s="27">
        <v>-1.619E-2</v>
      </c>
      <c r="U1902" s="27">
        <v>-5.3969999999999997E-2</v>
      </c>
      <c r="V1902" s="27">
        <v>0</v>
      </c>
      <c r="W1902" s="27">
        <v>0</v>
      </c>
      <c r="X1902" s="27" t="s">
        <v>68</v>
      </c>
    </row>
    <row r="1903" spans="1:24">
      <c r="A1903" s="27">
        <v>5</v>
      </c>
      <c r="B1903" s="27">
        <v>4</v>
      </c>
      <c r="C1903" s="27">
        <v>15</v>
      </c>
      <c r="D1903" s="27">
        <v>2030</v>
      </c>
      <c r="E1903" s="27">
        <v>2050</v>
      </c>
      <c r="F1903" s="27">
        <v>2</v>
      </c>
      <c r="G1903" s="27">
        <v>0</v>
      </c>
      <c r="H1903" s="27">
        <v>0</v>
      </c>
      <c r="I1903" s="27">
        <v>0</v>
      </c>
      <c r="J1903" s="27">
        <v>0</v>
      </c>
      <c r="K1903" s="27">
        <v>0.85</v>
      </c>
      <c r="L1903" s="27">
        <v>1900</v>
      </c>
      <c r="M1903" s="27">
        <v>1720</v>
      </c>
      <c r="N1903" s="27">
        <v>0</v>
      </c>
      <c r="O1903" s="27">
        <v>0</v>
      </c>
      <c r="P1903" s="27" t="s">
        <v>13</v>
      </c>
      <c r="Q1903" s="27">
        <v>1993</v>
      </c>
      <c r="R1903" s="27">
        <v>1</v>
      </c>
      <c r="S1903" s="27">
        <v>0</v>
      </c>
      <c r="T1903" s="27">
        <v>-1.619E-2</v>
      </c>
      <c r="U1903" s="27">
        <v>-5.3969999999999997E-2</v>
      </c>
      <c r="V1903" s="27">
        <v>0</v>
      </c>
      <c r="W1903" s="27">
        <v>0</v>
      </c>
      <c r="X1903" s="27" t="s">
        <v>68</v>
      </c>
    </row>
    <row r="1904" spans="1:24">
      <c r="A1904" s="27">
        <v>5</v>
      </c>
      <c r="B1904" s="27">
        <v>4</v>
      </c>
      <c r="C1904" s="27">
        <v>15</v>
      </c>
      <c r="D1904" s="27">
        <v>2030</v>
      </c>
      <c r="E1904" s="27">
        <v>2050</v>
      </c>
      <c r="F1904" s="27">
        <v>3</v>
      </c>
      <c r="G1904" s="27">
        <v>0</v>
      </c>
      <c r="H1904" s="27">
        <v>0</v>
      </c>
      <c r="I1904" s="27">
        <v>0</v>
      </c>
      <c r="J1904" s="27">
        <v>0</v>
      </c>
      <c r="K1904" s="27">
        <v>0.85</v>
      </c>
      <c r="L1904" s="27">
        <v>1900</v>
      </c>
      <c r="M1904" s="27">
        <v>1720</v>
      </c>
      <c r="N1904" s="27">
        <v>0</v>
      </c>
      <c r="O1904" s="27">
        <v>0</v>
      </c>
      <c r="P1904" s="27" t="s">
        <v>13</v>
      </c>
      <c r="Q1904" s="27">
        <v>1993</v>
      </c>
      <c r="R1904" s="27">
        <v>1</v>
      </c>
      <c r="S1904" s="27">
        <v>0</v>
      </c>
      <c r="T1904" s="27">
        <v>-1.619E-2</v>
      </c>
      <c r="U1904" s="27">
        <v>-5.3969999999999997E-2</v>
      </c>
      <c r="V1904" s="27">
        <v>0</v>
      </c>
      <c r="W1904" s="27">
        <v>0</v>
      </c>
      <c r="X1904" s="27" t="s">
        <v>68</v>
      </c>
    </row>
    <row r="1905" spans="1:24">
      <c r="A1905" s="27">
        <v>5</v>
      </c>
      <c r="B1905" s="27">
        <v>4</v>
      </c>
      <c r="C1905" s="27">
        <v>15</v>
      </c>
      <c r="D1905" s="27">
        <v>2030</v>
      </c>
      <c r="E1905" s="27">
        <v>2050</v>
      </c>
      <c r="F1905" s="27">
        <v>4</v>
      </c>
      <c r="G1905" s="27">
        <v>0</v>
      </c>
      <c r="H1905" s="27">
        <v>0</v>
      </c>
      <c r="I1905" s="27">
        <v>0</v>
      </c>
      <c r="J1905" s="27">
        <v>0</v>
      </c>
      <c r="K1905" s="27">
        <v>0.85</v>
      </c>
      <c r="L1905" s="27">
        <v>1900</v>
      </c>
      <c r="M1905" s="27">
        <v>1720</v>
      </c>
      <c r="N1905" s="27">
        <v>0</v>
      </c>
      <c r="O1905" s="27">
        <v>0</v>
      </c>
      <c r="P1905" s="27" t="s">
        <v>13</v>
      </c>
      <c r="Q1905" s="27">
        <v>1993</v>
      </c>
      <c r="R1905" s="27">
        <v>1</v>
      </c>
      <c r="S1905" s="27">
        <v>0</v>
      </c>
      <c r="T1905" s="27">
        <v>-1.619E-2</v>
      </c>
      <c r="U1905" s="27">
        <v>-5.3969999999999997E-2</v>
      </c>
      <c r="V1905" s="27">
        <v>0</v>
      </c>
      <c r="W1905" s="27">
        <v>0</v>
      </c>
      <c r="X1905" s="27" t="s">
        <v>68</v>
      </c>
    </row>
    <row r="1906" spans="1:24">
      <c r="A1906" s="27">
        <v>5</v>
      </c>
      <c r="B1906" s="27">
        <v>4</v>
      </c>
      <c r="C1906" s="27">
        <v>15</v>
      </c>
      <c r="D1906" s="27">
        <v>2030</v>
      </c>
      <c r="E1906" s="27">
        <v>2050</v>
      </c>
      <c r="F1906" s="27">
        <v>5</v>
      </c>
      <c r="G1906" s="27">
        <v>0</v>
      </c>
      <c r="H1906" s="27">
        <v>0</v>
      </c>
      <c r="I1906" s="27">
        <v>0</v>
      </c>
      <c r="J1906" s="27">
        <v>0</v>
      </c>
      <c r="K1906" s="27">
        <v>0.85</v>
      </c>
      <c r="L1906" s="27">
        <v>1900</v>
      </c>
      <c r="M1906" s="27">
        <v>1720</v>
      </c>
      <c r="N1906" s="27">
        <v>0</v>
      </c>
      <c r="O1906" s="27">
        <v>0</v>
      </c>
      <c r="P1906" s="27" t="s">
        <v>13</v>
      </c>
      <c r="Q1906" s="27">
        <v>1993</v>
      </c>
      <c r="R1906" s="27">
        <v>1</v>
      </c>
      <c r="S1906" s="27">
        <v>0</v>
      </c>
      <c r="T1906" s="27">
        <v>-1.619E-2</v>
      </c>
      <c r="U1906" s="27">
        <v>-5.3969999999999997E-2</v>
      </c>
      <c r="V1906" s="27">
        <v>0</v>
      </c>
      <c r="W1906" s="27">
        <v>0</v>
      </c>
      <c r="X1906" s="27" t="s">
        <v>68</v>
      </c>
    </row>
    <row r="1907" spans="1:24">
      <c r="A1907" s="27">
        <v>5</v>
      </c>
      <c r="B1907" s="27">
        <v>4</v>
      </c>
      <c r="C1907" s="27">
        <v>15</v>
      </c>
      <c r="D1907" s="27">
        <v>2030</v>
      </c>
      <c r="E1907" s="27">
        <v>2050</v>
      </c>
      <c r="F1907" s="27">
        <v>6</v>
      </c>
      <c r="G1907" s="27">
        <v>0</v>
      </c>
      <c r="H1907" s="27">
        <v>0</v>
      </c>
      <c r="I1907" s="27">
        <v>0</v>
      </c>
      <c r="J1907" s="27">
        <v>0</v>
      </c>
      <c r="K1907" s="27">
        <v>0.85</v>
      </c>
      <c r="L1907" s="27">
        <v>1900</v>
      </c>
      <c r="M1907" s="27">
        <v>1720</v>
      </c>
      <c r="N1907" s="27">
        <v>0</v>
      </c>
      <c r="O1907" s="27">
        <v>0</v>
      </c>
      <c r="P1907" s="27" t="s">
        <v>13</v>
      </c>
      <c r="Q1907" s="27">
        <v>1993</v>
      </c>
      <c r="R1907" s="27">
        <v>1</v>
      </c>
      <c r="S1907" s="27">
        <v>0</v>
      </c>
      <c r="T1907" s="27">
        <v>-1.619E-2</v>
      </c>
      <c r="U1907" s="27">
        <v>-5.3969999999999997E-2</v>
      </c>
      <c r="V1907" s="27">
        <v>0</v>
      </c>
      <c r="W1907" s="27">
        <v>0</v>
      </c>
      <c r="X1907" s="27" t="s">
        <v>68</v>
      </c>
    </row>
    <row r="1908" spans="1:24">
      <c r="A1908" s="27">
        <v>5</v>
      </c>
      <c r="B1908" s="27">
        <v>4</v>
      </c>
      <c r="C1908" s="27">
        <v>15</v>
      </c>
      <c r="D1908" s="27">
        <v>2030</v>
      </c>
      <c r="E1908" s="27">
        <v>2050</v>
      </c>
      <c r="F1908" s="27">
        <v>7</v>
      </c>
      <c r="G1908" s="27">
        <v>0</v>
      </c>
      <c r="H1908" s="27">
        <v>0</v>
      </c>
      <c r="I1908" s="27">
        <v>0</v>
      </c>
      <c r="J1908" s="27">
        <v>0</v>
      </c>
      <c r="K1908" s="27">
        <v>0.85</v>
      </c>
      <c r="L1908" s="27">
        <v>1900</v>
      </c>
      <c r="M1908" s="27">
        <v>1720</v>
      </c>
      <c r="N1908" s="27">
        <v>0</v>
      </c>
      <c r="O1908" s="27">
        <v>0</v>
      </c>
      <c r="P1908" s="27" t="s">
        <v>13</v>
      </c>
      <c r="Q1908" s="27">
        <v>1993</v>
      </c>
      <c r="R1908" s="27">
        <v>1</v>
      </c>
      <c r="S1908" s="27">
        <v>0</v>
      </c>
      <c r="T1908" s="27">
        <v>-1.619E-2</v>
      </c>
      <c r="U1908" s="27">
        <v>-5.3969999999999997E-2</v>
      </c>
      <c r="V1908" s="27">
        <v>0</v>
      </c>
      <c r="W1908" s="27">
        <v>0</v>
      </c>
      <c r="X1908" s="27" t="s">
        <v>68</v>
      </c>
    </row>
    <row r="1909" spans="1:24">
      <c r="A1909" s="27">
        <v>5</v>
      </c>
      <c r="B1909" s="27">
        <v>4</v>
      </c>
      <c r="C1909" s="27">
        <v>15</v>
      </c>
      <c r="D1909" s="27">
        <v>2030</v>
      </c>
      <c r="E1909" s="27">
        <v>2050</v>
      </c>
      <c r="F1909" s="27">
        <v>8</v>
      </c>
      <c r="G1909" s="27">
        <v>0</v>
      </c>
      <c r="H1909" s="27">
        <v>0</v>
      </c>
      <c r="I1909" s="27">
        <v>0</v>
      </c>
      <c r="J1909" s="27">
        <v>0</v>
      </c>
      <c r="K1909" s="27">
        <v>0.85</v>
      </c>
      <c r="L1909" s="27">
        <v>1900</v>
      </c>
      <c r="M1909" s="27">
        <v>1720</v>
      </c>
      <c r="N1909" s="27">
        <v>0</v>
      </c>
      <c r="O1909" s="27">
        <v>0</v>
      </c>
      <c r="P1909" s="27" t="s">
        <v>13</v>
      </c>
      <c r="Q1909" s="27">
        <v>1993</v>
      </c>
      <c r="R1909" s="27">
        <v>1</v>
      </c>
      <c r="S1909" s="27">
        <v>0</v>
      </c>
      <c r="T1909" s="27">
        <v>-1.619E-2</v>
      </c>
      <c r="U1909" s="27">
        <v>-5.3969999999999997E-2</v>
      </c>
      <c r="V1909" s="27">
        <v>0</v>
      </c>
      <c r="W1909" s="27">
        <v>0</v>
      </c>
      <c r="X1909" s="27" t="s">
        <v>68</v>
      </c>
    </row>
    <row r="1910" spans="1:24">
      <c r="A1910" s="27">
        <v>5</v>
      </c>
      <c r="B1910" s="27">
        <v>4</v>
      </c>
      <c r="C1910" s="27">
        <v>15</v>
      </c>
      <c r="D1910" s="27">
        <v>2030</v>
      </c>
      <c r="E1910" s="27">
        <v>2050</v>
      </c>
      <c r="F1910" s="27">
        <v>9</v>
      </c>
      <c r="G1910" s="27">
        <v>0</v>
      </c>
      <c r="H1910" s="27">
        <v>0</v>
      </c>
      <c r="I1910" s="27">
        <v>0</v>
      </c>
      <c r="J1910" s="27">
        <v>0</v>
      </c>
      <c r="K1910" s="27">
        <v>0.85</v>
      </c>
      <c r="L1910" s="27">
        <v>1900</v>
      </c>
      <c r="M1910" s="27">
        <v>1720</v>
      </c>
      <c r="N1910" s="27">
        <v>0</v>
      </c>
      <c r="O1910" s="27">
        <v>0</v>
      </c>
      <c r="P1910" s="27" t="s">
        <v>13</v>
      </c>
      <c r="Q1910" s="27">
        <v>1993</v>
      </c>
      <c r="R1910" s="27">
        <v>1</v>
      </c>
      <c r="S1910" s="27">
        <v>0</v>
      </c>
      <c r="T1910" s="27">
        <v>-1.619E-2</v>
      </c>
      <c r="U1910" s="27">
        <v>-5.3969999999999997E-2</v>
      </c>
      <c r="V1910" s="27">
        <v>0</v>
      </c>
      <c r="W1910" s="27">
        <v>0</v>
      </c>
      <c r="X1910" s="27" t="s">
        <v>68</v>
      </c>
    </row>
    <row r="1911" spans="1:24">
      <c r="A1911" s="27">
        <v>5</v>
      </c>
      <c r="B1911" s="27">
        <v>4</v>
      </c>
      <c r="C1911" s="27">
        <v>16</v>
      </c>
      <c r="D1911" s="27">
        <v>2010</v>
      </c>
      <c r="E1911" s="27">
        <v>2010</v>
      </c>
      <c r="F1911" s="27">
        <v>1</v>
      </c>
      <c r="G1911" s="27">
        <v>0</v>
      </c>
      <c r="H1911" s="27">
        <v>0</v>
      </c>
      <c r="I1911" s="27">
        <v>0</v>
      </c>
      <c r="J1911" s="27">
        <v>0</v>
      </c>
      <c r="K1911" s="27">
        <v>0.85</v>
      </c>
      <c r="L1911" s="27">
        <v>1600</v>
      </c>
      <c r="M1911" s="27">
        <v>1400</v>
      </c>
      <c r="N1911" s="27">
        <v>530</v>
      </c>
      <c r="O1911" s="27">
        <v>464</v>
      </c>
      <c r="P1911" s="27" t="s">
        <v>13</v>
      </c>
      <c r="Q1911" s="27">
        <v>1993</v>
      </c>
      <c r="R1911" s="27">
        <v>1</v>
      </c>
      <c r="S1911" s="27">
        <v>0</v>
      </c>
      <c r="T1911" s="27">
        <v>-1.619E-2</v>
      </c>
      <c r="U1911" s="27">
        <v>-5.3969999999999997E-2</v>
      </c>
      <c r="V1911" s="27">
        <v>0</v>
      </c>
      <c r="W1911" s="27">
        <v>0</v>
      </c>
      <c r="X1911" s="27" t="s">
        <v>69</v>
      </c>
    </row>
    <row r="1912" spans="1:24">
      <c r="A1912" s="27">
        <v>5</v>
      </c>
      <c r="B1912" s="27">
        <v>4</v>
      </c>
      <c r="C1912" s="27">
        <v>16</v>
      </c>
      <c r="D1912" s="27">
        <v>2010</v>
      </c>
      <c r="E1912" s="27">
        <v>2010</v>
      </c>
      <c r="F1912" s="27">
        <v>2</v>
      </c>
      <c r="G1912" s="27">
        <v>0</v>
      </c>
      <c r="H1912" s="27">
        <v>0</v>
      </c>
      <c r="I1912" s="27">
        <v>0</v>
      </c>
      <c r="J1912" s="27">
        <v>0</v>
      </c>
      <c r="K1912" s="27">
        <v>0.85</v>
      </c>
      <c r="L1912" s="27">
        <v>1600</v>
      </c>
      <c r="M1912" s="27">
        <v>1400</v>
      </c>
      <c r="N1912" s="27">
        <v>530</v>
      </c>
      <c r="O1912" s="27">
        <v>464</v>
      </c>
      <c r="P1912" s="27" t="s">
        <v>13</v>
      </c>
      <c r="Q1912" s="27">
        <v>1993</v>
      </c>
      <c r="R1912" s="27">
        <v>1</v>
      </c>
      <c r="S1912" s="27">
        <v>0</v>
      </c>
      <c r="T1912" s="27">
        <v>-1.619E-2</v>
      </c>
      <c r="U1912" s="27">
        <v>-5.3969999999999997E-2</v>
      </c>
      <c r="V1912" s="27">
        <v>0</v>
      </c>
      <c r="W1912" s="27">
        <v>0</v>
      </c>
      <c r="X1912" s="27" t="s">
        <v>69</v>
      </c>
    </row>
    <row r="1913" spans="1:24">
      <c r="A1913" s="27">
        <v>5</v>
      </c>
      <c r="B1913" s="27">
        <v>4</v>
      </c>
      <c r="C1913" s="27">
        <v>16</v>
      </c>
      <c r="D1913" s="27">
        <v>2010</v>
      </c>
      <c r="E1913" s="27">
        <v>2010</v>
      </c>
      <c r="F1913" s="27">
        <v>3</v>
      </c>
      <c r="G1913" s="27">
        <v>0</v>
      </c>
      <c r="H1913" s="27">
        <v>0</v>
      </c>
      <c r="I1913" s="27">
        <v>0</v>
      </c>
      <c r="J1913" s="27">
        <v>0</v>
      </c>
      <c r="K1913" s="27">
        <v>0.85</v>
      </c>
      <c r="L1913" s="27">
        <v>1600</v>
      </c>
      <c r="M1913" s="27">
        <v>1400</v>
      </c>
      <c r="N1913" s="27">
        <v>530</v>
      </c>
      <c r="O1913" s="27">
        <v>464</v>
      </c>
      <c r="P1913" s="27" t="s">
        <v>13</v>
      </c>
      <c r="Q1913" s="27">
        <v>1993</v>
      </c>
      <c r="R1913" s="27">
        <v>1</v>
      </c>
      <c r="S1913" s="27">
        <v>0</v>
      </c>
      <c r="T1913" s="27">
        <v>-1.619E-2</v>
      </c>
      <c r="U1913" s="27">
        <v>-5.3969999999999997E-2</v>
      </c>
      <c r="V1913" s="27">
        <v>0</v>
      </c>
      <c r="W1913" s="27">
        <v>0</v>
      </c>
      <c r="X1913" s="27" t="s">
        <v>69</v>
      </c>
    </row>
    <row r="1914" spans="1:24">
      <c r="A1914" s="27">
        <v>5</v>
      </c>
      <c r="B1914" s="27">
        <v>4</v>
      </c>
      <c r="C1914" s="27">
        <v>16</v>
      </c>
      <c r="D1914" s="27">
        <v>2010</v>
      </c>
      <c r="E1914" s="27">
        <v>2010</v>
      </c>
      <c r="F1914" s="27">
        <v>4</v>
      </c>
      <c r="G1914" s="27">
        <v>0</v>
      </c>
      <c r="H1914" s="27">
        <v>0</v>
      </c>
      <c r="I1914" s="27">
        <v>0</v>
      </c>
      <c r="J1914" s="27">
        <v>0</v>
      </c>
      <c r="K1914" s="27">
        <v>0.85</v>
      </c>
      <c r="L1914" s="27">
        <v>1600</v>
      </c>
      <c r="M1914" s="27">
        <v>1400</v>
      </c>
      <c r="N1914" s="27">
        <v>530</v>
      </c>
      <c r="O1914" s="27">
        <v>464</v>
      </c>
      <c r="P1914" s="27" t="s">
        <v>13</v>
      </c>
      <c r="Q1914" s="27">
        <v>1993</v>
      </c>
      <c r="R1914" s="27">
        <v>1</v>
      </c>
      <c r="S1914" s="27">
        <v>0</v>
      </c>
      <c r="T1914" s="27">
        <v>-1.619E-2</v>
      </c>
      <c r="U1914" s="27">
        <v>-5.3969999999999997E-2</v>
      </c>
      <c r="V1914" s="27">
        <v>0</v>
      </c>
      <c r="W1914" s="27">
        <v>0</v>
      </c>
      <c r="X1914" s="27" t="s">
        <v>69</v>
      </c>
    </row>
    <row r="1915" spans="1:24">
      <c r="A1915" s="27">
        <v>5</v>
      </c>
      <c r="B1915" s="27">
        <v>4</v>
      </c>
      <c r="C1915" s="27">
        <v>16</v>
      </c>
      <c r="D1915" s="27">
        <v>2010</v>
      </c>
      <c r="E1915" s="27">
        <v>2010</v>
      </c>
      <c r="F1915" s="27">
        <v>5</v>
      </c>
      <c r="G1915" s="27">
        <v>0</v>
      </c>
      <c r="H1915" s="27">
        <v>0</v>
      </c>
      <c r="I1915" s="27">
        <v>0</v>
      </c>
      <c r="J1915" s="27">
        <v>0</v>
      </c>
      <c r="K1915" s="27">
        <v>0.85</v>
      </c>
      <c r="L1915" s="27">
        <v>1600</v>
      </c>
      <c r="M1915" s="27">
        <v>1400</v>
      </c>
      <c r="N1915" s="27">
        <v>530</v>
      </c>
      <c r="O1915" s="27">
        <v>464</v>
      </c>
      <c r="P1915" s="27" t="s">
        <v>13</v>
      </c>
      <c r="Q1915" s="27">
        <v>1993</v>
      </c>
      <c r="R1915" s="27">
        <v>1</v>
      </c>
      <c r="S1915" s="27">
        <v>0</v>
      </c>
      <c r="T1915" s="27">
        <v>-1.619E-2</v>
      </c>
      <c r="U1915" s="27">
        <v>-5.3969999999999997E-2</v>
      </c>
      <c r="V1915" s="27">
        <v>0</v>
      </c>
      <c r="W1915" s="27">
        <v>0</v>
      </c>
      <c r="X1915" s="27" t="s">
        <v>69</v>
      </c>
    </row>
    <row r="1916" spans="1:24">
      <c r="A1916" s="27">
        <v>5</v>
      </c>
      <c r="B1916" s="27">
        <v>4</v>
      </c>
      <c r="C1916" s="27">
        <v>16</v>
      </c>
      <c r="D1916" s="27">
        <v>2010</v>
      </c>
      <c r="E1916" s="27">
        <v>2010</v>
      </c>
      <c r="F1916" s="27">
        <v>6</v>
      </c>
      <c r="G1916" s="27">
        <v>0</v>
      </c>
      <c r="H1916" s="27">
        <v>0</v>
      </c>
      <c r="I1916" s="27">
        <v>0</v>
      </c>
      <c r="J1916" s="27">
        <v>0</v>
      </c>
      <c r="K1916" s="27">
        <v>0.85</v>
      </c>
      <c r="L1916" s="27">
        <v>1600</v>
      </c>
      <c r="M1916" s="27">
        <v>1400</v>
      </c>
      <c r="N1916" s="27">
        <v>530</v>
      </c>
      <c r="O1916" s="27">
        <v>464</v>
      </c>
      <c r="P1916" s="27" t="s">
        <v>13</v>
      </c>
      <c r="Q1916" s="27">
        <v>1993</v>
      </c>
      <c r="R1916" s="27">
        <v>1</v>
      </c>
      <c r="S1916" s="27">
        <v>0</v>
      </c>
      <c r="T1916" s="27">
        <v>-1.619E-2</v>
      </c>
      <c r="U1916" s="27">
        <v>-5.3969999999999997E-2</v>
      </c>
      <c r="V1916" s="27">
        <v>0</v>
      </c>
      <c r="W1916" s="27">
        <v>0</v>
      </c>
      <c r="X1916" s="27" t="s">
        <v>69</v>
      </c>
    </row>
    <row r="1917" spans="1:24">
      <c r="A1917" s="27">
        <v>5</v>
      </c>
      <c r="B1917" s="27">
        <v>4</v>
      </c>
      <c r="C1917" s="27">
        <v>16</v>
      </c>
      <c r="D1917" s="27">
        <v>2010</v>
      </c>
      <c r="E1917" s="27">
        <v>2010</v>
      </c>
      <c r="F1917" s="27">
        <v>7</v>
      </c>
      <c r="G1917" s="27">
        <v>0</v>
      </c>
      <c r="H1917" s="27">
        <v>0</v>
      </c>
      <c r="I1917" s="27">
        <v>0</v>
      </c>
      <c r="J1917" s="27">
        <v>0</v>
      </c>
      <c r="K1917" s="27">
        <v>0.85</v>
      </c>
      <c r="L1917" s="27">
        <v>1600</v>
      </c>
      <c r="M1917" s="27">
        <v>1400</v>
      </c>
      <c r="N1917" s="27">
        <v>530</v>
      </c>
      <c r="O1917" s="27">
        <v>464</v>
      </c>
      <c r="P1917" s="27" t="s">
        <v>13</v>
      </c>
      <c r="Q1917" s="27">
        <v>1993</v>
      </c>
      <c r="R1917" s="27">
        <v>1</v>
      </c>
      <c r="S1917" s="27">
        <v>0</v>
      </c>
      <c r="T1917" s="27">
        <v>-1.619E-2</v>
      </c>
      <c r="U1917" s="27">
        <v>-5.3969999999999997E-2</v>
      </c>
      <c r="V1917" s="27">
        <v>0</v>
      </c>
      <c r="W1917" s="27">
        <v>0</v>
      </c>
      <c r="X1917" s="27" t="s">
        <v>69</v>
      </c>
    </row>
    <row r="1918" spans="1:24">
      <c r="A1918" s="27">
        <v>5</v>
      </c>
      <c r="B1918" s="27">
        <v>4</v>
      </c>
      <c r="C1918" s="27">
        <v>16</v>
      </c>
      <c r="D1918" s="27">
        <v>2010</v>
      </c>
      <c r="E1918" s="27">
        <v>2010</v>
      </c>
      <c r="F1918" s="27">
        <v>8</v>
      </c>
      <c r="G1918" s="27">
        <v>0</v>
      </c>
      <c r="H1918" s="27">
        <v>0</v>
      </c>
      <c r="I1918" s="27">
        <v>0</v>
      </c>
      <c r="J1918" s="27">
        <v>0</v>
      </c>
      <c r="K1918" s="27">
        <v>0.85</v>
      </c>
      <c r="L1918" s="27">
        <v>1600</v>
      </c>
      <c r="M1918" s="27">
        <v>1400</v>
      </c>
      <c r="N1918" s="27">
        <v>530</v>
      </c>
      <c r="O1918" s="27">
        <v>464</v>
      </c>
      <c r="P1918" s="27" t="s">
        <v>13</v>
      </c>
      <c r="Q1918" s="27">
        <v>1993</v>
      </c>
      <c r="R1918" s="27">
        <v>1</v>
      </c>
      <c r="S1918" s="27">
        <v>0</v>
      </c>
      <c r="T1918" s="27">
        <v>-1.619E-2</v>
      </c>
      <c r="U1918" s="27">
        <v>-5.3969999999999997E-2</v>
      </c>
      <c r="V1918" s="27">
        <v>0</v>
      </c>
      <c r="W1918" s="27">
        <v>0</v>
      </c>
      <c r="X1918" s="27" t="s">
        <v>69</v>
      </c>
    </row>
    <row r="1919" spans="1:24">
      <c r="A1919" s="27">
        <v>5</v>
      </c>
      <c r="B1919" s="27">
        <v>4</v>
      </c>
      <c r="C1919" s="27">
        <v>16</v>
      </c>
      <c r="D1919" s="27">
        <v>2010</v>
      </c>
      <c r="E1919" s="27">
        <v>2010</v>
      </c>
      <c r="F1919" s="27">
        <v>9</v>
      </c>
      <c r="G1919" s="27">
        <v>0</v>
      </c>
      <c r="H1919" s="27">
        <v>0</v>
      </c>
      <c r="I1919" s="27">
        <v>0</v>
      </c>
      <c r="J1919" s="27">
        <v>0</v>
      </c>
      <c r="K1919" s="27">
        <v>0.85</v>
      </c>
      <c r="L1919" s="27">
        <v>1600</v>
      </c>
      <c r="M1919" s="27">
        <v>1400</v>
      </c>
      <c r="N1919" s="27">
        <v>530</v>
      </c>
      <c r="O1919" s="27">
        <v>464</v>
      </c>
      <c r="P1919" s="27" t="s">
        <v>13</v>
      </c>
      <c r="Q1919" s="27">
        <v>1993</v>
      </c>
      <c r="R1919" s="27">
        <v>1</v>
      </c>
      <c r="S1919" s="27">
        <v>0</v>
      </c>
      <c r="T1919" s="27">
        <v>-1.619E-2</v>
      </c>
      <c r="U1919" s="27">
        <v>-5.3969999999999997E-2</v>
      </c>
      <c r="V1919" s="27">
        <v>0</v>
      </c>
      <c r="W1919" s="27">
        <v>0</v>
      </c>
      <c r="X1919" s="27" t="s">
        <v>69</v>
      </c>
    </row>
    <row r="1920" spans="1:24">
      <c r="A1920" s="27">
        <v>5</v>
      </c>
      <c r="B1920" s="27">
        <v>4</v>
      </c>
      <c r="C1920" s="27">
        <v>16</v>
      </c>
      <c r="D1920" s="27">
        <v>2011</v>
      </c>
      <c r="E1920" s="27">
        <v>2011</v>
      </c>
      <c r="F1920" s="27">
        <v>1</v>
      </c>
      <c r="G1920" s="27">
        <v>0</v>
      </c>
      <c r="H1920" s="27">
        <v>0</v>
      </c>
      <c r="I1920" s="27">
        <v>0</v>
      </c>
      <c r="J1920" s="27">
        <v>0</v>
      </c>
      <c r="K1920" s="27">
        <v>0.85</v>
      </c>
      <c r="L1920" s="27">
        <v>1600</v>
      </c>
      <c r="M1920" s="27">
        <v>1400</v>
      </c>
      <c r="N1920" s="27">
        <v>300</v>
      </c>
      <c r="O1920" s="27">
        <v>300</v>
      </c>
      <c r="P1920" s="27" t="s">
        <v>13</v>
      </c>
      <c r="Q1920" s="27">
        <v>1993</v>
      </c>
      <c r="R1920" s="27">
        <v>1</v>
      </c>
      <c r="S1920" s="27">
        <v>0</v>
      </c>
      <c r="T1920" s="27">
        <v>-1.619E-2</v>
      </c>
      <c r="U1920" s="27">
        <v>-5.3969999999999997E-2</v>
      </c>
      <c r="V1920" s="27">
        <v>0</v>
      </c>
      <c r="W1920" s="27">
        <v>0</v>
      </c>
      <c r="X1920" s="27" t="s">
        <v>69</v>
      </c>
    </row>
    <row r="1921" spans="1:24">
      <c r="A1921" s="27">
        <v>5</v>
      </c>
      <c r="B1921" s="27">
        <v>4</v>
      </c>
      <c r="C1921" s="27">
        <v>16</v>
      </c>
      <c r="D1921" s="27">
        <v>2011</v>
      </c>
      <c r="E1921" s="27">
        <v>2011</v>
      </c>
      <c r="F1921" s="27">
        <v>2</v>
      </c>
      <c r="G1921" s="27">
        <v>0</v>
      </c>
      <c r="H1921" s="27">
        <v>0</v>
      </c>
      <c r="I1921" s="27">
        <v>0</v>
      </c>
      <c r="J1921" s="27">
        <v>0</v>
      </c>
      <c r="K1921" s="27">
        <v>0.85</v>
      </c>
      <c r="L1921" s="27">
        <v>1600</v>
      </c>
      <c r="M1921" s="27">
        <v>1400</v>
      </c>
      <c r="N1921" s="27">
        <v>300</v>
      </c>
      <c r="O1921" s="27">
        <v>300</v>
      </c>
      <c r="P1921" s="27" t="s">
        <v>13</v>
      </c>
      <c r="Q1921" s="27">
        <v>1993</v>
      </c>
      <c r="R1921" s="27">
        <v>1</v>
      </c>
      <c r="S1921" s="27">
        <v>0</v>
      </c>
      <c r="T1921" s="27">
        <v>-1.619E-2</v>
      </c>
      <c r="U1921" s="27">
        <v>-5.3969999999999997E-2</v>
      </c>
      <c r="V1921" s="27">
        <v>0</v>
      </c>
      <c r="W1921" s="27">
        <v>0</v>
      </c>
      <c r="X1921" s="27" t="s">
        <v>69</v>
      </c>
    </row>
    <row r="1922" spans="1:24">
      <c r="A1922" s="27">
        <v>5</v>
      </c>
      <c r="B1922" s="27">
        <v>4</v>
      </c>
      <c r="C1922" s="27">
        <v>16</v>
      </c>
      <c r="D1922" s="27">
        <v>2011</v>
      </c>
      <c r="E1922" s="27">
        <v>2011</v>
      </c>
      <c r="F1922" s="27">
        <v>3</v>
      </c>
      <c r="G1922" s="27">
        <v>0</v>
      </c>
      <c r="H1922" s="27">
        <v>0</v>
      </c>
      <c r="I1922" s="27">
        <v>0</v>
      </c>
      <c r="J1922" s="27">
        <v>0</v>
      </c>
      <c r="K1922" s="27">
        <v>0.85</v>
      </c>
      <c r="L1922" s="27">
        <v>1600</v>
      </c>
      <c r="M1922" s="27">
        <v>1400</v>
      </c>
      <c r="N1922" s="27">
        <v>300</v>
      </c>
      <c r="O1922" s="27">
        <v>300</v>
      </c>
      <c r="P1922" s="27" t="s">
        <v>13</v>
      </c>
      <c r="Q1922" s="27">
        <v>1993</v>
      </c>
      <c r="R1922" s="27">
        <v>1</v>
      </c>
      <c r="S1922" s="27">
        <v>0</v>
      </c>
      <c r="T1922" s="27">
        <v>-1.619E-2</v>
      </c>
      <c r="U1922" s="27">
        <v>-5.3969999999999997E-2</v>
      </c>
      <c r="V1922" s="27">
        <v>0</v>
      </c>
      <c r="W1922" s="27">
        <v>0</v>
      </c>
      <c r="X1922" s="27" t="s">
        <v>69</v>
      </c>
    </row>
    <row r="1923" spans="1:24">
      <c r="A1923" s="27">
        <v>5</v>
      </c>
      <c r="B1923" s="27">
        <v>4</v>
      </c>
      <c r="C1923" s="27">
        <v>16</v>
      </c>
      <c r="D1923" s="27">
        <v>2011</v>
      </c>
      <c r="E1923" s="27">
        <v>2011</v>
      </c>
      <c r="F1923" s="27">
        <v>4</v>
      </c>
      <c r="G1923" s="27">
        <v>0</v>
      </c>
      <c r="H1923" s="27">
        <v>0</v>
      </c>
      <c r="I1923" s="27">
        <v>0</v>
      </c>
      <c r="J1923" s="27">
        <v>0</v>
      </c>
      <c r="K1923" s="27">
        <v>0.85</v>
      </c>
      <c r="L1923" s="27">
        <v>1600</v>
      </c>
      <c r="M1923" s="27">
        <v>1400</v>
      </c>
      <c r="N1923" s="27">
        <v>300</v>
      </c>
      <c r="O1923" s="27">
        <v>300</v>
      </c>
      <c r="P1923" s="27" t="s">
        <v>13</v>
      </c>
      <c r="Q1923" s="27">
        <v>1993</v>
      </c>
      <c r="R1923" s="27">
        <v>1</v>
      </c>
      <c r="S1923" s="27">
        <v>0</v>
      </c>
      <c r="T1923" s="27">
        <v>-1.619E-2</v>
      </c>
      <c r="U1923" s="27">
        <v>-5.3969999999999997E-2</v>
      </c>
      <c r="V1923" s="27">
        <v>0</v>
      </c>
      <c r="W1923" s="27">
        <v>0</v>
      </c>
      <c r="X1923" s="27" t="s">
        <v>69</v>
      </c>
    </row>
    <row r="1924" spans="1:24">
      <c r="A1924" s="27">
        <v>5</v>
      </c>
      <c r="B1924" s="27">
        <v>4</v>
      </c>
      <c r="C1924" s="27">
        <v>16</v>
      </c>
      <c r="D1924" s="27">
        <v>2011</v>
      </c>
      <c r="E1924" s="27">
        <v>2011</v>
      </c>
      <c r="F1924" s="27">
        <v>5</v>
      </c>
      <c r="G1924" s="27">
        <v>0</v>
      </c>
      <c r="H1924" s="27">
        <v>0</v>
      </c>
      <c r="I1924" s="27">
        <v>0</v>
      </c>
      <c r="J1924" s="27">
        <v>0</v>
      </c>
      <c r="K1924" s="27">
        <v>0.85</v>
      </c>
      <c r="L1924" s="27">
        <v>1600</v>
      </c>
      <c r="M1924" s="27">
        <v>1400</v>
      </c>
      <c r="N1924" s="27">
        <v>300</v>
      </c>
      <c r="O1924" s="27">
        <v>300</v>
      </c>
      <c r="P1924" s="27" t="s">
        <v>13</v>
      </c>
      <c r="Q1924" s="27">
        <v>1993</v>
      </c>
      <c r="R1924" s="27">
        <v>1</v>
      </c>
      <c r="S1924" s="27">
        <v>0</v>
      </c>
      <c r="T1924" s="27">
        <v>-1.619E-2</v>
      </c>
      <c r="U1924" s="27">
        <v>-5.3969999999999997E-2</v>
      </c>
      <c r="V1924" s="27">
        <v>0</v>
      </c>
      <c r="W1924" s="27">
        <v>0</v>
      </c>
      <c r="X1924" s="27" t="s">
        <v>69</v>
      </c>
    </row>
    <row r="1925" spans="1:24">
      <c r="A1925" s="27">
        <v>5</v>
      </c>
      <c r="B1925" s="27">
        <v>4</v>
      </c>
      <c r="C1925" s="27">
        <v>16</v>
      </c>
      <c r="D1925" s="27">
        <v>2011</v>
      </c>
      <c r="E1925" s="27">
        <v>2011</v>
      </c>
      <c r="F1925" s="27">
        <v>6</v>
      </c>
      <c r="G1925" s="27">
        <v>0</v>
      </c>
      <c r="H1925" s="27">
        <v>0</v>
      </c>
      <c r="I1925" s="27">
        <v>0</v>
      </c>
      <c r="J1925" s="27">
        <v>0</v>
      </c>
      <c r="K1925" s="27">
        <v>0.85</v>
      </c>
      <c r="L1925" s="27">
        <v>1600</v>
      </c>
      <c r="M1925" s="27">
        <v>1400</v>
      </c>
      <c r="N1925" s="27">
        <v>300</v>
      </c>
      <c r="O1925" s="27">
        <v>300</v>
      </c>
      <c r="P1925" s="27" t="s">
        <v>13</v>
      </c>
      <c r="Q1925" s="27">
        <v>1993</v>
      </c>
      <c r="R1925" s="27">
        <v>1</v>
      </c>
      <c r="S1925" s="27">
        <v>0</v>
      </c>
      <c r="T1925" s="27">
        <v>-1.619E-2</v>
      </c>
      <c r="U1925" s="27">
        <v>-5.3969999999999997E-2</v>
      </c>
      <c r="V1925" s="27">
        <v>0</v>
      </c>
      <c r="W1925" s="27">
        <v>0</v>
      </c>
      <c r="X1925" s="27" t="s">
        <v>69</v>
      </c>
    </row>
    <row r="1926" spans="1:24">
      <c r="A1926" s="27">
        <v>5</v>
      </c>
      <c r="B1926" s="27">
        <v>4</v>
      </c>
      <c r="C1926" s="27">
        <v>16</v>
      </c>
      <c r="D1926" s="27">
        <v>2011</v>
      </c>
      <c r="E1926" s="27">
        <v>2011</v>
      </c>
      <c r="F1926" s="27">
        <v>7</v>
      </c>
      <c r="G1926" s="27">
        <v>0</v>
      </c>
      <c r="H1926" s="27">
        <v>0</v>
      </c>
      <c r="I1926" s="27">
        <v>0</v>
      </c>
      <c r="J1926" s="27">
        <v>0</v>
      </c>
      <c r="K1926" s="27">
        <v>0.85</v>
      </c>
      <c r="L1926" s="27">
        <v>1600</v>
      </c>
      <c r="M1926" s="27">
        <v>1400</v>
      </c>
      <c r="N1926" s="27">
        <v>300</v>
      </c>
      <c r="O1926" s="27">
        <v>300</v>
      </c>
      <c r="P1926" s="27" t="s">
        <v>13</v>
      </c>
      <c r="Q1926" s="27">
        <v>1993</v>
      </c>
      <c r="R1926" s="27">
        <v>1</v>
      </c>
      <c r="S1926" s="27">
        <v>0</v>
      </c>
      <c r="T1926" s="27">
        <v>-1.619E-2</v>
      </c>
      <c r="U1926" s="27">
        <v>-5.3969999999999997E-2</v>
      </c>
      <c r="V1926" s="27">
        <v>0</v>
      </c>
      <c r="W1926" s="27">
        <v>0</v>
      </c>
      <c r="X1926" s="27" t="s">
        <v>69</v>
      </c>
    </row>
    <row r="1927" spans="1:24">
      <c r="A1927" s="27">
        <v>5</v>
      </c>
      <c r="B1927" s="27">
        <v>4</v>
      </c>
      <c r="C1927" s="27">
        <v>16</v>
      </c>
      <c r="D1927" s="27">
        <v>2011</v>
      </c>
      <c r="E1927" s="27">
        <v>2011</v>
      </c>
      <c r="F1927" s="27">
        <v>8</v>
      </c>
      <c r="G1927" s="27">
        <v>0</v>
      </c>
      <c r="H1927" s="27">
        <v>0</v>
      </c>
      <c r="I1927" s="27">
        <v>0</v>
      </c>
      <c r="J1927" s="27">
        <v>0</v>
      </c>
      <c r="K1927" s="27">
        <v>0.85</v>
      </c>
      <c r="L1927" s="27">
        <v>1600</v>
      </c>
      <c r="M1927" s="27">
        <v>1400</v>
      </c>
      <c r="N1927" s="27">
        <v>300</v>
      </c>
      <c r="O1927" s="27">
        <v>300</v>
      </c>
      <c r="P1927" s="27" t="s">
        <v>13</v>
      </c>
      <c r="Q1927" s="27">
        <v>1993</v>
      </c>
      <c r="R1927" s="27">
        <v>1</v>
      </c>
      <c r="S1927" s="27">
        <v>0</v>
      </c>
      <c r="T1927" s="27">
        <v>-1.619E-2</v>
      </c>
      <c r="U1927" s="27">
        <v>-5.3969999999999997E-2</v>
      </c>
      <c r="V1927" s="27">
        <v>0</v>
      </c>
      <c r="W1927" s="27">
        <v>0</v>
      </c>
      <c r="X1927" s="27" t="s">
        <v>69</v>
      </c>
    </row>
    <row r="1928" spans="1:24">
      <c r="A1928" s="27">
        <v>5</v>
      </c>
      <c r="B1928" s="27">
        <v>4</v>
      </c>
      <c r="C1928" s="27">
        <v>16</v>
      </c>
      <c r="D1928" s="27">
        <v>2011</v>
      </c>
      <c r="E1928" s="27">
        <v>2011</v>
      </c>
      <c r="F1928" s="27">
        <v>9</v>
      </c>
      <c r="G1928" s="27">
        <v>0</v>
      </c>
      <c r="H1928" s="27">
        <v>0</v>
      </c>
      <c r="I1928" s="27">
        <v>0</v>
      </c>
      <c r="J1928" s="27">
        <v>0</v>
      </c>
      <c r="K1928" s="27">
        <v>0.85</v>
      </c>
      <c r="L1928" s="27">
        <v>1600</v>
      </c>
      <c r="M1928" s="27">
        <v>1400</v>
      </c>
      <c r="N1928" s="27">
        <v>300</v>
      </c>
      <c r="O1928" s="27">
        <v>300</v>
      </c>
      <c r="P1928" s="27" t="s">
        <v>13</v>
      </c>
      <c r="Q1928" s="27">
        <v>1993</v>
      </c>
      <c r="R1928" s="27">
        <v>1</v>
      </c>
      <c r="S1928" s="27">
        <v>0</v>
      </c>
      <c r="T1928" s="27">
        <v>-1.619E-2</v>
      </c>
      <c r="U1928" s="27">
        <v>-5.3969999999999997E-2</v>
      </c>
      <c r="V1928" s="27">
        <v>0</v>
      </c>
      <c r="W1928" s="27">
        <v>0</v>
      </c>
      <c r="X1928" s="27" t="s">
        <v>69</v>
      </c>
    </row>
    <row r="1929" spans="1:24">
      <c r="A1929" s="27">
        <v>5</v>
      </c>
      <c r="B1929" s="27">
        <v>4</v>
      </c>
      <c r="C1929" s="27">
        <v>16</v>
      </c>
      <c r="D1929" s="27">
        <v>2012</v>
      </c>
      <c r="E1929" s="27">
        <v>2012</v>
      </c>
      <c r="F1929" s="27">
        <v>1</v>
      </c>
      <c r="G1929" s="27">
        <v>0</v>
      </c>
      <c r="H1929" s="27">
        <v>0</v>
      </c>
      <c r="I1929" s="27">
        <v>0</v>
      </c>
      <c r="J1929" s="27">
        <v>0</v>
      </c>
      <c r="K1929" s="27">
        <v>0.85</v>
      </c>
      <c r="L1929" s="27">
        <v>1600</v>
      </c>
      <c r="M1929" s="27">
        <v>1400</v>
      </c>
      <c r="N1929" s="27">
        <v>0</v>
      </c>
      <c r="O1929" s="27">
        <v>0</v>
      </c>
      <c r="P1929" s="27" t="s">
        <v>13</v>
      </c>
      <c r="Q1929" s="27">
        <v>1993</v>
      </c>
      <c r="R1929" s="27">
        <v>1</v>
      </c>
      <c r="S1929" s="27">
        <v>0</v>
      </c>
      <c r="T1929" s="27">
        <v>-1.619E-2</v>
      </c>
      <c r="U1929" s="27">
        <v>-5.3969999999999997E-2</v>
      </c>
      <c r="V1929" s="27">
        <v>0</v>
      </c>
      <c r="W1929" s="27">
        <v>0</v>
      </c>
      <c r="X1929" s="27" t="s">
        <v>69</v>
      </c>
    </row>
    <row r="1930" spans="1:24">
      <c r="A1930" s="27">
        <v>5</v>
      </c>
      <c r="B1930" s="27">
        <v>4</v>
      </c>
      <c r="C1930" s="27">
        <v>16</v>
      </c>
      <c r="D1930" s="27">
        <v>2012</v>
      </c>
      <c r="E1930" s="27">
        <v>2012</v>
      </c>
      <c r="F1930" s="27">
        <v>2</v>
      </c>
      <c r="G1930" s="27">
        <v>0</v>
      </c>
      <c r="H1930" s="27">
        <v>0</v>
      </c>
      <c r="I1930" s="27">
        <v>0</v>
      </c>
      <c r="J1930" s="27">
        <v>0</v>
      </c>
      <c r="K1930" s="27">
        <v>0.85</v>
      </c>
      <c r="L1930" s="27">
        <v>1600</v>
      </c>
      <c r="M1930" s="27">
        <v>1400</v>
      </c>
      <c r="N1930" s="27">
        <v>0</v>
      </c>
      <c r="O1930" s="27">
        <v>0</v>
      </c>
      <c r="P1930" s="27" t="s">
        <v>13</v>
      </c>
      <c r="Q1930" s="27">
        <v>1993</v>
      </c>
      <c r="R1930" s="27">
        <v>1</v>
      </c>
      <c r="S1930" s="27">
        <v>0</v>
      </c>
      <c r="T1930" s="27">
        <v>-1.619E-2</v>
      </c>
      <c r="U1930" s="27">
        <v>-5.3969999999999997E-2</v>
      </c>
      <c r="V1930" s="27">
        <v>0</v>
      </c>
      <c r="W1930" s="27">
        <v>0</v>
      </c>
      <c r="X1930" s="27" t="s">
        <v>69</v>
      </c>
    </row>
    <row r="1931" spans="1:24">
      <c r="A1931" s="27">
        <v>5</v>
      </c>
      <c r="B1931" s="27">
        <v>4</v>
      </c>
      <c r="C1931" s="27">
        <v>16</v>
      </c>
      <c r="D1931" s="27">
        <v>2012</v>
      </c>
      <c r="E1931" s="27">
        <v>2012</v>
      </c>
      <c r="F1931" s="27">
        <v>3</v>
      </c>
      <c r="G1931" s="27">
        <v>0</v>
      </c>
      <c r="H1931" s="27">
        <v>0</v>
      </c>
      <c r="I1931" s="27">
        <v>0</v>
      </c>
      <c r="J1931" s="27">
        <v>0</v>
      </c>
      <c r="K1931" s="27">
        <v>0.85</v>
      </c>
      <c r="L1931" s="27">
        <v>1600</v>
      </c>
      <c r="M1931" s="27">
        <v>1400</v>
      </c>
      <c r="N1931" s="27">
        <v>0</v>
      </c>
      <c r="O1931" s="27">
        <v>0</v>
      </c>
      <c r="P1931" s="27" t="s">
        <v>13</v>
      </c>
      <c r="Q1931" s="27">
        <v>1993</v>
      </c>
      <c r="R1931" s="27">
        <v>1</v>
      </c>
      <c r="S1931" s="27">
        <v>0</v>
      </c>
      <c r="T1931" s="27">
        <v>-1.619E-2</v>
      </c>
      <c r="U1931" s="27">
        <v>-5.3969999999999997E-2</v>
      </c>
      <c r="V1931" s="27">
        <v>0</v>
      </c>
      <c r="W1931" s="27">
        <v>0</v>
      </c>
      <c r="X1931" s="27" t="s">
        <v>69</v>
      </c>
    </row>
    <row r="1932" spans="1:24">
      <c r="A1932" s="27">
        <v>5</v>
      </c>
      <c r="B1932" s="27">
        <v>4</v>
      </c>
      <c r="C1932" s="27">
        <v>16</v>
      </c>
      <c r="D1932" s="27">
        <v>2012</v>
      </c>
      <c r="E1932" s="27">
        <v>2012</v>
      </c>
      <c r="F1932" s="27">
        <v>4</v>
      </c>
      <c r="G1932" s="27">
        <v>0</v>
      </c>
      <c r="H1932" s="27">
        <v>0</v>
      </c>
      <c r="I1932" s="27">
        <v>0</v>
      </c>
      <c r="J1932" s="27">
        <v>0</v>
      </c>
      <c r="K1932" s="27">
        <v>0.85</v>
      </c>
      <c r="L1932" s="27">
        <v>1600</v>
      </c>
      <c r="M1932" s="27">
        <v>1400</v>
      </c>
      <c r="N1932" s="27">
        <v>0</v>
      </c>
      <c r="O1932" s="27">
        <v>0</v>
      </c>
      <c r="P1932" s="27" t="s">
        <v>13</v>
      </c>
      <c r="Q1932" s="27">
        <v>1993</v>
      </c>
      <c r="R1932" s="27">
        <v>1</v>
      </c>
      <c r="S1932" s="27">
        <v>0</v>
      </c>
      <c r="T1932" s="27">
        <v>-1.619E-2</v>
      </c>
      <c r="U1932" s="27">
        <v>-5.3969999999999997E-2</v>
      </c>
      <c r="V1932" s="27">
        <v>0</v>
      </c>
      <c r="W1932" s="27">
        <v>0</v>
      </c>
      <c r="X1932" s="27" t="s">
        <v>69</v>
      </c>
    </row>
    <row r="1933" spans="1:24">
      <c r="A1933" s="27">
        <v>5</v>
      </c>
      <c r="B1933" s="27">
        <v>4</v>
      </c>
      <c r="C1933" s="27">
        <v>16</v>
      </c>
      <c r="D1933" s="27">
        <v>2012</v>
      </c>
      <c r="E1933" s="27">
        <v>2012</v>
      </c>
      <c r="F1933" s="27">
        <v>5</v>
      </c>
      <c r="G1933" s="27">
        <v>0</v>
      </c>
      <c r="H1933" s="27">
        <v>0</v>
      </c>
      <c r="I1933" s="27">
        <v>0</v>
      </c>
      <c r="J1933" s="27">
        <v>0</v>
      </c>
      <c r="K1933" s="27">
        <v>0.85</v>
      </c>
      <c r="L1933" s="27">
        <v>1600</v>
      </c>
      <c r="M1933" s="27">
        <v>1400</v>
      </c>
      <c r="N1933" s="27">
        <v>0</v>
      </c>
      <c r="O1933" s="27">
        <v>0</v>
      </c>
      <c r="P1933" s="27" t="s">
        <v>13</v>
      </c>
      <c r="Q1933" s="27">
        <v>1993</v>
      </c>
      <c r="R1933" s="27">
        <v>1</v>
      </c>
      <c r="S1933" s="27">
        <v>0</v>
      </c>
      <c r="T1933" s="27">
        <v>-1.619E-2</v>
      </c>
      <c r="U1933" s="27">
        <v>-5.3969999999999997E-2</v>
      </c>
      <c r="V1933" s="27">
        <v>0</v>
      </c>
      <c r="W1933" s="27">
        <v>0</v>
      </c>
      <c r="X1933" s="27" t="s">
        <v>69</v>
      </c>
    </row>
    <row r="1934" spans="1:24">
      <c r="A1934" s="27">
        <v>5</v>
      </c>
      <c r="B1934" s="27">
        <v>4</v>
      </c>
      <c r="C1934" s="27">
        <v>16</v>
      </c>
      <c r="D1934" s="27">
        <v>2012</v>
      </c>
      <c r="E1934" s="27">
        <v>2012</v>
      </c>
      <c r="F1934" s="27">
        <v>6</v>
      </c>
      <c r="G1934" s="27">
        <v>0</v>
      </c>
      <c r="H1934" s="27">
        <v>0</v>
      </c>
      <c r="I1934" s="27">
        <v>0</v>
      </c>
      <c r="J1934" s="27">
        <v>0</v>
      </c>
      <c r="K1934" s="27">
        <v>0.85</v>
      </c>
      <c r="L1934" s="27">
        <v>1600</v>
      </c>
      <c r="M1934" s="27">
        <v>1400</v>
      </c>
      <c r="N1934" s="27">
        <v>0</v>
      </c>
      <c r="O1934" s="27">
        <v>0</v>
      </c>
      <c r="P1934" s="27" t="s">
        <v>13</v>
      </c>
      <c r="Q1934" s="27">
        <v>1993</v>
      </c>
      <c r="R1934" s="27">
        <v>1</v>
      </c>
      <c r="S1934" s="27">
        <v>0</v>
      </c>
      <c r="T1934" s="27">
        <v>-1.619E-2</v>
      </c>
      <c r="U1934" s="27">
        <v>-5.3969999999999997E-2</v>
      </c>
      <c r="V1934" s="27">
        <v>0</v>
      </c>
      <c r="W1934" s="27">
        <v>0</v>
      </c>
      <c r="X1934" s="27" t="s">
        <v>69</v>
      </c>
    </row>
    <row r="1935" spans="1:24">
      <c r="A1935" s="27">
        <v>5</v>
      </c>
      <c r="B1935" s="27">
        <v>4</v>
      </c>
      <c r="C1935" s="27">
        <v>16</v>
      </c>
      <c r="D1935" s="27">
        <v>2012</v>
      </c>
      <c r="E1935" s="27">
        <v>2012</v>
      </c>
      <c r="F1935" s="27">
        <v>7</v>
      </c>
      <c r="G1935" s="27">
        <v>0</v>
      </c>
      <c r="H1935" s="27">
        <v>0</v>
      </c>
      <c r="I1935" s="27">
        <v>0</v>
      </c>
      <c r="J1935" s="27">
        <v>0</v>
      </c>
      <c r="K1935" s="27">
        <v>0.85</v>
      </c>
      <c r="L1935" s="27">
        <v>1600</v>
      </c>
      <c r="M1935" s="27">
        <v>1400</v>
      </c>
      <c r="N1935" s="27">
        <v>0</v>
      </c>
      <c r="O1935" s="27">
        <v>0</v>
      </c>
      <c r="P1935" s="27" t="s">
        <v>13</v>
      </c>
      <c r="Q1935" s="27">
        <v>1993</v>
      </c>
      <c r="R1935" s="27">
        <v>1</v>
      </c>
      <c r="S1935" s="27">
        <v>0</v>
      </c>
      <c r="T1935" s="27">
        <v>-1.619E-2</v>
      </c>
      <c r="U1935" s="27">
        <v>-5.3969999999999997E-2</v>
      </c>
      <c r="V1935" s="27">
        <v>0</v>
      </c>
      <c r="W1935" s="27">
        <v>0</v>
      </c>
      <c r="X1935" s="27" t="s">
        <v>69</v>
      </c>
    </row>
    <row r="1936" spans="1:24">
      <c r="A1936" s="27">
        <v>5</v>
      </c>
      <c r="B1936" s="27">
        <v>4</v>
      </c>
      <c r="C1936" s="27">
        <v>16</v>
      </c>
      <c r="D1936" s="27">
        <v>2012</v>
      </c>
      <c r="E1936" s="27">
        <v>2012</v>
      </c>
      <c r="F1936" s="27">
        <v>8</v>
      </c>
      <c r="G1936" s="27">
        <v>0</v>
      </c>
      <c r="H1936" s="27">
        <v>0</v>
      </c>
      <c r="I1936" s="27">
        <v>0</v>
      </c>
      <c r="J1936" s="27">
        <v>0</v>
      </c>
      <c r="K1936" s="27">
        <v>0.85</v>
      </c>
      <c r="L1936" s="27">
        <v>1600</v>
      </c>
      <c r="M1936" s="27">
        <v>1400</v>
      </c>
      <c r="N1936" s="27">
        <v>0</v>
      </c>
      <c r="O1936" s="27">
        <v>0</v>
      </c>
      <c r="P1936" s="27" t="s">
        <v>13</v>
      </c>
      <c r="Q1936" s="27">
        <v>1993</v>
      </c>
      <c r="R1936" s="27">
        <v>1</v>
      </c>
      <c r="S1936" s="27">
        <v>0</v>
      </c>
      <c r="T1936" s="27">
        <v>-1.619E-2</v>
      </c>
      <c r="U1936" s="27">
        <v>-5.3969999999999997E-2</v>
      </c>
      <c r="V1936" s="27">
        <v>0</v>
      </c>
      <c r="W1936" s="27">
        <v>0</v>
      </c>
      <c r="X1936" s="27" t="s">
        <v>69</v>
      </c>
    </row>
    <row r="1937" spans="1:24">
      <c r="A1937" s="27">
        <v>5</v>
      </c>
      <c r="B1937" s="27">
        <v>4</v>
      </c>
      <c r="C1937" s="27">
        <v>16</v>
      </c>
      <c r="D1937" s="27">
        <v>2012</v>
      </c>
      <c r="E1937" s="27">
        <v>2012</v>
      </c>
      <c r="F1937" s="27">
        <v>9</v>
      </c>
      <c r="G1937" s="27">
        <v>0</v>
      </c>
      <c r="H1937" s="27">
        <v>0</v>
      </c>
      <c r="I1937" s="27">
        <v>0</v>
      </c>
      <c r="J1937" s="27">
        <v>0</v>
      </c>
      <c r="K1937" s="27">
        <v>0.85</v>
      </c>
      <c r="L1937" s="27">
        <v>1600</v>
      </c>
      <c r="M1937" s="27">
        <v>1400</v>
      </c>
      <c r="N1937" s="27">
        <v>0</v>
      </c>
      <c r="O1937" s="27">
        <v>0</v>
      </c>
      <c r="P1937" s="27" t="s">
        <v>13</v>
      </c>
      <c r="Q1937" s="27">
        <v>1993</v>
      </c>
      <c r="R1937" s="27">
        <v>1</v>
      </c>
      <c r="S1937" s="27">
        <v>0</v>
      </c>
      <c r="T1937" s="27">
        <v>-1.619E-2</v>
      </c>
      <c r="U1937" s="27">
        <v>-5.3969999999999997E-2</v>
      </c>
      <c r="V1937" s="27">
        <v>0</v>
      </c>
      <c r="W1937" s="27">
        <v>0</v>
      </c>
      <c r="X1937" s="27" t="s">
        <v>69</v>
      </c>
    </row>
    <row r="1938" spans="1:24">
      <c r="A1938" s="27">
        <v>5</v>
      </c>
      <c r="B1938" s="27">
        <v>4</v>
      </c>
      <c r="C1938" s="27">
        <v>16</v>
      </c>
      <c r="D1938" s="27">
        <v>2013</v>
      </c>
      <c r="E1938" s="27">
        <v>2013</v>
      </c>
      <c r="F1938" s="27">
        <v>1</v>
      </c>
      <c r="G1938" s="27">
        <v>0</v>
      </c>
      <c r="H1938" s="27">
        <v>0</v>
      </c>
      <c r="I1938" s="27">
        <v>0</v>
      </c>
      <c r="J1938" s="27">
        <v>0</v>
      </c>
      <c r="K1938" s="27">
        <v>0.85</v>
      </c>
      <c r="L1938" s="27">
        <v>1600</v>
      </c>
      <c r="M1938" s="27">
        <v>1400</v>
      </c>
      <c r="N1938" s="27">
        <v>300</v>
      </c>
      <c r="O1938" s="27">
        <v>300</v>
      </c>
      <c r="P1938" s="27" t="s">
        <v>13</v>
      </c>
      <c r="Q1938" s="27">
        <v>1993</v>
      </c>
      <c r="R1938" s="27">
        <v>1</v>
      </c>
      <c r="S1938" s="27">
        <v>0</v>
      </c>
      <c r="T1938" s="27">
        <v>-1.619E-2</v>
      </c>
      <c r="U1938" s="27">
        <v>-5.3969999999999997E-2</v>
      </c>
      <c r="V1938" s="27">
        <v>0</v>
      </c>
      <c r="W1938" s="27">
        <v>0</v>
      </c>
      <c r="X1938" s="27" t="s">
        <v>69</v>
      </c>
    </row>
    <row r="1939" spans="1:24">
      <c r="A1939" s="27">
        <v>5</v>
      </c>
      <c r="B1939" s="27">
        <v>4</v>
      </c>
      <c r="C1939" s="27">
        <v>16</v>
      </c>
      <c r="D1939" s="27">
        <v>2013</v>
      </c>
      <c r="E1939" s="27">
        <v>2013</v>
      </c>
      <c r="F1939" s="27">
        <v>2</v>
      </c>
      <c r="G1939" s="27">
        <v>0</v>
      </c>
      <c r="H1939" s="27">
        <v>0</v>
      </c>
      <c r="I1939" s="27">
        <v>0</v>
      </c>
      <c r="J1939" s="27">
        <v>0</v>
      </c>
      <c r="K1939" s="27">
        <v>0.85</v>
      </c>
      <c r="L1939" s="27">
        <v>1600</v>
      </c>
      <c r="M1939" s="27">
        <v>1400</v>
      </c>
      <c r="N1939" s="27">
        <v>300</v>
      </c>
      <c r="O1939" s="27">
        <v>300</v>
      </c>
      <c r="P1939" s="27" t="s">
        <v>13</v>
      </c>
      <c r="Q1939" s="27">
        <v>1993</v>
      </c>
      <c r="R1939" s="27">
        <v>1</v>
      </c>
      <c r="S1939" s="27">
        <v>0</v>
      </c>
      <c r="T1939" s="27">
        <v>-1.619E-2</v>
      </c>
      <c r="U1939" s="27">
        <v>-5.3969999999999997E-2</v>
      </c>
      <c r="V1939" s="27">
        <v>0</v>
      </c>
      <c r="W1939" s="27">
        <v>0</v>
      </c>
      <c r="X1939" s="27" t="s">
        <v>69</v>
      </c>
    </row>
    <row r="1940" spans="1:24">
      <c r="A1940" s="27">
        <v>5</v>
      </c>
      <c r="B1940" s="27">
        <v>4</v>
      </c>
      <c r="C1940" s="27">
        <v>16</v>
      </c>
      <c r="D1940" s="27">
        <v>2013</v>
      </c>
      <c r="E1940" s="27">
        <v>2013</v>
      </c>
      <c r="F1940" s="27">
        <v>3</v>
      </c>
      <c r="G1940" s="27">
        <v>0</v>
      </c>
      <c r="H1940" s="27">
        <v>0</v>
      </c>
      <c r="I1940" s="27">
        <v>0</v>
      </c>
      <c r="J1940" s="27">
        <v>0</v>
      </c>
      <c r="K1940" s="27">
        <v>0.85</v>
      </c>
      <c r="L1940" s="27">
        <v>1600</v>
      </c>
      <c r="M1940" s="27">
        <v>1400</v>
      </c>
      <c r="N1940" s="27">
        <v>300</v>
      </c>
      <c r="O1940" s="27">
        <v>300</v>
      </c>
      <c r="P1940" s="27" t="s">
        <v>13</v>
      </c>
      <c r="Q1940" s="27">
        <v>1993</v>
      </c>
      <c r="R1940" s="27">
        <v>1</v>
      </c>
      <c r="S1940" s="27">
        <v>0</v>
      </c>
      <c r="T1940" s="27">
        <v>-1.619E-2</v>
      </c>
      <c r="U1940" s="27">
        <v>-5.3969999999999997E-2</v>
      </c>
      <c r="V1940" s="27">
        <v>0</v>
      </c>
      <c r="W1940" s="27">
        <v>0</v>
      </c>
      <c r="X1940" s="27" t="s">
        <v>69</v>
      </c>
    </row>
    <row r="1941" spans="1:24">
      <c r="A1941" s="27">
        <v>5</v>
      </c>
      <c r="B1941" s="27">
        <v>4</v>
      </c>
      <c r="C1941" s="27">
        <v>16</v>
      </c>
      <c r="D1941" s="27">
        <v>2013</v>
      </c>
      <c r="E1941" s="27">
        <v>2013</v>
      </c>
      <c r="F1941" s="27">
        <v>4</v>
      </c>
      <c r="G1941" s="27">
        <v>0</v>
      </c>
      <c r="H1941" s="27">
        <v>0</v>
      </c>
      <c r="I1941" s="27">
        <v>0</v>
      </c>
      <c r="J1941" s="27">
        <v>0</v>
      </c>
      <c r="K1941" s="27">
        <v>0.85</v>
      </c>
      <c r="L1941" s="27">
        <v>1600</v>
      </c>
      <c r="M1941" s="27">
        <v>1400</v>
      </c>
      <c r="N1941" s="27">
        <v>300</v>
      </c>
      <c r="O1941" s="27">
        <v>300</v>
      </c>
      <c r="P1941" s="27" t="s">
        <v>13</v>
      </c>
      <c r="Q1941" s="27">
        <v>1993</v>
      </c>
      <c r="R1941" s="27">
        <v>1</v>
      </c>
      <c r="S1941" s="27">
        <v>0</v>
      </c>
      <c r="T1941" s="27">
        <v>-1.619E-2</v>
      </c>
      <c r="U1941" s="27">
        <v>-5.3969999999999997E-2</v>
      </c>
      <c r="V1941" s="27">
        <v>0</v>
      </c>
      <c r="W1941" s="27">
        <v>0</v>
      </c>
      <c r="X1941" s="27" t="s">
        <v>69</v>
      </c>
    </row>
    <row r="1942" spans="1:24">
      <c r="A1942" s="27">
        <v>5</v>
      </c>
      <c r="B1942" s="27">
        <v>4</v>
      </c>
      <c r="C1942" s="27">
        <v>16</v>
      </c>
      <c r="D1942" s="27">
        <v>2013</v>
      </c>
      <c r="E1942" s="27">
        <v>2013</v>
      </c>
      <c r="F1942" s="27">
        <v>5</v>
      </c>
      <c r="G1942" s="27">
        <v>0</v>
      </c>
      <c r="H1942" s="27">
        <v>0</v>
      </c>
      <c r="I1942" s="27">
        <v>0</v>
      </c>
      <c r="J1942" s="27">
        <v>0</v>
      </c>
      <c r="K1942" s="27">
        <v>0.85</v>
      </c>
      <c r="L1942" s="27">
        <v>1600</v>
      </c>
      <c r="M1942" s="27">
        <v>1400</v>
      </c>
      <c r="N1942" s="27">
        <v>300</v>
      </c>
      <c r="O1942" s="27">
        <v>300</v>
      </c>
      <c r="P1942" s="27" t="s">
        <v>13</v>
      </c>
      <c r="Q1942" s="27">
        <v>1993</v>
      </c>
      <c r="R1942" s="27">
        <v>1</v>
      </c>
      <c r="S1942" s="27">
        <v>0</v>
      </c>
      <c r="T1942" s="27">
        <v>-1.619E-2</v>
      </c>
      <c r="U1942" s="27">
        <v>-5.3969999999999997E-2</v>
      </c>
      <c r="V1942" s="27">
        <v>0</v>
      </c>
      <c r="W1942" s="27">
        <v>0</v>
      </c>
      <c r="X1942" s="27" t="s">
        <v>69</v>
      </c>
    </row>
    <row r="1943" spans="1:24">
      <c r="A1943" s="27">
        <v>5</v>
      </c>
      <c r="B1943" s="27">
        <v>4</v>
      </c>
      <c r="C1943" s="27">
        <v>16</v>
      </c>
      <c r="D1943" s="27">
        <v>2013</v>
      </c>
      <c r="E1943" s="27">
        <v>2013</v>
      </c>
      <c r="F1943" s="27">
        <v>6</v>
      </c>
      <c r="G1943" s="27">
        <v>0</v>
      </c>
      <c r="H1943" s="27">
        <v>0</v>
      </c>
      <c r="I1943" s="27">
        <v>0</v>
      </c>
      <c r="J1943" s="27">
        <v>0</v>
      </c>
      <c r="K1943" s="27">
        <v>0.85</v>
      </c>
      <c r="L1943" s="27">
        <v>1600</v>
      </c>
      <c r="M1943" s="27">
        <v>1400</v>
      </c>
      <c r="N1943" s="27">
        <v>300</v>
      </c>
      <c r="O1943" s="27">
        <v>300</v>
      </c>
      <c r="P1943" s="27" t="s">
        <v>13</v>
      </c>
      <c r="Q1943" s="27">
        <v>1993</v>
      </c>
      <c r="R1943" s="27">
        <v>1</v>
      </c>
      <c r="S1943" s="27">
        <v>0</v>
      </c>
      <c r="T1943" s="27">
        <v>-1.619E-2</v>
      </c>
      <c r="U1943" s="27">
        <v>-5.3969999999999997E-2</v>
      </c>
      <c r="V1943" s="27">
        <v>0</v>
      </c>
      <c r="W1943" s="27">
        <v>0</v>
      </c>
      <c r="X1943" s="27" t="s">
        <v>69</v>
      </c>
    </row>
    <row r="1944" spans="1:24">
      <c r="A1944" s="27">
        <v>5</v>
      </c>
      <c r="B1944" s="27">
        <v>4</v>
      </c>
      <c r="C1944" s="27">
        <v>16</v>
      </c>
      <c r="D1944" s="27">
        <v>2013</v>
      </c>
      <c r="E1944" s="27">
        <v>2013</v>
      </c>
      <c r="F1944" s="27">
        <v>7</v>
      </c>
      <c r="G1944" s="27">
        <v>0</v>
      </c>
      <c r="H1944" s="27">
        <v>0</v>
      </c>
      <c r="I1944" s="27">
        <v>0</v>
      </c>
      <c r="J1944" s="27">
        <v>0</v>
      </c>
      <c r="K1944" s="27">
        <v>0.85</v>
      </c>
      <c r="L1944" s="27">
        <v>1600</v>
      </c>
      <c r="M1944" s="27">
        <v>1400</v>
      </c>
      <c r="N1944" s="27">
        <v>300</v>
      </c>
      <c r="O1944" s="27">
        <v>300</v>
      </c>
      <c r="P1944" s="27" t="s">
        <v>13</v>
      </c>
      <c r="Q1944" s="27">
        <v>1993</v>
      </c>
      <c r="R1944" s="27">
        <v>1</v>
      </c>
      <c r="S1944" s="27">
        <v>0</v>
      </c>
      <c r="T1944" s="27">
        <v>-1.619E-2</v>
      </c>
      <c r="U1944" s="27">
        <v>-5.3969999999999997E-2</v>
      </c>
      <c r="V1944" s="27">
        <v>0</v>
      </c>
      <c r="W1944" s="27">
        <v>0</v>
      </c>
      <c r="X1944" s="27" t="s">
        <v>69</v>
      </c>
    </row>
    <row r="1945" spans="1:24">
      <c r="A1945" s="27">
        <v>5</v>
      </c>
      <c r="B1945" s="27">
        <v>4</v>
      </c>
      <c r="C1945" s="27">
        <v>16</v>
      </c>
      <c r="D1945" s="27">
        <v>2013</v>
      </c>
      <c r="E1945" s="27">
        <v>2013</v>
      </c>
      <c r="F1945" s="27">
        <v>8</v>
      </c>
      <c r="G1945" s="27">
        <v>0</v>
      </c>
      <c r="H1945" s="27">
        <v>0</v>
      </c>
      <c r="I1945" s="27">
        <v>0</v>
      </c>
      <c r="J1945" s="27">
        <v>0</v>
      </c>
      <c r="K1945" s="27">
        <v>0.85</v>
      </c>
      <c r="L1945" s="27">
        <v>1600</v>
      </c>
      <c r="M1945" s="27">
        <v>1400</v>
      </c>
      <c r="N1945" s="27">
        <v>300</v>
      </c>
      <c r="O1945" s="27">
        <v>300</v>
      </c>
      <c r="P1945" s="27" t="s">
        <v>13</v>
      </c>
      <c r="Q1945" s="27">
        <v>1993</v>
      </c>
      <c r="R1945" s="27">
        <v>1</v>
      </c>
      <c r="S1945" s="27">
        <v>0</v>
      </c>
      <c r="T1945" s="27">
        <v>-1.619E-2</v>
      </c>
      <c r="U1945" s="27">
        <v>-5.3969999999999997E-2</v>
      </c>
      <c r="V1945" s="27">
        <v>0</v>
      </c>
      <c r="W1945" s="27">
        <v>0</v>
      </c>
      <c r="X1945" s="27" t="s">
        <v>69</v>
      </c>
    </row>
    <row r="1946" spans="1:24">
      <c r="A1946" s="27">
        <v>5</v>
      </c>
      <c r="B1946" s="27">
        <v>4</v>
      </c>
      <c r="C1946" s="27">
        <v>16</v>
      </c>
      <c r="D1946" s="27">
        <v>2013</v>
      </c>
      <c r="E1946" s="27">
        <v>2013</v>
      </c>
      <c r="F1946" s="27">
        <v>9</v>
      </c>
      <c r="G1946" s="27">
        <v>0</v>
      </c>
      <c r="H1946" s="27">
        <v>0</v>
      </c>
      <c r="I1946" s="27">
        <v>0</v>
      </c>
      <c r="J1946" s="27">
        <v>0</v>
      </c>
      <c r="K1946" s="27">
        <v>0.85</v>
      </c>
      <c r="L1946" s="27">
        <v>1600</v>
      </c>
      <c r="M1946" s="27">
        <v>1400</v>
      </c>
      <c r="N1946" s="27">
        <v>300</v>
      </c>
      <c r="O1946" s="27">
        <v>300</v>
      </c>
      <c r="P1946" s="27" t="s">
        <v>13</v>
      </c>
      <c r="Q1946" s="27">
        <v>1993</v>
      </c>
      <c r="R1946" s="27">
        <v>1</v>
      </c>
      <c r="S1946" s="27">
        <v>0</v>
      </c>
      <c r="T1946" s="27">
        <v>-1.619E-2</v>
      </c>
      <c r="U1946" s="27">
        <v>-5.3969999999999997E-2</v>
      </c>
      <c r="V1946" s="27">
        <v>0</v>
      </c>
      <c r="W1946" s="27">
        <v>0</v>
      </c>
      <c r="X1946" s="27" t="s">
        <v>69</v>
      </c>
    </row>
    <row r="1947" spans="1:24">
      <c r="A1947" s="27">
        <v>5</v>
      </c>
      <c r="B1947" s="27">
        <v>4</v>
      </c>
      <c r="C1947" s="27">
        <v>16</v>
      </c>
      <c r="D1947" s="27">
        <v>2014</v>
      </c>
      <c r="E1947" s="27">
        <v>2019</v>
      </c>
      <c r="F1947" s="27">
        <v>1</v>
      </c>
      <c r="G1947" s="27">
        <v>0</v>
      </c>
      <c r="H1947" s="27">
        <v>0</v>
      </c>
      <c r="I1947" s="27">
        <v>0</v>
      </c>
      <c r="J1947" s="27">
        <v>0</v>
      </c>
      <c r="K1947" s="27">
        <v>0.85</v>
      </c>
      <c r="L1947" s="27">
        <v>1600</v>
      </c>
      <c r="M1947" s="27">
        <v>1400</v>
      </c>
      <c r="N1947" s="27">
        <v>0</v>
      </c>
      <c r="O1947" s="27">
        <v>0</v>
      </c>
      <c r="P1947" s="27" t="s">
        <v>13</v>
      </c>
      <c r="Q1947" s="27">
        <v>1993</v>
      </c>
      <c r="R1947" s="27">
        <v>1</v>
      </c>
      <c r="S1947" s="27">
        <v>0</v>
      </c>
      <c r="T1947" s="27">
        <v>-1.619E-2</v>
      </c>
      <c r="U1947" s="27">
        <v>-5.3969999999999997E-2</v>
      </c>
      <c r="V1947" s="27">
        <v>0</v>
      </c>
      <c r="W1947" s="27">
        <v>0</v>
      </c>
      <c r="X1947" s="27" t="s">
        <v>69</v>
      </c>
    </row>
    <row r="1948" spans="1:24">
      <c r="A1948" s="27">
        <v>5</v>
      </c>
      <c r="B1948" s="27">
        <v>4</v>
      </c>
      <c r="C1948" s="27">
        <v>16</v>
      </c>
      <c r="D1948" s="27">
        <v>2014</v>
      </c>
      <c r="E1948" s="27">
        <v>2019</v>
      </c>
      <c r="F1948" s="27">
        <v>2</v>
      </c>
      <c r="G1948" s="27">
        <v>0</v>
      </c>
      <c r="H1948" s="27">
        <v>0</v>
      </c>
      <c r="I1948" s="27">
        <v>0</v>
      </c>
      <c r="J1948" s="27">
        <v>0</v>
      </c>
      <c r="K1948" s="27">
        <v>0.85</v>
      </c>
      <c r="L1948" s="27">
        <v>1600</v>
      </c>
      <c r="M1948" s="27">
        <v>1400</v>
      </c>
      <c r="N1948" s="27">
        <v>0</v>
      </c>
      <c r="O1948" s="27">
        <v>0</v>
      </c>
      <c r="P1948" s="27" t="s">
        <v>13</v>
      </c>
      <c r="Q1948" s="27">
        <v>1993</v>
      </c>
      <c r="R1948" s="27">
        <v>1</v>
      </c>
      <c r="S1948" s="27">
        <v>0</v>
      </c>
      <c r="T1948" s="27">
        <v>-1.619E-2</v>
      </c>
      <c r="U1948" s="27">
        <v>-5.3969999999999997E-2</v>
      </c>
      <c r="V1948" s="27">
        <v>0</v>
      </c>
      <c r="W1948" s="27">
        <v>0</v>
      </c>
      <c r="X1948" s="27" t="s">
        <v>69</v>
      </c>
    </row>
    <row r="1949" spans="1:24">
      <c r="A1949" s="27">
        <v>5</v>
      </c>
      <c r="B1949" s="27">
        <v>4</v>
      </c>
      <c r="C1949" s="27">
        <v>16</v>
      </c>
      <c r="D1949" s="27">
        <v>2014</v>
      </c>
      <c r="E1949" s="27">
        <v>2019</v>
      </c>
      <c r="F1949" s="27">
        <v>3</v>
      </c>
      <c r="G1949" s="27">
        <v>0</v>
      </c>
      <c r="H1949" s="27">
        <v>0</v>
      </c>
      <c r="I1949" s="27">
        <v>0</v>
      </c>
      <c r="J1949" s="27">
        <v>0</v>
      </c>
      <c r="K1949" s="27">
        <v>0.85</v>
      </c>
      <c r="L1949" s="27">
        <v>1600</v>
      </c>
      <c r="M1949" s="27">
        <v>1400</v>
      </c>
      <c r="N1949" s="27">
        <v>0</v>
      </c>
      <c r="O1949" s="27">
        <v>0</v>
      </c>
      <c r="P1949" s="27" t="s">
        <v>13</v>
      </c>
      <c r="Q1949" s="27">
        <v>1993</v>
      </c>
      <c r="R1949" s="27">
        <v>1</v>
      </c>
      <c r="S1949" s="27">
        <v>0</v>
      </c>
      <c r="T1949" s="27">
        <v>-1.619E-2</v>
      </c>
      <c r="U1949" s="27">
        <v>-5.3969999999999997E-2</v>
      </c>
      <c r="V1949" s="27">
        <v>0</v>
      </c>
      <c r="W1949" s="27">
        <v>0</v>
      </c>
      <c r="X1949" s="27" t="s">
        <v>69</v>
      </c>
    </row>
    <row r="1950" spans="1:24">
      <c r="A1950" s="27">
        <v>5</v>
      </c>
      <c r="B1950" s="27">
        <v>4</v>
      </c>
      <c r="C1950" s="27">
        <v>16</v>
      </c>
      <c r="D1950" s="27">
        <v>2014</v>
      </c>
      <c r="E1950" s="27">
        <v>2019</v>
      </c>
      <c r="F1950" s="27">
        <v>4</v>
      </c>
      <c r="G1950" s="27">
        <v>0</v>
      </c>
      <c r="H1950" s="27">
        <v>0</v>
      </c>
      <c r="I1950" s="27">
        <v>0</v>
      </c>
      <c r="J1950" s="27">
        <v>0</v>
      </c>
      <c r="K1950" s="27">
        <v>0.85</v>
      </c>
      <c r="L1950" s="27">
        <v>1600</v>
      </c>
      <c r="M1950" s="27">
        <v>1400</v>
      </c>
      <c r="N1950" s="27">
        <v>0</v>
      </c>
      <c r="O1950" s="27">
        <v>0</v>
      </c>
      <c r="P1950" s="27" t="s">
        <v>13</v>
      </c>
      <c r="Q1950" s="27">
        <v>1993</v>
      </c>
      <c r="R1950" s="27">
        <v>1</v>
      </c>
      <c r="S1950" s="27">
        <v>0</v>
      </c>
      <c r="T1950" s="27">
        <v>-1.619E-2</v>
      </c>
      <c r="U1950" s="27">
        <v>-5.3969999999999997E-2</v>
      </c>
      <c r="V1950" s="27">
        <v>0</v>
      </c>
      <c r="W1950" s="27">
        <v>0</v>
      </c>
      <c r="X1950" s="27" t="s">
        <v>69</v>
      </c>
    </row>
    <row r="1951" spans="1:24">
      <c r="A1951" s="27">
        <v>5</v>
      </c>
      <c r="B1951" s="27">
        <v>4</v>
      </c>
      <c r="C1951" s="27">
        <v>16</v>
      </c>
      <c r="D1951" s="27">
        <v>2014</v>
      </c>
      <c r="E1951" s="27">
        <v>2019</v>
      </c>
      <c r="F1951" s="27">
        <v>5</v>
      </c>
      <c r="G1951" s="27">
        <v>0</v>
      </c>
      <c r="H1951" s="27">
        <v>0</v>
      </c>
      <c r="I1951" s="27">
        <v>0</v>
      </c>
      <c r="J1951" s="27">
        <v>0</v>
      </c>
      <c r="K1951" s="27">
        <v>0.85</v>
      </c>
      <c r="L1951" s="27">
        <v>1600</v>
      </c>
      <c r="M1951" s="27">
        <v>1400</v>
      </c>
      <c r="N1951" s="27">
        <v>0</v>
      </c>
      <c r="O1951" s="27">
        <v>0</v>
      </c>
      <c r="P1951" s="27" t="s">
        <v>13</v>
      </c>
      <c r="Q1951" s="27">
        <v>1993</v>
      </c>
      <c r="R1951" s="27">
        <v>1</v>
      </c>
      <c r="S1951" s="27">
        <v>0</v>
      </c>
      <c r="T1951" s="27">
        <v>-1.619E-2</v>
      </c>
      <c r="U1951" s="27">
        <v>-5.3969999999999997E-2</v>
      </c>
      <c r="V1951" s="27">
        <v>0</v>
      </c>
      <c r="W1951" s="27">
        <v>0</v>
      </c>
      <c r="X1951" s="27" t="s">
        <v>69</v>
      </c>
    </row>
    <row r="1952" spans="1:24">
      <c r="A1952" s="27">
        <v>5</v>
      </c>
      <c r="B1952" s="27">
        <v>4</v>
      </c>
      <c r="C1952" s="27">
        <v>16</v>
      </c>
      <c r="D1952" s="27">
        <v>2014</v>
      </c>
      <c r="E1952" s="27">
        <v>2019</v>
      </c>
      <c r="F1952" s="27">
        <v>6</v>
      </c>
      <c r="G1952" s="27">
        <v>0</v>
      </c>
      <c r="H1952" s="27">
        <v>0</v>
      </c>
      <c r="I1952" s="27">
        <v>0</v>
      </c>
      <c r="J1952" s="27">
        <v>0</v>
      </c>
      <c r="K1952" s="27">
        <v>0.85</v>
      </c>
      <c r="L1952" s="27">
        <v>1600</v>
      </c>
      <c r="M1952" s="27">
        <v>1400</v>
      </c>
      <c r="N1952" s="27">
        <v>0</v>
      </c>
      <c r="O1952" s="27">
        <v>0</v>
      </c>
      <c r="P1952" s="27" t="s">
        <v>13</v>
      </c>
      <c r="Q1952" s="27">
        <v>1993</v>
      </c>
      <c r="R1952" s="27">
        <v>1</v>
      </c>
      <c r="S1952" s="27">
        <v>0</v>
      </c>
      <c r="T1952" s="27">
        <v>-1.619E-2</v>
      </c>
      <c r="U1952" s="27">
        <v>-5.3969999999999997E-2</v>
      </c>
      <c r="V1952" s="27">
        <v>0</v>
      </c>
      <c r="W1952" s="27">
        <v>0</v>
      </c>
      <c r="X1952" s="27" t="s">
        <v>69</v>
      </c>
    </row>
    <row r="1953" spans="1:24">
      <c r="A1953" s="27">
        <v>5</v>
      </c>
      <c r="B1953" s="27">
        <v>4</v>
      </c>
      <c r="C1953" s="27">
        <v>16</v>
      </c>
      <c r="D1953" s="27">
        <v>2014</v>
      </c>
      <c r="E1953" s="27">
        <v>2019</v>
      </c>
      <c r="F1953" s="27">
        <v>7</v>
      </c>
      <c r="G1953" s="27">
        <v>0</v>
      </c>
      <c r="H1953" s="27">
        <v>0</v>
      </c>
      <c r="I1953" s="27">
        <v>0</v>
      </c>
      <c r="J1953" s="27">
        <v>0</v>
      </c>
      <c r="K1953" s="27">
        <v>0.85</v>
      </c>
      <c r="L1953" s="27">
        <v>1600</v>
      </c>
      <c r="M1953" s="27">
        <v>1400</v>
      </c>
      <c r="N1953" s="27">
        <v>0</v>
      </c>
      <c r="O1953" s="27">
        <v>0</v>
      </c>
      <c r="P1953" s="27" t="s">
        <v>13</v>
      </c>
      <c r="Q1953" s="27">
        <v>1993</v>
      </c>
      <c r="R1953" s="27">
        <v>1</v>
      </c>
      <c r="S1953" s="27">
        <v>0</v>
      </c>
      <c r="T1953" s="27">
        <v>-1.619E-2</v>
      </c>
      <c r="U1953" s="27">
        <v>-5.3969999999999997E-2</v>
      </c>
      <c r="V1953" s="27">
        <v>0</v>
      </c>
      <c r="W1953" s="27">
        <v>0</v>
      </c>
      <c r="X1953" s="27" t="s">
        <v>69</v>
      </c>
    </row>
    <row r="1954" spans="1:24">
      <c r="A1954" s="27">
        <v>5</v>
      </c>
      <c r="B1954" s="27">
        <v>4</v>
      </c>
      <c r="C1954" s="27">
        <v>16</v>
      </c>
      <c r="D1954" s="27">
        <v>2014</v>
      </c>
      <c r="E1954" s="27">
        <v>2019</v>
      </c>
      <c r="F1954" s="27">
        <v>8</v>
      </c>
      <c r="G1954" s="27">
        <v>0</v>
      </c>
      <c r="H1954" s="27">
        <v>0</v>
      </c>
      <c r="I1954" s="27">
        <v>0</v>
      </c>
      <c r="J1954" s="27">
        <v>0</v>
      </c>
      <c r="K1954" s="27">
        <v>0.85</v>
      </c>
      <c r="L1954" s="27">
        <v>1600</v>
      </c>
      <c r="M1954" s="27">
        <v>1400</v>
      </c>
      <c r="N1954" s="27">
        <v>0</v>
      </c>
      <c r="O1954" s="27">
        <v>0</v>
      </c>
      <c r="P1954" s="27" t="s">
        <v>13</v>
      </c>
      <c r="Q1954" s="27">
        <v>1993</v>
      </c>
      <c r="R1954" s="27">
        <v>1</v>
      </c>
      <c r="S1954" s="27">
        <v>0</v>
      </c>
      <c r="T1954" s="27">
        <v>-1.619E-2</v>
      </c>
      <c r="U1954" s="27">
        <v>-5.3969999999999997E-2</v>
      </c>
      <c r="V1954" s="27">
        <v>0</v>
      </c>
      <c r="W1954" s="27">
        <v>0</v>
      </c>
      <c r="X1954" s="27" t="s">
        <v>69</v>
      </c>
    </row>
    <row r="1955" spans="1:24">
      <c r="A1955" s="27">
        <v>5</v>
      </c>
      <c r="B1955" s="27">
        <v>4</v>
      </c>
      <c r="C1955" s="27">
        <v>16</v>
      </c>
      <c r="D1955" s="27">
        <v>2014</v>
      </c>
      <c r="E1955" s="27">
        <v>2019</v>
      </c>
      <c r="F1955" s="27">
        <v>9</v>
      </c>
      <c r="G1955" s="27">
        <v>0</v>
      </c>
      <c r="H1955" s="27">
        <v>0</v>
      </c>
      <c r="I1955" s="27">
        <v>0</v>
      </c>
      <c r="J1955" s="27">
        <v>0</v>
      </c>
      <c r="K1955" s="27">
        <v>0.85</v>
      </c>
      <c r="L1955" s="27">
        <v>1600</v>
      </c>
      <c r="M1955" s="27">
        <v>1400</v>
      </c>
      <c r="N1955" s="27">
        <v>0</v>
      </c>
      <c r="O1955" s="27">
        <v>0</v>
      </c>
      <c r="P1955" s="27" t="s">
        <v>13</v>
      </c>
      <c r="Q1955" s="27">
        <v>1993</v>
      </c>
      <c r="R1955" s="27">
        <v>1</v>
      </c>
      <c r="S1955" s="27">
        <v>0</v>
      </c>
      <c r="T1955" s="27">
        <v>-1.619E-2</v>
      </c>
      <c r="U1955" s="27">
        <v>-5.3969999999999997E-2</v>
      </c>
      <c r="V1955" s="27">
        <v>0</v>
      </c>
      <c r="W1955" s="27">
        <v>0</v>
      </c>
      <c r="X1955" s="27" t="s">
        <v>69</v>
      </c>
    </row>
    <row r="1956" spans="1:24">
      <c r="A1956" s="27">
        <v>5</v>
      </c>
      <c r="B1956" s="27">
        <v>4</v>
      </c>
      <c r="C1956" s="27">
        <v>16</v>
      </c>
      <c r="D1956" s="27">
        <v>2020</v>
      </c>
      <c r="E1956" s="27">
        <v>2050</v>
      </c>
      <c r="F1956" s="27">
        <v>1</v>
      </c>
      <c r="G1956" s="27">
        <v>0</v>
      </c>
      <c r="H1956" s="27">
        <v>0</v>
      </c>
      <c r="I1956" s="27">
        <v>0</v>
      </c>
      <c r="J1956" s="27">
        <v>0</v>
      </c>
      <c r="K1956" s="27">
        <v>0.85</v>
      </c>
      <c r="L1956" s="27">
        <v>2150</v>
      </c>
      <c r="M1956" s="27">
        <v>1950</v>
      </c>
      <c r="N1956" s="27">
        <v>0</v>
      </c>
      <c r="O1956" s="27">
        <v>0</v>
      </c>
      <c r="P1956" s="27" t="s">
        <v>13</v>
      </c>
      <c r="Q1956" s="27">
        <v>1993</v>
      </c>
      <c r="R1956" s="27">
        <v>1</v>
      </c>
      <c r="S1956" s="27">
        <v>0</v>
      </c>
      <c r="T1956" s="27">
        <v>-1.619E-2</v>
      </c>
      <c r="U1956" s="27">
        <v>-5.3969999999999997E-2</v>
      </c>
      <c r="V1956" s="27">
        <v>0</v>
      </c>
      <c r="W1956" s="27">
        <v>0</v>
      </c>
      <c r="X1956" s="27" t="s">
        <v>69</v>
      </c>
    </row>
    <row r="1957" spans="1:24">
      <c r="A1957" s="27">
        <v>5</v>
      </c>
      <c r="B1957" s="27">
        <v>4</v>
      </c>
      <c r="C1957" s="27">
        <v>16</v>
      </c>
      <c r="D1957" s="27">
        <v>2020</v>
      </c>
      <c r="E1957" s="27">
        <v>2050</v>
      </c>
      <c r="F1957" s="27">
        <v>2</v>
      </c>
      <c r="G1957" s="27">
        <v>0</v>
      </c>
      <c r="H1957" s="27">
        <v>0</v>
      </c>
      <c r="I1957" s="27">
        <v>0</v>
      </c>
      <c r="J1957" s="27">
        <v>0</v>
      </c>
      <c r="K1957" s="27">
        <v>0.85</v>
      </c>
      <c r="L1957" s="27">
        <v>2150</v>
      </c>
      <c r="M1957" s="27">
        <v>1950</v>
      </c>
      <c r="N1957" s="27">
        <v>0</v>
      </c>
      <c r="O1957" s="27">
        <v>0</v>
      </c>
      <c r="P1957" s="27" t="s">
        <v>13</v>
      </c>
      <c r="Q1957" s="27">
        <v>1993</v>
      </c>
      <c r="R1957" s="27">
        <v>1</v>
      </c>
      <c r="S1957" s="27">
        <v>0</v>
      </c>
      <c r="T1957" s="27">
        <v>-1.619E-2</v>
      </c>
      <c r="U1957" s="27">
        <v>-5.3969999999999997E-2</v>
      </c>
      <c r="V1957" s="27">
        <v>0</v>
      </c>
      <c r="W1957" s="27">
        <v>0</v>
      </c>
      <c r="X1957" s="27" t="s">
        <v>69</v>
      </c>
    </row>
    <row r="1958" spans="1:24">
      <c r="A1958" s="27">
        <v>5</v>
      </c>
      <c r="B1958" s="27">
        <v>4</v>
      </c>
      <c r="C1958" s="27">
        <v>16</v>
      </c>
      <c r="D1958" s="27">
        <v>2020</v>
      </c>
      <c r="E1958" s="27">
        <v>2050</v>
      </c>
      <c r="F1958" s="27">
        <v>3</v>
      </c>
      <c r="G1958" s="27">
        <v>0</v>
      </c>
      <c r="H1958" s="27">
        <v>0</v>
      </c>
      <c r="I1958" s="27">
        <v>0</v>
      </c>
      <c r="J1958" s="27">
        <v>0</v>
      </c>
      <c r="K1958" s="27">
        <v>0.85</v>
      </c>
      <c r="L1958" s="27">
        <v>2150</v>
      </c>
      <c r="M1958" s="27">
        <v>1950</v>
      </c>
      <c r="N1958" s="27">
        <v>0</v>
      </c>
      <c r="O1958" s="27">
        <v>0</v>
      </c>
      <c r="P1958" s="27" t="s">
        <v>13</v>
      </c>
      <c r="Q1958" s="27">
        <v>1993</v>
      </c>
      <c r="R1958" s="27">
        <v>1</v>
      </c>
      <c r="S1958" s="27">
        <v>0</v>
      </c>
      <c r="T1958" s="27">
        <v>-1.619E-2</v>
      </c>
      <c r="U1958" s="27">
        <v>-5.3969999999999997E-2</v>
      </c>
      <c r="V1958" s="27">
        <v>0</v>
      </c>
      <c r="W1958" s="27">
        <v>0</v>
      </c>
      <c r="X1958" s="27" t="s">
        <v>69</v>
      </c>
    </row>
    <row r="1959" spans="1:24">
      <c r="A1959" s="27">
        <v>5</v>
      </c>
      <c r="B1959" s="27">
        <v>4</v>
      </c>
      <c r="C1959" s="27">
        <v>16</v>
      </c>
      <c r="D1959" s="27">
        <v>2020</v>
      </c>
      <c r="E1959" s="27">
        <v>2050</v>
      </c>
      <c r="F1959" s="27">
        <v>4</v>
      </c>
      <c r="G1959" s="27">
        <v>0</v>
      </c>
      <c r="H1959" s="27">
        <v>0</v>
      </c>
      <c r="I1959" s="27">
        <v>0</v>
      </c>
      <c r="J1959" s="27">
        <v>0</v>
      </c>
      <c r="K1959" s="27">
        <v>0.85</v>
      </c>
      <c r="L1959" s="27">
        <v>2150</v>
      </c>
      <c r="M1959" s="27">
        <v>1950</v>
      </c>
      <c r="N1959" s="27">
        <v>0</v>
      </c>
      <c r="O1959" s="27">
        <v>0</v>
      </c>
      <c r="P1959" s="27" t="s">
        <v>13</v>
      </c>
      <c r="Q1959" s="27">
        <v>1993</v>
      </c>
      <c r="R1959" s="27">
        <v>1</v>
      </c>
      <c r="S1959" s="27">
        <v>0</v>
      </c>
      <c r="T1959" s="27">
        <v>-1.619E-2</v>
      </c>
      <c r="U1959" s="27">
        <v>-5.3969999999999997E-2</v>
      </c>
      <c r="V1959" s="27">
        <v>0</v>
      </c>
      <c r="W1959" s="27">
        <v>0</v>
      </c>
      <c r="X1959" s="27" t="s">
        <v>69</v>
      </c>
    </row>
    <row r="1960" spans="1:24">
      <c r="A1960" s="27">
        <v>5</v>
      </c>
      <c r="B1960" s="27">
        <v>4</v>
      </c>
      <c r="C1960" s="27">
        <v>16</v>
      </c>
      <c r="D1960" s="27">
        <v>2020</v>
      </c>
      <c r="E1960" s="27">
        <v>2050</v>
      </c>
      <c r="F1960" s="27">
        <v>5</v>
      </c>
      <c r="G1960" s="27">
        <v>0</v>
      </c>
      <c r="H1960" s="27">
        <v>0</v>
      </c>
      <c r="I1960" s="27">
        <v>0</v>
      </c>
      <c r="J1960" s="27">
        <v>0</v>
      </c>
      <c r="K1960" s="27">
        <v>0.85</v>
      </c>
      <c r="L1960" s="27">
        <v>2150</v>
      </c>
      <c r="M1960" s="27">
        <v>1950</v>
      </c>
      <c r="N1960" s="27">
        <v>0</v>
      </c>
      <c r="O1960" s="27">
        <v>0</v>
      </c>
      <c r="P1960" s="27" t="s">
        <v>13</v>
      </c>
      <c r="Q1960" s="27">
        <v>1993</v>
      </c>
      <c r="R1960" s="27">
        <v>1</v>
      </c>
      <c r="S1960" s="27">
        <v>0</v>
      </c>
      <c r="T1960" s="27">
        <v>-1.619E-2</v>
      </c>
      <c r="U1960" s="27">
        <v>-5.3969999999999997E-2</v>
      </c>
      <c r="V1960" s="27">
        <v>0</v>
      </c>
      <c r="W1960" s="27">
        <v>0</v>
      </c>
      <c r="X1960" s="27" t="s">
        <v>69</v>
      </c>
    </row>
    <row r="1961" spans="1:24">
      <c r="A1961" s="27">
        <v>5</v>
      </c>
      <c r="B1961" s="27">
        <v>4</v>
      </c>
      <c r="C1961" s="27">
        <v>16</v>
      </c>
      <c r="D1961" s="27">
        <v>2020</v>
      </c>
      <c r="E1961" s="27">
        <v>2050</v>
      </c>
      <c r="F1961" s="27">
        <v>6</v>
      </c>
      <c r="G1961" s="27">
        <v>0</v>
      </c>
      <c r="H1961" s="27">
        <v>0</v>
      </c>
      <c r="I1961" s="27">
        <v>0</v>
      </c>
      <c r="J1961" s="27">
        <v>0</v>
      </c>
      <c r="K1961" s="27">
        <v>0.85</v>
      </c>
      <c r="L1961" s="27">
        <v>2150</v>
      </c>
      <c r="M1961" s="27">
        <v>1950</v>
      </c>
      <c r="N1961" s="27">
        <v>0</v>
      </c>
      <c r="O1961" s="27">
        <v>0</v>
      </c>
      <c r="P1961" s="27" t="s">
        <v>13</v>
      </c>
      <c r="Q1961" s="27">
        <v>1993</v>
      </c>
      <c r="R1961" s="27">
        <v>1</v>
      </c>
      <c r="S1961" s="27">
        <v>0</v>
      </c>
      <c r="T1961" s="27">
        <v>-1.619E-2</v>
      </c>
      <c r="U1961" s="27">
        <v>-5.3969999999999997E-2</v>
      </c>
      <c r="V1961" s="27">
        <v>0</v>
      </c>
      <c r="W1961" s="27">
        <v>0</v>
      </c>
      <c r="X1961" s="27" t="s">
        <v>69</v>
      </c>
    </row>
    <row r="1962" spans="1:24">
      <c r="A1962" s="27">
        <v>5</v>
      </c>
      <c r="B1962" s="27">
        <v>4</v>
      </c>
      <c r="C1962" s="27">
        <v>16</v>
      </c>
      <c r="D1962" s="27">
        <v>2020</v>
      </c>
      <c r="E1962" s="27">
        <v>2050</v>
      </c>
      <c r="F1962" s="27">
        <v>7</v>
      </c>
      <c r="G1962" s="27">
        <v>0</v>
      </c>
      <c r="H1962" s="27">
        <v>0</v>
      </c>
      <c r="I1962" s="27">
        <v>0</v>
      </c>
      <c r="J1962" s="27">
        <v>0</v>
      </c>
      <c r="K1962" s="27">
        <v>0.85</v>
      </c>
      <c r="L1962" s="27">
        <v>2150</v>
      </c>
      <c r="M1962" s="27">
        <v>1950</v>
      </c>
      <c r="N1962" s="27">
        <v>0</v>
      </c>
      <c r="O1962" s="27">
        <v>0</v>
      </c>
      <c r="P1962" s="27" t="s">
        <v>13</v>
      </c>
      <c r="Q1962" s="27">
        <v>1993</v>
      </c>
      <c r="R1962" s="27">
        <v>1</v>
      </c>
      <c r="S1962" s="27">
        <v>0</v>
      </c>
      <c r="T1962" s="27">
        <v>-1.619E-2</v>
      </c>
      <c r="U1962" s="27">
        <v>-5.3969999999999997E-2</v>
      </c>
      <c r="V1962" s="27">
        <v>0</v>
      </c>
      <c r="W1962" s="27">
        <v>0</v>
      </c>
      <c r="X1962" s="27" t="s">
        <v>69</v>
      </c>
    </row>
    <row r="1963" spans="1:24">
      <c r="A1963" s="27">
        <v>5</v>
      </c>
      <c r="B1963" s="27">
        <v>4</v>
      </c>
      <c r="C1963" s="27">
        <v>16</v>
      </c>
      <c r="D1963" s="27">
        <v>2020</v>
      </c>
      <c r="E1963" s="27">
        <v>2050</v>
      </c>
      <c r="F1963" s="27">
        <v>8</v>
      </c>
      <c r="G1963" s="27">
        <v>0</v>
      </c>
      <c r="H1963" s="27">
        <v>0</v>
      </c>
      <c r="I1963" s="27">
        <v>0</v>
      </c>
      <c r="J1963" s="27">
        <v>0</v>
      </c>
      <c r="K1963" s="27">
        <v>0.85</v>
      </c>
      <c r="L1963" s="27">
        <v>2150</v>
      </c>
      <c r="M1963" s="27">
        <v>1950</v>
      </c>
      <c r="N1963" s="27">
        <v>0</v>
      </c>
      <c r="O1963" s="27">
        <v>0</v>
      </c>
      <c r="P1963" s="27" t="s">
        <v>13</v>
      </c>
      <c r="Q1963" s="27">
        <v>1993</v>
      </c>
      <c r="R1963" s="27">
        <v>1</v>
      </c>
      <c r="S1963" s="27">
        <v>0</v>
      </c>
      <c r="T1963" s="27">
        <v>-1.619E-2</v>
      </c>
      <c r="U1963" s="27">
        <v>-5.3969999999999997E-2</v>
      </c>
      <c r="V1963" s="27">
        <v>0</v>
      </c>
      <c r="W1963" s="27">
        <v>0</v>
      </c>
      <c r="X1963" s="27" t="s">
        <v>69</v>
      </c>
    </row>
    <row r="1964" spans="1:24">
      <c r="A1964" s="27">
        <v>5</v>
      </c>
      <c r="B1964" s="27">
        <v>4</v>
      </c>
      <c r="C1964" s="27">
        <v>16</v>
      </c>
      <c r="D1964" s="27">
        <v>2020</v>
      </c>
      <c r="E1964" s="27">
        <v>2050</v>
      </c>
      <c r="F1964" s="27">
        <v>9</v>
      </c>
      <c r="G1964" s="27">
        <v>0</v>
      </c>
      <c r="H1964" s="27">
        <v>0</v>
      </c>
      <c r="I1964" s="27">
        <v>0</v>
      </c>
      <c r="J1964" s="27">
        <v>0</v>
      </c>
      <c r="K1964" s="27">
        <v>0.85</v>
      </c>
      <c r="L1964" s="27">
        <v>2150</v>
      </c>
      <c r="M1964" s="27">
        <v>1950</v>
      </c>
      <c r="N1964" s="27">
        <v>0</v>
      </c>
      <c r="O1964" s="27">
        <v>0</v>
      </c>
      <c r="P1964" s="27" t="s">
        <v>13</v>
      </c>
      <c r="Q1964" s="27">
        <v>1993</v>
      </c>
      <c r="R1964" s="27">
        <v>1</v>
      </c>
      <c r="S1964" s="27">
        <v>0</v>
      </c>
      <c r="T1964" s="27">
        <v>-1.619E-2</v>
      </c>
      <c r="U1964" s="27">
        <v>-5.3969999999999997E-2</v>
      </c>
      <c r="V1964" s="27">
        <v>0</v>
      </c>
      <c r="W1964" s="27">
        <v>0</v>
      </c>
      <c r="X1964" s="27" t="s">
        <v>69</v>
      </c>
    </row>
    <row r="1965" spans="1:24">
      <c r="A1965" s="27">
        <v>5</v>
      </c>
      <c r="B1965" s="27">
        <v>5</v>
      </c>
      <c r="C1965" s="27">
        <v>17</v>
      </c>
      <c r="D1965" s="27">
        <v>2010</v>
      </c>
      <c r="E1965" s="27">
        <v>2016</v>
      </c>
      <c r="F1965" s="27">
        <v>1</v>
      </c>
      <c r="G1965" s="27">
        <v>0</v>
      </c>
      <c r="H1965" s="27">
        <v>0</v>
      </c>
      <c r="I1965" s="27">
        <v>0</v>
      </c>
      <c r="J1965" s="27">
        <v>0</v>
      </c>
      <c r="K1965" s="27">
        <v>1</v>
      </c>
      <c r="L1965" s="27">
        <v>7840</v>
      </c>
      <c r="M1965" s="27">
        <v>6214</v>
      </c>
      <c r="N1965" s="27">
        <v>2352</v>
      </c>
      <c r="O1965" s="27">
        <v>1864</v>
      </c>
      <c r="P1965" s="27" t="s">
        <v>13</v>
      </c>
      <c r="Q1965" s="27">
        <v>1993</v>
      </c>
      <c r="R1965" s="27">
        <v>1</v>
      </c>
      <c r="S1965" s="27">
        <v>0</v>
      </c>
      <c r="T1965" s="27">
        <v>-1.619E-2</v>
      </c>
      <c r="U1965" s="27">
        <v>-5.3969999999999997E-2</v>
      </c>
      <c r="V1965" s="27">
        <v>0</v>
      </c>
      <c r="W1965" s="27">
        <v>0</v>
      </c>
      <c r="X1965" s="27" t="s">
        <v>70</v>
      </c>
    </row>
    <row r="1966" spans="1:24">
      <c r="A1966" s="27">
        <v>5</v>
      </c>
      <c r="B1966" s="27">
        <v>5</v>
      </c>
      <c r="C1966" s="27">
        <v>17</v>
      </c>
      <c r="D1966" s="27">
        <v>2010</v>
      </c>
      <c r="E1966" s="27">
        <v>2016</v>
      </c>
      <c r="F1966" s="27">
        <v>2</v>
      </c>
      <c r="G1966" s="27">
        <v>0</v>
      </c>
      <c r="H1966" s="27">
        <v>0</v>
      </c>
      <c r="I1966" s="27">
        <v>0</v>
      </c>
      <c r="J1966" s="27">
        <v>0</v>
      </c>
      <c r="K1966" s="27">
        <v>1</v>
      </c>
      <c r="L1966" s="27">
        <v>7840</v>
      </c>
      <c r="M1966" s="27">
        <v>6214</v>
      </c>
      <c r="N1966" s="27">
        <v>2352</v>
      </c>
      <c r="O1966" s="27">
        <v>1864</v>
      </c>
      <c r="P1966" s="27" t="s">
        <v>13</v>
      </c>
      <c r="Q1966" s="27">
        <v>1993</v>
      </c>
      <c r="R1966" s="27">
        <v>1</v>
      </c>
      <c r="S1966" s="27">
        <v>0</v>
      </c>
      <c r="T1966" s="27">
        <v>-1.619E-2</v>
      </c>
      <c r="U1966" s="27">
        <v>-5.3969999999999997E-2</v>
      </c>
      <c r="V1966" s="27">
        <v>0</v>
      </c>
      <c r="W1966" s="27">
        <v>0</v>
      </c>
      <c r="X1966" s="27" t="s">
        <v>70</v>
      </c>
    </row>
    <row r="1967" spans="1:24">
      <c r="A1967" s="27">
        <v>5</v>
      </c>
      <c r="B1967" s="27">
        <v>5</v>
      </c>
      <c r="C1967" s="27">
        <v>17</v>
      </c>
      <c r="D1967" s="27">
        <v>2010</v>
      </c>
      <c r="E1967" s="27">
        <v>2016</v>
      </c>
      <c r="F1967" s="27">
        <v>3</v>
      </c>
      <c r="G1967" s="27">
        <v>0</v>
      </c>
      <c r="H1967" s="27">
        <v>0</v>
      </c>
      <c r="I1967" s="27">
        <v>0</v>
      </c>
      <c r="J1967" s="27">
        <v>0</v>
      </c>
      <c r="K1967" s="27">
        <v>1</v>
      </c>
      <c r="L1967" s="27">
        <v>7840</v>
      </c>
      <c r="M1967" s="27">
        <v>6214</v>
      </c>
      <c r="N1967" s="27">
        <v>2352</v>
      </c>
      <c r="O1967" s="27">
        <v>1864</v>
      </c>
      <c r="P1967" s="27" t="s">
        <v>13</v>
      </c>
      <c r="Q1967" s="27">
        <v>1993</v>
      </c>
      <c r="R1967" s="27">
        <v>1</v>
      </c>
      <c r="S1967" s="27">
        <v>0</v>
      </c>
      <c r="T1967" s="27">
        <v>-1.619E-2</v>
      </c>
      <c r="U1967" s="27">
        <v>-5.3969999999999997E-2</v>
      </c>
      <c r="V1967" s="27">
        <v>0</v>
      </c>
      <c r="W1967" s="27">
        <v>0</v>
      </c>
      <c r="X1967" s="27" t="s">
        <v>70</v>
      </c>
    </row>
    <row r="1968" spans="1:24">
      <c r="A1968" s="27">
        <v>5</v>
      </c>
      <c r="B1968" s="27">
        <v>5</v>
      </c>
      <c r="C1968" s="27">
        <v>17</v>
      </c>
      <c r="D1968" s="27">
        <v>2010</v>
      </c>
      <c r="E1968" s="27">
        <v>2016</v>
      </c>
      <c r="F1968" s="27">
        <v>4</v>
      </c>
      <c r="G1968" s="27">
        <v>0</v>
      </c>
      <c r="H1968" s="27">
        <v>0</v>
      </c>
      <c r="I1968" s="27">
        <v>0</v>
      </c>
      <c r="J1968" s="27">
        <v>0</v>
      </c>
      <c r="K1968" s="27">
        <v>1</v>
      </c>
      <c r="L1968" s="27">
        <v>7840</v>
      </c>
      <c r="M1968" s="27">
        <v>6214</v>
      </c>
      <c r="N1968" s="27">
        <v>2352</v>
      </c>
      <c r="O1968" s="27">
        <v>1864</v>
      </c>
      <c r="P1968" s="27" t="s">
        <v>13</v>
      </c>
      <c r="Q1968" s="27">
        <v>1993</v>
      </c>
      <c r="R1968" s="27">
        <v>1</v>
      </c>
      <c r="S1968" s="27">
        <v>0</v>
      </c>
      <c r="T1968" s="27">
        <v>-1.619E-2</v>
      </c>
      <c r="U1968" s="27">
        <v>-5.3969999999999997E-2</v>
      </c>
      <c r="V1968" s="27">
        <v>0</v>
      </c>
      <c r="W1968" s="27">
        <v>0</v>
      </c>
      <c r="X1968" s="27" t="s">
        <v>70</v>
      </c>
    </row>
    <row r="1969" spans="1:24">
      <c r="A1969" s="27">
        <v>5</v>
      </c>
      <c r="B1969" s="27">
        <v>5</v>
      </c>
      <c r="C1969" s="27">
        <v>17</v>
      </c>
      <c r="D1969" s="27">
        <v>2010</v>
      </c>
      <c r="E1969" s="27">
        <v>2016</v>
      </c>
      <c r="F1969" s="27">
        <v>5</v>
      </c>
      <c r="G1969" s="27">
        <v>0</v>
      </c>
      <c r="H1969" s="27">
        <v>0</v>
      </c>
      <c r="I1969" s="27">
        <v>0</v>
      </c>
      <c r="J1969" s="27">
        <v>0</v>
      </c>
      <c r="K1969" s="27">
        <v>1</v>
      </c>
      <c r="L1969" s="27">
        <v>7600</v>
      </c>
      <c r="M1969" s="27">
        <v>5880</v>
      </c>
      <c r="N1969" s="27">
        <v>2280</v>
      </c>
      <c r="O1969" s="27">
        <v>1764</v>
      </c>
      <c r="P1969" s="27" t="s">
        <v>13</v>
      </c>
      <c r="Q1969" s="27">
        <v>1993</v>
      </c>
      <c r="R1969" s="27">
        <v>1</v>
      </c>
      <c r="S1969" s="27">
        <v>0</v>
      </c>
      <c r="T1969" s="27">
        <v>-1.619E-2</v>
      </c>
      <c r="U1969" s="27">
        <v>-5.3969999999999997E-2</v>
      </c>
      <c r="V1969" s="27">
        <v>0</v>
      </c>
      <c r="W1969" s="27">
        <v>0</v>
      </c>
      <c r="X1969" s="27" t="s">
        <v>70</v>
      </c>
    </row>
    <row r="1970" spans="1:24">
      <c r="A1970" s="27">
        <v>5</v>
      </c>
      <c r="B1970" s="27">
        <v>5</v>
      </c>
      <c r="C1970" s="27">
        <v>17</v>
      </c>
      <c r="D1970" s="27">
        <v>2010</v>
      </c>
      <c r="E1970" s="27">
        <v>2016</v>
      </c>
      <c r="F1970" s="27">
        <v>6</v>
      </c>
      <c r="G1970" s="27">
        <v>0</v>
      </c>
      <c r="H1970" s="27">
        <v>0</v>
      </c>
      <c r="I1970" s="27">
        <v>0</v>
      </c>
      <c r="J1970" s="27">
        <v>0</v>
      </c>
      <c r="K1970" s="27">
        <v>1</v>
      </c>
      <c r="L1970" s="27">
        <v>7600</v>
      </c>
      <c r="M1970" s="27">
        <v>5880</v>
      </c>
      <c r="N1970" s="27">
        <v>2280</v>
      </c>
      <c r="O1970" s="27">
        <v>1764</v>
      </c>
      <c r="P1970" s="27" t="s">
        <v>13</v>
      </c>
      <c r="Q1970" s="27">
        <v>1993</v>
      </c>
      <c r="R1970" s="27">
        <v>1</v>
      </c>
      <c r="S1970" s="27">
        <v>0</v>
      </c>
      <c r="T1970" s="27">
        <v>-1.619E-2</v>
      </c>
      <c r="U1970" s="27">
        <v>-5.3969999999999997E-2</v>
      </c>
      <c r="V1970" s="27">
        <v>0</v>
      </c>
      <c r="W1970" s="27">
        <v>0</v>
      </c>
      <c r="X1970" s="27" t="s">
        <v>70</v>
      </c>
    </row>
    <row r="1971" spans="1:24">
      <c r="A1971" s="27">
        <v>5</v>
      </c>
      <c r="B1971" s="27">
        <v>5</v>
      </c>
      <c r="C1971" s="27">
        <v>17</v>
      </c>
      <c r="D1971" s="27">
        <v>2010</v>
      </c>
      <c r="E1971" s="27">
        <v>2016</v>
      </c>
      <c r="F1971" s="27">
        <v>7</v>
      </c>
      <c r="G1971" s="27">
        <v>0</v>
      </c>
      <c r="H1971" s="27">
        <v>0</v>
      </c>
      <c r="I1971" s="27">
        <v>0</v>
      </c>
      <c r="J1971" s="27">
        <v>0</v>
      </c>
      <c r="K1971" s="27">
        <v>1</v>
      </c>
      <c r="L1971" s="27">
        <v>7600</v>
      </c>
      <c r="M1971" s="27">
        <v>5880</v>
      </c>
      <c r="N1971" s="27">
        <v>2280</v>
      </c>
      <c r="O1971" s="27">
        <v>1764</v>
      </c>
      <c r="P1971" s="27" t="s">
        <v>13</v>
      </c>
      <c r="Q1971" s="27">
        <v>1993</v>
      </c>
      <c r="R1971" s="27">
        <v>1</v>
      </c>
      <c r="S1971" s="27">
        <v>0</v>
      </c>
      <c r="T1971" s="27">
        <v>-1.619E-2</v>
      </c>
      <c r="U1971" s="27">
        <v>-5.3969999999999997E-2</v>
      </c>
      <c r="V1971" s="27">
        <v>0</v>
      </c>
      <c r="W1971" s="27">
        <v>0</v>
      </c>
      <c r="X1971" s="27" t="s">
        <v>70</v>
      </c>
    </row>
    <row r="1972" spans="1:24">
      <c r="A1972" s="27">
        <v>5</v>
      </c>
      <c r="B1972" s="27">
        <v>5</v>
      </c>
      <c r="C1972" s="27">
        <v>17</v>
      </c>
      <c r="D1972" s="27">
        <v>2010</v>
      </c>
      <c r="E1972" s="27">
        <v>2016</v>
      </c>
      <c r="F1972" s="27">
        <v>8</v>
      </c>
      <c r="G1972" s="27">
        <v>0</v>
      </c>
      <c r="H1972" s="27">
        <v>0</v>
      </c>
      <c r="I1972" s="27">
        <v>0</v>
      </c>
      <c r="J1972" s="27">
        <v>0</v>
      </c>
      <c r="K1972" s="27">
        <v>1</v>
      </c>
      <c r="L1972" s="27">
        <v>7840</v>
      </c>
      <c r="M1972" s="27">
        <v>6214</v>
      </c>
      <c r="N1972" s="27">
        <v>2352</v>
      </c>
      <c r="O1972" s="27">
        <v>1864</v>
      </c>
      <c r="P1972" s="27" t="s">
        <v>13</v>
      </c>
      <c r="Q1972" s="27">
        <v>1993</v>
      </c>
      <c r="R1972" s="27">
        <v>1</v>
      </c>
      <c r="S1972" s="27">
        <v>0</v>
      </c>
      <c r="T1972" s="27">
        <v>-1.619E-2</v>
      </c>
      <c r="U1972" s="27">
        <v>-5.3969999999999997E-2</v>
      </c>
      <c r="V1972" s="27">
        <v>0</v>
      </c>
      <c r="W1972" s="27">
        <v>0</v>
      </c>
      <c r="X1972" s="27" t="s">
        <v>70</v>
      </c>
    </row>
    <row r="1973" spans="1:24">
      <c r="A1973" s="27">
        <v>5</v>
      </c>
      <c r="B1973" s="27">
        <v>5</v>
      </c>
      <c r="C1973" s="27">
        <v>17</v>
      </c>
      <c r="D1973" s="27">
        <v>2010</v>
      </c>
      <c r="E1973" s="27">
        <v>2016</v>
      </c>
      <c r="F1973" s="27">
        <v>9</v>
      </c>
      <c r="G1973" s="27">
        <v>0</v>
      </c>
      <c r="H1973" s="27">
        <v>0</v>
      </c>
      <c r="I1973" s="27">
        <v>0</v>
      </c>
      <c r="J1973" s="27">
        <v>0</v>
      </c>
      <c r="K1973" s="27">
        <v>1</v>
      </c>
      <c r="L1973" s="27">
        <v>7600</v>
      </c>
      <c r="M1973" s="27">
        <v>5880</v>
      </c>
      <c r="N1973" s="27">
        <v>2280</v>
      </c>
      <c r="O1973" s="27">
        <v>1764</v>
      </c>
      <c r="P1973" s="27" t="s">
        <v>13</v>
      </c>
      <c r="Q1973" s="27">
        <v>1993</v>
      </c>
      <c r="R1973" s="27">
        <v>1</v>
      </c>
      <c r="S1973" s="27">
        <v>0</v>
      </c>
      <c r="T1973" s="27">
        <v>-1.619E-2</v>
      </c>
      <c r="U1973" s="27">
        <v>-5.3969999999999997E-2</v>
      </c>
      <c r="V1973" s="27">
        <v>0</v>
      </c>
      <c r="W1973" s="27">
        <v>0</v>
      </c>
      <c r="X1973" s="27" t="s">
        <v>70</v>
      </c>
    </row>
    <row r="1974" spans="1:24">
      <c r="A1974" s="27">
        <v>5</v>
      </c>
      <c r="B1974" s="27">
        <v>5</v>
      </c>
      <c r="C1974" s="27">
        <v>17</v>
      </c>
      <c r="D1974" s="27">
        <v>2017</v>
      </c>
      <c r="E1974" s="27">
        <v>2019</v>
      </c>
      <c r="F1974" s="27">
        <v>1</v>
      </c>
      <c r="G1974" s="27">
        <v>0</v>
      </c>
      <c r="H1974" s="27">
        <v>0</v>
      </c>
      <c r="I1974" s="27">
        <v>0</v>
      </c>
      <c r="J1974" s="27">
        <v>0</v>
      </c>
      <c r="K1974" s="27">
        <v>1</v>
      </c>
      <c r="L1974" s="27">
        <v>7840</v>
      </c>
      <c r="M1974" s="27">
        <v>6214</v>
      </c>
      <c r="N1974" s="27">
        <v>0</v>
      </c>
      <c r="O1974" s="27">
        <v>0</v>
      </c>
      <c r="P1974" s="27" t="s">
        <v>13</v>
      </c>
      <c r="Q1974" s="27">
        <v>1993</v>
      </c>
      <c r="R1974" s="27">
        <v>1</v>
      </c>
      <c r="S1974" s="27">
        <v>0</v>
      </c>
      <c r="T1974" s="27">
        <v>-1.619E-2</v>
      </c>
      <c r="U1974" s="27">
        <v>-5.3969999999999997E-2</v>
      </c>
      <c r="V1974" s="27">
        <v>0</v>
      </c>
      <c r="W1974" s="27">
        <v>0</v>
      </c>
      <c r="X1974" s="27" t="s">
        <v>70</v>
      </c>
    </row>
    <row r="1975" spans="1:24">
      <c r="A1975" s="27">
        <v>5</v>
      </c>
      <c r="B1975" s="27">
        <v>5</v>
      </c>
      <c r="C1975" s="27">
        <v>17</v>
      </c>
      <c r="D1975" s="27">
        <v>2017</v>
      </c>
      <c r="E1975" s="27">
        <v>2019</v>
      </c>
      <c r="F1975" s="27">
        <v>2</v>
      </c>
      <c r="G1975" s="27">
        <v>0</v>
      </c>
      <c r="H1975" s="27">
        <v>0</v>
      </c>
      <c r="I1975" s="27">
        <v>0</v>
      </c>
      <c r="J1975" s="27">
        <v>0</v>
      </c>
      <c r="K1975" s="27">
        <v>1</v>
      </c>
      <c r="L1975" s="27">
        <v>7840</v>
      </c>
      <c r="M1975" s="27">
        <v>6214</v>
      </c>
      <c r="N1975" s="27">
        <v>0</v>
      </c>
      <c r="O1975" s="27">
        <v>0</v>
      </c>
      <c r="P1975" s="27" t="s">
        <v>13</v>
      </c>
      <c r="Q1975" s="27">
        <v>1993</v>
      </c>
      <c r="R1975" s="27">
        <v>1</v>
      </c>
      <c r="S1975" s="27">
        <v>0</v>
      </c>
      <c r="T1975" s="27">
        <v>-1.619E-2</v>
      </c>
      <c r="U1975" s="27">
        <v>-5.3969999999999997E-2</v>
      </c>
      <c r="V1975" s="27">
        <v>0</v>
      </c>
      <c r="W1975" s="27">
        <v>0</v>
      </c>
      <c r="X1975" s="27" t="s">
        <v>70</v>
      </c>
    </row>
    <row r="1976" spans="1:24">
      <c r="A1976" s="27">
        <v>5</v>
      </c>
      <c r="B1976" s="27">
        <v>5</v>
      </c>
      <c r="C1976" s="27">
        <v>17</v>
      </c>
      <c r="D1976" s="27">
        <v>2017</v>
      </c>
      <c r="E1976" s="27">
        <v>2019</v>
      </c>
      <c r="F1976" s="27">
        <v>3</v>
      </c>
      <c r="G1976" s="27">
        <v>0</v>
      </c>
      <c r="H1976" s="27">
        <v>0</v>
      </c>
      <c r="I1976" s="27">
        <v>0</v>
      </c>
      <c r="J1976" s="27">
        <v>0</v>
      </c>
      <c r="K1976" s="27">
        <v>1</v>
      </c>
      <c r="L1976" s="27">
        <v>7840</v>
      </c>
      <c r="M1976" s="27">
        <v>6214</v>
      </c>
      <c r="N1976" s="27">
        <v>0</v>
      </c>
      <c r="O1976" s="27">
        <v>0</v>
      </c>
      <c r="P1976" s="27" t="s">
        <v>13</v>
      </c>
      <c r="Q1976" s="27">
        <v>1993</v>
      </c>
      <c r="R1976" s="27">
        <v>1</v>
      </c>
      <c r="S1976" s="27">
        <v>0</v>
      </c>
      <c r="T1976" s="27">
        <v>-1.619E-2</v>
      </c>
      <c r="U1976" s="27">
        <v>-5.3969999999999997E-2</v>
      </c>
      <c r="V1976" s="27">
        <v>0</v>
      </c>
      <c r="W1976" s="27">
        <v>0</v>
      </c>
      <c r="X1976" s="27" t="s">
        <v>70</v>
      </c>
    </row>
    <row r="1977" spans="1:24">
      <c r="A1977" s="27">
        <v>5</v>
      </c>
      <c r="B1977" s="27">
        <v>5</v>
      </c>
      <c r="C1977" s="27">
        <v>17</v>
      </c>
      <c r="D1977" s="27">
        <v>2017</v>
      </c>
      <c r="E1977" s="27">
        <v>2019</v>
      </c>
      <c r="F1977" s="27">
        <v>4</v>
      </c>
      <c r="G1977" s="27">
        <v>0</v>
      </c>
      <c r="H1977" s="27">
        <v>0</v>
      </c>
      <c r="I1977" s="27">
        <v>0</v>
      </c>
      <c r="J1977" s="27">
        <v>0</v>
      </c>
      <c r="K1977" s="27">
        <v>1</v>
      </c>
      <c r="L1977" s="27">
        <v>7840</v>
      </c>
      <c r="M1977" s="27">
        <v>6214</v>
      </c>
      <c r="N1977" s="27">
        <v>0</v>
      </c>
      <c r="O1977" s="27">
        <v>0</v>
      </c>
      <c r="P1977" s="27" t="s">
        <v>13</v>
      </c>
      <c r="Q1977" s="27">
        <v>1993</v>
      </c>
      <c r="R1977" s="27">
        <v>1</v>
      </c>
      <c r="S1977" s="27">
        <v>0</v>
      </c>
      <c r="T1977" s="27">
        <v>-1.619E-2</v>
      </c>
      <c r="U1977" s="27">
        <v>-5.3969999999999997E-2</v>
      </c>
      <c r="V1977" s="27">
        <v>0</v>
      </c>
      <c r="W1977" s="27">
        <v>0</v>
      </c>
      <c r="X1977" s="27" t="s">
        <v>70</v>
      </c>
    </row>
    <row r="1978" spans="1:24">
      <c r="A1978" s="27">
        <v>5</v>
      </c>
      <c r="B1978" s="27">
        <v>5</v>
      </c>
      <c r="C1978" s="27">
        <v>17</v>
      </c>
      <c r="D1978" s="27">
        <v>2017</v>
      </c>
      <c r="E1978" s="27">
        <v>2019</v>
      </c>
      <c r="F1978" s="27">
        <v>5</v>
      </c>
      <c r="G1978" s="27">
        <v>0</v>
      </c>
      <c r="H1978" s="27">
        <v>0</v>
      </c>
      <c r="I1978" s="27">
        <v>0</v>
      </c>
      <c r="J1978" s="27">
        <v>0</v>
      </c>
      <c r="K1978" s="27">
        <v>1</v>
      </c>
      <c r="L1978" s="27">
        <v>7600</v>
      </c>
      <c r="M1978" s="27">
        <v>5880</v>
      </c>
      <c r="N1978" s="27">
        <v>0</v>
      </c>
      <c r="O1978" s="27">
        <v>0</v>
      </c>
      <c r="P1978" s="27" t="s">
        <v>13</v>
      </c>
      <c r="Q1978" s="27">
        <v>1993</v>
      </c>
      <c r="R1978" s="27">
        <v>1</v>
      </c>
      <c r="S1978" s="27">
        <v>0</v>
      </c>
      <c r="T1978" s="27">
        <v>-1.619E-2</v>
      </c>
      <c r="U1978" s="27">
        <v>-5.3969999999999997E-2</v>
      </c>
      <c r="V1978" s="27">
        <v>0</v>
      </c>
      <c r="W1978" s="27">
        <v>0</v>
      </c>
      <c r="X1978" s="27" t="s">
        <v>70</v>
      </c>
    </row>
    <row r="1979" spans="1:24">
      <c r="A1979" s="27">
        <v>5</v>
      </c>
      <c r="B1979" s="27">
        <v>5</v>
      </c>
      <c r="C1979" s="27">
        <v>17</v>
      </c>
      <c r="D1979" s="27">
        <v>2017</v>
      </c>
      <c r="E1979" s="27">
        <v>2019</v>
      </c>
      <c r="F1979" s="27">
        <v>6</v>
      </c>
      <c r="G1979" s="27">
        <v>0</v>
      </c>
      <c r="H1979" s="27">
        <v>0</v>
      </c>
      <c r="I1979" s="27">
        <v>0</v>
      </c>
      <c r="J1979" s="27">
        <v>0</v>
      </c>
      <c r="K1979" s="27">
        <v>1</v>
      </c>
      <c r="L1979" s="27">
        <v>7600</v>
      </c>
      <c r="M1979" s="27">
        <v>5880</v>
      </c>
      <c r="N1979" s="27">
        <v>0</v>
      </c>
      <c r="O1979" s="27">
        <v>0</v>
      </c>
      <c r="P1979" s="27" t="s">
        <v>13</v>
      </c>
      <c r="Q1979" s="27">
        <v>1993</v>
      </c>
      <c r="R1979" s="27">
        <v>1</v>
      </c>
      <c r="S1979" s="27">
        <v>0</v>
      </c>
      <c r="T1979" s="27">
        <v>-1.619E-2</v>
      </c>
      <c r="U1979" s="27">
        <v>-5.3969999999999997E-2</v>
      </c>
      <c r="V1979" s="27">
        <v>0</v>
      </c>
      <c r="W1979" s="27">
        <v>0</v>
      </c>
      <c r="X1979" s="27" t="s">
        <v>70</v>
      </c>
    </row>
    <row r="1980" spans="1:24">
      <c r="A1980" s="27">
        <v>5</v>
      </c>
      <c r="B1980" s="27">
        <v>5</v>
      </c>
      <c r="C1980" s="27">
        <v>17</v>
      </c>
      <c r="D1980" s="27">
        <v>2017</v>
      </c>
      <c r="E1980" s="27">
        <v>2019</v>
      </c>
      <c r="F1980" s="27">
        <v>7</v>
      </c>
      <c r="G1980" s="27">
        <v>0</v>
      </c>
      <c r="H1980" s="27">
        <v>0</v>
      </c>
      <c r="I1980" s="27">
        <v>0</v>
      </c>
      <c r="J1980" s="27">
        <v>0</v>
      </c>
      <c r="K1980" s="27">
        <v>1</v>
      </c>
      <c r="L1980" s="27">
        <v>7600</v>
      </c>
      <c r="M1980" s="27">
        <v>5880</v>
      </c>
      <c r="N1980" s="27">
        <v>0</v>
      </c>
      <c r="O1980" s="27">
        <v>0</v>
      </c>
      <c r="P1980" s="27" t="s">
        <v>13</v>
      </c>
      <c r="Q1980" s="27">
        <v>1993</v>
      </c>
      <c r="R1980" s="27">
        <v>1</v>
      </c>
      <c r="S1980" s="27">
        <v>0</v>
      </c>
      <c r="T1980" s="27">
        <v>-1.619E-2</v>
      </c>
      <c r="U1980" s="27">
        <v>-5.3969999999999997E-2</v>
      </c>
      <c r="V1980" s="27">
        <v>0</v>
      </c>
      <c r="W1980" s="27">
        <v>0</v>
      </c>
      <c r="X1980" s="27" t="s">
        <v>70</v>
      </c>
    </row>
    <row r="1981" spans="1:24">
      <c r="A1981" s="27">
        <v>5</v>
      </c>
      <c r="B1981" s="27">
        <v>5</v>
      </c>
      <c r="C1981" s="27">
        <v>17</v>
      </c>
      <c r="D1981" s="27">
        <v>2017</v>
      </c>
      <c r="E1981" s="27">
        <v>2019</v>
      </c>
      <c r="F1981" s="27">
        <v>8</v>
      </c>
      <c r="G1981" s="27">
        <v>0</v>
      </c>
      <c r="H1981" s="27">
        <v>0</v>
      </c>
      <c r="I1981" s="27">
        <v>0</v>
      </c>
      <c r="J1981" s="27">
        <v>0</v>
      </c>
      <c r="K1981" s="27">
        <v>1</v>
      </c>
      <c r="L1981" s="27">
        <v>7840</v>
      </c>
      <c r="M1981" s="27">
        <v>6214</v>
      </c>
      <c r="N1981" s="27">
        <v>0</v>
      </c>
      <c r="O1981" s="27">
        <v>0</v>
      </c>
      <c r="P1981" s="27" t="s">
        <v>13</v>
      </c>
      <c r="Q1981" s="27">
        <v>1993</v>
      </c>
      <c r="R1981" s="27">
        <v>1</v>
      </c>
      <c r="S1981" s="27">
        <v>0</v>
      </c>
      <c r="T1981" s="27">
        <v>-1.619E-2</v>
      </c>
      <c r="U1981" s="27">
        <v>-5.3969999999999997E-2</v>
      </c>
      <c r="V1981" s="27">
        <v>0</v>
      </c>
      <c r="W1981" s="27">
        <v>0</v>
      </c>
      <c r="X1981" s="27" t="s">
        <v>70</v>
      </c>
    </row>
    <row r="1982" spans="1:24">
      <c r="A1982" s="27">
        <v>5</v>
      </c>
      <c r="B1982" s="27">
        <v>5</v>
      </c>
      <c r="C1982" s="27">
        <v>17</v>
      </c>
      <c r="D1982" s="27">
        <v>2017</v>
      </c>
      <c r="E1982" s="27">
        <v>2019</v>
      </c>
      <c r="F1982" s="27">
        <v>9</v>
      </c>
      <c r="G1982" s="27">
        <v>0</v>
      </c>
      <c r="H1982" s="27">
        <v>0</v>
      </c>
      <c r="I1982" s="27">
        <v>0</v>
      </c>
      <c r="J1982" s="27">
        <v>0</v>
      </c>
      <c r="K1982" s="27">
        <v>1</v>
      </c>
      <c r="L1982" s="27">
        <v>7600</v>
      </c>
      <c r="M1982" s="27">
        <v>5880</v>
      </c>
      <c r="N1982" s="27">
        <v>0</v>
      </c>
      <c r="O1982" s="27">
        <v>0</v>
      </c>
      <c r="P1982" s="27" t="s">
        <v>13</v>
      </c>
      <c r="Q1982" s="27">
        <v>1993</v>
      </c>
      <c r="R1982" s="27">
        <v>1</v>
      </c>
      <c r="S1982" s="27">
        <v>0</v>
      </c>
      <c r="T1982" s="27">
        <v>-1.619E-2</v>
      </c>
      <c r="U1982" s="27">
        <v>-5.3969999999999997E-2</v>
      </c>
      <c r="V1982" s="27">
        <v>0</v>
      </c>
      <c r="W1982" s="27">
        <v>0</v>
      </c>
      <c r="X1982" s="27" t="s">
        <v>70</v>
      </c>
    </row>
    <row r="1983" spans="1:24">
      <c r="A1983" s="27">
        <v>5</v>
      </c>
      <c r="B1983" s="27">
        <v>5</v>
      </c>
      <c r="C1983" s="27">
        <v>17</v>
      </c>
      <c r="D1983" s="27">
        <v>2020</v>
      </c>
      <c r="E1983" s="27">
        <v>2029</v>
      </c>
      <c r="F1983" s="27">
        <v>1</v>
      </c>
      <c r="G1983" s="27">
        <v>0</v>
      </c>
      <c r="H1983" s="27">
        <v>0</v>
      </c>
      <c r="I1983" s="27">
        <v>0</v>
      </c>
      <c r="J1983" s="27">
        <v>0</v>
      </c>
      <c r="K1983" s="27">
        <v>1</v>
      </c>
      <c r="L1983" s="27">
        <v>7520</v>
      </c>
      <c r="M1983" s="27">
        <v>5882</v>
      </c>
      <c r="N1983" s="27">
        <v>0</v>
      </c>
      <c r="O1983" s="27">
        <v>0</v>
      </c>
      <c r="P1983" s="27" t="s">
        <v>13</v>
      </c>
      <c r="Q1983" s="27">
        <v>1993</v>
      </c>
      <c r="R1983" s="27">
        <v>1</v>
      </c>
      <c r="S1983" s="27">
        <v>0</v>
      </c>
      <c r="T1983" s="27">
        <v>-1.619E-2</v>
      </c>
      <c r="U1983" s="27">
        <v>-5.3969999999999997E-2</v>
      </c>
      <c r="V1983" s="27">
        <v>0</v>
      </c>
      <c r="W1983" s="27">
        <v>0</v>
      </c>
      <c r="X1983" s="27" t="s">
        <v>70</v>
      </c>
    </row>
    <row r="1984" spans="1:24">
      <c r="A1984" s="27">
        <v>5</v>
      </c>
      <c r="B1984" s="27">
        <v>5</v>
      </c>
      <c r="C1984" s="27">
        <v>17</v>
      </c>
      <c r="D1984" s="27">
        <v>2020</v>
      </c>
      <c r="E1984" s="27">
        <v>2029</v>
      </c>
      <c r="F1984" s="27">
        <v>2</v>
      </c>
      <c r="G1984" s="27">
        <v>0</v>
      </c>
      <c r="H1984" s="27">
        <v>0</v>
      </c>
      <c r="I1984" s="27">
        <v>0</v>
      </c>
      <c r="J1984" s="27">
        <v>0</v>
      </c>
      <c r="K1984" s="27">
        <v>1</v>
      </c>
      <c r="L1984" s="27">
        <v>7520</v>
      </c>
      <c r="M1984" s="27">
        <v>5882</v>
      </c>
      <c r="N1984" s="27">
        <v>0</v>
      </c>
      <c r="O1984" s="27">
        <v>0</v>
      </c>
      <c r="P1984" s="27" t="s">
        <v>13</v>
      </c>
      <c r="Q1984" s="27">
        <v>1993</v>
      </c>
      <c r="R1984" s="27">
        <v>1</v>
      </c>
      <c r="S1984" s="27">
        <v>0</v>
      </c>
      <c r="T1984" s="27">
        <v>-1.619E-2</v>
      </c>
      <c r="U1984" s="27">
        <v>-5.3969999999999997E-2</v>
      </c>
      <c r="V1984" s="27">
        <v>0</v>
      </c>
      <c r="W1984" s="27">
        <v>0</v>
      </c>
      <c r="X1984" s="27" t="s">
        <v>70</v>
      </c>
    </row>
    <row r="1985" spans="1:24">
      <c r="A1985" s="27">
        <v>5</v>
      </c>
      <c r="B1985" s="27">
        <v>5</v>
      </c>
      <c r="C1985" s="27">
        <v>17</v>
      </c>
      <c r="D1985" s="27">
        <v>2020</v>
      </c>
      <c r="E1985" s="27">
        <v>2029</v>
      </c>
      <c r="F1985" s="27">
        <v>3</v>
      </c>
      <c r="G1985" s="27">
        <v>0</v>
      </c>
      <c r="H1985" s="27">
        <v>0</v>
      </c>
      <c r="I1985" s="27">
        <v>0</v>
      </c>
      <c r="J1985" s="27">
        <v>0</v>
      </c>
      <c r="K1985" s="27">
        <v>1</v>
      </c>
      <c r="L1985" s="27">
        <v>7520</v>
      </c>
      <c r="M1985" s="27">
        <v>5882</v>
      </c>
      <c r="N1985" s="27">
        <v>0</v>
      </c>
      <c r="O1985" s="27">
        <v>0</v>
      </c>
      <c r="P1985" s="27" t="s">
        <v>13</v>
      </c>
      <c r="Q1985" s="27">
        <v>1993</v>
      </c>
      <c r="R1985" s="27">
        <v>1</v>
      </c>
      <c r="S1985" s="27">
        <v>0</v>
      </c>
      <c r="T1985" s="27">
        <v>-1.619E-2</v>
      </c>
      <c r="U1985" s="27">
        <v>-5.3969999999999997E-2</v>
      </c>
      <c r="V1985" s="27">
        <v>0</v>
      </c>
      <c r="W1985" s="27">
        <v>0</v>
      </c>
      <c r="X1985" s="27" t="s">
        <v>70</v>
      </c>
    </row>
    <row r="1986" spans="1:24">
      <c r="A1986" s="27">
        <v>5</v>
      </c>
      <c r="B1986" s="27">
        <v>5</v>
      </c>
      <c r="C1986" s="27">
        <v>17</v>
      </c>
      <c r="D1986" s="27">
        <v>2020</v>
      </c>
      <c r="E1986" s="27">
        <v>2029</v>
      </c>
      <c r="F1986" s="27">
        <v>4</v>
      </c>
      <c r="G1986" s="27">
        <v>0</v>
      </c>
      <c r="H1986" s="27">
        <v>0</v>
      </c>
      <c r="I1986" s="27">
        <v>0</v>
      </c>
      <c r="J1986" s="27">
        <v>0</v>
      </c>
      <c r="K1986" s="27">
        <v>1</v>
      </c>
      <c r="L1986" s="27">
        <v>7520</v>
      </c>
      <c r="M1986" s="27">
        <v>5882</v>
      </c>
      <c r="N1986" s="27">
        <v>0</v>
      </c>
      <c r="O1986" s="27">
        <v>0</v>
      </c>
      <c r="P1986" s="27" t="s">
        <v>13</v>
      </c>
      <c r="Q1986" s="27">
        <v>1993</v>
      </c>
      <c r="R1986" s="27">
        <v>1</v>
      </c>
      <c r="S1986" s="27">
        <v>0</v>
      </c>
      <c r="T1986" s="27">
        <v>-1.619E-2</v>
      </c>
      <c r="U1986" s="27">
        <v>-5.3969999999999997E-2</v>
      </c>
      <c r="V1986" s="27">
        <v>0</v>
      </c>
      <c r="W1986" s="27">
        <v>0</v>
      </c>
      <c r="X1986" s="27" t="s">
        <v>70</v>
      </c>
    </row>
    <row r="1987" spans="1:24">
      <c r="A1987" s="27">
        <v>5</v>
      </c>
      <c r="B1987" s="27">
        <v>5</v>
      </c>
      <c r="C1987" s="27">
        <v>17</v>
      </c>
      <c r="D1987" s="27">
        <v>2020</v>
      </c>
      <c r="E1987" s="27">
        <v>2029</v>
      </c>
      <c r="F1987" s="27">
        <v>5</v>
      </c>
      <c r="G1987" s="27">
        <v>0</v>
      </c>
      <c r="H1987" s="27">
        <v>0</v>
      </c>
      <c r="I1987" s="27">
        <v>0</v>
      </c>
      <c r="J1987" s="27">
        <v>0</v>
      </c>
      <c r="K1987" s="27">
        <v>1</v>
      </c>
      <c r="L1987" s="27">
        <v>7300</v>
      </c>
      <c r="M1987" s="27">
        <v>5580</v>
      </c>
      <c r="N1987" s="27">
        <v>0</v>
      </c>
      <c r="O1987" s="27">
        <v>0</v>
      </c>
      <c r="P1987" s="27" t="s">
        <v>13</v>
      </c>
      <c r="Q1987" s="27">
        <v>1993</v>
      </c>
      <c r="R1987" s="27">
        <v>1</v>
      </c>
      <c r="S1987" s="27">
        <v>0</v>
      </c>
      <c r="T1987" s="27">
        <v>-1.619E-2</v>
      </c>
      <c r="U1987" s="27">
        <v>-5.3969999999999997E-2</v>
      </c>
      <c r="V1987" s="27">
        <v>0</v>
      </c>
      <c r="W1987" s="27">
        <v>0</v>
      </c>
      <c r="X1987" s="27" t="s">
        <v>70</v>
      </c>
    </row>
    <row r="1988" spans="1:24">
      <c r="A1988" s="27">
        <v>5</v>
      </c>
      <c r="B1988" s="27">
        <v>5</v>
      </c>
      <c r="C1988" s="27">
        <v>17</v>
      </c>
      <c r="D1988" s="27">
        <v>2020</v>
      </c>
      <c r="E1988" s="27">
        <v>2029</v>
      </c>
      <c r="F1988" s="27">
        <v>6</v>
      </c>
      <c r="G1988" s="27">
        <v>0</v>
      </c>
      <c r="H1988" s="27">
        <v>0</v>
      </c>
      <c r="I1988" s="27">
        <v>0</v>
      </c>
      <c r="J1988" s="27">
        <v>0</v>
      </c>
      <c r="K1988" s="27">
        <v>1</v>
      </c>
      <c r="L1988" s="27">
        <v>7300</v>
      </c>
      <c r="M1988" s="27">
        <v>5580</v>
      </c>
      <c r="N1988" s="27">
        <v>0</v>
      </c>
      <c r="O1988" s="27">
        <v>0</v>
      </c>
      <c r="P1988" s="27" t="s">
        <v>13</v>
      </c>
      <c r="Q1988" s="27">
        <v>1993</v>
      </c>
      <c r="R1988" s="27">
        <v>1</v>
      </c>
      <c r="S1988" s="27">
        <v>0</v>
      </c>
      <c r="T1988" s="27">
        <v>-1.619E-2</v>
      </c>
      <c r="U1988" s="27">
        <v>-5.3969999999999997E-2</v>
      </c>
      <c r="V1988" s="27">
        <v>0</v>
      </c>
      <c r="W1988" s="27">
        <v>0</v>
      </c>
      <c r="X1988" s="27" t="s">
        <v>70</v>
      </c>
    </row>
    <row r="1989" spans="1:24">
      <c r="A1989" s="27">
        <v>5</v>
      </c>
      <c r="B1989" s="27">
        <v>5</v>
      </c>
      <c r="C1989" s="27">
        <v>17</v>
      </c>
      <c r="D1989" s="27">
        <v>2020</v>
      </c>
      <c r="E1989" s="27">
        <v>2029</v>
      </c>
      <c r="F1989" s="27">
        <v>7</v>
      </c>
      <c r="G1989" s="27">
        <v>0</v>
      </c>
      <c r="H1989" s="27">
        <v>0</v>
      </c>
      <c r="I1989" s="27">
        <v>0</v>
      </c>
      <c r="J1989" s="27">
        <v>0</v>
      </c>
      <c r="K1989" s="27">
        <v>1</v>
      </c>
      <c r="L1989" s="27">
        <v>7300</v>
      </c>
      <c r="M1989" s="27">
        <v>5580</v>
      </c>
      <c r="N1989" s="27">
        <v>0</v>
      </c>
      <c r="O1989" s="27">
        <v>0</v>
      </c>
      <c r="P1989" s="27" t="s">
        <v>13</v>
      </c>
      <c r="Q1989" s="27">
        <v>1993</v>
      </c>
      <c r="R1989" s="27">
        <v>1</v>
      </c>
      <c r="S1989" s="27">
        <v>0</v>
      </c>
      <c r="T1989" s="27">
        <v>-1.619E-2</v>
      </c>
      <c r="U1989" s="27">
        <v>-5.3969999999999997E-2</v>
      </c>
      <c r="V1989" s="27">
        <v>0</v>
      </c>
      <c r="W1989" s="27">
        <v>0</v>
      </c>
      <c r="X1989" s="27" t="s">
        <v>70</v>
      </c>
    </row>
    <row r="1990" spans="1:24">
      <c r="A1990" s="27">
        <v>5</v>
      </c>
      <c r="B1990" s="27">
        <v>5</v>
      </c>
      <c r="C1990" s="27">
        <v>17</v>
      </c>
      <c r="D1990" s="27">
        <v>2020</v>
      </c>
      <c r="E1990" s="27">
        <v>2029</v>
      </c>
      <c r="F1990" s="27">
        <v>8</v>
      </c>
      <c r="G1990" s="27">
        <v>0</v>
      </c>
      <c r="H1990" s="27">
        <v>0</v>
      </c>
      <c r="I1990" s="27">
        <v>0</v>
      </c>
      <c r="J1990" s="27">
        <v>0</v>
      </c>
      <c r="K1990" s="27">
        <v>1</v>
      </c>
      <c r="L1990" s="27">
        <v>7520</v>
      </c>
      <c r="M1990" s="27">
        <v>5882</v>
      </c>
      <c r="N1990" s="27">
        <v>0</v>
      </c>
      <c r="O1990" s="27">
        <v>0</v>
      </c>
      <c r="P1990" s="27" t="s">
        <v>13</v>
      </c>
      <c r="Q1990" s="27">
        <v>1993</v>
      </c>
      <c r="R1990" s="27">
        <v>1</v>
      </c>
      <c r="S1990" s="27">
        <v>0</v>
      </c>
      <c r="T1990" s="27">
        <v>-1.619E-2</v>
      </c>
      <c r="U1990" s="27">
        <v>-5.3969999999999997E-2</v>
      </c>
      <c r="V1990" s="27">
        <v>0</v>
      </c>
      <c r="W1990" s="27">
        <v>0</v>
      </c>
      <c r="X1990" s="27" t="s">
        <v>70</v>
      </c>
    </row>
    <row r="1991" spans="1:24">
      <c r="A1991" s="27">
        <v>5</v>
      </c>
      <c r="B1991" s="27">
        <v>5</v>
      </c>
      <c r="C1991" s="27">
        <v>17</v>
      </c>
      <c r="D1991" s="27">
        <v>2020</v>
      </c>
      <c r="E1991" s="27">
        <v>2029</v>
      </c>
      <c r="F1991" s="27">
        <v>9</v>
      </c>
      <c r="G1991" s="27">
        <v>0</v>
      </c>
      <c r="H1991" s="27">
        <v>0</v>
      </c>
      <c r="I1991" s="27">
        <v>0</v>
      </c>
      <c r="J1991" s="27">
        <v>0</v>
      </c>
      <c r="K1991" s="27">
        <v>1</v>
      </c>
      <c r="L1991" s="27">
        <v>7300</v>
      </c>
      <c r="M1991" s="27">
        <v>5580</v>
      </c>
      <c r="N1991" s="27">
        <v>0</v>
      </c>
      <c r="O1991" s="27">
        <v>0</v>
      </c>
      <c r="P1991" s="27" t="s">
        <v>13</v>
      </c>
      <c r="Q1991" s="27">
        <v>1993</v>
      </c>
      <c r="R1991" s="27">
        <v>1</v>
      </c>
      <c r="S1991" s="27">
        <v>0</v>
      </c>
      <c r="T1991" s="27">
        <v>-1.619E-2</v>
      </c>
      <c r="U1991" s="27">
        <v>-5.3969999999999997E-2</v>
      </c>
      <c r="V1991" s="27">
        <v>0</v>
      </c>
      <c r="W1991" s="27">
        <v>0</v>
      </c>
      <c r="X1991" s="27" t="s">
        <v>70</v>
      </c>
    </row>
    <row r="1992" spans="1:24">
      <c r="A1992" s="27">
        <v>5</v>
      </c>
      <c r="B1992" s="27">
        <v>5</v>
      </c>
      <c r="C1992" s="27">
        <v>17</v>
      </c>
      <c r="D1992" s="27">
        <v>2030</v>
      </c>
      <c r="E1992" s="27">
        <v>2050</v>
      </c>
      <c r="F1992" s="27">
        <v>1</v>
      </c>
      <c r="G1992" s="27">
        <v>0</v>
      </c>
      <c r="H1992" s="27">
        <v>0</v>
      </c>
      <c r="I1992" s="27">
        <v>0</v>
      </c>
      <c r="J1992" s="27">
        <v>0</v>
      </c>
      <c r="K1992" s="27">
        <v>1</v>
      </c>
      <c r="L1992" s="27">
        <v>7100</v>
      </c>
      <c r="M1992" s="27">
        <v>5450</v>
      </c>
      <c r="N1992" s="27">
        <v>0</v>
      </c>
      <c r="O1992" s="27">
        <v>0</v>
      </c>
      <c r="P1992" s="27" t="s">
        <v>13</v>
      </c>
      <c r="Q1992" s="27">
        <v>1993</v>
      </c>
      <c r="R1992" s="27">
        <v>1</v>
      </c>
      <c r="S1992" s="27">
        <v>0</v>
      </c>
      <c r="T1992" s="27">
        <v>-1.619E-2</v>
      </c>
      <c r="U1992" s="27">
        <v>-5.3969999999999997E-2</v>
      </c>
      <c r="V1992" s="27">
        <v>0</v>
      </c>
      <c r="W1992" s="27">
        <v>0</v>
      </c>
      <c r="X1992" s="27" t="s">
        <v>70</v>
      </c>
    </row>
    <row r="1993" spans="1:24">
      <c r="A1993" s="27">
        <v>5</v>
      </c>
      <c r="B1993" s="27">
        <v>5</v>
      </c>
      <c r="C1993" s="27">
        <v>17</v>
      </c>
      <c r="D1993" s="27">
        <v>2030</v>
      </c>
      <c r="E1993" s="27">
        <v>2050</v>
      </c>
      <c r="F1993" s="27">
        <v>2</v>
      </c>
      <c r="G1993" s="27">
        <v>0</v>
      </c>
      <c r="H1993" s="27">
        <v>0</v>
      </c>
      <c r="I1993" s="27">
        <v>0</v>
      </c>
      <c r="J1993" s="27">
        <v>0</v>
      </c>
      <c r="K1993" s="27">
        <v>1</v>
      </c>
      <c r="L1993" s="27">
        <v>7100</v>
      </c>
      <c r="M1993" s="27">
        <v>5450</v>
      </c>
      <c r="N1993" s="27">
        <v>0</v>
      </c>
      <c r="O1993" s="27">
        <v>0</v>
      </c>
      <c r="P1993" s="27" t="s">
        <v>13</v>
      </c>
      <c r="Q1993" s="27">
        <v>1993</v>
      </c>
      <c r="R1993" s="27">
        <v>1</v>
      </c>
      <c r="S1993" s="27">
        <v>0</v>
      </c>
      <c r="T1993" s="27">
        <v>-1.619E-2</v>
      </c>
      <c r="U1993" s="27">
        <v>-5.3969999999999997E-2</v>
      </c>
      <c r="V1993" s="27">
        <v>0</v>
      </c>
      <c r="W1993" s="27">
        <v>0</v>
      </c>
      <c r="X1993" s="27" t="s">
        <v>70</v>
      </c>
    </row>
    <row r="1994" spans="1:24">
      <c r="A1994" s="27">
        <v>5</v>
      </c>
      <c r="B1994" s="27">
        <v>5</v>
      </c>
      <c r="C1994" s="27">
        <v>17</v>
      </c>
      <c r="D1994" s="27">
        <v>2030</v>
      </c>
      <c r="E1994" s="27">
        <v>2050</v>
      </c>
      <c r="F1994" s="27">
        <v>3</v>
      </c>
      <c r="G1994" s="27">
        <v>0</v>
      </c>
      <c r="H1994" s="27">
        <v>0</v>
      </c>
      <c r="I1994" s="27">
        <v>0</v>
      </c>
      <c r="J1994" s="27">
        <v>0</v>
      </c>
      <c r="K1994" s="27">
        <v>1</v>
      </c>
      <c r="L1994" s="27">
        <v>7100</v>
      </c>
      <c r="M1994" s="27">
        <v>5450</v>
      </c>
      <c r="N1994" s="27">
        <v>0</v>
      </c>
      <c r="O1994" s="27">
        <v>0</v>
      </c>
      <c r="P1994" s="27" t="s">
        <v>13</v>
      </c>
      <c r="Q1994" s="27">
        <v>1993</v>
      </c>
      <c r="R1994" s="27">
        <v>1</v>
      </c>
      <c r="S1994" s="27">
        <v>0</v>
      </c>
      <c r="T1994" s="27">
        <v>-1.619E-2</v>
      </c>
      <c r="U1994" s="27">
        <v>-5.3969999999999997E-2</v>
      </c>
      <c r="V1994" s="27">
        <v>0</v>
      </c>
      <c r="W1994" s="27">
        <v>0</v>
      </c>
      <c r="X1994" s="27" t="s">
        <v>70</v>
      </c>
    </row>
    <row r="1995" spans="1:24">
      <c r="A1995" s="27">
        <v>5</v>
      </c>
      <c r="B1995" s="27">
        <v>5</v>
      </c>
      <c r="C1995" s="27">
        <v>17</v>
      </c>
      <c r="D1995" s="27">
        <v>2030</v>
      </c>
      <c r="E1995" s="27">
        <v>2050</v>
      </c>
      <c r="F1995" s="27">
        <v>4</v>
      </c>
      <c r="G1995" s="27">
        <v>0</v>
      </c>
      <c r="H1995" s="27">
        <v>0</v>
      </c>
      <c r="I1995" s="27">
        <v>0</v>
      </c>
      <c r="J1995" s="27">
        <v>0</v>
      </c>
      <c r="K1995" s="27">
        <v>1</v>
      </c>
      <c r="L1995" s="27">
        <v>7100</v>
      </c>
      <c r="M1995" s="27">
        <v>5450</v>
      </c>
      <c r="N1995" s="27">
        <v>0</v>
      </c>
      <c r="O1995" s="27">
        <v>0</v>
      </c>
      <c r="P1995" s="27" t="s">
        <v>13</v>
      </c>
      <c r="Q1995" s="27">
        <v>1993</v>
      </c>
      <c r="R1995" s="27">
        <v>1</v>
      </c>
      <c r="S1995" s="27">
        <v>0</v>
      </c>
      <c r="T1995" s="27">
        <v>-1.619E-2</v>
      </c>
      <c r="U1995" s="27">
        <v>-5.3969999999999997E-2</v>
      </c>
      <c r="V1995" s="27">
        <v>0</v>
      </c>
      <c r="W1995" s="27">
        <v>0</v>
      </c>
      <c r="X1995" s="27" t="s">
        <v>70</v>
      </c>
    </row>
    <row r="1996" spans="1:24">
      <c r="A1996" s="27">
        <v>5</v>
      </c>
      <c r="B1996" s="27">
        <v>5</v>
      </c>
      <c r="C1996" s="27">
        <v>17</v>
      </c>
      <c r="D1996" s="27">
        <v>2030</v>
      </c>
      <c r="E1996" s="27">
        <v>2050</v>
      </c>
      <c r="F1996" s="27">
        <v>5</v>
      </c>
      <c r="G1996" s="27">
        <v>0</v>
      </c>
      <c r="H1996" s="27">
        <v>0</v>
      </c>
      <c r="I1996" s="27">
        <v>0</v>
      </c>
      <c r="J1996" s="27">
        <v>0</v>
      </c>
      <c r="K1996" s="27">
        <v>1</v>
      </c>
      <c r="L1996" s="27">
        <v>6900</v>
      </c>
      <c r="M1996" s="27">
        <v>5180</v>
      </c>
      <c r="N1996" s="27">
        <v>0</v>
      </c>
      <c r="O1996" s="27">
        <v>0</v>
      </c>
      <c r="P1996" s="27" t="s">
        <v>13</v>
      </c>
      <c r="Q1996" s="27">
        <v>1993</v>
      </c>
      <c r="R1996" s="27">
        <v>1</v>
      </c>
      <c r="S1996" s="27">
        <v>0</v>
      </c>
      <c r="T1996" s="27">
        <v>-1.619E-2</v>
      </c>
      <c r="U1996" s="27">
        <v>-5.3969999999999997E-2</v>
      </c>
      <c r="V1996" s="27">
        <v>0</v>
      </c>
      <c r="W1996" s="27">
        <v>0</v>
      </c>
      <c r="X1996" s="27" t="s">
        <v>70</v>
      </c>
    </row>
    <row r="1997" spans="1:24">
      <c r="A1997" s="27">
        <v>5</v>
      </c>
      <c r="B1997" s="27">
        <v>5</v>
      </c>
      <c r="C1997" s="27">
        <v>17</v>
      </c>
      <c r="D1997" s="27">
        <v>2030</v>
      </c>
      <c r="E1997" s="27">
        <v>2050</v>
      </c>
      <c r="F1997" s="27">
        <v>6</v>
      </c>
      <c r="G1997" s="27">
        <v>0</v>
      </c>
      <c r="H1997" s="27">
        <v>0</v>
      </c>
      <c r="I1997" s="27">
        <v>0</v>
      </c>
      <c r="J1997" s="27">
        <v>0</v>
      </c>
      <c r="K1997" s="27">
        <v>1</v>
      </c>
      <c r="L1997" s="27">
        <v>6900</v>
      </c>
      <c r="M1997" s="27">
        <v>5180</v>
      </c>
      <c r="N1997" s="27">
        <v>0</v>
      </c>
      <c r="O1997" s="27">
        <v>0</v>
      </c>
      <c r="P1997" s="27" t="s">
        <v>13</v>
      </c>
      <c r="Q1997" s="27">
        <v>1993</v>
      </c>
      <c r="R1997" s="27">
        <v>1</v>
      </c>
      <c r="S1997" s="27">
        <v>0</v>
      </c>
      <c r="T1997" s="27">
        <v>-1.619E-2</v>
      </c>
      <c r="U1997" s="27">
        <v>-5.3969999999999997E-2</v>
      </c>
      <c r="V1997" s="27">
        <v>0</v>
      </c>
      <c r="W1997" s="27">
        <v>0</v>
      </c>
      <c r="X1997" s="27" t="s">
        <v>70</v>
      </c>
    </row>
    <row r="1998" spans="1:24">
      <c r="A1998" s="27">
        <v>5</v>
      </c>
      <c r="B1998" s="27">
        <v>5</v>
      </c>
      <c r="C1998" s="27">
        <v>17</v>
      </c>
      <c r="D1998" s="27">
        <v>2030</v>
      </c>
      <c r="E1998" s="27">
        <v>2050</v>
      </c>
      <c r="F1998" s="27">
        <v>7</v>
      </c>
      <c r="G1998" s="27">
        <v>0</v>
      </c>
      <c r="H1998" s="27">
        <v>0</v>
      </c>
      <c r="I1998" s="27">
        <v>0</v>
      </c>
      <c r="J1998" s="27">
        <v>0</v>
      </c>
      <c r="K1998" s="27">
        <v>1</v>
      </c>
      <c r="L1998" s="27">
        <v>6900</v>
      </c>
      <c r="M1998" s="27">
        <v>5180</v>
      </c>
      <c r="N1998" s="27">
        <v>0</v>
      </c>
      <c r="O1998" s="27">
        <v>0</v>
      </c>
      <c r="P1998" s="27" t="s">
        <v>13</v>
      </c>
      <c r="Q1998" s="27">
        <v>1993</v>
      </c>
      <c r="R1998" s="27">
        <v>1</v>
      </c>
      <c r="S1998" s="27">
        <v>0</v>
      </c>
      <c r="T1998" s="27">
        <v>-1.619E-2</v>
      </c>
      <c r="U1998" s="27">
        <v>-5.3969999999999997E-2</v>
      </c>
      <c r="V1998" s="27">
        <v>0</v>
      </c>
      <c r="W1998" s="27">
        <v>0</v>
      </c>
      <c r="X1998" s="27" t="s">
        <v>70</v>
      </c>
    </row>
    <row r="1999" spans="1:24">
      <c r="A1999" s="27">
        <v>5</v>
      </c>
      <c r="B1999" s="27">
        <v>5</v>
      </c>
      <c r="C1999" s="27">
        <v>17</v>
      </c>
      <c r="D1999" s="27">
        <v>2030</v>
      </c>
      <c r="E1999" s="27">
        <v>2050</v>
      </c>
      <c r="F1999" s="27">
        <v>8</v>
      </c>
      <c r="G1999" s="27">
        <v>0</v>
      </c>
      <c r="H1999" s="27">
        <v>0</v>
      </c>
      <c r="I1999" s="27">
        <v>0</v>
      </c>
      <c r="J1999" s="27">
        <v>0</v>
      </c>
      <c r="K1999" s="27">
        <v>1</v>
      </c>
      <c r="L1999" s="27">
        <v>7100</v>
      </c>
      <c r="M1999" s="27">
        <v>5450</v>
      </c>
      <c r="N1999" s="27">
        <v>0</v>
      </c>
      <c r="O1999" s="27">
        <v>0</v>
      </c>
      <c r="P1999" s="27" t="s">
        <v>13</v>
      </c>
      <c r="Q1999" s="27">
        <v>1993</v>
      </c>
      <c r="R1999" s="27">
        <v>1</v>
      </c>
      <c r="S1999" s="27">
        <v>0</v>
      </c>
      <c r="T1999" s="27">
        <v>-1.619E-2</v>
      </c>
      <c r="U1999" s="27">
        <v>-5.3969999999999997E-2</v>
      </c>
      <c r="V1999" s="27">
        <v>0</v>
      </c>
      <c r="W1999" s="27">
        <v>0</v>
      </c>
      <c r="X1999" s="27" t="s">
        <v>70</v>
      </c>
    </row>
    <row r="2000" spans="1:24">
      <c r="A2000" s="27">
        <v>5</v>
      </c>
      <c r="B2000" s="27">
        <v>5</v>
      </c>
      <c r="C2000" s="27">
        <v>17</v>
      </c>
      <c r="D2000" s="27">
        <v>2030</v>
      </c>
      <c r="E2000" s="27">
        <v>2050</v>
      </c>
      <c r="F2000" s="27">
        <v>9</v>
      </c>
      <c r="G2000" s="27">
        <v>0</v>
      </c>
      <c r="H2000" s="27">
        <v>0</v>
      </c>
      <c r="I2000" s="27">
        <v>0</v>
      </c>
      <c r="J2000" s="27">
        <v>0</v>
      </c>
      <c r="K2000" s="27">
        <v>1</v>
      </c>
      <c r="L2000" s="27">
        <v>6900</v>
      </c>
      <c r="M2000" s="27">
        <v>5180</v>
      </c>
      <c r="N2000" s="27">
        <v>0</v>
      </c>
      <c r="O2000" s="27">
        <v>0</v>
      </c>
      <c r="P2000" s="27" t="s">
        <v>13</v>
      </c>
      <c r="Q2000" s="27">
        <v>1993</v>
      </c>
      <c r="R2000" s="27">
        <v>1</v>
      </c>
      <c r="S2000" s="27">
        <v>0</v>
      </c>
      <c r="T2000" s="27">
        <v>-1.619E-2</v>
      </c>
      <c r="U2000" s="27">
        <v>-5.3969999999999997E-2</v>
      </c>
      <c r="V2000" s="27">
        <v>0</v>
      </c>
      <c r="W2000" s="27">
        <v>0</v>
      </c>
      <c r="X2000" s="27" t="s">
        <v>70</v>
      </c>
    </row>
    <row r="2001" spans="1:24">
      <c r="A2001" s="27">
        <v>6</v>
      </c>
      <c r="B2001" s="27">
        <v>1</v>
      </c>
      <c r="C2001" s="27">
        <v>1</v>
      </c>
      <c r="D2001" s="27">
        <v>2010</v>
      </c>
      <c r="E2001" s="27">
        <v>2050</v>
      </c>
      <c r="F2001" s="27">
        <v>1</v>
      </c>
      <c r="G2001" s="27">
        <v>0</v>
      </c>
      <c r="H2001" s="27">
        <v>0</v>
      </c>
      <c r="I2001" s="27">
        <v>0</v>
      </c>
      <c r="J2001" s="27">
        <v>0</v>
      </c>
      <c r="K2001" s="27">
        <v>0.39900000000000002</v>
      </c>
      <c r="L2001" s="27">
        <v>400</v>
      </c>
      <c r="M2001" s="27">
        <v>350</v>
      </c>
      <c r="N2001" s="27">
        <v>0</v>
      </c>
      <c r="O2001" s="27">
        <v>0</v>
      </c>
      <c r="P2001" s="27" t="s">
        <v>13</v>
      </c>
      <c r="Q2001" s="27">
        <v>1993</v>
      </c>
      <c r="R2001" s="27">
        <v>1</v>
      </c>
      <c r="S2001" s="27">
        <v>0</v>
      </c>
      <c r="T2001" s="27">
        <v>-1.619E-2</v>
      </c>
      <c r="U2001" s="27">
        <v>-1.9519999999999999E-2</v>
      </c>
      <c r="V2001" s="27">
        <v>0</v>
      </c>
      <c r="W2001" s="27">
        <v>0</v>
      </c>
      <c r="X2001" s="27" t="s">
        <v>71</v>
      </c>
    </row>
    <row r="2002" spans="1:24">
      <c r="A2002" s="27">
        <v>6</v>
      </c>
      <c r="B2002" s="27">
        <v>1</v>
      </c>
      <c r="C2002" s="27">
        <v>1</v>
      </c>
      <c r="D2002" s="27">
        <v>2010</v>
      </c>
      <c r="E2002" s="27">
        <v>2050</v>
      </c>
      <c r="F2002" s="27">
        <v>2</v>
      </c>
      <c r="G2002" s="27">
        <v>0</v>
      </c>
      <c r="H2002" s="27">
        <v>0</v>
      </c>
      <c r="I2002" s="27">
        <v>0</v>
      </c>
      <c r="J2002" s="27">
        <v>0</v>
      </c>
      <c r="K2002" s="27">
        <v>0.39900000000000002</v>
      </c>
      <c r="L2002" s="27">
        <v>400</v>
      </c>
      <c r="M2002" s="27">
        <v>350</v>
      </c>
      <c r="N2002" s="27">
        <v>0</v>
      </c>
      <c r="O2002" s="27">
        <v>0</v>
      </c>
      <c r="P2002" s="27" t="s">
        <v>13</v>
      </c>
      <c r="Q2002" s="27">
        <v>1993</v>
      </c>
      <c r="R2002" s="27">
        <v>1</v>
      </c>
      <c r="S2002" s="27">
        <v>0</v>
      </c>
      <c r="T2002" s="27">
        <v>-1.619E-2</v>
      </c>
      <c r="U2002" s="27">
        <v>-1.9519999999999999E-2</v>
      </c>
      <c r="V2002" s="27">
        <v>0</v>
      </c>
      <c r="W2002" s="27">
        <v>0</v>
      </c>
      <c r="X2002" s="27" t="s">
        <v>71</v>
      </c>
    </row>
    <row r="2003" spans="1:24">
      <c r="A2003" s="27">
        <v>6</v>
      </c>
      <c r="B2003" s="27">
        <v>1</v>
      </c>
      <c r="C2003" s="27">
        <v>1</v>
      </c>
      <c r="D2003" s="27">
        <v>2010</v>
      </c>
      <c r="E2003" s="27">
        <v>2050</v>
      </c>
      <c r="F2003" s="27">
        <v>3</v>
      </c>
      <c r="G2003" s="27">
        <v>0</v>
      </c>
      <c r="H2003" s="27">
        <v>0</v>
      </c>
      <c r="I2003" s="27">
        <v>0</v>
      </c>
      <c r="J2003" s="27">
        <v>0</v>
      </c>
      <c r="K2003" s="27">
        <v>0.39900000000000002</v>
      </c>
      <c r="L2003" s="27">
        <v>400</v>
      </c>
      <c r="M2003" s="27">
        <v>350</v>
      </c>
      <c r="N2003" s="27">
        <v>0</v>
      </c>
      <c r="O2003" s="27">
        <v>0</v>
      </c>
      <c r="P2003" s="27" t="s">
        <v>13</v>
      </c>
      <c r="Q2003" s="27">
        <v>1993</v>
      </c>
      <c r="R2003" s="27">
        <v>1</v>
      </c>
      <c r="S2003" s="27">
        <v>0</v>
      </c>
      <c r="T2003" s="27">
        <v>-1.619E-2</v>
      </c>
      <c r="U2003" s="27">
        <v>-1.9519999999999999E-2</v>
      </c>
      <c r="V2003" s="27">
        <v>0</v>
      </c>
      <c r="W2003" s="27">
        <v>0</v>
      </c>
      <c r="X2003" s="27" t="s">
        <v>71</v>
      </c>
    </row>
    <row r="2004" spans="1:24">
      <c r="A2004" s="27">
        <v>6</v>
      </c>
      <c r="B2004" s="27">
        <v>1</v>
      </c>
      <c r="C2004" s="27">
        <v>1</v>
      </c>
      <c r="D2004" s="27">
        <v>2010</v>
      </c>
      <c r="E2004" s="27">
        <v>2050</v>
      </c>
      <c r="F2004" s="27">
        <v>4</v>
      </c>
      <c r="G2004" s="27">
        <v>0</v>
      </c>
      <c r="H2004" s="27">
        <v>0</v>
      </c>
      <c r="I2004" s="27">
        <v>0</v>
      </c>
      <c r="J2004" s="27">
        <v>0</v>
      </c>
      <c r="K2004" s="27">
        <v>0.39900000000000002</v>
      </c>
      <c r="L2004" s="27">
        <v>400</v>
      </c>
      <c r="M2004" s="27">
        <v>350</v>
      </c>
      <c r="N2004" s="27">
        <v>0</v>
      </c>
      <c r="O2004" s="27">
        <v>0</v>
      </c>
      <c r="P2004" s="27" t="s">
        <v>13</v>
      </c>
      <c r="Q2004" s="27">
        <v>1993</v>
      </c>
      <c r="R2004" s="27">
        <v>1</v>
      </c>
      <c r="S2004" s="27">
        <v>0</v>
      </c>
      <c r="T2004" s="27">
        <v>-1.619E-2</v>
      </c>
      <c r="U2004" s="27">
        <v>-1.9519999999999999E-2</v>
      </c>
      <c r="V2004" s="27">
        <v>0</v>
      </c>
      <c r="W2004" s="27">
        <v>0</v>
      </c>
      <c r="X2004" s="27" t="s">
        <v>71</v>
      </c>
    </row>
    <row r="2005" spans="1:24">
      <c r="A2005" s="27">
        <v>6</v>
      </c>
      <c r="B2005" s="27">
        <v>1</v>
      </c>
      <c r="C2005" s="27">
        <v>1</v>
      </c>
      <c r="D2005" s="27">
        <v>2010</v>
      </c>
      <c r="E2005" s="27">
        <v>2050</v>
      </c>
      <c r="F2005" s="27">
        <v>5</v>
      </c>
      <c r="G2005" s="27">
        <v>0</v>
      </c>
      <c r="H2005" s="27">
        <v>0</v>
      </c>
      <c r="I2005" s="27">
        <v>0</v>
      </c>
      <c r="J2005" s="27">
        <v>0</v>
      </c>
      <c r="K2005" s="27">
        <v>0.39900000000000002</v>
      </c>
      <c r="L2005" s="27">
        <v>400</v>
      </c>
      <c r="M2005" s="27">
        <v>350</v>
      </c>
      <c r="N2005" s="27">
        <v>0</v>
      </c>
      <c r="O2005" s="27">
        <v>0</v>
      </c>
      <c r="P2005" s="27" t="s">
        <v>13</v>
      </c>
      <c r="Q2005" s="27">
        <v>1993</v>
      </c>
      <c r="R2005" s="27">
        <v>1</v>
      </c>
      <c r="S2005" s="27">
        <v>0</v>
      </c>
      <c r="T2005" s="27">
        <v>-1.619E-2</v>
      </c>
      <c r="U2005" s="27">
        <v>-1.9519999999999999E-2</v>
      </c>
      <c r="V2005" s="27">
        <v>0</v>
      </c>
      <c r="W2005" s="27">
        <v>0</v>
      </c>
      <c r="X2005" s="27" t="s">
        <v>71</v>
      </c>
    </row>
    <row r="2006" spans="1:24">
      <c r="A2006" s="27">
        <v>6</v>
      </c>
      <c r="B2006" s="27">
        <v>1</v>
      </c>
      <c r="C2006" s="27">
        <v>1</v>
      </c>
      <c r="D2006" s="27">
        <v>2010</v>
      </c>
      <c r="E2006" s="27">
        <v>2050</v>
      </c>
      <c r="F2006" s="27">
        <v>6</v>
      </c>
      <c r="G2006" s="27">
        <v>0</v>
      </c>
      <c r="H2006" s="27">
        <v>0</v>
      </c>
      <c r="I2006" s="27">
        <v>0</v>
      </c>
      <c r="J2006" s="27">
        <v>0</v>
      </c>
      <c r="K2006" s="27">
        <v>0.39900000000000002</v>
      </c>
      <c r="L2006" s="27">
        <v>400</v>
      </c>
      <c r="M2006" s="27">
        <v>350</v>
      </c>
      <c r="N2006" s="27">
        <v>0</v>
      </c>
      <c r="O2006" s="27">
        <v>0</v>
      </c>
      <c r="P2006" s="27" t="s">
        <v>13</v>
      </c>
      <c r="Q2006" s="27">
        <v>1993</v>
      </c>
      <c r="R2006" s="27">
        <v>1</v>
      </c>
      <c r="S2006" s="27">
        <v>0</v>
      </c>
      <c r="T2006" s="27">
        <v>-1.619E-2</v>
      </c>
      <c r="U2006" s="27">
        <v>-1.9519999999999999E-2</v>
      </c>
      <c r="V2006" s="27">
        <v>0</v>
      </c>
      <c r="W2006" s="27">
        <v>0</v>
      </c>
      <c r="X2006" s="27" t="s">
        <v>71</v>
      </c>
    </row>
    <row r="2007" spans="1:24">
      <c r="A2007" s="27">
        <v>6</v>
      </c>
      <c r="B2007" s="27">
        <v>1</v>
      </c>
      <c r="C2007" s="27">
        <v>1</v>
      </c>
      <c r="D2007" s="27">
        <v>2010</v>
      </c>
      <c r="E2007" s="27">
        <v>2050</v>
      </c>
      <c r="F2007" s="27">
        <v>7</v>
      </c>
      <c r="G2007" s="27">
        <v>0</v>
      </c>
      <c r="H2007" s="27">
        <v>0</v>
      </c>
      <c r="I2007" s="27">
        <v>0</v>
      </c>
      <c r="J2007" s="27">
        <v>0</v>
      </c>
      <c r="K2007" s="27">
        <v>0.39900000000000002</v>
      </c>
      <c r="L2007" s="27">
        <v>400</v>
      </c>
      <c r="M2007" s="27">
        <v>350</v>
      </c>
      <c r="N2007" s="27">
        <v>0</v>
      </c>
      <c r="O2007" s="27">
        <v>0</v>
      </c>
      <c r="P2007" s="27" t="s">
        <v>13</v>
      </c>
      <c r="Q2007" s="27">
        <v>1993</v>
      </c>
      <c r="R2007" s="27">
        <v>1</v>
      </c>
      <c r="S2007" s="27">
        <v>0</v>
      </c>
      <c r="T2007" s="27">
        <v>-1.619E-2</v>
      </c>
      <c r="U2007" s="27">
        <v>-1.9519999999999999E-2</v>
      </c>
      <c r="V2007" s="27">
        <v>0</v>
      </c>
      <c r="W2007" s="27">
        <v>0</v>
      </c>
      <c r="X2007" s="27" t="s">
        <v>71</v>
      </c>
    </row>
    <row r="2008" spans="1:24">
      <c r="A2008" s="27">
        <v>6</v>
      </c>
      <c r="B2008" s="27">
        <v>1</v>
      </c>
      <c r="C2008" s="27">
        <v>1</v>
      </c>
      <c r="D2008" s="27">
        <v>2010</v>
      </c>
      <c r="E2008" s="27">
        <v>2050</v>
      </c>
      <c r="F2008" s="27">
        <v>8</v>
      </c>
      <c r="G2008" s="27">
        <v>0</v>
      </c>
      <c r="H2008" s="27">
        <v>0</v>
      </c>
      <c r="I2008" s="27">
        <v>0</v>
      </c>
      <c r="J2008" s="27">
        <v>0</v>
      </c>
      <c r="K2008" s="27">
        <v>0.39900000000000002</v>
      </c>
      <c r="L2008" s="27">
        <v>400</v>
      </c>
      <c r="M2008" s="27">
        <v>350</v>
      </c>
      <c r="N2008" s="27">
        <v>0</v>
      </c>
      <c r="O2008" s="27">
        <v>0</v>
      </c>
      <c r="P2008" s="27" t="s">
        <v>13</v>
      </c>
      <c r="Q2008" s="27">
        <v>1993</v>
      </c>
      <c r="R2008" s="27">
        <v>1</v>
      </c>
      <c r="S2008" s="27">
        <v>0</v>
      </c>
      <c r="T2008" s="27">
        <v>-1.619E-2</v>
      </c>
      <c r="U2008" s="27">
        <v>-1.9519999999999999E-2</v>
      </c>
      <c r="V2008" s="27">
        <v>0</v>
      </c>
      <c r="W2008" s="27">
        <v>0</v>
      </c>
      <c r="X2008" s="27" t="s">
        <v>71</v>
      </c>
    </row>
    <row r="2009" spans="1:24">
      <c r="A2009" s="27">
        <v>6</v>
      </c>
      <c r="B2009" s="27">
        <v>1</v>
      </c>
      <c r="C2009" s="27">
        <v>1</v>
      </c>
      <c r="D2009" s="27">
        <v>2010</v>
      </c>
      <c r="E2009" s="27">
        <v>2050</v>
      </c>
      <c r="F2009" s="27">
        <v>9</v>
      </c>
      <c r="G2009" s="27">
        <v>0</v>
      </c>
      <c r="H2009" s="27">
        <v>0</v>
      </c>
      <c r="I2009" s="27">
        <v>0</v>
      </c>
      <c r="J2009" s="27">
        <v>0</v>
      </c>
      <c r="K2009" s="27">
        <v>0.39900000000000002</v>
      </c>
      <c r="L2009" s="27">
        <v>400</v>
      </c>
      <c r="M2009" s="27">
        <v>350</v>
      </c>
      <c r="N2009" s="27">
        <v>0</v>
      </c>
      <c r="O2009" s="27">
        <v>0</v>
      </c>
      <c r="P2009" s="27" t="s">
        <v>13</v>
      </c>
      <c r="Q2009" s="27">
        <v>1993</v>
      </c>
      <c r="R2009" s="27">
        <v>1</v>
      </c>
      <c r="S2009" s="27">
        <v>0</v>
      </c>
      <c r="T2009" s="27">
        <v>-1.619E-2</v>
      </c>
      <c r="U2009" s="27">
        <v>-1.9519999999999999E-2</v>
      </c>
      <c r="V2009" s="27">
        <v>0</v>
      </c>
      <c r="W2009" s="27">
        <v>0</v>
      </c>
      <c r="X2009" s="27" t="s">
        <v>71</v>
      </c>
    </row>
    <row r="2010" spans="1:24">
      <c r="A2010" s="27">
        <v>6</v>
      </c>
      <c r="B2010" s="27">
        <v>1</v>
      </c>
      <c r="C2010" s="27">
        <v>2</v>
      </c>
      <c r="D2010" s="27">
        <v>2010</v>
      </c>
      <c r="E2010" s="27">
        <v>2050</v>
      </c>
      <c r="F2010" s="27">
        <v>1</v>
      </c>
      <c r="G2010" s="27">
        <v>0</v>
      </c>
      <c r="H2010" s="27">
        <v>0</v>
      </c>
      <c r="I2010" s="27">
        <v>0</v>
      </c>
      <c r="J2010" s="27">
        <v>0</v>
      </c>
      <c r="K2010" s="27">
        <v>0.42</v>
      </c>
      <c r="L2010" s="27">
        <v>500</v>
      </c>
      <c r="M2010" s="27">
        <v>450</v>
      </c>
      <c r="N2010" s="27">
        <v>0</v>
      </c>
      <c r="O2010" s="27">
        <v>0</v>
      </c>
      <c r="P2010" s="27" t="s">
        <v>13</v>
      </c>
      <c r="Q2010" s="27">
        <v>1993</v>
      </c>
      <c r="R2010" s="27">
        <v>1</v>
      </c>
      <c r="S2010" s="27">
        <v>0</v>
      </c>
      <c r="T2010" s="27">
        <v>-1.619E-2</v>
      </c>
      <c r="U2010" s="27">
        <v>-1.9519999999999999E-2</v>
      </c>
      <c r="V2010" s="27">
        <v>0</v>
      </c>
      <c r="W2010" s="27">
        <v>0</v>
      </c>
      <c r="X2010" s="27" t="s">
        <v>72</v>
      </c>
    </row>
    <row r="2011" spans="1:24">
      <c r="A2011" s="27">
        <v>6</v>
      </c>
      <c r="B2011" s="27">
        <v>1</v>
      </c>
      <c r="C2011" s="27">
        <v>2</v>
      </c>
      <c r="D2011" s="27">
        <v>2010</v>
      </c>
      <c r="E2011" s="27">
        <v>2050</v>
      </c>
      <c r="F2011" s="27">
        <v>2</v>
      </c>
      <c r="G2011" s="27">
        <v>0</v>
      </c>
      <c r="H2011" s="27">
        <v>0</v>
      </c>
      <c r="I2011" s="27">
        <v>0</v>
      </c>
      <c r="J2011" s="27">
        <v>0</v>
      </c>
      <c r="K2011" s="27">
        <v>0.42</v>
      </c>
      <c r="L2011" s="27">
        <v>500</v>
      </c>
      <c r="M2011" s="27">
        <v>450</v>
      </c>
      <c r="N2011" s="27">
        <v>0</v>
      </c>
      <c r="O2011" s="27">
        <v>0</v>
      </c>
      <c r="P2011" s="27" t="s">
        <v>13</v>
      </c>
      <c r="Q2011" s="27">
        <v>1993</v>
      </c>
      <c r="R2011" s="27">
        <v>1</v>
      </c>
      <c r="S2011" s="27">
        <v>0</v>
      </c>
      <c r="T2011" s="27">
        <v>-1.619E-2</v>
      </c>
      <c r="U2011" s="27">
        <v>-1.9519999999999999E-2</v>
      </c>
      <c r="V2011" s="27">
        <v>0</v>
      </c>
      <c r="W2011" s="27">
        <v>0</v>
      </c>
      <c r="X2011" s="27" t="s">
        <v>72</v>
      </c>
    </row>
    <row r="2012" spans="1:24">
      <c r="A2012" s="27">
        <v>6</v>
      </c>
      <c r="B2012" s="27">
        <v>1</v>
      </c>
      <c r="C2012" s="27">
        <v>2</v>
      </c>
      <c r="D2012" s="27">
        <v>2010</v>
      </c>
      <c r="E2012" s="27">
        <v>2050</v>
      </c>
      <c r="F2012" s="27">
        <v>3</v>
      </c>
      <c r="G2012" s="27">
        <v>0</v>
      </c>
      <c r="H2012" s="27">
        <v>0</v>
      </c>
      <c r="I2012" s="27">
        <v>0</v>
      </c>
      <c r="J2012" s="27">
        <v>0</v>
      </c>
      <c r="K2012" s="27">
        <v>0.42</v>
      </c>
      <c r="L2012" s="27">
        <v>500</v>
      </c>
      <c r="M2012" s="27">
        <v>450</v>
      </c>
      <c r="N2012" s="27">
        <v>0</v>
      </c>
      <c r="O2012" s="27">
        <v>0</v>
      </c>
      <c r="P2012" s="27" t="s">
        <v>13</v>
      </c>
      <c r="Q2012" s="27">
        <v>1993</v>
      </c>
      <c r="R2012" s="27">
        <v>1</v>
      </c>
      <c r="S2012" s="27">
        <v>0</v>
      </c>
      <c r="T2012" s="27">
        <v>-1.619E-2</v>
      </c>
      <c r="U2012" s="27">
        <v>-1.9519999999999999E-2</v>
      </c>
      <c r="V2012" s="27">
        <v>0</v>
      </c>
      <c r="W2012" s="27">
        <v>0</v>
      </c>
      <c r="X2012" s="27" t="s">
        <v>72</v>
      </c>
    </row>
    <row r="2013" spans="1:24">
      <c r="A2013" s="27">
        <v>6</v>
      </c>
      <c r="B2013" s="27">
        <v>1</v>
      </c>
      <c r="C2013" s="27">
        <v>2</v>
      </c>
      <c r="D2013" s="27">
        <v>2010</v>
      </c>
      <c r="E2013" s="27">
        <v>2050</v>
      </c>
      <c r="F2013" s="27">
        <v>4</v>
      </c>
      <c r="G2013" s="27">
        <v>0</v>
      </c>
      <c r="H2013" s="27">
        <v>0</v>
      </c>
      <c r="I2013" s="27">
        <v>0</v>
      </c>
      <c r="J2013" s="27">
        <v>0</v>
      </c>
      <c r="K2013" s="27">
        <v>0.42</v>
      </c>
      <c r="L2013" s="27">
        <v>500</v>
      </c>
      <c r="M2013" s="27">
        <v>450</v>
      </c>
      <c r="N2013" s="27">
        <v>0</v>
      </c>
      <c r="O2013" s="27">
        <v>0</v>
      </c>
      <c r="P2013" s="27" t="s">
        <v>13</v>
      </c>
      <c r="Q2013" s="27">
        <v>1993</v>
      </c>
      <c r="R2013" s="27">
        <v>1</v>
      </c>
      <c r="S2013" s="27">
        <v>0</v>
      </c>
      <c r="T2013" s="27">
        <v>-1.619E-2</v>
      </c>
      <c r="U2013" s="27">
        <v>-1.9519999999999999E-2</v>
      </c>
      <c r="V2013" s="27">
        <v>0</v>
      </c>
      <c r="W2013" s="27">
        <v>0</v>
      </c>
      <c r="X2013" s="27" t="s">
        <v>72</v>
      </c>
    </row>
    <row r="2014" spans="1:24">
      <c r="A2014" s="27">
        <v>6</v>
      </c>
      <c r="B2014" s="27">
        <v>1</v>
      </c>
      <c r="C2014" s="27">
        <v>2</v>
      </c>
      <c r="D2014" s="27">
        <v>2010</v>
      </c>
      <c r="E2014" s="27">
        <v>2050</v>
      </c>
      <c r="F2014" s="27">
        <v>5</v>
      </c>
      <c r="G2014" s="27">
        <v>0</v>
      </c>
      <c r="H2014" s="27">
        <v>0</v>
      </c>
      <c r="I2014" s="27">
        <v>0</v>
      </c>
      <c r="J2014" s="27">
        <v>0</v>
      </c>
      <c r="K2014" s="27">
        <v>0.42</v>
      </c>
      <c r="L2014" s="27">
        <v>500</v>
      </c>
      <c r="M2014" s="27">
        <v>450</v>
      </c>
      <c r="N2014" s="27">
        <v>0</v>
      </c>
      <c r="O2014" s="27">
        <v>0</v>
      </c>
      <c r="P2014" s="27" t="s">
        <v>13</v>
      </c>
      <c r="Q2014" s="27">
        <v>1993</v>
      </c>
      <c r="R2014" s="27">
        <v>1</v>
      </c>
      <c r="S2014" s="27">
        <v>0</v>
      </c>
      <c r="T2014" s="27">
        <v>-1.619E-2</v>
      </c>
      <c r="U2014" s="27">
        <v>-1.9519999999999999E-2</v>
      </c>
      <c r="V2014" s="27">
        <v>0</v>
      </c>
      <c r="W2014" s="27">
        <v>0</v>
      </c>
      <c r="X2014" s="27" t="s">
        <v>72</v>
      </c>
    </row>
    <row r="2015" spans="1:24">
      <c r="A2015" s="27">
        <v>6</v>
      </c>
      <c r="B2015" s="27">
        <v>1</v>
      </c>
      <c r="C2015" s="27">
        <v>2</v>
      </c>
      <c r="D2015" s="27">
        <v>2010</v>
      </c>
      <c r="E2015" s="27">
        <v>2050</v>
      </c>
      <c r="F2015" s="27">
        <v>6</v>
      </c>
      <c r="G2015" s="27">
        <v>0</v>
      </c>
      <c r="H2015" s="27">
        <v>0</v>
      </c>
      <c r="I2015" s="27">
        <v>0</v>
      </c>
      <c r="J2015" s="27">
        <v>0</v>
      </c>
      <c r="K2015" s="27">
        <v>0.42</v>
      </c>
      <c r="L2015" s="27">
        <v>500</v>
      </c>
      <c r="M2015" s="27">
        <v>450</v>
      </c>
      <c r="N2015" s="27">
        <v>0</v>
      </c>
      <c r="O2015" s="27">
        <v>0</v>
      </c>
      <c r="P2015" s="27" t="s">
        <v>13</v>
      </c>
      <c r="Q2015" s="27">
        <v>1993</v>
      </c>
      <c r="R2015" s="27">
        <v>1</v>
      </c>
      <c r="S2015" s="27">
        <v>0</v>
      </c>
      <c r="T2015" s="27">
        <v>-1.619E-2</v>
      </c>
      <c r="U2015" s="27">
        <v>-1.9519999999999999E-2</v>
      </c>
      <c r="V2015" s="27">
        <v>0</v>
      </c>
      <c r="W2015" s="27">
        <v>0</v>
      </c>
      <c r="X2015" s="27" t="s">
        <v>72</v>
      </c>
    </row>
    <row r="2016" spans="1:24">
      <c r="A2016" s="27">
        <v>6</v>
      </c>
      <c r="B2016" s="27">
        <v>1</v>
      </c>
      <c r="C2016" s="27">
        <v>2</v>
      </c>
      <c r="D2016" s="27">
        <v>2010</v>
      </c>
      <c r="E2016" s="27">
        <v>2050</v>
      </c>
      <c r="F2016" s="27">
        <v>7</v>
      </c>
      <c r="G2016" s="27">
        <v>0</v>
      </c>
      <c r="H2016" s="27">
        <v>0</v>
      </c>
      <c r="I2016" s="27">
        <v>0</v>
      </c>
      <c r="J2016" s="27">
        <v>0</v>
      </c>
      <c r="K2016" s="27">
        <v>0.42</v>
      </c>
      <c r="L2016" s="27">
        <v>500</v>
      </c>
      <c r="M2016" s="27">
        <v>450</v>
      </c>
      <c r="N2016" s="27">
        <v>0</v>
      </c>
      <c r="O2016" s="27">
        <v>0</v>
      </c>
      <c r="P2016" s="27" t="s">
        <v>13</v>
      </c>
      <c r="Q2016" s="27">
        <v>1993</v>
      </c>
      <c r="R2016" s="27">
        <v>1</v>
      </c>
      <c r="S2016" s="27">
        <v>0</v>
      </c>
      <c r="T2016" s="27">
        <v>-1.619E-2</v>
      </c>
      <c r="U2016" s="27">
        <v>-1.9519999999999999E-2</v>
      </c>
      <c r="V2016" s="27">
        <v>0</v>
      </c>
      <c r="W2016" s="27">
        <v>0</v>
      </c>
      <c r="X2016" s="27" t="s">
        <v>72</v>
      </c>
    </row>
    <row r="2017" spans="1:24">
      <c r="A2017" s="27">
        <v>6</v>
      </c>
      <c r="B2017" s="27">
        <v>1</v>
      </c>
      <c r="C2017" s="27">
        <v>2</v>
      </c>
      <c r="D2017" s="27">
        <v>2010</v>
      </c>
      <c r="E2017" s="27">
        <v>2050</v>
      </c>
      <c r="F2017" s="27">
        <v>8</v>
      </c>
      <c r="G2017" s="27">
        <v>0</v>
      </c>
      <c r="H2017" s="27">
        <v>0</v>
      </c>
      <c r="I2017" s="27">
        <v>0</v>
      </c>
      <c r="J2017" s="27">
        <v>0</v>
      </c>
      <c r="K2017" s="27">
        <v>0.42</v>
      </c>
      <c r="L2017" s="27">
        <v>500</v>
      </c>
      <c r="M2017" s="27">
        <v>450</v>
      </c>
      <c r="N2017" s="27">
        <v>0</v>
      </c>
      <c r="O2017" s="27">
        <v>0</v>
      </c>
      <c r="P2017" s="27" t="s">
        <v>13</v>
      </c>
      <c r="Q2017" s="27">
        <v>1993</v>
      </c>
      <c r="R2017" s="27">
        <v>1</v>
      </c>
      <c r="S2017" s="27">
        <v>0</v>
      </c>
      <c r="T2017" s="27">
        <v>-1.619E-2</v>
      </c>
      <c r="U2017" s="27">
        <v>-1.9519999999999999E-2</v>
      </c>
      <c r="V2017" s="27">
        <v>0</v>
      </c>
      <c r="W2017" s="27">
        <v>0</v>
      </c>
      <c r="X2017" s="27" t="s">
        <v>72</v>
      </c>
    </row>
    <row r="2018" spans="1:24">
      <c r="A2018" s="27">
        <v>6</v>
      </c>
      <c r="B2018" s="27">
        <v>1</v>
      </c>
      <c r="C2018" s="27">
        <v>2</v>
      </c>
      <c r="D2018" s="27">
        <v>2010</v>
      </c>
      <c r="E2018" s="27">
        <v>2050</v>
      </c>
      <c r="F2018" s="27">
        <v>9</v>
      </c>
      <c r="G2018" s="27">
        <v>0</v>
      </c>
      <c r="H2018" s="27">
        <v>0</v>
      </c>
      <c r="I2018" s="27">
        <v>0</v>
      </c>
      <c r="J2018" s="27">
        <v>0</v>
      </c>
      <c r="K2018" s="27">
        <v>0.42</v>
      </c>
      <c r="L2018" s="27">
        <v>500</v>
      </c>
      <c r="M2018" s="27">
        <v>450</v>
      </c>
      <c r="N2018" s="27">
        <v>0</v>
      </c>
      <c r="O2018" s="27">
        <v>0</v>
      </c>
      <c r="P2018" s="27" t="s">
        <v>13</v>
      </c>
      <c r="Q2018" s="27">
        <v>1993</v>
      </c>
      <c r="R2018" s="27">
        <v>1</v>
      </c>
      <c r="S2018" s="27">
        <v>0</v>
      </c>
      <c r="T2018" s="27">
        <v>-1.619E-2</v>
      </c>
      <c r="U2018" s="27">
        <v>-1.9519999999999999E-2</v>
      </c>
      <c r="V2018" s="27">
        <v>0</v>
      </c>
      <c r="W2018" s="27">
        <v>0</v>
      </c>
      <c r="X2018" s="27" t="s">
        <v>72</v>
      </c>
    </row>
    <row r="2019" spans="1:24">
      <c r="A2019" s="27">
        <v>6</v>
      </c>
      <c r="B2019" s="27">
        <v>2</v>
      </c>
      <c r="C2019" s="27">
        <v>3</v>
      </c>
      <c r="D2019" s="27">
        <v>2010</v>
      </c>
      <c r="E2019" s="27">
        <v>2050</v>
      </c>
      <c r="F2019" s="27">
        <v>1</v>
      </c>
      <c r="G2019" s="27">
        <v>0</v>
      </c>
      <c r="H2019" s="27">
        <v>0</v>
      </c>
      <c r="I2019" s="27">
        <v>0</v>
      </c>
      <c r="J2019" s="27">
        <v>0</v>
      </c>
      <c r="K2019" s="27">
        <v>0.39900000000000002</v>
      </c>
      <c r="L2019" s="27">
        <v>400</v>
      </c>
      <c r="M2019" s="27">
        <v>350</v>
      </c>
      <c r="N2019" s="27">
        <v>0</v>
      </c>
      <c r="O2019" s="27">
        <v>0</v>
      </c>
      <c r="P2019" s="27" t="s">
        <v>13</v>
      </c>
      <c r="Q2019" s="27">
        <v>1993</v>
      </c>
      <c r="R2019" s="27">
        <v>1</v>
      </c>
      <c r="S2019" s="27">
        <v>0</v>
      </c>
      <c r="T2019" s="27">
        <v>-1.619E-2</v>
      </c>
      <c r="U2019" s="27">
        <v>-1.9519999999999999E-2</v>
      </c>
      <c r="V2019" s="27">
        <v>0</v>
      </c>
      <c r="W2019" s="27">
        <v>0</v>
      </c>
      <c r="X2019" s="27" t="s">
        <v>73</v>
      </c>
    </row>
    <row r="2020" spans="1:24">
      <c r="A2020" s="27">
        <v>6</v>
      </c>
      <c r="B2020" s="27">
        <v>2</v>
      </c>
      <c r="C2020" s="27">
        <v>3</v>
      </c>
      <c r="D2020" s="27">
        <v>2010</v>
      </c>
      <c r="E2020" s="27">
        <v>2050</v>
      </c>
      <c r="F2020" s="27">
        <v>2</v>
      </c>
      <c r="G2020" s="27">
        <v>0</v>
      </c>
      <c r="H2020" s="27">
        <v>0</v>
      </c>
      <c r="I2020" s="27">
        <v>0</v>
      </c>
      <c r="J2020" s="27">
        <v>0</v>
      </c>
      <c r="K2020" s="27">
        <v>0.39900000000000002</v>
      </c>
      <c r="L2020" s="27">
        <v>400</v>
      </c>
      <c r="M2020" s="27">
        <v>350</v>
      </c>
      <c r="N2020" s="27">
        <v>0</v>
      </c>
      <c r="O2020" s="27">
        <v>0</v>
      </c>
      <c r="P2020" s="27" t="s">
        <v>13</v>
      </c>
      <c r="Q2020" s="27">
        <v>1993</v>
      </c>
      <c r="R2020" s="27">
        <v>1</v>
      </c>
      <c r="S2020" s="27">
        <v>0</v>
      </c>
      <c r="T2020" s="27">
        <v>-1.619E-2</v>
      </c>
      <c r="U2020" s="27">
        <v>-1.9519999999999999E-2</v>
      </c>
      <c r="V2020" s="27">
        <v>0</v>
      </c>
      <c r="W2020" s="27">
        <v>0</v>
      </c>
      <c r="X2020" s="27" t="s">
        <v>73</v>
      </c>
    </row>
    <row r="2021" spans="1:24">
      <c r="A2021" s="27">
        <v>6</v>
      </c>
      <c r="B2021" s="27">
        <v>2</v>
      </c>
      <c r="C2021" s="27">
        <v>3</v>
      </c>
      <c r="D2021" s="27">
        <v>2010</v>
      </c>
      <c r="E2021" s="27">
        <v>2050</v>
      </c>
      <c r="F2021" s="27">
        <v>3</v>
      </c>
      <c r="G2021" s="27">
        <v>0</v>
      </c>
      <c r="H2021" s="27">
        <v>0</v>
      </c>
      <c r="I2021" s="27">
        <v>0</v>
      </c>
      <c r="J2021" s="27">
        <v>0</v>
      </c>
      <c r="K2021" s="27">
        <v>0.39900000000000002</v>
      </c>
      <c r="L2021" s="27">
        <v>400</v>
      </c>
      <c r="M2021" s="27">
        <v>350</v>
      </c>
      <c r="N2021" s="27">
        <v>0</v>
      </c>
      <c r="O2021" s="27">
        <v>0</v>
      </c>
      <c r="P2021" s="27" t="s">
        <v>13</v>
      </c>
      <c r="Q2021" s="27">
        <v>1993</v>
      </c>
      <c r="R2021" s="27">
        <v>1</v>
      </c>
      <c r="S2021" s="27">
        <v>0</v>
      </c>
      <c r="T2021" s="27">
        <v>-1.619E-2</v>
      </c>
      <c r="U2021" s="27">
        <v>-1.9519999999999999E-2</v>
      </c>
      <c r="V2021" s="27">
        <v>0</v>
      </c>
      <c r="W2021" s="27">
        <v>0</v>
      </c>
      <c r="X2021" s="27" t="s">
        <v>73</v>
      </c>
    </row>
    <row r="2022" spans="1:24">
      <c r="A2022" s="27">
        <v>6</v>
      </c>
      <c r="B2022" s="27">
        <v>2</v>
      </c>
      <c r="C2022" s="27">
        <v>3</v>
      </c>
      <c r="D2022" s="27">
        <v>2010</v>
      </c>
      <c r="E2022" s="27">
        <v>2050</v>
      </c>
      <c r="F2022" s="27">
        <v>4</v>
      </c>
      <c r="G2022" s="27">
        <v>0</v>
      </c>
      <c r="H2022" s="27">
        <v>0</v>
      </c>
      <c r="I2022" s="27">
        <v>0</v>
      </c>
      <c r="J2022" s="27">
        <v>0</v>
      </c>
      <c r="K2022" s="27">
        <v>0.39900000000000002</v>
      </c>
      <c r="L2022" s="27">
        <v>400</v>
      </c>
      <c r="M2022" s="27">
        <v>350</v>
      </c>
      <c r="N2022" s="27">
        <v>0</v>
      </c>
      <c r="O2022" s="27">
        <v>0</v>
      </c>
      <c r="P2022" s="27" t="s">
        <v>13</v>
      </c>
      <c r="Q2022" s="27">
        <v>1993</v>
      </c>
      <c r="R2022" s="27">
        <v>1</v>
      </c>
      <c r="S2022" s="27">
        <v>0</v>
      </c>
      <c r="T2022" s="27">
        <v>-1.619E-2</v>
      </c>
      <c r="U2022" s="27">
        <v>-1.9519999999999999E-2</v>
      </c>
      <c r="V2022" s="27">
        <v>0</v>
      </c>
      <c r="W2022" s="27">
        <v>0</v>
      </c>
      <c r="X2022" s="27" t="s">
        <v>73</v>
      </c>
    </row>
    <row r="2023" spans="1:24">
      <c r="A2023" s="27">
        <v>6</v>
      </c>
      <c r="B2023" s="27">
        <v>2</v>
      </c>
      <c r="C2023" s="27">
        <v>3</v>
      </c>
      <c r="D2023" s="27">
        <v>2010</v>
      </c>
      <c r="E2023" s="27">
        <v>2050</v>
      </c>
      <c r="F2023" s="27">
        <v>5</v>
      </c>
      <c r="G2023" s="27">
        <v>0</v>
      </c>
      <c r="H2023" s="27">
        <v>0</v>
      </c>
      <c r="I2023" s="27">
        <v>0</v>
      </c>
      <c r="J2023" s="27">
        <v>0</v>
      </c>
      <c r="K2023" s="27">
        <v>0.39900000000000002</v>
      </c>
      <c r="L2023" s="27">
        <v>400</v>
      </c>
      <c r="M2023" s="27">
        <v>350</v>
      </c>
      <c r="N2023" s="27">
        <v>0</v>
      </c>
      <c r="O2023" s="27">
        <v>0</v>
      </c>
      <c r="P2023" s="27" t="s">
        <v>13</v>
      </c>
      <c r="Q2023" s="27">
        <v>1993</v>
      </c>
      <c r="R2023" s="27">
        <v>1</v>
      </c>
      <c r="S2023" s="27">
        <v>0</v>
      </c>
      <c r="T2023" s="27">
        <v>-1.619E-2</v>
      </c>
      <c r="U2023" s="27">
        <v>-1.9519999999999999E-2</v>
      </c>
      <c r="V2023" s="27">
        <v>0</v>
      </c>
      <c r="W2023" s="27">
        <v>0</v>
      </c>
      <c r="X2023" s="27" t="s">
        <v>73</v>
      </c>
    </row>
    <row r="2024" spans="1:24">
      <c r="A2024" s="27">
        <v>6</v>
      </c>
      <c r="B2024" s="27">
        <v>2</v>
      </c>
      <c r="C2024" s="27">
        <v>3</v>
      </c>
      <c r="D2024" s="27">
        <v>2010</v>
      </c>
      <c r="E2024" s="27">
        <v>2050</v>
      </c>
      <c r="F2024" s="27">
        <v>6</v>
      </c>
      <c r="G2024" s="27">
        <v>0</v>
      </c>
      <c r="H2024" s="27">
        <v>0</v>
      </c>
      <c r="I2024" s="27">
        <v>0</v>
      </c>
      <c r="J2024" s="27">
        <v>0</v>
      </c>
      <c r="K2024" s="27">
        <v>0.39900000000000002</v>
      </c>
      <c r="L2024" s="27">
        <v>400</v>
      </c>
      <c r="M2024" s="27">
        <v>350</v>
      </c>
      <c r="N2024" s="27">
        <v>0</v>
      </c>
      <c r="O2024" s="27">
        <v>0</v>
      </c>
      <c r="P2024" s="27" t="s">
        <v>13</v>
      </c>
      <c r="Q2024" s="27">
        <v>1993</v>
      </c>
      <c r="R2024" s="27">
        <v>1</v>
      </c>
      <c r="S2024" s="27">
        <v>0</v>
      </c>
      <c r="T2024" s="27">
        <v>-1.619E-2</v>
      </c>
      <c r="U2024" s="27">
        <v>-1.9519999999999999E-2</v>
      </c>
      <c r="V2024" s="27">
        <v>0</v>
      </c>
      <c r="W2024" s="27">
        <v>0</v>
      </c>
      <c r="X2024" s="27" t="s">
        <v>73</v>
      </c>
    </row>
    <row r="2025" spans="1:24">
      <c r="A2025" s="27">
        <v>6</v>
      </c>
      <c r="B2025" s="27">
        <v>2</v>
      </c>
      <c r="C2025" s="27">
        <v>3</v>
      </c>
      <c r="D2025" s="27">
        <v>2010</v>
      </c>
      <c r="E2025" s="27">
        <v>2050</v>
      </c>
      <c r="F2025" s="27">
        <v>7</v>
      </c>
      <c r="G2025" s="27">
        <v>0</v>
      </c>
      <c r="H2025" s="27">
        <v>0</v>
      </c>
      <c r="I2025" s="27">
        <v>0</v>
      </c>
      <c r="J2025" s="27">
        <v>0</v>
      </c>
      <c r="K2025" s="27">
        <v>0.39900000000000002</v>
      </c>
      <c r="L2025" s="27">
        <v>400</v>
      </c>
      <c r="M2025" s="27">
        <v>350</v>
      </c>
      <c r="N2025" s="27">
        <v>0</v>
      </c>
      <c r="O2025" s="27">
        <v>0</v>
      </c>
      <c r="P2025" s="27" t="s">
        <v>13</v>
      </c>
      <c r="Q2025" s="27">
        <v>1993</v>
      </c>
      <c r="R2025" s="27">
        <v>1</v>
      </c>
      <c r="S2025" s="27">
        <v>0</v>
      </c>
      <c r="T2025" s="27">
        <v>-1.619E-2</v>
      </c>
      <c r="U2025" s="27">
        <v>-1.9519999999999999E-2</v>
      </c>
      <c r="V2025" s="27">
        <v>0</v>
      </c>
      <c r="W2025" s="27">
        <v>0</v>
      </c>
      <c r="X2025" s="27" t="s">
        <v>73</v>
      </c>
    </row>
    <row r="2026" spans="1:24">
      <c r="A2026" s="27">
        <v>6</v>
      </c>
      <c r="B2026" s="27">
        <v>2</v>
      </c>
      <c r="C2026" s="27">
        <v>3</v>
      </c>
      <c r="D2026" s="27">
        <v>2010</v>
      </c>
      <c r="E2026" s="27">
        <v>2050</v>
      </c>
      <c r="F2026" s="27">
        <v>8</v>
      </c>
      <c r="G2026" s="27">
        <v>0</v>
      </c>
      <c r="H2026" s="27">
        <v>0</v>
      </c>
      <c r="I2026" s="27">
        <v>0</v>
      </c>
      <c r="J2026" s="27">
        <v>0</v>
      </c>
      <c r="K2026" s="27">
        <v>0.39900000000000002</v>
      </c>
      <c r="L2026" s="27">
        <v>400</v>
      </c>
      <c r="M2026" s="27">
        <v>350</v>
      </c>
      <c r="N2026" s="27">
        <v>0</v>
      </c>
      <c r="O2026" s="27">
        <v>0</v>
      </c>
      <c r="P2026" s="27" t="s">
        <v>13</v>
      </c>
      <c r="Q2026" s="27">
        <v>1993</v>
      </c>
      <c r="R2026" s="27">
        <v>1</v>
      </c>
      <c r="S2026" s="27">
        <v>0</v>
      </c>
      <c r="T2026" s="27">
        <v>-1.619E-2</v>
      </c>
      <c r="U2026" s="27">
        <v>-1.9519999999999999E-2</v>
      </c>
      <c r="V2026" s="27">
        <v>0</v>
      </c>
      <c r="W2026" s="27">
        <v>0</v>
      </c>
      <c r="X2026" s="27" t="s">
        <v>73</v>
      </c>
    </row>
    <row r="2027" spans="1:24">
      <c r="A2027" s="27">
        <v>6</v>
      </c>
      <c r="B2027" s="27">
        <v>2</v>
      </c>
      <c r="C2027" s="27">
        <v>3</v>
      </c>
      <c r="D2027" s="27">
        <v>2010</v>
      </c>
      <c r="E2027" s="27">
        <v>2050</v>
      </c>
      <c r="F2027" s="27">
        <v>9</v>
      </c>
      <c r="G2027" s="27">
        <v>0</v>
      </c>
      <c r="H2027" s="27">
        <v>0</v>
      </c>
      <c r="I2027" s="27">
        <v>0</v>
      </c>
      <c r="J2027" s="27">
        <v>0</v>
      </c>
      <c r="K2027" s="27">
        <v>0.39900000000000002</v>
      </c>
      <c r="L2027" s="27">
        <v>400</v>
      </c>
      <c r="M2027" s="27">
        <v>350</v>
      </c>
      <c r="N2027" s="27">
        <v>0</v>
      </c>
      <c r="O2027" s="27">
        <v>0</v>
      </c>
      <c r="P2027" s="27" t="s">
        <v>13</v>
      </c>
      <c r="Q2027" s="27">
        <v>1993</v>
      </c>
      <c r="R2027" s="27">
        <v>1</v>
      </c>
      <c r="S2027" s="27">
        <v>0</v>
      </c>
      <c r="T2027" s="27">
        <v>-1.619E-2</v>
      </c>
      <c r="U2027" s="27">
        <v>-1.9519999999999999E-2</v>
      </c>
      <c r="V2027" s="27">
        <v>0</v>
      </c>
      <c r="W2027" s="27">
        <v>0</v>
      </c>
      <c r="X2027" s="27" t="s">
        <v>73</v>
      </c>
    </row>
    <row r="2028" spans="1:24">
      <c r="A2028" s="27">
        <v>6</v>
      </c>
      <c r="B2028" s="27">
        <v>2</v>
      </c>
      <c r="C2028" s="27">
        <v>4</v>
      </c>
      <c r="D2028" s="27">
        <v>2010</v>
      </c>
      <c r="E2028" s="27">
        <v>2050</v>
      </c>
      <c r="F2028" s="27">
        <v>1</v>
      </c>
      <c r="G2028" s="27">
        <v>0</v>
      </c>
      <c r="H2028" s="27">
        <v>0</v>
      </c>
      <c r="I2028" s="27">
        <v>0</v>
      </c>
      <c r="J2028" s="27">
        <v>0</v>
      </c>
      <c r="K2028" s="27">
        <v>0.42</v>
      </c>
      <c r="L2028" s="27">
        <v>500</v>
      </c>
      <c r="M2028" s="27">
        <v>450</v>
      </c>
      <c r="N2028" s="27">
        <v>0</v>
      </c>
      <c r="O2028" s="27">
        <v>0</v>
      </c>
      <c r="P2028" s="27" t="s">
        <v>13</v>
      </c>
      <c r="Q2028" s="27">
        <v>1993</v>
      </c>
      <c r="R2028" s="27">
        <v>1</v>
      </c>
      <c r="S2028" s="27">
        <v>0</v>
      </c>
      <c r="T2028" s="27">
        <v>-1.619E-2</v>
      </c>
      <c r="U2028" s="27">
        <v>-1.9519999999999999E-2</v>
      </c>
      <c r="V2028" s="27">
        <v>0</v>
      </c>
      <c r="W2028" s="27">
        <v>0</v>
      </c>
      <c r="X2028" s="27" t="s">
        <v>74</v>
      </c>
    </row>
    <row r="2029" spans="1:24">
      <c r="A2029" s="27">
        <v>6</v>
      </c>
      <c r="B2029" s="27">
        <v>2</v>
      </c>
      <c r="C2029" s="27">
        <v>4</v>
      </c>
      <c r="D2029" s="27">
        <v>2010</v>
      </c>
      <c r="E2029" s="27">
        <v>2050</v>
      </c>
      <c r="F2029" s="27">
        <v>2</v>
      </c>
      <c r="G2029" s="27">
        <v>0</v>
      </c>
      <c r="H2029" s="27">
        <v>0</v>
      </c>
      <c r="I2029" s="27">
        <v>0</v>
      </c>
      <c r="J2029" s="27">
        <v>0</v>
      </c>
      <c r="K2029" s="27">
        <v>0.42</v>
      </c>
      <c r="L2029" s="27">
        <v>500</v>
      </c>
      <c r="M2029" s="27">
        <v>450</v>
      </c>
      <c r="N2029" s="27">
        <v>0</v>
      </c>
      <c r="O2029" s="27">
        <v>0</v>
      </c>
      <c r="P2029" s="27" t="s">
        <v>13</v>
      </c>
      <c r="Q2029" s="27">
        <v>1993</v>
      </c>
      <c r="R2029" s="27">
        <v>1</v>
      </c>
      <c r="S2029" s="27">
        <v>0</v>
      </c>
      <c r="T2029" s="27">
        <v>-1.619E-2</v>
      </c>
      <c r="U2029" s="27">
        <v>-1.9519999999999999E-2</v>
      </c>
      <c r="V2029" s="27">
        <v>0</v>
      </c>
      <c r="W2029" s="27">
        <v>0</v>
      </c>
      <c r="X2029" s="27" t="s">
        <v>74</v>
      </c>
    </row>
    <row r="2030" spans="1:24">
      <c r="A2030" s="27">
        <v>6</v>
      </c>
      <c r="B2030" s="27">
        <v>2</v>
      </c>
      <c r="C2030" s="27">
        <v>4</v>
      </c>
      <c r="D2030" s="27">
        <v>2010</v>
      </c>
      <c r="E2030" s="27">
        <v>2050</v>
      </c>
      <c r="F2030" s="27">
        <v>3</v>
      </c>
      <c r="G2030" s="27">
        <v>0</v>
      </c>
      <c r="H2030" s="27">
        <v>0</v>
      </c>
      <c r="I2030" s="27">
        <v>0</v>
      </c>
      <c r="J2030" s="27">
        <v>0</v>
      </c>
      <c r="K2030" s="27">
        <v>0.42</v>
      </c>
      <c r="L2030" s="27">
        <v>500</v>
      </c>
      <c r="M2030" s="27">
        <v>450</v>
      </c>
      <c r="N2030" s="27">
        <v>0</v>
      </c>
      <c r="O2030" s="27">
        <v>0</v>
      </c>
      <c r="P2030" s="27" t="s">
        <v>13</v>
      </c>
      <c r="Q2030" s="27">
        <v>1993</v>
      </c>
      <c r="R2030" s="27">
        <v>1</v>
      </c>
      <c r="S2030" s="27">
        <v>0</v>
      </c>
      <c r="T2030" s="27">
        <v>-1.619E-2</v>
      </c>
      <c r="U2030" s="27">
        <v>-1.9519999999999999E-2</v>
      </c>
      <c r="V2030" s="27">
        <v>0</v>
      </c>
      <c r="W2030" s="27">
        <v>0</v>
      </c>
      <c r="X2030" s="27" t="s">
        <v>74</v>
      </c>
    </row>
    <row r="2031" spans="1:24">
      <c r="A2031" s="27">
        <v>6</v>
      </c>
      <c r="B2031" s="27">
        <v>2</v>
      </c>
      <c r="C2031" s="27">
        <v>4</v>
      </c>
      <c r="D2031" s="27">
        <v>2010</v>
      </c>
      <c r="E2031" s="27">
        <v>2050</v>
      </c>
      <c r="F2031" s="27">
        <v>4</v>
      </c>
      <c r="G2031" s="27">
        <v>0</v>
      </c>
      <c r="H2031" s="27">
        <v>0</v>
      </c>
      <c r="I2031" s="27">
        <v>0</v>
      </c>
      <c r="J2031" s="27">
        <v>0</v>
      </c>
      <c r="K2031" s="27">
        <v>0.42</v>
      </c>
      <c r="L2031" s="27">
        <v>500</v>
      </c>
      <c r="M2031" s="27">
        <v>450</v>
      </c>
      <c r="N2031" s="27">
        <v>0</v>
      </c>
      <c r="O2031" s="27">
        <v>0</v>
      </c>
      <c r="P2031" s="27" t="s">
        <v>13</v>
      </c>
      <c r="Q2031" s="27">
        <v>1993</v>
      </c>
      <c r="R2031" s="27">
        <v>1</v>
      </c>
      <c r="S2031" s="27">
        <v>0</v>
      </c>
      <c r="T2031" s="27">
        <v>-1.619E-2</v>
      </c>
      <c r="U2031" s="27">
        <v>-1.9519999999999999E-2</v>
      </c>
      <c r="V2031" s="27">
        <v>0</v>
      </c>
      <c r="W2031" s="27">
        <v>0</v>
      </c>
      <c r="X2031" s="27" t="s">
        <v>74</v>
      </c>
    </row>
    <row r="2032" spans="1:24">
      <c r="A2032" s="27">
        <v>6</v>
      </c>
      <c r="B2032" s="27">
        <v>2</v>
      </c>
      <c r="C2032" s="27">
        <v>4</v>
      </c>
      <c r="D2032" s="27">
        <v>2010</v>
      </c>
      <c r="E2032" s="27">
        <v>2050</v>
      </c>
      <c r="F2032" s="27">
        <v>5</v>
      </c>
      <c r="G2032" s="27">
        <v>0</v>
      </c>
      <c r="H2032" s="27">
        <v>0</v>
      </c>
      <c r="I2032" s="27">
        <v>0</v>
      </c>
      <c r="J2032" s="27">
        <v>0</v>
      </c>
      <c r="K2032" s="27">
        <v>0.42</v>
      </c>
      <c r="L2032" s="27">
        <v>500</v>
      </c>
      <c r="M2032" s="27">
        <v>450</v>
      </c>
      <c r="N2032" s="27">
        <v>0</v>
      </c>
      <c r="O2032" s="27">
        <v>0</v>
      </c>
      <c r="P2032" s="27" t="s">
        <v>13</v>
      </c>
      <c r="Q2032" s="27">
        <v>1993</v>
      </c>
      <c r="R2032" s="27">
        <v>1</v>
      </c>
      <c r="S2032" s="27">
        <v>0</v>
      </c>
      <c r="T2032" s="27">
        <v>-1.619E-2</v>
      </c>
      <c r="U2032" s="27">
        <v>-1.9519999999999999E-2</v>
      </c>
      <c r="V2032" s="27">
        <v>0</v>
      </c>
      <c r="W2032" s="27">
        <v>0</v>
      </c>
      <c r="X2032" s="27" t="s">
        <v>74</v>
      </c>
    </row>
    <row r="2033" spans="1:24">
      <c r="A2033" s="27">
        <v>6</v>
      </c>
      <c r="B2033" s="27">
        <v>2</v>
      </c>
      <c r="C2033" s="27">
        <v>4</v>
      </c>
      <c r="D2033" s="27">
        <v>2010</v>
      </c>
      <c r="E2033" s="27">
        <v>2050</v>
      </c>
      <c r="F2033" s="27">
        <v>6</v>
      </c>
      <c r="G2033" s="27">
        <v>0</v>
      </c>
      <c r="H2033" s="27">
        <v>0</v>
      </c>
      <c r="I2033" s="27">
        <v>0</v>
      </c>
      <c r="J2033" s="27">
        <v>0</v>
      </c>
      <c r="K2033" s="27">
        <v>0.42</v>
      </c>
      <c r="L2033" s="27">
        <v>500</v>
      </c>
      <c r="M2033" s="27">
        <v>450</v>
      </c>
      <c r="N2033" s="27">
        <v>0</v>
      </c>
      <c r="O2033" s="27">
        <v>0</v>
      </c>
      <c r="P2033" s="27" t="s">
        <v>13</v>
      </c>
      <c r="Q2033" s="27">
        <v>1993</v>
      </c>
      <c r="R2033" s="27">
        <v>1</v>
      </c>
      <c r="S2033" s="27">
        <v>0</v>
      </c>
      <c r="T2033" s="27">
        <v>-1.619E-2</v>
      </c>
      <c r="U2033" s="27">
        <v>-1.9519999999999999E-2</v>
      </c>
      <c r="V2033" s="27">
        <v>0</v>
      </c>
      <c r="W2033" s="27">
        <v>0</v>
      </c>
      <c r="X2033" s="27" t="s">
        <v>74</v>
      </c>
    </row>
    <row r="2034" spans="1:24">
      <c r="A2034" s="27">
        <v>6</v>
      </c>
      <c r="B2034" s="27">
        <v>2</v>
      </c>
      <c r="C2034" s="27">
        <v>4</v>
      </c>
      <c r="D2034" s="27">
        <v>2010</v>
      </c>
      <c r="E2034" s="27">
        <v>2050</v>
      </c>
      <c r="F2034" s="27">
        <v>7</v>
      </c>
      <c r="G2034" s="27">
        <v>0</v>
      </c>
      <c r="H2034" s="27">
        <v>0</v>
      </c>
      <c r="I2034" s="27">
        <v>0</v>
      </c>
      <c r="J2034" s="27">
        <v>0</v>
      </c>
      <c r="K2034" s="27">
        <v>0.42</v>
      </c>
      <c r="L2034" s="27">
        <v>500</v>
      </c>
      <c r="M2034" s="27">
        <v>450</v>
      </c>
      <c r="N2034" s="27">
        <v>0</v>
      </c>
      <c r="O2034" s="27">
        <v>0</v>
      </c>
      <c r="P2034" s="27" t="s">
        <v>13</v>
      </c>
      <c r="Q2034" s="27">
        <v>1993</v>
      </c>
      <c r="R2034" s="27">
        <v>1</v>
      </c>
      <c r="S2034" s="27">
        <v>0</v>
      </c>
      <c r="T2034" s="27">
        <v>-1.619E-2</v>
      </c>
      <c r="U2034" s="27">
        <v>-1.9519999999999999E-2</v>
      </c>
      <c r="V2034" s="27">
        <v>0</v>
      </c>
      <c r="W2034" s="27">
        <v>0</v>
      </c>
      <c r="X2034" s="27" t="s">
        <v>74</v>
      </c>
    </row>
    <row r="2035" spans="1:24">
      <c r="A2035" s="27">
        <v>6</v>
      </c>
      <c r="B2035" s="27">
        <v>2</v>
      </c>
      <c r="C2035" s="27">
        <v>4</v>
      </c>
      <c r="D2035" s="27">
        <v>2010</v>
      </c>
      <c r="E2035" s="27">
        <v>2050</v>
      </c>
      <c r="F2035" s="27">
        <v>8</v>
      </c>
      <c r="G2035" s="27">
        <v>0</v>
      </c>
      <c r="H2035" s="27">
        <v>0</v>
      </c>
      <c r="I2035" s="27">
        <v>0</v>
      </c>
      <c r="J2035" s="27">
        <v>0</v>
      </c>
      <c r="K2035" s="27">
        <v>0.42</v>
      </c>
      <c r="L2035" s="27">
        <v>500</v>
      </c>
      <c r="M2035" s="27">
        <v>450</v>
      </c>
      <c r="N2035" s="27">
        <v>0</v>
      </c>
      <c r="O2035" s="27">
        <v>0</v>
      </c>
      <c r="P2035" s="27" t="s">
        <v>13</v>
      </c>
      <c r="Q2035" s="27">
        <v>1993</v>
      </c>
      <c r="R2035" s="27">
        <v>1</v>
      </c>
      <c r="S2035" s="27">
        <v>0</v>
      </c>
      <c r="T2035" s="27">
        <v>-1.619E-2</v>
      </c>
      <c r="U2035" s="27">
        <v>-1.9519999999999999E-2</v>
      </c>
      <c r="V2035" s="27">
        <v>0</v>
      </c>
      <c r="W2035" s="27">
        <v>0</v>
      </c>
      <c r="X2035" s="27" t="s">
        <v>74</v>
      </c>
    </row>
    <row r="2036" spans="1:24">
      <c r="A2036" s="27">
        <v>6</v>
      </c>
      <c r="B2036" s="27">
        <v>2</v>
      </c>
      <c r="C2036" s="27">
        <v>4</v>
      </c>
      <c r="D2036" s="27">
        <v>2010</v>
      </c>
      <c r="E2036" s="27">
        <v>2050</v>
      </c>
      <c r="F2036" s="27">
        <v>9</v>
      </c>
      <c r="G2036" s="27">
        <v>0</v>
      </c>
      <c r="H2036" s="27">
        <v>0</v>
      </c>
      <c r="I2036" s="27">
        <v>0</v>
      </c>
      <c r="J2036" s="27">
        <v>0</v>
      </c>
      <c r="K2036" s="27">
        <v>0.42</v>
      </c>
      <c r="L2036" s="27">
        <v>500</v>
      </c>
      <c r="M2036" s="27">
        <v>450</v>
      </c>
      <c r="N2036" s="27">
        <v>0</v>
      </c>
      <c r="O2036" s="27">
        <v>0</v>
      </c>
      <c r="P2036" s="27" t="s">
        <v>13</v>
      </c>
      <c r="Q2036" s="27">
        <v>1993</v>
      </c>
      <c r="R2036" s="27">
        <v>1</v>
      </c>
      <c r="S2036" s="27">
        <v>0</v>
      </c>
      <c r="T2036" s="27">
        <v>-1.619E-2</v>
      </c>
      <c r="U2036" s="27">
        <v>-1.9519999999999999E-2</v>
      </c>
      <c r="V2036" s="27">
        <v>0</v>
      </c>
      <c r="W2036" s="27">
        <v>0</v>
      </c>
      <c r="X2036" s="27" t="s">
        <v>74</v>
      </c>
    </row>
    <row r="2037" spans="1:24">
      <c r="A2037" s="27">
        <v>6</v>
      </c>
      <c r="B2037" s="27">
        <v>3</v>
      </c>
      <c r="C2037" s="27">
        <v>5</v>
      </c>
      <c r="D2037" s="27">
        <v>2010</v>
      </c>
      <c r="E2037" s="27">
        <v>2050</v>
      </c>
      <c r="F2037" s="27">
        <v>1</v>
      </c>
      <c r="G2037" s="27">
        <v>0</v>
      </c>
      <c r="H2037" s="27">
        <v>0</v>
      </c>
      <c r="I2037" s="27">
        <v>0</v>
      </c>
      <c r="J2037" s="27">
        <v>0</v>
      </c>
      <c r="K2037" s="27">
        <v>601</v>
      </c>
      <c r="L2037" s="27">
        <v>400</v>
      </c>
      <c r="M2037" s="27">
        <v>350</v>
      </c>
      <c r="N2037" s="27">
        <v>0</v>
      </c>
      <c r="O2037" s="27">
        <v>0</v>
      </c>
      <c r="P2037" s="27" t="s">
        <v>13</v>
      </c>
      <c r="Q2037" s="27">
        <v>1993</v>
      </c>
      <c r="R2037" s="27">
        <v>1</v>
      </c>
      <c r="S2037" s="27">
        <v>0</v>
      </c>
      <c r="T2037" s="27">
        <v>-1</v>
      </c>
      <c r="U2037" s="27">
        <v>-1</v>
      </c>
      <c r="V2037" s="27">
        <v>0</v>
      </c>
      <c r="W2037" s="27">
        <v>0</v>
      </c>
      <c r="X2037" s="27" t="s">
        <v>75</v>
      </c>
    </row>
    <row r="2038" spans="1:24">
      <c r="A2038" s="27">
        <v>6</v>
      </c>
      <c r="B2038" s="27">
        <v>3</v>
      </c>
      <c r="C2038" s="27">
        <v>5</v>
      </c>
      <c r="D2038" s="27">
        <v>2010</v>
      </c>
      <c r="E2038" s="27">
        <v>2050</v>
      </c>
      <c r="F2038" s="27">
        <v>2</v>
      </c>
      <c r="G2038" s="27">
        <v>0</v>
      </c>
      <c r="H2038" s="27">
        <v>0</v>
      </c>
      <c r="I2038" s="27">
        <v>0</v>
      </c>
      <c r="J2038" s="27">
        <v>0</v>
      </c>
      <c r="K2038" s="27">
        <v>601</v>
      </c>
      <c r="L2038" s="27">
        <v>400</v>
      </c>
      <c r="M2038" s="27">
        <v>350</v>
      </c>
      <c r="N2038" s="27">
        <v>0</v>
      </c>
      <c r="O2038" s="27">
        <v>0</v>
      </c>
      <c r="P2038" s="27" t="s">
        <v>13</v>
      </c>
      <c r="Q2038" s="27">
        <v>1993</v>
      </c>
      <c r="R2038" s="27">
        <v>1</v>
      </c>
      <c r="S2038" s="27">
        <v>0</v>
      </c>
      <c r="T2038" s="27">
        <v>-1</v>
      </c>
      <c r="U2038" s="27">
        <v>-1</v>
      </c>
      <c r="V2038" s="27">
        <v>0</v>
      </c>
      <c r="W2038" s="27">
        <v>0</v>
      </c>
      <c r="X2038" s="27" t="s">
        <v>75</v>
      </c>
    </row>
    <row r="2039" spans="1:24">
      <c r="A2039" s="27">
        <v>6</v>
      </c>
      <c r="B2039" s="27">
        <v>3</v>
      </c>
      <c r="C2039" s="27">
        <v>5</v>
      </c>
      <c r="D2039" s="27">
        <v>2010</v>
      </c>
      <c r="E2039" s="27">
        <v>2050</v>
      </c>
      <c r="F2039" s="27">
        <v>3</v>
      </c>
      <c r="G2039" s="27">
        <v>0</v>
      </c>
      <c r="H2039" s="27">
        <v>0</v>
      </c>
      <c r="I2039" s="27">
        <v>0</v>
      </c>
      <c r="J2039" s="27">
        <v>0</v>
      </c>
      <c r="K2039" s="27">
        <v>601</v>
      </c>
      <c r="L2039" s="27">
        <v>400</v>
      </c>
      <c r="M2039" s="27">
        <v>350</v>
      </c>
      <c r="N2039" s="27">
        <v>0</v>
      </c>
      <c r="O2039" s="27">
        <v>0</v>
      </c>
      <c r="P2039" s="27" t="s">
        <v>13</v>
      </c>
      <c r="Q2039" s="27">
        <v>1993</v>
      </c>
      <c r="R2039" s="27">
        <v>1</v>
      </c>
      <c r="S2039" s="27">
        <v>0</v>
      </c>
      <c r="T2039" s="27">
        <v>-1</v>
      </c>
      <c r="U2039" s="27">
        <v>-1</v>
      </c>
      <c r="V2039" s="27">
        <v>0</v>
      </c>
      <c r="W2039" s="27">
        <v>0</v>
      </c>
      <c r="X2039" s="27" t="s">
        <v>75</v>
      </c>
    </row>
    <row r="2040" spans="1:24">
      <c r="A2040" s="27">
        <v>6</v>
      </c>
      <c r="B2040" s="27">
        <v>3</v>
      </c>
      <c r="C2040" s="27">
        <v>5</v>
      </c>
      <c r="D2040" s="27">
        <v>2010</v>
      </c>
      <c r="E2040" s="27">
        <v>2050</v>
      </c>
      <c r="F2040" s="27">
        <v>4</v>
      </c>
      <c r="G2040" s="27">
        <v>0</v>
      </c>
      <c r="H2040" s="27">
        <v>0</v>
      </c>
      <c r="I2040" s="27">
        <v>0</v>
      </c>
      <c r="J2040" s="27">
        <v>0</v>
      </c>
      <c r="K2040" s="27">
        <v>601</v>
      </c>
      <c r="L2040" s="27">
        <v>400</v>
      </c>
      <c r="M2040" s="27">
        <v>350</v>
      </c>
      <c r="N2040" s="27">
        <v>0</v>
      </c>
      <c r="O2040" s="27">
        <v>0</v>
      </c>
      <c r="P2040" s="27" t="s">
        <v>13</v>
      </c>
      <c r="Q2040" s="27">
        <v>1993</v>
      </c>
      <c r="R2040" s="27">
        <v>1</v>
      </c>
      <c r="S2040" s="27">
        <v>0</v>
      </c>
      <c r="T2040" s="27">
        <v>-1</v>
      </c>
      <c r="U2040" s="27">
        <v>-1</v>
      </c>
      <c r="V2040" s="27">
        <v>0</v>
      </c>
      <c r="W2040" s="27">
        <v>0</v>
      </c>
      <c r="X2040" s="27" t="s">
        <v>75</v>
      </c>
    </row>
    <row r="2041" spans="1:24">
      <c r="A2041" s="27">
        <v>6</v>
      </c>
      <c r="B2041" s="27">
        <v>3</v>
      </c>
      <c r="C2041" s="27">
        <v>5</v>
      </c>
      <c r="D2041" s="27">
        <v>2010</v>
      </c>
      <c r="E2041" s="27">
        <v>2050</v>
      </c>
      <c r="F2041" s="27">
        <v>5</v>
      </c>
      <c r="G2041" s="27">
        <v>0</v>
      </c>
      <c r="H2041" s="27">
        <v>0</v>
      </c>
      <c r="I2041" s="27">
        <v>0</v>
      </c>
      <c r="J2041" s="27">
        <v>0</v>
      </c>
      <c r="K2041" s="27">
        <v>601</v>
      </c>
      <c r="L2041" s="27">
        <v>400</v>
      </c>
      <c r="M2041" s="27">
        <v>350</v>
      </c>
      <c r="N2041" s="27">
        <v>0</v>
      </c>
      <c r="O2041" s="27">
        <v>0</v>
      </c>
      <c r="P2041" s="27" t="s">
        <v>13</v>
      </c>
      <c r="Q2041" s="27">
        <v>1993</v>
      </c>
      <c r="R2041" s="27">
        <v>1</v>
      </c>
      <c r="S2041" s="27">
        <v>0</v>
      </c>
      <c r="T2041" s="27">
        <v>-1</v>
      </c>
      <c r="U2041" s="27">
        <v>-1</v>
      </c>
      <c r="V2041" s="27">
        <v>0</v>
      </c>
      <c r="W2041" s="27">
        <v>0</v>
      </c>
      <c r="X2041" s="27" t="s">
        <v>75</v>
      </c>
    </row>
    <row r="2042" spans="1:24">
      <c r="A2042" s="27">
        <v>6</v>
      </c>
      <c r="B2042" s="27">
        <v>3</v>
      </c>
      <c r="C2042" s="27">
        <v>5</v>
      </c>
      <c r="D2042" s="27">
        <v>2010</v>
      </c>
      <c r="E2042" s="27">
        <v>2050</v>
      </c>
      <c r="F2042" s="27">
        <v>6</v>
      </c>
      <c r="G2042" s="27">
        <v>0</v>
      </c>
      <c r="H2042" s="27">
        <v>0</v>
      </c>
      <c r="I2042" s="27">
        <v>0</v>
      </c>
      <c r="J2042" s="27">
        <v>0</v>
      </c>
      <c r="K2042" s="27">
        <v>601</v>
      </c>
      <c r="L2042" s="27">
        <v>400</v>
      </c>
      <c r="M2042" s="27">
        <v>350</v>
      </c>
      <c r="N2042" s="27">
        <v>0</v>
      </c>
      <c r="O2042" s="27">
        <v>0</v>
      </c>
      <c r="P2042" s="27" t="s">
        <v>13</v>
      </c>
      <c r="Q2042" s="27">
        <v>1993</v>
      </c>
      <c r="R2042" s="27">
        <v>1</v>
      </c>
      <c r="S2042" s="27">
        <v>0</v>
      </c>
      <c r="T2042" s="27">
        <v>-1</v>
      </c>
      <c r="U2042" s="27">
        <v>-1</v>
      </c>
      <c r="V2042" s="27">
        <v>0</v>
      </c>
      <c r="W2042" s="27">
        <v>0</v>
      </c>
      <c r="X2042" s="27" t="s">
        <v>75</v>
      </c>
    </row>
    <row r="2043" spans="1:24">
      <c r="A2043" s="27">
        <v>6</v>
      </c>
      <c r="B2043" s="27">
        <v>3</v>
      </c>
      <c r="C2043" s="27">
        <v>5</v>
      </c>
      <c r="D2043" s="27">
        <v>2010</v>
      </c>
      <c r="E2043" s="27">
        <v>2050</v>
      </c>
      <c r="F2043" s="27">
        <v>7</v>
      </c>
      <c r="G2043" s="27">
        <v>0</v>
      </c>
      <c r="H2043" s="27">
        <v>0</v>
      </c>
      <c r="I2043" s="27">
        <v>0</v>
      </c>
      <c r="J2043" s="27">
        <v>0</v>
      </c>
      <c r="K2043" s="27">
        <v>601</v>
      </c>
      <c r="L2043" s="27">
        <v>400</v>
      </c>
      <c r="M2043" s="27">
        <v>350</v>
      </c>
      <c r="N2043" s="27">
        <v>0</v>
      </c>
      <c r="O2043" s="27">
        <v>0</v>
      </c>
      <c r="P2043" s="27" t="s">
        <v>13</v>
      </c>
      <c r="Q2043" s="27">
        <v>1993</v>
      </c>
      <c r="R2043" s="27">
        <v>1</v>
      </c>
      <c r="S2043" s="27">
        <v>0</v>
      </c>
      <c r="T2043" s="27">
        <v>-1</v>
      </c>
      <c r="U2043" s="27">
        <v>-1</v>
      </c>
      <c r="V2043" s="27">
        <v>0</v>
      </c>
      <c r="W2043" s="27">
        <v>0</v>
      </c>
      <c r="X2043" s="27" t="s">
        <v>75</v>
      </c>
    </row>
    <row r="2044" spans="1:24">
      <c r="A2044" s="27">
        <v>6</v>
      </c>
      <c r="B2044" s="27">
        <v>3</v>
      </c>
      <c r="C2044" s="27">
        <v>5</v>
      </c>
      <c r="D2044" s="27">
        <v>2010</v>
      </c>
      <c r="E2044" s="27">
        <v>2050</v>
      </c>
      <c r="F2044" s="27">
        <v>8</v>
      </c>
      <c r="G2044" s="27">
        <v>0</v>
      </c>
      <c r="H2044" s="27">
        <v>0</v>
      </c>
      <c r="I2044" s="27">
        <v>0</v>
      </c>
      <c r="J2044" s="27">
        <v>0</v>
      </c>
      <c r="K2044" s="27">
        <v>601</v>
      </c>
      <c r="L2044" s="27">
        <v>400</v>
      </c>
      <c r="M2044" s="27">
        <v>350</v>
      </c>
      <c r="N2044" s="27">
        <v>0</v>
      </c>
      <c r="O2044" s="27">
        <v>0</v>
      </c>
      <c r="P2044" s="27" t="s">
        <v>13</v>
      </c>
      <c r="Q2044" s="27">
        <v>1993</v>
      </c>
      <c r="R2044" s="27">
        <v>1</v>
      </c>
      <c r="S2044" s="27">
        <v>0</v>
      </c>
      <c r="T2044" s="27">
        <v>-1</v>
      </c>
      <c r="U2044" s="27">
        <v>-1</v>
      </c>
      <c r="V2044" s="27">
        <v>0</v>
      </c>
      <c r="W2044" s="27">
        <v>0</v>
      </c>
      <c r="X2044" s="27" t="s">
        <v>75</v>
      </c>
    </row>
    <row r="2045" spans="1:24">
      <c r="A2045" s="27">
        <v>6</v>
      </c>
      <c r="B2045" s="27">
        <v>3</v>
      </c>
      <c r="C2045" s="27">
        <v>5</v>
      </c>
      <c r="D2045" s="27">
        <v>2010</v>
      </c>
      <c r="E2045" s="27">
        <v>2050</v>
      </c>
      <c r="F2045" s="27">
        <v>9</v>
      </c>
      <c r="G2045" s="27">
        <v>0</v>
      </c>
      <c r="H2045" s="27">
        <v>0</v>
      </c>
      <c r="I2045" s="27">
        <v>0</v>
      </c>
      <c r="J2045" s="27">
        <v>0</v>
      </c>
      <c r="K2045" s="27">
        <v>601</v>
      </c>
      <c r="L2045" s="27">
        <v>400</v>
      </c>
      <c r="M2045" s="27">
        <v>350</v>
      </c>
      <c r="N2045" s="27">
        <v>0</v>
      </c>
      <c r="O2045" s="27">
        <v>0</v>
      </c>
      <c r="P2045" s="27" t="s">
        <v>13</v>
      </c>
      <c r="Q2045" s="27">
        <v>1993</v>
      </c>
      <c r="R2045" s="27">
        <v>1</v>
      </c>
      <c r="S2045" s="27">
        <v>0</v>
      </c>
      <c r="T2045" s="27">
        <v>-1</v>
      </c>
      <c r="U2045" s="27">
        <v>-1</v>
      </c>
      <c r="V2045" s="27">
        <v>0</v>
      </c>
      <c r="W2045" s="27">
        <v>0</v>
      </c>
      <c r="X2045" s="27" t="s">
        <v>75</v>
      </c>
    </row>
    <row r="2046" spans="1:24">
      <c r="A2046" s="27">
        <v>6</v>
      </c>
      <c r="B2046" s="27">
        <v>3</v>
      </c>
      <c r="C2046" s="27">
        <v>6</v>
      </c>
      <c r="D2046" s="27">
        <v>2010</v>
      </c>
      <c r="E2046" s="27">
        <v>2050</v>
      </c>
      <c r="F2046" s="27">
        <v>1</v>
      </c>
      <c r="G2046" s="27">
        <v>0</v>
      </c>
      <c r="H2046" s="27">
        <v>0</v>
      </c>
      <c r="I2046" s="27">
        <v>0</v>
      </c>
      <c r="J2046" s="27">
        <v>0</v>
      </c>
      <c r="K2046" s="27">
        <v>601</v>
      </c>
      <c r="L2046" s="27">
        <v>400</v>
      </c>
      <c r="M2046" s="27">
        <v>350</v>
      </c>
      <c r="N2046" s="27">
        <v>0</v>
      </c>
      <c r="O2046" s="27">
        <v>0</v>
      </c>
      <c r="P2046" s="27" t="s">
        <v>13</v>
      </c>
      <c r="Q2046" s="27">
        <v>1993</v>
      </c>
      <c r="R2046" s="27">
        <v>1</v>
      </c>
      <c r="S2046" s="27">
        <v>0</v>
      </c>
      <c r="T2046" s="27">
        <v>-1.619E-2</v>
      </c>
      <c r="U2046" s="27">
        <v>-1.9519999999999999E-2</v>
      </c>
      <c r="V2046" s="27">
        <v>0</v>
      </c>
      <c r="W2046" s="27">
        <v>0</v>
      </c>
      <c r="X2046" s="27" t="s">
        <v>76</v>
      </c>
    </row>
    <row r="2047" spans="1:24">
      <c r="A2047" s="27">
        <v>6</v>
      </c>
      <c r="B2047" s="27">
        <v>3</v>
      </c>
      <c r="C2047" s="27">
        <v>6</v>
      </c>
      <c r="D2047" s="27">
        <v>2010</v>
      </c>
      <c r="E2047" s="27">
        <v>2050</v>
      </c>
      <c r="F2047" s="27">
        <v>2</v>
      </c>
      <c r="G2047" s="27">
        <v>0</v>
      </c>
      <c r="H2047" s="27">
        <v>0</v>
      </c>
      <c r="I2047" s="27">
        <v>0</v>
      </c>
      <c r="J2047" s="27">
        <v>0</v>
      </c>
      <c r="K2047" s="27">
        <v>601</v>
      </c>
      <c r="L2047" s="27">
        <v>400</v>
      </c>
      <c r="M2047" s="27">
        <v>350</v>
      </c>
      <c r="N2047" s="27">
        <v>0</v>
      </c>
      <c r="O2047" s="27">
        <v>0</v>
      </c>
      <c r="P2047" s="27" t="s">
        <v>13</v>
      </c>
      <c r="Q2047" s="27">
        <v>1993</v>
      </c>
      <c r="R2047" s="27">
        <v>1</v>
      </c>
      <c r="S2047" s="27">
        <v>0</v>
      </c>
      <c r="T2047" s="27">
        <v>-1.619E-2</v>
      </c>
      <c r="U2047" s="27">
        <v>-1.9519999999999999E-2</v>
      </c>
      <c r="V2047" s="27">
        <v>0</v>
      </c>
      <c r="W2047" s="27">
        <v>0</v>
      </c>
      <c r="X2047" s="27" t="s">
        <v>76</v>
      </c>
    </row>
    <row r="2048" spans="1:24">
      <c r="A2048" s="27">
        <v>6</v>
      </c>
      <c r="B2048" s="27">
        <v>3</v>
      </c>
      <c r="C2048" s="27">
        <v>6</v>
      </c>
      <c r="D2048" s="27">
        <v>2010</v>
      </c>
      <c r="E2048" s="27">
        <v>2050</v>
      </c>
      <c r="F2048" s="27">
        <v>3</v>
      </c>
      <c r="G2048" s="27">
        <v>0</v>
      </c>
      <c r="H2048" s="27">
        <v>0</v>
      </c>
      <c r="I2048" s="27">
        <v>0</v>
      </c>
      <c r="J2048" s="27">
        <v>0</v>
      </c>
      <c r="K2048" s="27">
        <v>601</v>
      </c>
      <c r="L2048" s="27">
        <v>400</v>
      </c>
      <c r="M2048" s="27">
        <v>350</v>
      </c>
      <c r="N2048" s="27">
        <v>0</v>
      </c>
      <c r="O2048" s="27">
        <v>0</v>
      </c>
      <c r="P2048" s="27" t="s">
        <v>13</v>
      </c>
      <c r="Q2048" s="27">
        <v>1993</v>
      </c>
      <c r="R2048" s="27">
        <v>1</v>
      </c>
      <c r="S2048" s="27">
        <v>0</v>
      </c>
      <c r="T2048" s="27">
        <v>-1.619E-2</v>
      </c>
      <c r="U2048" s="27">
        <v>-1.9519999999999999E-2</v>
      </c>
      <c r="V2048" s="27">
        <v>0</v>
      </c>
      <c r="W2048" s="27">
        <v>0</v>
      </c>
      <c r="X2048" s="27" t="s">
        <v>76</v>
      </c>
    </row>
    <row r="2049" spans="1:24">
      <c r="A2049" s="27">
        <v>6</v>
      </c>
      <c r="B2049" s="27">
        <v>3</v>
      </c>
      <c r="C2049" s="27">
        <v>6</v>
      </c>
      <c r="D2049" s="27">
        <v>2010</v>
      </c>
      <c r="E2049" s="27">
        <v>2050</v>
      </c>
      <c r="F2049" s="27">
        <v>4</v>
      </c>
      <c r="G2049" s="27">
        <v>0</v>
      </c>
      <c r="H2049" s="27">
        <v>0</v>
      </c>
      <c r="I2049" s="27">
        <v>0</v>
      </c>
      <c r="J2049" s="27">
        <v>0</v>
      </c>
      <c r="K2049" s="27">
        <v>601</v>
      </c>
      <c r="L2049" s="27">
        <v>400</v>
      </c>
      <c r="M2049" s="27">
        <v>350</v>
      </c>
      <c r="N2049" s="27">
        <v>0</v>
      </c>
      <c r="O2049" s="27">
        <v>0</v>
      </c>
      <c r="P2049" s="27" t="s">
        <v>13</v>
      </c>
      <c r="Q2049" s="27">
        <v>1993</v>
      </c>
      <c r="R2049" s="27">
        <v>1</v>
      </c>
      <c r="S2049" s="27">
        <v>0</v>
      </c>
      <c r="T2049" s="27">
        <v>-1.619E-2</v>
      </c>
      <c r="U2049" s="27">
        <v>-1.9519999999999999E-2</v>
      </c>
      <c r="V2049" s="27">
        <v>0</v>
      </c>
      <c r="W2049" s="27">
        <v>0</v>
      </c>
      <c r="X2049" s="27" t="s">
        <v>76</v>
      </c>
    </row>
    <row r="2050" spans="1:24">
      <c r="A2050" s="27">
        <v>6</v>
      </c>
      <c r="B2050" s="27">
        <v>3</v>
      </c>
      <c r="C2050" s="27">
        <v>6</v>
      </c>
      <c r="D2050" s="27">
        <v>2010</v>
      </c>
      <c r="E2050" s="27">
        <v>2050</v>
      </c>
      <c r="F2050" s="27">
        <v>5</v>
      </c>
      <c r="G2050" s="27">
        <v>0</v>
      </c>
      <c r="H2050" s="27">
        <v>0</v>
      </c>
      <c r="I2050" s="27">
        <v>0</v>
      </c>
      <c r="J2050" s="27">
        <v>0</v>
      </c>
      <c r="K2050" s="27">
        <v>601</v>
      </c>
      <c r="L2050" s="27">
        <v>400</v>
      </c>
      <c r="M2050" s="27">
        <v>350</v>
      </c>
      <c r="N2050" s="27">
        <v>0</v>
      </c>
      <c r="O2050" s="27">
        <v>0</v>
      </c>
      <c r="P2050" s="27" t="s">
        <v>13</v>
      </c>
      <c r="Q2050" s="27">
        <v>1993</v>
      </c>
      <c r="R2050" s="27">
        <v>1</v>
      </c>
      <c r="S2050" s="27">
        <v>0</v>
      </c>
      <c r="T2050" s="27">
        <v>-1.619E-2</v>
      </c>
      <c r="U2050" s="27">
        <v>-1.9519999999999999E-2</v>
      </c>
      <c r="V2050" s="27">
        <v>0</v>
      </c>
      <c r="W2050" s="27">
        <v>0</v>
      </c>
      <c r="X2050" s="27" t="s">
        <v>76</v>
      </c>
    </row>
    <row r="2051" spans="1:24">
      <c r="A2051" s="27">
        <v>6</v>
      </c>
      <c r="B2051" s="27">
        <v>3</v>
      </c>
      <c r="C2051" s="27">
        <v>6</v>
      </c>
      <c r="D2051" s="27">
        <v>2010</v>
      </c>
      <c r="E2051" s="27">
        <v>2050</v>
      </c>
      <c r="F2051" s="27">
        <v>6</v>
      </c>
      <c r="G2051" s="27">
        <v>0</v>
      </c>
      <c r="H2051" s="27">
        <v>0</v>
      </c>
      <c r="I2051" s="27">
        <v>0</v>
      </c>
      <c r="J2051" s="27">
        <v>0</v>
      </c>
      <c r="K2051" s="27">
        <v>601</v>
      </c>
      <c r="L2051" s="27">
        <v>400</v>
      </c>
      <c r="M2051" s="27">
        <v>350</v>
      </c>
      <c r="N2051" s="27">
        <v>0</v>
      </c>
      <c r="O2051" s="27">
        <v>0</v>
      </c>
      <c r="P2051" s="27" t="s">
        <v>13</v>
      </c>
      <c r="Q2051" s="27">
        <v>1993</v>
      </c>
      <c r="R2051" s="27">
        <v>1</v>
      </c>
      <c r="S2051" s="27">
        <v>0</v>
      </c>
      <c r="T2051" s="27">
        <v>-1.619E-2</v>
      </c>
      <c r="U2051" s="27">
        <v>-1.9519999999999999E-2</v>
      </c>
      <c r="V2051" s="27">
        <v>0</v>
      </c>
      <c r="W2051" s="27">
        <v>0</v>
      </c>
      <c r="X2051" s="27" t="s">
        <v>76</v>
      </c>
    </row>
    <row r="2052" spans="1:24">
      <c r="A2052" s="27">
        <v>6</v>
      </c>
      <c r="B2052" s="27">
        <v>3</v>
      </c>
      <c r="C2052" s="27">
        <v>6</v>
      </c>
      <c r="D2052" s="27">
        <v>2010</v>
      </c>
      <c r="E2052" s="27">
        <v>2050</v>
      </c>
      <c r="F2052" s="27">
        <v>7</v>
      </c>
      <c r="G2052" s="27">
        <v>0</v>
      </c>
      <c r="H2052" s="27">
        <v>0</v>
      </c>
      <c r="I2052" s="27">
        <v>0</v>
      </c>
      <c r="J2052" s="27">
        <v>0</v>
      </c>
      <c r="K2052" s="27">
        <v>601</v>
      </c>
      <c r="L2052" s="27">
        <v>400</v>
      </c>
      <c r="M2052" s="27">
        <v>350</v>
      </c>
      <c r="N2052" s="27">
        <v>0</v>
      </c>
      <c r="O2052" s="27">
        <v>0</v>
      </c>
      <c r="P2052" s="27" t="s">
        <v>13</v>
      </c>
      <c r="Q2052" s="27">
        <v>1993</v>
      </c>
      <c r="R2052" s="27">
        <v>1</v>
      </c>
      <c r="S2052" s="27">
        <v>0</v>
      </c>
      <c r="T2052" s="27">
        <v>-1.619E-2</v>
      </c>
      <c r="U2052" s="27">
        <v>-1.9519999999999999E-2</v>
      </c>
      <c r="V2052" s="27">
        <v>0</v>
      </c>
      <c r="W2052" s="27">
        <v>0</v>
      </c>
      <c r="X2052" s="27" t="s">
        <v>76</v>
      </c>
    </row>
    <row r="2053" spans="1:24">
      <c r="A2053" s="27">
        <v>6</v>
      </c>
      <c r="B2053" s="27">
        <v>3</v>
      </c>
      <c r="C2053" s="27">
        <v>6</v>
      </c>
      <c r="D2053" s="27">
        <v>2010</v>
      </c>
      <c r="E2053" s="27">
        <v>2050</v>
      </c>
      <c r="F2053" s="27">
        <v>8</v>
      </c>
      <c r="G2053" s="27">
        <v>0</v>
      </c>
      <c r="H2053" s="27">
        <v>0</v>
      </c>
      <c r="I2053" s="27">
        <v>0</v>
      </c>
      <c r="J2053" s="27">
        <v>0</v>
      </c>
      <c r="K2053" s="27">
        <v>601</v>
      </c>
      <c r="L2053" s="27">
        <v>400</v>
      </c>
      <c r="M2053" s="27">
        <v>350</v>
      </c>
      <c r="N2053" s="27">
        <v>0</v>
      </c>
      <c r="O2053" s="27">
        <v>0</v>
      </c>
      <c r="P2053" s="27" t="s">
        <v>13</v>
      </c>
      <c r="Q2053" s="27">
        <v>1993</v>
      </c>
      <c r="R2053" s="27">
        <v>1</v>
      </c>
      <c r="S2053" s="27">
        <v>0</v>
      </c>
      <c r="T2053" s="27">
        <v>-1.619E-2</v>
      </c>
      <c r="U2053" s="27">
        <v>-1.9519999999999999E-2</v>
      </c>
      <c r="V2053" s="27">
        <v>0</v>
      </c>
      <c r="W2053" s="27">
        <v>0</v>
      </c>
      <c r="X2053" s="27" t="s">
        <v>76</v>
      </c>
    </row>
    <row r="2054" spans="1:24">
      <c r="A2054" s="27">
        <v>6</v>
      </c>
      <c r="B2054" s="27">
        <v>3</v>
      </c>
      <c r="C2054" s="27">
        <v>6</v>
      </c>
      <c r="D2054" s="27">
        <v>2010</v>
      </c>
      <c r="E2054" s="27">
        <v>2050</v>
      </c>
      <c r="F2054" s="27">
        <v>9</v>
      </c>
      <c r="G2054" s="27">
        <v>0</v>
      </c>
      <c r="H2054" s="27">
        <v>0</v>
      </c>
      <c r="I2054" s="27">
        <v>0</v>
      </c>
      <c r="J2054" s="27">
        <v>0</v>
      </c>
      <c r="K2054" s="27">
        <v>601</v>
      </c>
      <c r="L2054" s="27">
        <v>400</v>
      </c>
      <c r="M2054" s="27">
        <v>350</v>
      </c>
      <c r="N2054" s="27">
        <v>0</v>
      </c>
      <c r="O2054" s="27">
        <v>0</v>
      </c>
      <c r="P2054" s="27" t="s">
        <v>13</v>
      </c>
      <c r="Q2054" s="27">
        <v>1993</v>
      </c>
      <c r="R2054" s="27">
        <v>1</v>
      </c>
      <c r="S2054" s="27">
        <v>0</v>
      </c>
      <c r="T2054" s="27">
        <v>-1.619E-2</v>
      </c>
      <c r="U2054" s="27">
        <v>-1.9519999999999999E-2</v>
      </c>
      <c r="V2054" s="27">
        <v>0</v>
      </c>
      <c r="W2054" s="27">
        <v>0</v>
      </c>
      <c r="X2054" s="27" t="s">
        <v>76</v>
      </c>
    </row>
    <row r="2055" spans="1:24">
      <c r="A2055" s="27">
        <v>7</v>
      </c>
      <c r="B2055" s="27">
        <v>1</v>
      </c>
      <c r="C2055" s="27">
        <v>1</v>
      </c>
      <c r="D2055" s="27">
        <v>2010</v>
      </c>
      <c r="E2055" s="27">
        <v>2014</v>
      </c>
      <c r="F2055" s="27">
        <v>1</v>
      </c>
      <c r="G2055" s="27">
        <v>0</v>
      </c>
      <c r="H2055" s="27">
        <v>0</v>
      </c>
      <c r="I2055" s="27">
        <v>0</v>
      </c>
      <c r="J2055" s="27">
        <v>0</v>
      </c>
      <c r="K2055" s="27">
        <v>0.78300000000000003</v>
      </c>
      <c r="L2055" s="27">
        <v>450</v>
      </c>
      <c r="M2055" s="27">
        <v>350</v>
      </c>
      <c r="N2055" s="27">
        <v>0</v>
      </c>
      <c r="O2055" s="27">
        <v>0</v>
      </c>
      <c r="P2055" s="27" t="s">
        <v>13</v>
      </c>
      <c r="Q2055" s="27">
        <v>1993</v>
      </c>
      <c r="R2055" s="27">
        <v>1</v>
      </c>
      <c r="S2055" s="27">
        <v>0</v>
      </c>
      <c r="T2055" s="27">
        <v>-4.65E-2</v>
      </c>
      <c r="U2055" s="27">
        <v>-0.1</v>
      </c>
      <c r="V2055" s="27">
        <v>0</v>
      </c>
      <c r="W2055" s="27">
        <v>0</v>
      </c>
      <c r="X2055" s="27" t="s">
        <v>77</v>
      </c>
    </row>
    <row r="2056" spans="1:24">
      <c r="A2056" s="27">
        <v>7</v>
      </c>
      <c r="B2056" s="27">
        <v>1</v>
      </c>
      <c r="C2056" s="27">
        <v>1</v>
      </c>
      <c r="D2056" s="27">
        <v>2010</v>
      </c>
      <c r="E2056" s="27">
        <v>2014</v>
      </c>
      <c r="F2056" s="27">
        <v>2</v>
      </c>
      <c r="G2056" s="27">
        <v>0</v>
      </c>
      <c r="H2056" s="27">
        <v>0</v>
      </c>
      <c r="I2056" s="27">
        <v>0</v>
      </c>
      <c r="J2056" s="27">
        <v>0</v>
      </c>
      <c r="K2056" s="27">
        <v>0.78300000000000003</v>
      </c>
      <c r="L2056" s="27">
        <v>450</v>
      </c>
      <c r="M2056" s="27">
        <v>350</v>
      </c>
      <c r="N2056" s="27">
        <v>0</v>
      </c>
      <c r="O2056" s="27">
        <v>0</v>
      </c>
      <c r="P2056" s="27" t="s">
        <v>13</v>
      </c>
      <c r="Q2056" s="27">
        <v>1993</v>
      </c>
      <c r="R2056" s="27">
        <v>1</v>
      </c>
      <c r="S2056" s="27">
        <v>0</v>
      </c>
      <c r="T2056" s="27">
        <v>-4.65E-2</v>
      </c>
      <c r="U2056" s="27">
        <v>-0.1</v>
      </c>
      <c r="V2056" s="27">
        <v>0</v>
      </c>
      <c r="W2056" s="27">
        <v>0</v>
      </c>
      <c r="X2056" s="27" t="s">
        <v>77</v>
      </c>
    </row>
    <row r="2057" spans="1:24">
      <c r="A2057" s="27">
        <v>7</v>
      </c>
      <c r="B2057" s="27">
        <v>1</v>
      </c>
      <c r="C2057" s="27">
        <v>1</v>
      </c>
      <c r="D2057" s="27">
        <v>2010</v>
      </c>
      <c r="E2057" s="27">
        <v>2014</v>
      </c>
      <c r="F2057" s="27">
        <v>3</v>
      </c>
      <c r="G2057" s="27">
        <v>0</v>
      </c>
      <c r="H2057" s="27">
        <v>0</v>
      </c>
      <c r="I2057" s="27">
        <v>0</v>
      </c>
      <c r="J2057" s="27">
        <v>0</v>
      </c>
      <c r="K2057" s="27">
        <v>0.78300000000000003</v>
      </c>
      <c r="L2057" s="27">
        <v>450</v>
      </c>
      <c r="M2057" s="27">
        <v>350</v>
      </c>
      <c r="N2057" s="27">
        <v>0</v>
      </c>
      <c r="O2057" s="27">
        <v>0</v>
      </c>
      <c r="P2057" s="27" t="s">
        <v>13</v>
      </c>
      <c r="Q2057" s="27">
        <v>1993</v>
      </c>
      <c r="R2057" s="27">
        <v>1</v>
      </c>
      <c r="S2057" s="27">
        <v>0</v>
      </c>
      <c r="T2057" s="27">
        <v>-4.65E-2</v>
      </c>
      <c r="U2057" s="27">
        <v>-0.1</v>
      </c>
      <c r="V2057" s="27">
        <v>0</v>
      </c>
      <c r="W2057" s="27">
        <v>0</v>
      </c>
      <c r="X2057" s="27" t="s">
        <v>77</v>
      </c>
    </row>
    <row r="2058" spans="1:24">
      <c r="A2058" s="27">
        <v>7</v>
      </c>
      <c r="B2058" s="27">
        <v>1</v>
      </c>
      <c r="C2058" s="27">
        <v>1</v>
      </c>
      <c r="D2058" s="27">
        <v>2010</v>
      </c>
      <c r="E2058" s="27">
        <v>2014</v>
      </c>
      <c r="F2058" s="27">
        <v>4</v>
      </c>
      <c r="G2058" s="27">
        <v>0</v>
      </c>
      <c r="H2058" s="27">
        <v>0</v>
      </c>
      <c r="I2058" s="27">
        <v>0</v>
      </c>
      <c r="J2058" s="27">
        <v>0</v>
      </c>
      <c r="K2058" s="27">
        <v>0.78300000000000003</v>
      </c>
      <c r="L2058" s="27">
        <v>450</v>
      </c>
      <c r="M2058" s="27">
        <v>350</v>
      </c>
      <c r="N2058" s="27">
        <v>0</v>
      </c>
      <c r="O2058" s="27">
        <v>0</v>
      </c>
      <c r="P2058" s="27" t="s">
        <v>13</v>
      </c>
      <c r="Q2058" s="27">
        <v>1993</v>
      </c>
      <c r="R2058" s="27">
        <v>1</v>
      </c>
      <c r="S2058" s="27">
        <v>0</v>
      </c>
      <c r="T2058" s="27">
        <v>-4.65E-2</v>
      </c>
      <c r="U2058" s="27">
        <v>-0.1</v>
      </c>
      <c r="V2058" s="27">
        <v>0</v>
      </c>
      <c r="W2058" s="27">
        <v>0</v>
      </c>
      <c r="X2058" s="27" t="s">
        <v>77</v>
      </c>
    </row>
    <row r="2059" spans="1:24">
      <c r="A2059" s="27">
        <v>7</v>
      </c>
      <c r="B2059" s="27">
        <v>1</v>
      </c>
      <c r="C2059" s="27">
        <v>1</v>
      </c>
      <c r="D2059" s="27">
        <v>2010</v>
      </c>
      <c r="E2059" s="27">
        <v>2014</v>
      </c>
      <c r="F2059" s="27">
        <v>5</v>
      </c>
      <c r="G2059" s="27">
        <v>0</v>
      </c>
      <c r="H2059" s="27">
        <v>0</v>
      </c>
      <c r="I2059" s="27">
        <v>0</v>
      </c>
      <c r="J2059" s="27">
        <v>0</v>
      </c>
      <c r="K2059" s="27">
        <v>0.78300000000000003</v>
      </c>
      <c r="L2059" s="27">
        <v>450</v>
      </c>
      <c r="M2059" s="27">
        <v>350</v>
      </c>
      <c r="N2059" s="27">
        <v>0</v>
      </c>
      <c r="O2059" s="27">
        <v>0</v>
      </c>
      <c r="P2059" s="27" t="s">
        <v>13</v>
      </c>
      <c r="Q2059" s="27">
        <v>1993</v>
      </c>
      <c r="R2059" s="27">
        <v>1</v>
      </c>
      <c r="S2059" s="27">
        <v>0</v>
      </c>
      <c r="T2059" s="27">
        <v>-4.65E-2</v>
      </c>
      <c r="U2059" s="27">
        <v>-0.1</v>
      </c>
      <c r="V2059" s="27">
        <v>0</v>
      </c>
      <c r="W2059" s="27">
        <v>0</v>
      </c>
      <c r="X2059" s="27" t="s">
        <v>77</v>
      </c>
    </row>
    <row r="2060" spans="1:24">
      <c r="A2060" s="27">
        <v>7</v>
      </c>
      <c r="B2060" s="27">
        <v>1</v>
      </c>
      <c r="C2060" s="27">
        <v>1</v>
      </c>
      <c r="D2060" s="27">
        <v>2010</v>
      </c>
      <c r="E2060" s="27">
        <v>2014</v>
      </c>
      <c r="F2060" s="27">
        <v>6</v>
      </c>
      <c r="G2060" s="27">
        <v>0</v>
      </c>
      <c r="H2060" s="27">
        <v>0</v>
      </c>
      <c r="I2060" s="27">
        <v>0</v>
      </c>
      <c r="J2060" s="27">
        <v>0</v>
      </c>
      <c r="K2060" s="27">
        <v>0.78300000000000003</v>
      </c>
      <c r="L2060" s="27">
        <v>450</v>
      </c>
      <c r="M2060" s="27">
        <v>350</v>
      </c>
      <c r="N2060" s="27">
        <v>0</v>
      </c>
      <c r="O2060" s="27">
        <v>0</v>
      </c>
      <c r="P2060" s="27" t="s">
        <v>13</v>
      </c>
      <c r="Q2060" s="27">
        <v>1993</v>
      </c>
      <c r="R2060" s="27">
        <v>1</v>
      </c>
      <c r="S2060" s="27">
        <v>0</v>
      </c>
      <c r="T2060" s="27">
        <v>-4.65E-2</v>
      </c>
      <c r="U2060" s="27">
        <v>-0.1</v>
      </c>
      <c r="V2060" s="27">
        <v>0</v>
      </c>
      <c r="W2060" s="27">
        <v>0</v>
      </c>
      <c r="X2060" s="27" t="s">
        <v>77</v>
      </c>
    </row>
    <row r="2061" spans="1:24">
      <c r="A2061" s="27">
        <v>7</v>
      </c>
      <c r="B2061" s="27">
        <v>1</v>
      </c>
      <c r="C2061" s="27">
        <v>1</v>
      </c>
      <c r="D2061" s="27">
        <v>2010</v>
      </c>
      <c r="E2061" s="27">
        <v>2014</v>
      </c>
      <c r="F2061" s="27">
        <v>7</v>
      </c>
      <c r="G2061" s="27">
        <v>0</v>
      </c>
      <c r="H2061" s="27">
        <v>0</v>
      </c>
      <c r="I2061" s="27">
        <v>0</v>
      </c>
      <c r="J2061" s="27">
        <v>0</v>
      </c>
      <c r="K2061" s="27">
        <v>0.78300000000000003</v>
      </c>
      <c r="L2061" s="27">
        <v>450</v>
      </c>
      <c r="M2061" s="27">
        <v>350</v>
      </c>
      <c r="N2061" s="27">
        <v>0</v>
      </c>
      <c r="O2061" s="27">
        <v>0</v>
      </c>
      <c r="P2061" s="27" t="s">
        <v>13</v>
      </c>
      <c r="Q2061" s="27">
        <v>1993</v>
      </c>
      <c r="R2061" s="27">
        <v>1</v>
      </c>
      <c r="S2061" s="27">
        <v>0</v>
      </c>
      <c r="T2061" s="27">
        <v>-4.65E-2</v>
      </c>
      <c r="U2061" s="27">
        <v>-0.1</v>
      </c>
      <c r="V2061" s="27">
        <v>0</v>
      </c>
      <c r="W2061" s="27">
        <v>0</v>
      </c>
      <c r="X2061" s="27" t="s">
        <v>77</v>
      </c>
    </row>
    <row r="2062" spans="1:24">
      <c r="A2062" s="27">
        <v>7</v>
      </c>
      <c r="B2062" s="27">
        <v>1</v>
      </c>
      <c r="C2062" s="27">
        <v>1</v>
      </c>
      <c r="D2062" s="27">
        <v>2010</v>
      </c>
      <c r="E2062" s="27">
        <v>2014</v>
      </c>
      <c r="F2062" s="27">
        <v>8</v>
      </c>
      <c r="G2062" s="27">
        <v>0</v>
      </c>
      <c r="H2062" s="27">
        <v>0</v>
      </c>
      <c r="I2062" s="27">
        <v>0</v>
      </c>
      <c r="J2062" s="27">
        <v>0</v>
      </c>
      <c r="K2062" s="27">
        <v>0.78300000000000003</v>
      </c>
      <c r="L2062" s="27">
        <v>450</v>
      </c>
      <c r="M2062" s="27">
        <v>350</v>
      </c>
      <c r="N2062" s="27">
        <v>0</v>
      </c>
      <c r="O2062" s="27">
        <v>0</v>
      </c>
      <c r="P2062" s="27" t="s">
        <v>13</v>
      </c>
      <c r="Q2062" s="27">
        <v>1993</v>
      </c>
      <c r="R2062" s="27">
        <v>1</v>
      </c>
      <c r="S2062" s="27">
        <v>0</v>
      </c>
      <c r="T2062" s="27">
        <v>-4.65E-2</v>
      </c>
      <c r="U2062" s="27">
        <v>-0.1</v>
      </c>
      <c r="V2062" s="27">
        <v>0</v>
      </c>
      <c r="W2062" s="27">
        <v>0</v>
      </c>
      <c r="X2062" s="27" t="s">
        <v>77</v>
      </c>
    </row>
    <row r="2063" spans="1:24">
      <c r="A2063" s="27">
        <v>7</v>
      </c>
      <c r="B2063" s="27">
        <v>1</v>
      </c>
      <c r="C2063" s="27">
        <v>1</v>
      </c>
      <c r="D2063" s="27">
        <v>2010</v>
      </c>
      <c r="E2063" s="27">
        <v>2014</v>
      </c>
      <c r="F2063" s="27">
        <v>9</v>
      </c>
      <c r="G2063" s="27">
        <v>0</v>
      </c>
      <c r="H2063" s="27">
        <v>0</v>
      </c>
      <c r="I2063" s="27">
        <v>0</v>
      </c>
      <c r="J2063" s="27">
        <v>0</v>
      </c>
      <c r="K2063" s="27">
        <v>0.78300000000000003</v>
      </c>
      <c r="L2063" s="27">
        <v>450</v>
      </c>
      <c r="M2063" s="27">
        <v>350</v>
      </c>
      <c r="N2063" s="27">
        <v>0</v>
      </c>
      <c r="O2063" s="27">
        <v>0</v>
      </c>
      <c r="P2063" s="27" t="s">
        <v>13</v>
      </c>
      <c r="Q2063" s="27">
        <v>1993</v>
      </c>
      <c r="R2063" s="27">
        <v>1</v>
      </c>
      <c r="S2063" s="27">
        <v>0</v>
      </c>
      <c r="T2063" s="27">
        <v>-4.65E-2</v>
      </c>
      <c r="U2063" s="27">
        <v>-0.1</v>
      </c>
      <c r="V2063" s="27">
        <v>0</v>
      </c>
      <c r="W2063" s="27">
        <v>0</v>
      </c>
      <c r="X2063" s="27" t="s">
        <v>77</v>
      </c>
    </row>
    <row r="2064" spans="1:24">
      <c r="A2064" s="27">
        <v>7</v>
      </c>
      <c r="B2064" s="27">
        <v>1</v>
      </c>
      <c r="C2064" s="27">
        <v>1</v>
      </c>
      <c r="D2064" s="27">
        <v>2015</v>
      </c>
      <c r="E2064" s="27">
        <v>2050</v>
      </c>
      <c r="F2064" s="27">
        <v>1</v>
      </c>
      <c r="G2064" s="27">
        <v>0</v>
      </c>
      <c r="H2064" s="27">
        <v>0</v>
      </c>
      <c r="I2064" s="27">
        <v>0</v>
      </c>
      <c r="J2064" s="27">
        <v>0</v>
      </c>
      <c r="K2064" s="27">
        <v>0.82399999999999995</v>
      </c>
      <c r="L2064" s="27">
        <v>500</v>
      </c>
      <c r="M2064" s="27">
        <v>400</v>
      </c>
      <c r="N2064" s="27">
        <v>0</v>
      </c>
      <c r="O2064" s="27">
        <v>0</v>
      </c>
      <c r="P2064" s="27" t="s">
        <v>13</v>
      </c>
      <c r="Q2064" s="27">
        <v>1993</v>
      </c>
      <c r="R2064" s="27">
        <v>1</v>
      </c>
      <c r="S2064" s="27">
        <v>0</v>
      </c>
      <c r="T2064" s="27">
        <v>-4.65E-2</v>
      </c>
      <c r="U2064" s="27">
        <v>-0.1</v>
      </c>
      <c r="V2064" s="27">
        <v>0</v>
      </c>
      <c r="W2064" s="27">
        <v>0</v>
      </c>
      <c r="X2064" s="27" t="s">
        <v>77</v>
      </c>
    </row>
    <row r="2065" spans="1:24">
      <c r="A2065" s="27">
        <v>7</v>
      </c>
      <c r="B2065" s="27">
        <v>1</v>
      </c>
      <c r="C2065" s="27">
        <v>1</v>
      </c>
      <c r="D2065" s="27">
        <v>2015</v>
      </c>
      <c r="E2065" s="27">
        <v>2050</v>
      </c>
      <c r="F2065" s="27">
        <v>2</v>
      </c>
      <c r="G2065" s="27">
        <v>0</v>
      </c>
      <c r="H2065" s="27">
        <v>0</v>
      </c>
      <c r="I2065" s="27">
        <v>0</v>
      </c>
      <c r="J2065" s="27">
        <v>0</v>
      </c>
      <c r="K2065" s="27">
        <v>0.82399999999999995</v>
      </c>
      <c r="L2065" s="27">
        <v>500</v>
      </c>
      <c r="M2065" s="27">
        <v>400</v>
      </c>
      <c r="N2065" s="27">
        <v>0</v>
      </c>
      <c r="O2065" s="27">
        <v>0</v>
      </c>
      <c r="P2065" s="27" t="s">
        <v>13</v>
      </c>
      <c r="Q2065" s="27">
        <v>1993</v>
      </c>
      <c r="R2065" s="27">
        <v>1</v>
      </c>
      <c r="S2065" s="27">
        <v>0</v>
      </c>
      <c r="T2065" s="27">
        <v>-4.65E-2</v>
      </c>
      <c r="U2065" s="27">
        <v>-0.1</v>
      </c>
      <c r="V2065" s="27">
        <v>0</v>
      </c>
      <c r="W2065" s="27">
        <v>0</v>
      </c>
      <c r="X2065" s="27" t="s">
        <v>77</v>
      </c>
    </row>
    <row r="2066" spans="1:24">
      <c r="A2066" s="27">
        <v>7</v>
      </c>
      <c r="B2066" s="27">
        <v>1</v>
      </c>
      <c r="C2066" s="27">
        <v>1</v>
      </c>
      <c r="D2066" s="27">
        <v>2015</v>
      </c>
      <c r="E2066" s="27">
        <v>2050</v>
      </c>
      <c r="F2066" s="27">
        <v>3</v>
      </c>
      <c r="G2066" s="27">
        <v>0</v>
      </c>
      <c r="H2066" s="27">
        <v>0</v>
      </c>
      <c r="I2066" s="27">
        <v>0</v>
      </c>
      <c r="J2066" s="27">
        <v>0</v>
      </c>
      <c r="K2066" s="27">
        <v>0.82399999999999995</v>
      </c>
      <c r="L2066" s="27">
        <v>500</v>
      </c>
      <c r="M2066" s="27">
        <v>400</v>
      </c>
      <c r="N2066" s="27">
        <v>0</v>
      </c>
      <c r="O2066" s="27">
        <v>0</v>
      </c>
      <c r="P2066" s="27" t="s">
        <v>13</v>
      </c>
      <c r="Q2066" s="27">
        <v>1993</v>
      </c>
      <c r="R2066" s="27">
        <v>1</v>
      </c>
      <c r="S2066" s="27">
        <v>0</v>
      </c>
      <c r="T2066" s="27">
        <v>-4.65E-2</v>
      </c>
      <c r="U2066" s="27">
        <v>-0.1</v>
      </c>
      <c r="V2066" s="27">
        <v>0</v>
      </c>
      <c r="W2066" s="27">
        <v>0</v>
      </c>
      <c r="X2066" s="27" t="s">
        <v>77</v>
      </c>
    </row>
    <row r="2067" spans="1:24">
      <c r="A2067" s="27">
        <v>7</v>
      </c>
      <c r="B2067" s="27">
        <v>1</v>
      </c>
      <c r="C2067" s="27">
        <v>1</v>
      </c>
      <c r="D2067" s="27">
        <v>2015</v>
      </c>
      <c r="E2067" s="27">
        <v>2050</v>
      </c>
      <c r="F2067" s="27">
        <v>4</v>
      </c>
      <c r="G2067" s="27">
        <v>0</v>
      </c>
      <c r="H2067" s="27">
        <v>0</v>
      </c>
      <c r="I2067" s="27">
        <v>0</v>
      </c>
      <c r="J2067" s="27">
        <v>0</v>
      </c>
      <c r="K2067" s="27">
        <v>0.82399999999999995</v>
      </c>
      <c r="L2067" s="27">
        <v>500</v>
      </c>
      <c r="M2067" s="27">
        <v>400</v>
      </c>
      <c r="N2067" s="27">
        <v>0</v>
      </c>
      <c r="O2067" s="27">
        <v>0</v>
      </c>
      <c r="P2067" s="27" t="s">
        <v>13</v>
      </c>
      <c r="Q2067" s="27">
        <v>1993</v>
      </c>
      <c r="R2067" s="27">
        <v>1</v>
      </c>
      <c r="S2067" s="27">
        <v>0</v>
      </c>
      <c r="T2067" s="27">
        <v>-4.65E-2</v>
      </c>
      <c r="U2067" s="27">
        <v>-0.1</v>
      </c>
      <c r="V2067" s="27">
        <v>0</v>
      </c>
      <c r="W2067" s="27">
        <v>0</v>
      </c>
      <c r="X2067" s="27" t="s">
        <v>77</v>
      </c>
    </row>
    <row r="2068" spans="1:24">
      <c r="A2068" s="27">
        <v>7</v>
      </c>
      <c r="B2068" s="27">
        <v>1</v>
      </c>
      <c r="C2068" s="27">
        <v>1</v>
      </c>
      <c r="D2068" s="27">
        <v>2015</v>
      </c>
      <c r="E2068" s="27">
        <v>2050</v>
      </c>
      <c r="F2068" s="27">
        <v>5</v>
      </c>
      <c r="G2068" s="27">
        <v>0</v>
      </c>
      <c r="H2068" s="27">
        <v>0</v>
      </c>
      <c r="I2068" s="27">
        <v>0</v>
      </c>
      <c r="J2068" s="27">
        <v>0</v>
      </c>
      <c r="K2068" s="27">
        <v>0.82399999999999995</v>
      </c>
      <c r="L2068" s="27">
        <v>500</v>
      </c>
      <c r="M2068" s="27">
        <v>400</v>
      </c>
      <c r="N2068" s="27">
        <v>0</v>
      </c>
      <c r="O2068" s="27">
        <v>0</v>
      </c>
      <c r="P2068" s="27" t="s">
        <v>13</v>
      </c>
      <c r="Q2068" s="27">
        <v>1993</v>
      </c>
      <c r="R2068" s="27">
        <v>1</v>
      </c>
      <c r="S2068" s="27">
        <v>0</v>
      </c>
      <c r="T2068" s="27">
        <v>-4.65E-2</v>
      </c>
      <c r="U2068" s="27">
        <v>-0.1</v>
      </c>
      <c r="V2068" s="27">
        <v>0</v>
      </c>
      <c r="W2068" s="27">
        <v>0</v>
      </c>
      <c r="X2068" s="27" t="s">
        <v>77</v>
      </c>
    </row>
    <row r="2069" spans="1:24">
      <c r="A2069" s="27">
        <v>7</v>
      </c>
      <c r="B2069" s="27">
        <v>1</v>
      </c>
      <c r="C2069" s="27">
        <v>1</v>
      </c>
      <c r="D2069" s="27">
        <v>2015</v>
      </c>
      <c r="E2069" s="27">
        <v>2050</v>
      </c>
      <c r="F2069" s="27">
        <v>6</v>
      </c>
      <c r="G2069" s="27">
        <v>0</v>
      </c>
      <c r="H2069" s="27">
        <v>0</v>
      </c>
      <c r="I2069" s="27">
        <v>0</v>
      </c>
      <c r="J2069" s="27">
        <v>0</v>
      </c>
      <c r="K2069" s="27">
        <v>0.82399999999999995</v>
      </c>
      <c r="L2069" s="27">
        <v>500</v>
      </c>
      <c r="M2069" s="27">
        <v>400</v>
      </c>
      <c r="N2069" s="27">
        <v>0</v>
      </c>
      <c r="O2069" s="27">
        <v>0</v>
      </c>
      <c r="P2069" s="27" t="s">
        <v>13</v>
      </c>
      <c r="Q2069" s="27">
        <v>1993</v>
      </c>
      <c r="R2069" s="27">
        <v>1</v>
      </c>
      <c r="S2069" s="27">
        <v>0</v>
      </c>
      <c r="T2069" s="27">
        <v>-4.65E-2</v>
      </c>
      <c r="U2069" s="27">
        <v>-0.1</v>
      </c>
      <c r="V2069" s="27">
        <v>0</v>
      </c>
      <c r="W2069" s="27">
        <v>0</v>
      </c>
      <c r="X2069" s="27" t="s">
        <v>77</v>
      </c>
    </row>
    <row r="2070" spans="1:24">
      <c r="A2070" s="27">
        <v>7</v>
      </c>
      <c r="B2070" s="27">
        <v>1</v>
      </c>
      <c r="C2070" s="27">
        <v>1</v>
      </c>
      <c r="D2070" s="27">
        <v>2015</v>
      </c>
      <c r="E2070" s="27">
        <v>2050</v>
      </c>
      <c r="F2070" s="27">
        <v>7</v>
      </c>
      <c r="G2070" s="27">
        <v>0</v>
      </c>
      <c r="H2070" s="27">
        <v>0</v>
      </c>
      <c r="I2070" s="27">
        <v>0</v>
      </c>
      <c r="J2070" s="27">
        <v>0</v>
      </c>
      <c r="K2070" s="27">
        <v>0.82399999999999995</v>
      </c>
      <c r="L2070" s="27">
        <v>500</v>
      </c>
      <c r="M2070" s="27">
        <v>400</v>
      </c>
      <c r="N2070" s="27">
        <v>0</v>
      </c>
      <c r="O2070" s="27">
        <v>0</v>
      </c>
      <c r="P2070" s="27" t="s">
        <v>13</v>
      </c>
      <c r="Q2070" s="27">
        <v>1993</v>
      </c>
      <c r="R2070" s="27">
        <v>1</v>
      </c>
      <c r="S2070" s="27">
        <v>0</v>
      </c>
      <c r="T2070" s="27">
        <v>-4.65E-2</v>
      </c>
      <c r="U2070" s="27">
        <v>-0.1</v>
      </c>
      <c r="V2070" s="27">
        <v>0</v>
      </c>
      <c r="W2070" s="27">
        <v>0</v>
      </c>
      <c r="X2070" s="27" t="s">
        <v>77</v>
      </c>
    </row>
    <row r="2071" spans="1:24">
      <c r="A2071" s="27">
        <v>7</v>
      </c>
      <c r="B2071" s="27">
        <v>1</v>
      </c>
      <c r="C2071" s="27">
        <v>1</v>
      </c>
      <c r="D2071" s="27">
        <v>2015</v>
      </c>
      <c r="E2071" s="27">
        <v>2050</v>
      </c>
      <c r="F2071" s="27">
        <v>8</v>
      </c>
      <c r="G2071" s="27">
        <v>0</v>
      </c>
      <c r="H2071" s="27">
        <v>0</v>
      </c>
      <c r="I2071" s="27">
        <v>0</v>
      </c>
      <c r="J2071" s="27">
        <v>0</v>
      </c>
      <c r="K2071" s="27">
        <v>0.82399999999999995</v>
      </c>
      <c r="L2071" s="27">
        <v>500</v>
      </c>
      <c r="M2071" s="27">
        <v>400</v>
      </c>
      <c r="N2071" s="27">
        <v>0</v>
      </c>
      <c r="O2071" s="27">
        <v>0</v>
      </c>
      <c r="P2071" s="27" t="s">
        <v>13</v>
      </c>
      <c r="Q2071" s="27">
        <v>1993</v>
      </c>
      <c r="R2071" s="27">
        <v>1</v>
      </c>
      <c r="S2071" s="27">
        <v>0</v>
      </c>
      <c r="T2071" s="27">
        <v>-4.65E-2</v>
      </c>
      <c r="U2071" s="27">
        <v>-0.1</v>
      </c>
      <c r="V2071" s="27">
        <v>0</v>
      </c>
      <c r="W2071" s="27">
        <v>0</v>
      </c>
      <c r="X2071" s="27" t="s">
        <v>77</v>
      </c>
    </row>
    <row r="2072" spans="1:24">
      <c r="A2072" s="27">
        <v>7</v>
      </c>
      <c r="B2072" s="27">
        <v>1</v>
      </c>
      <c r="C2072" s="27">
        <v>1</v>
      </c>
      <c r="D2072" s="27">
        <v>2015</v>
      </c>
      <c r="E2072" s="27">
        <v>2050</v>
      </c>
      <c r="F2072" s="27">
        <v>9</v>
      </c>
      <c r="G2072" s="27">
        <v>0</v>
      </c>
      <c r="H2072" s="27">
        <v>0</v>
      </c>
      <c r="I2072" s="27">
        <v>0</v>
      </c>
      <c r="J2072" s="27">
        <v>0</v>
      </c>
      <c r="K2072" s="27">
        <v>0.82399999999999995</v>
      </c>
      <c r="L2072" s="27">
        <v>500</v>
      </c>
      <c r="M2072" s="27">
        <v>400</v>
      </c>
      <c r="N2072" s="27">
        <v>0</v>
      </c>
      <c r="O2072" s="27">
        <v>0</v>
      </c>
      <c r="P2072" s="27" t="s">
        <v>13</v>
      </c>
      <c r="Q2072" s="27">
        <v>1993</v>
      </c>
      <c r="R2072" s="27">
        <v>1</v>
      </c>
      <c r="S2072" s="27">
        <v>0</v>
      </c>
      <c r="T2072" s="27">
        <v>-4.65E-2</v>
      </c>
      <c r="U2072" s="27">
        <v>-0.1</v>
      </c>
      <c r="V2072" s="27">
        <v>0</v>
      </c>
      <c r="W2072" s="27">
        <v>0</v>
      </c>
      <c r="X2072" s="27" t="s">
        <v>77</v>
      </c>
    </row>
    <row r="2073" spans="1:24">
      <c r="A2073" s="27">
        <v>7</v>
      </c>
      <c r="B2073" s="27">
        <v>1</v>
      </c>
      <c r="C2073" s="27">
        <v>2</v>
      </c>
      <c r="D2073" s="27">
        <v>2010</v>
      </c>
      <c r="E2073" s="27">
        <v>2014</v>
      </c>
      <c r="F2073" s="27">
        <v>1</v>
      </c>
      <c r="G2073" s="27">
        <v>0</v>
      </c>
      <c r="H2073" s="27">
        <v>0</v>
      </c>
      <c r="I2073" s="27">
        <v>0</v>
      </c>
      <c r="J2073" s="27">
        <v>0</v>
      </c>
      <c r="K2073" s="27">
        <v>0.82399999999999995</v>
      </c>
      <c r="L2073" s="27">
        <v>500</v>
      </c>
      <c r="M2073" s="27">
        <v>400</v>
      </c>
      <c r="N2073" s="27">
        <v>0</v>
      </c>
      <c r="O2073" s="27">
        <v>0</v>
      </c>
      <c r="P2073" s="27" t="s">
        <v>13</v>
      </c>
      <c r="Q2073" s="27">
        <v>1993</v>
      </c>
      <c r="R2073" s="27">
        <v>1</v>
      </c>
      <c r="S2073" s="27">
        <v>0</v>
      </c>
      <c r="T2073" s="27">
        <v>-4.65E-2</v>
      </c>
      <c r="U2073" s="27">
        <v>-0.1</v>
      </c>
      <c r="V2073" s="27">
        <v>0</v>
      </c>
      <c r="W2073" s="27">
        <v>0</v>
      </c>
      <c r="X2073" s="27" t="s">
        <v>78</v>
      </c>
    </row>
    <row r="2074" spans="1:24">
      <c r="A2074" s="27">
        <v>7</v>
      </c>
      <c r="B2074" s="27">
        <v>1</v>
      </c>
      <c r="C2074" s="27">
        <v>2</v>
      </c>
      <c r="D2074" s="27">
        <v>2010</v>
      </c>
      <c r="E2074" s="27">
        <v>2014</v>
      </c>
      <c r="F2074" s="27">
        <v>2</v>
      </c>
      <c r="G2074" s="27">
        <v>0</v>
      </c>
      <c r="H2074" s="27">
        <v>0</v>
      </c>
      <c r="I2074" s="27">
        <v>0</v>
      </c>
      <c r="J2074" s="27">
        <v>0</v>
      </c>
      <c r="K2074" s="27">
        <v>0.82399999999999995</v>
      </c>
      <c r="L2074" s="27">
        <v>500</v>
      </c>
      <c r="M2074" s="27">
        <v>400</v>
      </c>
      <c r="N2074" s="27">
        <v>0</v>
      </c>
      <c r="O2074" s="27">
        <v>0</v>
      </c>
      <c r="P2074" s="27" t="s">
        <v>13</v>
      </c>
      <c r="Q2074" s="27">
        <v>1993</v>
      </c>
      <c r="R2074" s="27">
        <v>1</v>
      </c>
      <c r="S2074" s="27">
        <v>0</v>
      </c>
      <c r="T2074" s="27">
        <v>-4.65E-2</v>
      </c>
      <c r="U2074" s="27">
        <v>-0.1</v>
      </c>
      <c r="V2074" s="27">
        <v>0</v>
      </c>
      <c r="W2074" s="27">
        <v>0</v>
      </c>
      <c r="X2074" s="27" t="s">
        <v>78</v>
      </c>
    </row>
    <row r="2075" spans="1:24">
      <c r="A2075" s="27">
        <v>7</v>
      </c>
      <c r="B2075" s="27">
        <v>1</v>
      </c>
      <c r="C2075" s="27">
        <v>2</v>
      </c>
      <c r="D2075" s="27">
        <v>2010</v>
      </c>
      <c r="E2075" s="27">
        <v>2014</v>
      </c>
      <c r="F2075" s="27">
        <v>3</v>
      </c>
      <c r="G2075" s="27">
        <v>0</v>
      </c>
      <c r="H2075" s="27">
        <v>0</v>
      </c>
      <c r="I2075" s="27">
        <v>0</v>
      </c>
      <c r="J2075" s="27">
        <v>0</v>
      </c>
      <c r="K2075" s="27">
        <v>0.82399999999999995</v>
      </c>
      <c r="L2075" s="27">
        <v>500</v>
      </c>
      <c r="M2075" s="27">
        <v>400</v>
      </c>
      <c r="N2075" s="27">
        <v>0</v>
      </c>
      <c r="O2075" s="27">
        <v>0</v>
      </c>
      <c r="P2075" s="27" t="s">
        <v>13</v>
      </c>
      <c r="Q2075" s="27">
        <v>1993</v>
      </c>
      <c r="R2075" s="27">
        <v>1</v>
      </c>
      <c r="S2075" s="27">
        <v>0</v>
      </c>
      <c r="T2075" s="27">
        <v>-4.65E-2</v>
      </c>
      <c r="U2075" s="27">
        <v>-0.1</v>
      </c>
      <c r="V2075" s="27">
        <v>0</v>
      </c>
      <c r="W2075" s="27">
        <v>0</v>
      </c>
      <c r="X2075" s="27" t="s">
        <v>78</v>
      </c>
    </row>
    <row r="2076" spans="1:24">
      <c r="A2076" s="27">
        <v>7</v>
      </c>
      <c r="B2076" s="27">
        <v>1</v>
      </c>
      <c r="C2076" s="27">
        <v>2</v>
      </c>
      <c r="D2076" s="27">
        <v>2010</v>
      </c>
      <c r="E2076" s="27">
        <v>2014</v>
      </c>
      <c r="F2076" s="27">
        <v>4</v>
      </c>
      <c r="G2076" s="27">
        <v>0</v>
      </c>
      <c r="H2076" s="27">
        <v>0</v>
      </c>
      <c r="I2076" s="27">
        <v>0</v>
      </c>
      <c r="J2076" s="27">
        <v>0</v>
      </c>
      <c r="K2076" s="27">
        <v>0.82399999999999995</v>
      </c>
      <c r="L2076" s="27">
        <v>500</v>
      </c>
      <c r="M2076" s="27">
        <v>400</v>
      </c>
      <c r="N2076" s="27">
        <v>0</v>
      </c>
      <c r="O2076" s="27">
        <v>0</v>
      </c>
      <c r="P2076" s="27" t="s">
        <v>13</v>
      </c>
      <c r="Q2076" s="27">
        <v>1993</v>
      </c>
      <c r="R2076" s="27">
        <v>1</v>
      </c>
      <c r="S2076" s="27">
        <v>0</v>
      </c>
      <c r="T2076" s="27">
        <v>-4.65E-2</v>
      </c>
      <c r="U2076" s="27">
        <v>-0.1</v>
      </c>
      <c r="V2076" s="27">
        <v>0</v>
      </c>
      <c r="W2076" s="27">
        <v>0</v>
      </c>
      <c r="X2076" s="27" t="s">
        <v>78</v>
      </c>
    </row>
    <row r="2077" spans="1:24">
      <c r="A2077" s="27">
        <v>7</v>
      </c>
      <c r="B2077" s="27">
        <v>1</v>
      </c>
      <c r="C2077" s="27">
        <v>2</v>
      </c>
      <c r="D2077" s="27">
        <v>2010</v>
      </c>
      <c r="E2077" s="27">
        <v>2014</v>
      </c>
      <c r="F2077" s="27">
        <v>5</v>
      </c>
      <c r="G2077" s="27">
        <v>0</v>
      </c>
      <c r="H2077" s="27">
        <v>0</v>
      </c>
      <c r="I2077" s="27">
        <v>0</v>
      </c>
      <c r="J2077" s="27">
        <v>0</v>
      </c>
      <c r="K2077" s="27">
        <v>0.82399999999999995</v>
      </c>
      <c r="L2077" s="27">
        <v>500</v>
      </c>
      <c r="M2077" s="27">
        <v>400</v>
      </c>
      <c r="N2077" s="27">
        <v>0</v>
      </c>
      <c r="O2077" s="27">
        <v>0</v>
      </c>
      <c r="P2077" s="27" t="s">
        <v>13</v>
      </c>
      <c r="Q2077" s="27">
        <v>1993</v>
      </c>
      <c r="R2077" s="27">
        <v>1</v>
      </c>
      <c r="S2077" s="27">
        <v>0</v>
      </c>
      <c r="T2077" s="27">
        <v>-4.65E-2</v>
      </c>
      <c r="U2077" s="27">
        <v>-0.1</v>
      </c>
      <c r="V2077" s="27">
        <v>0</v>
      </c>
      <c r="W2077" s="27">
        <v>0</v>
      </c>
      <c r="X2077" s="27" t="s">
        <v>78</v>
      </c>
    </row>
    <row r="2078" spans="1:24">
      <c r="A2078" s="27">
        <v>7</v>
      </c>
      <c r="B2078" s="27">
        <v>1</v>
      </c>
      <c r="C2078" s="27">
        <v>2</v>
      </c>
      <c r="D2078" s="27">
        <v>2010</v>
      </c>
      <c r="E2078" s="27">
        <v>2014</v>
      </c>
      <c r="F2078" s="27">
        <v>6</v>
      </c>
      <c r="G2078" s="27">
        <v>0</v>
      </c>
      <c r="H2078" s="27">
        <v>0</v>
      </c>
      <c r="I2078" s="27">
        <v>0</v>
      </c>
      <c r="J2078" s="27">
        <v>0</v>
      </c>
      <c r="K2078" s="27">
        <v>0.82399999999999995</v>
      </c>
      <c r="L2078" s="27">
        <v>500</v>
      </c>
      <c r="M2078" s="27">
        <v>400</v>
      </c>
      <c r="N2078" s="27">
        <v>0</v>
      </c>
      <c r="O2078" s="27">
        <v>0</v>
      </c>
      <c r="P2078" s="27" t="s">
        <v>13</v>
      </c>
      <c r="Q2078" s="27">
        <v>1993</v>
      </c>
      <c r="R2078" s="27">
        <v>1</v>
      </c>
      <c r="S2078" s="27">
        <v>0</v>
      </c>
      <c r="T2078" s="27">
        <v>-4.65E-2</v>
      </c>
      <c r="U2078" s="27">
        <v>-0.1</v>
      </c>
      <c r="V2078" s="27">
        <v>0</v>
      </c>
      <c r="W2078" s="27">
        <v>0</v>
      </c>
      <c r="X2078" s="27" t="s">
        <v>78</v>
      </c>
    </row>
    <row r="2079" spans="1:24">
      <c r="A2079" s="27">
        <v>7</v>
      </c>
      <c r="B2079" s="27">
        <v>1</v>
      </c>
      <c r="C2079" s="27">
        <v>2</v>
      </c>
      <c r="D2079" s="27">
        <v>2010</v>
      </c>
      <c r="E2079" s="27">
        <v>2014</v>
      </c>
      <c r="F2079" s="27">
        <v>7</v>
      </c>
      <c r="G2079" s="27">
        <v>0</v>
      </c>
      <c r="H2079" s="27">
        <v>0</v>
      </c>
      <c r="I2079" s="27">
        <v>0</v>
      </c>
      <c r="J2079" s="27">
        <v>0</v>
      </c>
      <c r="K2079" s="27">
        <v>0.82399999999999995</v>
      </c>
      <c r="L2079" s="27">
        <v>500</v>
      </c>
      <c r="M2079" s="27">
        <v>400</v>
      </c>
      <c r="N2079" s="27">
        <v>0</v>
      </c>
      <c r="O2079" s="27">
        <v>0</v>
      </c>
      <c r="P2079" s="27" t="s">
        <v>13</v>
      </c>
      <c r="Q2079" s="27">
        <v>1993</v>
      </c>
      <c r="R2079" s="27">
        <v>1</v>
      </c>
      <c r="S2079" s="27">
        <v>0</v>
      </c>
      <c r="T2079" s="27">
        <v>-4.65E-2</v>
      </c>
      <c r="U2079" s="27">
        <v>-0.1</v>
      </c>
      <c r="V2079" s="27">
        <v>0</v>
      </c>
      <c r="W2079" s="27">
        <v>0</v>
      </c>
      <c r="X2079" s="27" t="s">
        <v>78</v>
      </c>
    </row>
    <row r="2080" spans="1:24">
      <c r="A2080" s="27">
        <v>7</v>
      </c>
      <c r="B2080" s="27">
        <v>1</v>
      </c>
      <c r="C2080" s="27">
        <v>2</v>
      </c>
      <c r="D2080" s="27">
        <v>2010</v>
      </c>
      <c r="E2080" s="27">
        <v>2014</v>
      </c>
      <c r="F2080" s="27">
        <v>8</v>
      </c>
      <c r="G2080" s="27">
        <v>0</v>
      </c>
      <c r="H2080" s="27">
        <v>0</v>
      </c>
      <c r="I2080" s="27">
        <v>0</v>
      </c>
      <c r="J2080" s="27">
        <v>0</v>
      </c>
      <c r="K2080" s="27">
        <v>0.82399999999999995</v>
      </c>
      <c r="L2080" s="27">
        <v>500</v>
      </c>
      <c r="M2080" s="27">
        <v>400</v>
      </c>
      <c r="N2080" s="27">
        <v>0</v>
      </c>
      <c r="O2080" s="27">
        <v>0</v>
      </c>
      <c r="P2080" s="27" t="s">
        <v>13</v>
      </c>
      <c r="Q2080" s="27">
        <v>1993</v>
      </c>
      <c r="R2080" s="27">
        <v>1</v>
      </c>
      <c r="S2080" s="27">
        <v>0</v>
      </c>
      <c r="T2080" s="27">
        <v>-4.65E-2</v>
      </c>
      <c r="U2080" s="27">
        <v>-0.1</v>
      </c>
      <c r="V2080" s="27">
        <v>0</v>
      </c>
      <c r="W2080" s="27">
        <v>0</v>
      </c>
      <c r="X2080" s="27" t="s">
        <v>78</v>
      </c>
    </row>
    <row r="2081" spans="1:24">
      <c r="A2081" s="27">
        <v>7</v>
      </c>
      <c r="B2081" s="27">
        <v>1</v>
      </c>
      <c r="C2081" s="27">
        <v>2</v>
      </c>
      <c r="D2081" s="27">
        <v>2010</v>
      </c>
      <c r="E2081" s="27">
        <v>2014</v>
      </c>
      <c r="F2081" s="27">
        <v>9</v>
      </c>
      <c r="G2081" s="27">
        <v>0</v>
      </c>
      <c r="H2081" s="27">
        <v>0</v>
      </c>
      <c r="I2081" s="27">
        <v>0</v>
      </c>
      <c r="J2081" s="27">
        <v>0</v>
      </c>
      <c r="K2081" s="27">
        <v>0.82399999999999995</v>
      </c>
      <c r="L2081" s="27">
        <v>500</v>
      </c>
      <c r="M2081" s="27">
        <v>400</v>
      </c>
      <c r="N2081" s="27">
        <v>0</v>
      </c>
      <c r="O2081" s="27">
        <v>0</v>
      </c>
      <c r="P2081" s="27" t="s">
        <v>13</v>
      </c>
      <c r="Q2081" s="27">
        <v>1993</v>
      </c>
      <c r="R2081" s="27">
        <v>1</v>
      </c>
      <c r="S2081" s="27">
        <v>0</v>
      </c>
      <c r="T2081" s="27">
        <v>-4.65E-2</v>
      </c>
      <c r="U2081" s="27">
        <v>-0.1</v>
      </c>
      <c r="V2081" s="27">
        <v>0</v>
      </c>
      <c r="W2081" s="27">
        <v>0</v>
      </c>
      <c r="X2081" s="27" t="s">
        <v>78</v>
      </c>
    </row>
    <row r="2082" spans="1:24">
      <c r="A2082" s="27">
        <v>7</v>
      </c>
      <c r="B2082" s="27">
        <v>1</v>
      </c>
      <c r="C2082" s="27">
        <v>2</v>
      </c>
      <c r="D2082" s="27">
        <v>2015</v>
      </c>
      <c r="E2082" s="27">
        <v>2050</v>
      </c>
      <c r="F2082" s="27">
        <v>1</v>
      </c>
      <c r="G2082" s="27">
        <v>0</v>
      </c>
      <c r="H2082" s="27">
        <v>0</v>
      </c>
      <c r="I2082" s="27">
        <v>0</v>
      </c>
      <c r="J2082" s="27">
        <v>0</v>
      </c>
      <c r="K2082" s="27">
        <v>0.88500000000000001</v>
      </c>
      <c r="L2082" s="27">
        <v>575</v>
      </c>
      <c r="M2082" s="27">
        <v>475</v>
      </c>
      <c r="N2082" s="27">
        <v>0</v>
      </c>
      <c r="O2082" s="27">
        <v>0</v>
      </c>
      <c r="P2082" s="27" t="s">
        <v>13</v>
      </c>
      <c r="Q2082" s="27">
        <v>1993</v>
      </c>
      <c r="R2082" s="27">
        <v>1</v>
      </c>
      <c r="S2082" s="27">
        <v>0</v>
      </c>
      <c r="T2082" s="27">
        <v>-4.65E-2</v>
      </c>
      <c r="U2082" s="27">
        <v>-0.1</v>
      </c>
      <c r="V2082" s="27">
        <v>0</v>
      </c>
      <c r="W2082" s="27">
        <v>0</v>
      </c>
      <c r="X2082" s="27" t="s">
        <v>78</v>
      </c>
    </row>
    <row r="2083" spans="1:24">
      <c r="A2083" s="27">
        <v>7</v>
      </c>
      <c r="B2083" s="27">
        <v>1</v>
      </c>
      <c r="C2083" s="27">
        <v>2</v>
      </c>
      <c r="D2083" s="27">
        <v>2015</v>
      </c>
      <c r="E2083" s="27">
        <v>2050</v>
      </c>
      <c r="F2083" s="27">
        <v>2</v>
      </c>
      <c r="G2083" s="27">
        <v>0</v>
      </c>
      <c r="H2083" s="27">
        <v>0</v>
      </c>
      <c r="I2083" s="27">
        <v>0</v>
      </c>
      <c r="J2083" s="27">
        <v>0</v>
      </c>
      <c r="K2083" s="27">
        <v>0.88500000000000001</v>
      </c>
      <c r="L2083" s="27">
        <v>575</v>
      </c>
      <c r="M2083" s="27">
        <v>475</v>
      </c>
      <c r="N2083" s="27">
        <v>0</v>
      </c>
      <c r="O2083" s="27">
        <v>0</v>
      </c>
      <c r="P2083" s="27" t="s">
        <v>13</v>
      </c>
      <c r="Q2083" s="27">
        <v>1993</v>
      </c>
      <c r="R2083" s="27">
        <v>1</v>
      </c>
      <c r="S2083" s="27">
        <v>0</v>
      </c>
      <c r="T2083" s="27">
        <v>-4.65E-2</v>
      </c>
      <c r="U2083" s="27">
        <v>-0.1</v>
      </c>
      <c r="V2083" s="27">
        <v>0</v>
      </c>
      <c r="W2083" s="27">
        <v>0</v>
      </c>
      <c r="X2083" s="27" t="s">
        <v>78</v>
      </c>
    </row>
    <row r="2084" spans="1:24">
      <c r="A2084" s="27">
        <v>7</v>
      </c>
      <c r="B2084" s="27">
        <v>1</v>
      </c>
      <c r="C2084" s="27">
        <v>2</v>
      </c>
      <c r="D2084" s="27">
        <v>2015</v>
      </c>
      <c r="E2084" s="27">
        <v>2050</v>
      </c>
      <c r="F2084" s="27">
        <v>3</v>
      </c>
      <c r="G2084" s="27">
        <v>0</v>
      </c>
      <c r="H2084" s="27">
        <v>0</v>
      </c>
      <c r="I2084" s="27">
        <v>0</v>
      </c>
      <c r="J2084" s="27">
        <v>0</v>
      </c>
      <c r="K2084" s="27">
        <v>0.88500000000000001</v>
      </c>
      <c r="L2084" s="27">
        <v>575</v>
      </c>
      <c r="M2084" s="27">
        <v>475</v>
      </c>
      <c r="N2084" s="27">
        <v>0</v>
      </c>
      <c r="O2084" s="27">
        <v>0</v>
      </c>
      <c r="P2084" s="27" t="s">
        <v>13</v>
      </c>
      <c r="Q2084" s="27">
        <v>1993</v>
      </c>
      <c r="R2084" s="27">
        <v>1</v>
      </c>
      <c r="S2084" s="27">
        <v>0</v>
      </c>
      <c r="T2084" s="27">
        <v>-4.65E-2</v>
      </c>
      <c r="U2084" s="27">
        <v>-0.1</v>
      </c>
      <c r="V2084" s="27">
        <v>0</v>
      </c>
      <c r="W2084" s="27">
        <v>0</v>
      </c>
      <c r="X2084" s="27" t="s">
        <v>78</v>
      </c>
    </row>
    <row r="2085" spans="1:24">
      <c r="A2085" s="27">
        <v>7</v>
      </c>
      <c r="B2085" s="27">
        <v>1</v>
      </c>
      <c r="C2085" s="27">
        <v>2</v>
      </c>
      <c r="D2085" s="27">
        <v>2015</v>
      </c>
      <c r="E2085" s="27">
        <v>2050</v>
      </c>
      <c r="F2085" s="27">
        <v>4</v>
      </c>
      <c r="G2085" s="27">
        <v>0</v>
      </c>
      <c r="H2085" s="27">
        <v>0</v>
      </c>
      <c r="I2085" s="27">
        <v>0</v>
      </c>
      <c r="J2085" s="27">
        <v>0</v>
      </c>
      <c r="K2085" s="27">
        <v>0.88500000000000001</v>
      </c>
      <c r="L2085" s="27">
        <v>575</v>
      </c>
      <c r="M2085" s="27">
        <v>475</v>
      </c>
      <c r="N2085" s="27">
        <v>0</v>
      </c>
      <c r="O2085" s="27">
        <v>0</v>
      </c>
      <c r="P2085" s="27" t="s">
        <v>13</v>
      </c>
      <c r="Q2085" s="27">
        <v>1993</v>
      </c>
      <c r="R2085" s="27">
        <v>1</v>
      </c>
      <c r="S2085" s="27">
        <v>0</v>
      </c>
      <c r="T2085" s="27">
        <v>-4.65E-2</v>
      </c>
      <c r="U2085" s="27">
        <v>-0.1</v>
      </c>
      <c r="V2085" s="27">
        <v>0</v>
      </c>
      <c r="W2085" s="27">
        <v>0</v>
      </c>
      <c r="X2085" s="27" t="s">
        <v>78</v>
      </c>
    </row>
    <row r="2086" spans="1:24">
      <c r="A2086" s="27">
        <v>7</v>
      </c>
      <c r="B2086" s="27">
        <v>1</v>
      </c>
      <c r="C2086" s="27">
        <v>2</v>
      </c>
      <c r="D2086" s="27">
        <v>2015</v>
      </c>
      <c r="E2086" s="27">
        <v>2050</v>
      </c>
      <c r="F2086" s="27">
        <v>5</v>
      </c>
      <c r="G2086" s="27">
        <v>0</v>
      </c>
      <c r="H2086" s="27">
        <v>0</v>
      </c>
      <c r="I2086" s="27">
        <v>0</v>
      </c>
      <c r="J2086" s="27">
        <v>0</v>
      </c>
      <c r="K2086" s="27">
        <v>0.88500000000000001</v>
      </c>
      <c r="L2086" s="27">
        <v>575</v>
      </c>
      <c r="M2086" s="27">
        <v>475</v>
      </c>
      <c r="N2086" s="27">
        <v>0</v>
      </c>
      <c r="O2086" s="27">
        <v>0</v>
      </c>
      <c r="P2086" s="27" t="s">
        <v>13</v>
      </c>
      <c r="Q2086" s="27">
        <v>1993</v>
      </c>
      <c r="R2086" s="27">
        <v>1</v>
      </c>
      <c r="S2086" s="27">
        <v>0</v>
      </c>
      <c r="T2086" s="27">
        <v>-4.65E-2</v>
      </c>
      <c r="U2086" s="27">
        <v>-0.1</v>
      </c>
      <c r="V2086" s="27">
        <v>0</v>
      </c>
      <c r="W2086" s="27">
        <v>0</v>
      </c>
      <c r="X2086" s="27" t="s">
        <v>78</v>
      </c>
    </row>
    <row r="2087" spans="1:24">
      <c r="A2087" s="27">
        <v>7</v>
      </c>
      <c r="B2087" s="27">
        <v>1</v>
      </c>
      <c r="C2087" s="27">
        <v>2</v>
      </c>
      <c r="D2087" s="27">
        <v>2015</v>
      </c>
      <c r="E2087" s="27">
        <v>2050</v>
      </c>
      <c r="F2087" s="27">
        <v>6</v>
      </c>
      <c r="G2087" s="27">
        <v>0</v>
      </c>
      <c r="H2087" s="27">
        <v>0</v>
      </c>
      <c r="I2087" s="27">
        <v>0</v>
      </c>
      <c r="J2087" s="27">
        <v>0</v>
      </c>
      <c r="K2087" s="27">
        <v>0.88500000000000001</v>
      </c>
      <c r="L2087" s="27">
        <v>575</v>
      </c>
      <c r="M2087" s="27">
        <v>475</v>
      </c>
      <c r="N2087" s="27">
        <v>0</v>
      </c>
      <c r="O2087" s="27">
        <v>0</v>
      </c>
      <c r="P2087" s="27" t="s">
        <v>13</v>
      </c>
      <c r="Q2087" s="27">
        <v>1993</v>
      </c>
      <c r="R2087" s="27">
        <v>1</v>
      </c>
      <c r="S2087" s="27">
        <v>0</v>
      </c>
      <c r="T2087" s="27">
        <v>-4.65E-2</v>
      </c>
      <c r="U2087" s="27">
        <v>-0.1</v>
      </c>
      <c r="V2087" s="27">
        <v>0</v>
      </c>
      <c r="W2087" s="27">
        <v>0</v>
      </c>
      <c r="X2087" s="27" t="s">
        <v>78</v>
      </c>
    </row>
    <row r="2088" spans="1:24">
      <c r="A2088" s="27">
        <v>7</v>
      </c>
      <c r="B2088" s="27">
        <v>1</v>
      </c>
      <c r="C2088" s="27">
        <v>2</v>
      </c>
      <c r="D2088" s="27">
        <v>2015</v>
      </c>
      <c r="E2088" s="27">
        <v>2050</v>
      </c>
      <c r="F2088" s="27">
        <v>7</v>
      </c>
      <c r="G2088" s="27">
        <v>0</v>
      </c>
      <c r="H2088" s="27">
        <v>0</v>
      </c>
      <c r="I2088" s="27">
        <v>0</v>
      </c>
      <c r="J2088" s="27">
        <v>0</v>
      </c>
      <c r="K2088" s="27">
        <v>0.88500000000000001</v>
      </c>
      <c r="L2088" s="27">
        <v>575</v>
      </c>
      <c r="M2088" s="27">
        <v>475</v>
      </c>
      <c r="N2088" s="27">
        <v>0</v>
      </c>
      <c r="O2088" s="27">
        <v>0</v>
      </c>
      <c r="P2088" s="27" t="s">
        <v>13</v>
      </c>
      <c r="Q2088" s="27">
        <v>1993</v>
      </c>
      <c r="R2088" s="27">
        <v>1</v>
      </c>
      <c r="S2088" s="27">
        <v>0</v>
      </c>
      <c r="T2088" s="27">
        <v>-4.65E-2</v>
      </c>
      <c r="U2088" s="27">
        <v>-0.1</v>
      </c>
      <c r="V2088" s="27">
        <v>0</v>
      </c>
      <c r="W2088" s="27">
        <v>0</v>
      </c>
      <c r="X2088" s="27" t="s">
        <v>78</v>
      </c>
    </row>
    <row r="2089" spans="1:24">
      <c r="A2089" s="27">
        <v>7</v>
      </c>
      <c r="B2089" s="27">
        <v>1</v>
      </c>
      <c r="C2089" s="27">
        <v>2</v>
      </c>
      <c r="D2089" s="27">
        <v>2015</v>
      </c>
      <c r="E2089" s="27">
        <v>2050</v>
      </c>
      <c r="F2089" s="27">
        <v>8</v>
      </c>
      <c r="G2089" s="27">
        <v>0</v>
      </c>
      <c r="H2089" s="27">
        <v>0</v>
      </c>
      <c r="I2089" s="27">
        <v>0</v>
      </c>
      <c r="J2089" s="27">
        <v>0</v>
      </c>
      <c r="K2089" s="27">
        <v>0.88500000000000001</v>
      </c>
      <c r="L2089" s="27">
        <v>575</v>
      </c>
      <c r="M2089" s="27">
        <v>475</v>
      </c>
      <c r="N2089" s="27">
        <v>0</v>
      </c>
      <c r="O2089" s="27">
        <v>0</v>
      </c>
      <c r="P2089" s="27" t="s">
        <v>13</v>
      </c>
      <c r="Q2089" s="27">
        <v>1993</v>
      </c>
      <c r="R2089" s="27">
        <v>1</v>
      </c>
      <c r="S2089" s="27">
        <v>0</v>
      </c>
      <c r="T2089" s="27">
        <v>-4.65E-2</v>
      </c>
      <c r="U2089" s="27">
        <v>-0.1</v>
      </c>
      <c r="V2089" s="27">
        <v>0</v>
      </c>
      <c r="W2089" s="27">
        <v>0</v>
      </c>
      <c r="X2089" s="27" t="s">
        <v>78</v>
      </c>
    </row>
    <row r="2090" spans="1:24">
      <c r="A2090" s="27">
        <v>7</v>
      </c>
      <c r="B2090" s="27">
        <v>1</v>
      </c>
      <c r="C2090" s="27">
        <v>2</v>
      </c>
      <c r="D2090" s="27">
        <v>2015</v>
      </c>
      <c r="E2090" s="27">
        <v>2050</v>
      </c>
      <c r="F2090" s="27">
        <v>9</v>
      </c>
      <c r="G2090" s="27">
        <v>0</v>
      </c>
      <c r="H2090" s="27">
        <v>0</v>
      </c>
      <c r="I2090" s="27">
        <v>0</v>
      </c>
      <c r="J2090" s="27">
        <v>0</v>
      </c>
      <c r="K2090" s="27">
        <v>0.88500000000000001</v>
      </c>
      <c r="L2090" s="27">
        <v>575</v>
      </c>
      <c r="M2090" s="27">
        <v>475</v>
      </c>
      <c r="N2090" s="27">
        <v>0</v>
      </c>
      <c r="O2090" s="27">
        <v>0</v>
      </c>
      <c r="P2090" s="27" t="s">
        <v>13</v>
      </c>
      <c r="Q2090" s="27">
        <v>1993</v>
      </c>
      <c r="R2090" s="27">
        <v>1</v>
      </c>
      <c r="S2090" s="27">
        <v>0</v>
      </c>
      <c r="T2090" s="27">
        <v>-4.65E-2</v>
      </c>
      <c r="U2090" s="27">
        <v>-0.1</v>
      </c>
      <c r="V2090" s="27">
        <v>0</v>
      </c>
      <c r="W2090" s="27">
        <v>0</v>
      </c>
      <c r="X2090" s="27" t="s">
        <v>78</v>
      </c>
    </row>
    <row r="2091" spans="1:24">
      <c r="A2091" s="27">
        <v>7</v>
      </c>
      <c r="B2091" s="27">
        <v>2</v>
      </c>
      <c r="C2091" s="27">
        <v>3</v>
      </c>
      <c r="D2091" s="27">
        <v>2010</v>
      </c>
      <c r="E2091" s="27">
        <v>2014</v>
      </c>
      <c r="F2091" s="27">
        <v>1</v>
      </c>
      <c r="G2091" s="27">
        <v>0</v>
      </c>
      <c r="H2091" s="27">
        <v>0</v>
      </c>
      <c r="I2091" s="27">
        <v>0</v>
      </c>
      <c r="J2091" s="27">
        <v>0</v>
      </c>
      <c r="K2091" s="27">
        <v>3.01</v>
      </c>
      <c r="L2091" s="27">
        <v>400</v>
      </c>
      <c r="M2091" s="27">
        <v>300</v>
      </c>
      <c r="N2091" s="27">
        <v>0</v>
      </c>
      <c r="O2091" s="27">
        <v>0</v>
      </c>
      <c r="P2091" s="27" t="s">
        <v>13</v>
      </c>
      <c r="Q2091" s="27">
        <v>1993</v>
      </c>
      <c r="R2091" s="27">
        <v>1</v>
      </c>
      <c r="S2091" s="27">
        <v>0</v>
      </c>
      <c r="T2091" s="27">
        <v>-0.09</v>
      </c>
      <c r="U2091" s="27">
        <v>-0.1</v>
      </c>
      <c r="V2091" s="27">
        <v>0</v>
      </c>
      <c r="W2091" s="27">
        <v>0</v>
      </c>
      <c r="X2091" s="27" t="s">
        <v>79</v>
      </c>
    </row>
    <row r="2092" spans="1:24">
      <c r="A2092" s="27">
        <v>7</v>
      </c>
      <c r="B2092" s="27">
        <v>2</v>
      </c>
      <c r="C2092" s="27">
        <v>3</v>
      </c>
      <c r="D2092" s="27">
        <v>2010</v>
      </c>
      <c r="E2092" s="27">
        <v>2014</v>
      </c>
      <c r="F2092" s="27">
        <v>2</v>
      </c>
      <c r="G2092" s="27">
        <v>0</v>
      </c>
      <c r="H2092" s="27">
        <v>0</v>
      </c>
      <c r="I2092" s="27">
        <v>0</v>
      </c>
      <c r="J2092" s="27">
        <v>0</v>
      </c>
      <c r="K2092" s="27">
        <v>3.01</v>
      </c>
      <c r="L2092" s="27">
        <v>400</v>
      </c>
      <c r="M2092" s="27">
        <v>300</v>
      </c>
      <c r="N2092" s="27">
        <v>0</v>
      </c>
      <c r="O2092" s="27">
        <v>0</v>
      </c>
      <c r="P2092" s="27" t="s">
        <v>13</v>
      </c>
      <c r="Q2092" s="27">
        <v>1993</v>
      </c>
      <c r="R2092" s="27">
        <v>1</v>
      </c>
      <c r="S2092" s="27">
        <v>0</v>
      </c>
      <c r="T2092" s="27">
        <v>-0.09</v>
      </c>
      <c r="U2092" s="27">
        <v>-0.1</v>
      </c>
      <c r="V2092" s="27">
        <v>0</v>
      </c>
      <c r="W2092" s="27">
        <v>0</v>
      </c>
      <c r="X2092" s="27" t="s">
        <v>79</v>
      </c>
    </row>
    <row r="2093" spans="1:24">
      <c r="A2093" s="27">
        <v>7</v>
      </c>
      <c r="B2093" s="27">
        <v>2</v>
      </c>
      <c r="C2093" s="27">
        <v>3</v>
      </c>
      <c r="D2093" s="27">
        <v>2010</v>
      </c>
      <c r="E2093" s="27">
        <v>2014</v>
      </c>
      <c r="F2093" s="27">
        <v>3</v>
      </c>
      <c r="G2093" s="27">
        <v>0</v>
      </c>
      <c r="H2093" s="27">
        <v>0</v>
      </c>
      <c r="I2093" s="27">
        <v>0</v>
      </c>
      <c r="J2093" s="27">
        <v>0</v>
      </c>
      <c r="K2093" s="27">
        <v>3.01</v>
      </c>
      <c r="L2093" s="27">
        <v>400</v>
      </c>
      <c r="M2093" s="27">
        <v>300</v>
      </c>
      <c r="N2093" s="27">
        <v>0</v>
      </c>
      <c r="O2093" s="27">
        <v>0</v>
      </c>
      <c r="P2093" s="27" t="s">
        <v>13</v>
      </c>
      <c r="Q2093" s="27">
        <v>1993</v>
      </c>
      <c r="R2093" s="27">
        <v>1</v>
      </c>
      <c r="S2093" s="27">
        <v>0</v>
      </c>
      <c r="T2093" s="27">
        <v>-0.09</v>
      </c>
      <c r="U2093" s="27">
        <v>-0.1</v>
      </c>
      <c r="V2093" s="27">
        <v>0</v>
      </c>
      <c r="W2093" s="27">
        <v>0</v>
      </c>
      <c r="X2093" s="27" t="s">
        <v>79</v>
      </c>
    </row>
    <row r="2094" spans="1:24">
      <c r="A2094" s="27">
        <v>7</v>
      </c>
      <c r="B2094" s="27">
        <v>2</v>
      </c>
      <c r="C2094" s="27">
        <v>3</v>
      </c>
      <c r="D2094" s="27">
        <v>2010</v>
      </c>
      <c r="E2094" s="27">
        <v>2014</v>
      </c>
      <c r="F2094" s="27">
        <v>4</v>
      </c>
      <c r="G2094" s="27">
        <v>0</v>
      </c>
      <c r="H2094" s="27">
        <v>0</v>
      </c>
      <c r="I2094" s="27">
        <v>0</v>
      </c>
      <c r="J2094" s="27">
        <v>0</v>
      </c>
      <c r="K2094" s="27">
        <v>3.01</v>
      </c>
      <c r="L2094" s="27">
        <v>400</v>
      </c>
      <c r="M2094" s="27">
        <v>300</v>
      </c>
      <c r="N2094" s="27">
        <v>0</v>
      </c>
      <c r="O2094" s="27">
        <v>0</v>
      </c>
      <c r="P2094" s="27" t="s">
        <v>13</v>
      </c>
      <c r="Q2094" s="27">
        <v>1993</v>
      </c>
      <c r="R2094" s="27">
        <v>1</v>
      </c>
      <c r="S2094" s="27">
        <v>0</v>
      </c>
      <c r="T2094" s="27">
        <v>-0.09</v>
      </c>
      <c r="U2094" s="27">
        <v>-0.1</v>
      </c>
      <c r="V2094" s="27">
        <v>0</v>
      </c>
      <c r="W2094" s="27">
        <v>0</v>
      </c>
      <c r="X2094" s="27" t="s">
        <v>79</v>
      </c>
    </row>
    <row r="2095" spans="1:24">
      <c r="A2095" s="27">
        <v>7</v>
      </c>
      <c r="B2095" s="27">
        <v>2</v>
      </c>
      <c r="C2095" s="27">
        <v>3</v>
      </c>
      <c r="D2095" s="27">
        <v>2010</v>
      </c>
      <c r="E2095" s="27">
        <v>2014</v>
      </c>
      <c r="F2095" s="27">
        <v>5</v>
      </c>
      <c r="G2095" s="27">
        <v>0</v>
      </c>
      <c r="H2095" s="27">
        <v>0</v>
      </c>
      <c r="I2095" s="27">
        <v>0</v>
      </c>
      <c r="J2095" s="27">
        <v>0</v>
      </c>
      <c r="K2095" s="27">
        <v>3.01</v>
      </c>
      <c r="L2095" s="27">
        <v>400</v>
      </c>
      <c r="M2095" s="27">
        <v>300</v>
      </c>
      <c r="N2095" s="27">
        <v>0</v>
      </c>
      <c r="O2095" s="27">
        <v>0</v>
      </c>
      <c r="P2095" s="27" t="s">
        <v>13</v>
      </c>
      <c r="Q2095" s="27">
        <v>1993</v>
      </c>
      <c r="R2095" s="27">
        <v>1</v>
      </c>
      <c r="S2095" s="27">
        <v>0</v>
      </c>
      <c r="T2095" s="27">
        <v>-0.09</v>
      </c>
      <c r="U2095" s="27">
        <v>-0.1</v>
      </c>
      <c r="V2095" s="27">
        <v>0</v>
      </c>
      <c r="W2095" s="27">
        <v>0</v>
      </c>
      <c r="X2095" s="27" t="s">
        <v>79</v>
      </c>
    </row>
    <row r="2096" spans="1:24">
      <c r="A2096" s="27">
        <v>7</v>
      </c>
      <c r="B2096" s="27">
        <v>2</v>
      </c>
      <c r="C2096" s="27">
        <v>3</v>
      </c>
      <c r="D2096" s="27">
        <v>2010</v>
      </c>
      <c r="E2096" s="27">
        <v>2014</v>
      </c>
      <c r="F2096" s="27">
        <v>6</v>
      </c>
      <c r="G2096" s="27">
        <v>0</v>
      </c>
      <c r="H2096" s="27">
        <v>0</v>
      </c>
      <c r="I2096" s="27">
        <v>0</v>
      </c>
      <c r="J2096" s="27">
        <v>0</v>
      </c>
      <c r="K2096" s="27">
        <v>3.01</v>
      </c>
      <c r="L2096" s="27">
        <v>400</v>
      </c>
      <c r="M2096" s="27">
        <v>300</v>
      </c>
      <c r="N2096" s="27">
        <v>0</v>
      </c>
      <c r="O2096" s="27">
        <v>0</v>
      </c>
      <c r="P2096" s="27" t="s">
        <v>13</v>
      </c>
      <c r="Q2096" s="27">
        <v>1993</v>
      </c>
      <c r="R2096" s="27">
        <v>1</v>
      </c>
      <c r="S2096" s="27">
        <v>0</v>
      </c>
      <c r="T2096" s="27">
        <v>-0.09</v>
      </c>
      <c r="U2096" s="27">
        <v>-0.1</v>
      </c>
      <c r="V2096" s="27">
        <v>0</v>
      </c>
      <c r="W2096" s="27">
        <v>0</v>
      </c>
      <c r="X2096" s="27" t="s">
        <v>79</v>
      </c>
    </row>
    <row r="2097" spans="1:24">
      <c r="A2097" s="27">
        <v>7</v>
      </c>
      <c r="B2097" s="27">
        <v>2</v>
      </c>
      <c r="C2097" s="27">
        <v>3</v>
      </c>
      <c r="D2097" s="27">
        <v>2010</v>
      </c>
      <c r="E2097" s="27">
        <v>2014</v>
      </c>
      <c r="F2097" s="27">
        <v>7</v>
      </c>
      <c r="G2097" s="27">
        <v>0</v>
      </c>
      <c r="H2097" s="27">
        <v>0</v>
      </c>
      <c r="I2097" s="27">
        <v>0</v>
      </c>
      <c r="J2097" s="27">
        <v>0</v>
      </c>
      <c r="K2097" s="27">
        <v>3.01</v>
      </c>
      <c r="L2097" s="27">
        <v>400</v>
      </c>
      <c r="M2097" s="27">
        <v>300</v>
      </c>
      <c r="N2097" s="27">
        <v>0</v>
      </c>
      <c r="O2097" s="27">
        <v>0</v>
      </c>
      <c r="P2097" s="27" t="s">
        <v>13</v>
      </c>
      <c r="Q2097" s="27">
        <v>1993</v>
      </c>
      <c r="R2097" s="27">
        <v>1</v>
      </c>
      <c r="S2097" s="27">
        <v>0</v>
      </c>
      <c r="T2097" s="27">
        <v>-0.09</v>
      </c>
      <c r="U2097" s="27">
        <v>-0.1</v>
      </c>
      <c r="V2097" s="27">
        <v>0</v>
      </c>
      <c r="W2097" s="27">
        <v>0</v>
      </c>
      <c r="X2097" s="27" t="s">
        <v>79</v>
      </c>
    </row>
    <row r="2098" spans="1:24">
      <c r="A2098" s="27">
        <v>7</v>
      </c>
      <c r="B2098" s="27">
        <v>2</v>
      </c>
      <c r="C2098" s="27">
        <v>3</v>
      </c>
      <c r="D2098" s="27">
        <v>2010</v>
      </c>
      <c r="E2098" s="27">
        <v>2014</v>
      </c>
      <c r="F2098" s="27">
        <v>8</v>
      </c>
      <c r="G2098" s="27">
        <v>0</v>
      </c>
      <c r="H2098" s="27">
        <v>0</v>
      </c>
      <c r="I2098" s="27">
        <v>0</v>
      </c>
      <c r="J2098" s="27">
        <v>0</v>
      </c>
      <c r="K2098" s="27">
        <v>3.01</v>
      </c>
      <c r="L2098" s="27">
        <v>400</v>
      </c>
      <c r="M2098" s="27">
        <v>300</v>
      </c>
      <c r="N2098" s="27">
        <v>0</v>
      </c>
      <c r="O2098" s="27">
        <v>0</v>
      </c>
      <c r="P2098" s="27" t="s">
        <v>13</v>
      </c>
      <c r="Q2098" s="27">
        <v>1993</v>
      </c>
      <c r="R2098" s="27">
        <v>1</v>
      </c>
      <c r="S2098" s="27">
        <v>0</v>
      </c>
      <c r="T2098" s="27">
        <v>-0.09</v>
      </c>
      <c r="U2098" s="27">
        <v>-0.1</v>
      </c>
      <c r="V2098" s="27">
        <v>0</v>
      </c>
      <c r="W2098" s="27">
        <v>0</v>
      </c>
      <c r="X2098" s="27" t="s">
        <v>79</v>
      </c>
    </row>
    <row r="2099" spans="1:24">
      <c r="A2099" s="27">
        <v>7</v>
      </c>
      <c r="B2099" s="27">
        <v>2</v>
      </c>
      <c r="C2099" s="27">
        <v>3</v>
      </c>
      <c r="D2099" s="27">
        <v>2010</v>
      </c>
      <c r="E2099" s="27">
        <v>2014</v>
      </c>
      <c r="F2099" s="27">
        <v>9</v>
      </c>
      <c r="G2099" s="27">
        <v>0</v>
      </c>
      <c r="H2099" s="27">
        <v>0</v>
      </c>
      <c r="I2099" s="27">
        <v>0</v>
      </c>
      <c r="J2099" s="27">
        <v>0</v>
      </c>
      <c r="K2099" s="27">
        <v>3.01</v>
      </c>
      <c r="L2099" s="27">
        <v>400</v>
      </c>
      <c r="M2099" s="27">
        <v>300</v>
      </c>
      <c r="N2099" s="27">
        <v>0</v>
      </c>
      <c r="O2099" s="27">
        <v>0</v>
      </c>
      <c r="P2099" s="27" t="s">
        <v>13</v>
      </c>
      <c r="Q2099" s="27">
        <v>1993</v>
      </c>
      <c r="R2099" s="27">
        <v>1</v>
      </c>
      <c r="S2099" s="27">
        <v>0</v>
      </c>
      <c r="T2099" s="27">
        <v>-0.09</v>
      </c>
      <c r="U2099" s="27">
        <v>-0.1</v>
      </c>
      <c r="V2099" s="27">
        <v>0</v>
      </c>
      <c r="W2099" s="27">
        <v>0</v>
      </c>
      <c r="X2099" s="27" t="s">
        <v>79</v>
      </c>
    </row>
    <row r="2100" spans="1:24">
      <c r="A2100" s="27">
        <v>7</v>
      </c>
      <c r="B2100" s="27">
        <v>2</v>
      </c>
      <c r="C2100" s="27">
        <v>3</v>
      </c>
      <c r="D2100" s="27">
        <v>2015</v>
      </c>
      <c r="E2100" s="27">
        <v>2050</v>
      </c>
      <c r="F2100" s="27">
        <v>1</v>
      </c>
      <c r="G2100" s="27">
        <v>0</v>
      </c>
      <c r="H2100" s="27">
        <v>0</v>
      </c>
      <c r="I2100" s="27">
        <v>0</v>
      </c>
      <c r="J2100" s="27">
        <v>0</v>
      </c>
      <c r="K2100" s="27">
        <v>3.17</v>
      </c>
      <c r="L2100" s="27">
        <v>430</v>
      </c>
      <c r="M2100" s="27">
        <v>330</v>
      </c>
      <c r="N2100" s="27">
        <v>0</v>
      </c>
      <c r="O2100" s="27">
        <v>0</v>
      </c>
      <c r="P2100" s="27" t="s">
        <v>13</v>
      </c>
      <c r="Q2100" s="27">
        <v>1993</v>
      </c>
      <c r="R2100" s="27">
        <v>1</v>
      </c>
      <c r="S2100" s="27">
        <v>0</v>
      </c>
      <c r="T2100" s="27">
        <v>-0.09</v>
      </c>
      <c r="U2100" s="27">
        <v>-0.1</v>
      </c>
      <c r="V2100" s="27">
        <v>0</v>
      </c>
      <c r="W2100" s="27">
        <v>0</v>
      </c>
      <c r="X2100" s="27" t="s">
        <v>79</v>
      </c>
    </row>
    <row r="2101" spans="1:24">
      <c r="A2101" s="27">
        <v>7</v>
      </c>
      <c r="B2101" s="27">
        <v>2</v>
      </c>
      <c r="C2101" s="27">
        <v>3</v>
      </c>
      <c r="D2101" s="27">
        <v>2015</v>
      </c>
      <c r="E2101" s="27">
        <v>2050</v>
      </c>
      <c r="F2101" s="27">
        <v>2</v>
      </c>
      <c r="G2101" s="27">
        <v>0</v>
      </c>
      <c r="H2101" s="27">
        <v>0</v>
      </c>
      <c r="I2101" s="27">
        <v>0</v>
      </c>
      <c r="J2101" s="27">
        <v>0</v>
      </c>
      <c r="K2101" s="27">
        <v>3.17</v>
      </c>
      <c r="L2101" s="27">
        <v>430</v>
      </c>
      <c r="M2101" s="27">
        <v>330</v>
      </c>
      <c r="N2101" s="27">
        <v>0</v>
      </c>
      <c r="O2101" s="27">
        <v>0</v>
      </c>
      <c r="P2101" s="27" t="s">
        <v>13</v>
      </c>
      <c r="Q2101" s="27">
        <v>1993</v>
      </c>
      <c r="R2101" s="27">
        <v>1</v>
      </c>
      <c r="S2101" s="27">
        <v>0</v>
      </c>
      <c r="T2101" s="27">
        <v>-0.09</v>
      </c>
      <c r="U2101" s="27">
        <v>-0.1</v>
      </c>
      <c r="V2101" s="27">
        <v>0</v>
      </c>
      <c r="W2101" s="27">
        <v>0</v>
      </c>
      <c r="X2101" s="27" t="s">
        <v>79</v>
      </c>
    </row>
    <row r="2102" spans="1:24">
      <c r="A2102" s="27">
        <v>7</v>
      </c>
      <c r="B2102" s="27">
        <v>2</v>
      </c>
      <c r="C2102" s="27">
        <v>3</v>
      </c>
      <c r="D2102" s="27">
        <v>2015</v>
      </c>
      <c r="E2102" s="27">
        <v>2050</v>
      </c>
      <c r="F2102" s="27">
        <v>3</v>
      </c>
      <c r="G2102" s="27">
        <v>0</v>
      </c>
      <c r="H2102" s="27">
        <v>0</v>
      </c>
      <c r="I2102" s="27">
        <v>0</v>
      </c>
      <c r="J2102" s="27">
        <v>0</v>
      </c>
      <c r="K2102" s="27">
        <v>3.17</v>
      </c>
      <c r="L2102" s="27">
        <v>430</v>
      </c>
      <c r="M2102" s="27">
        <v>330</v>
      </c>
      <c r="N2102" s="27">
        <v>0</v>
      </c>
      <c r="O2102" s="27">
        <v>0</v>
      </c>
      <c r="P2102" s="27" t="s">
        <v>13</v>
      </c>
      <c r="Q2102" s="27">
        <v>1993</v>
      </c>
      <c r="R2102" s="27">
        <v>1</v>
      </c>
      <c r="S2102" s="27">
        <v>0</v>
      </c>
      <c r="T2102" s="27">
        <v>-0.09</v>
      </c>
      <c r="U2102" s="27">
        <v>-0.1</v>
      </c>
      <c r="V2102" s="27">
        <v>0</v>
      </c>
      <c r="W2102" s="27">
        <v>0</v>
      </c>
      <c r="X2102" s="27" t="s">
        <v>79</v>
      </c>
    </row>
    <row r="2103" spans="1:24">
      <c r="A2103" s="27">
        <v>7</v>
      </c>
      <c r="B2103" s="27">
        <v>2</v>
      </c>
      <c r="C2103" s="27">
        <v>3</v>
      </c>
      <c r="D2103" s="27">
        <v>2015</v>
      </c>
      <c r="E2103" s="27">
        <v>2050</v>
      </c>
      <c r="F2103" s="27">
        <v>4</v>
      </c>
      <c r="G2103" s="27">
        <v>0</v>
      </c>
      <c r="H2103" s="27">
        <v>0</v>
      </c>
      <c r="I2103" s="27">
        <v>0</v>
      </c>
      <c r="J2103" s="27">
        <v>0</v>
      </c>
      <c r="K2103" s="27">
        <v>3.17</v>
      </c>
      <c r="L2103" s="27">
        <v>430</v>
      </c>
      <c r="M2103" s="27">
        <v>330</v>
      </c>
      <c r="N2103" s="27">
        <v>0</v>
      </c>
      <c r="O2103" s="27">
        <v>0</v>
      </c>
      <c r="P2103" s="27" t="s">
        <v>13</v>
      </c>
      <c r="Q2103" s="27">
        <v>1993</v>
      </c>
      <c r="R2103" s="27">
        <v>1</v>
      </c>
      <c r="S2103" s="27">
        <v>0</v>
      </c>
      <c r="T2103" s="27">
        <v>-0.09</v>
      </c>
      <c r="U2103" s="27">
        <v>-0.1</v>
      </c>
      <c r="V2103" s="27">
        <v>0</v>
      </c>
      <c r="W2103" s="27">
        <v>0</v>
      </c>
      <c r="X2103" s="27" t="s">
        <v>79</v>
      </c>
    </row>
    <row r="2104" spans="1:24">
      <c r="A2104" s="27">
        <v>7</v>
      </c>
      <c r="B2104" s="27">
        <v>2</v>
      </c>
      <c r="C2104" s="27">
        <v>3</v>
      </c>
      <c r="D2104" s="27">
        <v>2015</v>
      </c>
      <c r="E2104" s="27">
        <v>2050</v>
      </c>
      <c r="F2104" s="27">
        <v>5</v>
      </c>
      <c r="G2104" s="27">
        <v>0</v>
      </c>
      <c r="H2104" s="27">
        <v>0</v>
      </c>
      <c r="I2104" s="27">
        <v>0</v>
      </c>
      <c r="J2104" s="27">
        <v>0</v>
      </c>
      <c r="K2104" s="27">
        <v>3.17</v>
      </c>
      <c r="L2104" s="27">
        <v>430</v>
      </c>
      <c r="M2104" s="27">
        <v>330</v>
      </c>
      <c r="N2104" s="27">
        <v>0</v>
      </c>
      <c r="O2104" s="27">
        <v>0</v>
      </c>
      <c r="P2104" s="27" t="s">
        <v>13</v>
      </c>
      <c r="Q2104" s="27">
        <v>1993</v>
      </c>
      <c r="R2104" s="27">
        <v>1</v>
      </c>
      <c r="S2104" s="27">
        <v>0</v>
      </c>
      <c r="T2104" s="27">
        <v>-0.09</v>
      </c>
      <c r="U2104" s="27">
        <v>-0.1</v>
      </c>
      <c r="V2104" s="27">
        <v>0</v>
      </c>
      <c r="W2104" s="27">
        <v>0</v>
      </c>
      <c r="X2104" s="27" t="s">
        <v>79</v>
      </c>
    </row>
    <row r="2105" spans="1:24">
      <c r="A2105" s="27">
        <v>7</v>
      </c>
      <c r="B2105" s="27">
        <v>2</v>
      </c>
      <c r="C2105" s="27">
        <v>3</v>
      </c>
      <c r="D2105" s="27">
        <v>2015</v>
      </c>
      <c r="E2105" s="27">
        <v>2050</v>
      </c>
      <c r="F2105" s="27">
        <v>6</v>
      </c>
      <c r="G2105" s="27">
        <v>0</v>
      </c>
      <c r="H2105" s="27">
        <v>0</v>
      </c>
      <c r="I2105" s="27">
        <v>0</v>
      </c>
      <c r="J2105" s="27">
        <v>0</v>
      </c>
      <c r="K2105" s="27">
        <v>3.17</v>
      </c>
      <c r="L2105" s="27">
        <v>430</v>
      </c>
      <c r="M2105" s="27">
        <v>330</v>
      </c>
      <c r="N2105" s="27">
        <v>0</v>
      </c>
      <c r="O2105" s="27">
        <v>0</v>
      </c>
      <c r="P2105" s="27" t="s">
        <v>13</v>
      </c>
      <c r="Q2105" s="27">
        <v>1993</v>
      </c>
      <c r="R2105" s="27">
        <v>1</v>
      </c>
      <c r="S2105" s="27">
        <v>0</v>
      </c>
      <c r="T2105" s="27">
        <v>-0.09</v>
      </c>
      <c r="U2105" s="27">
        <v>-0.1</v>
      </c>
      <c r="V2105" s="27">
        <v>0</v>
      </c>
      <c r="W2105" s="27">
        <v>0</v>
      </c>
      <c r="X2105" s="27" t="s">
        <v>79</v>
      </c>
    </row>
    <row r="2106" spans="1:24">
      <c r="A2106" s="27">
        <v>7</v>
      </c>
      <c r="B2106" s="27">
        <v>2</v>
      </c>
      <c r="C2106" s="27">
        <v>3</v>
      </c>
      <c r="D2106" s="27">
        <v>2015</v>
      </c>
      <c r="E2106" s="27">
        <v>2050</v>
      </c>
      <c r="F2106" s="27">
        <v>7</v>
      </c>
      <c r="G2106" s="27">
        <v>0</v>
      </c>
      <c r="H2106" s="27">
        <v>0</v>
      </c>
      <c r="I2106" s="27">
        <v>0</v>
      </c>
      <c r="J2106" s="27">
        <v>0</v>
      </c>
      <c r="K2106" s="27">
        <v>3.17</v>
      </c>
      <c r="L2106" s="27">
        <v>430</v>
      </c>
      <c r="M2106" s="27">
        <v>330</v>
      </c>
      <c r="N2106" s="27">
        <v>0</v>
      </c>
      <c r="O2106" s="27">
        <v>0</v>
      </c>
      <c r="P2106" s="27" t="s">
        <v>13</v>
      </c>
      <c r="Q2106" s="27">
        <v>1993</v>
      </c>
      <c r="R2106" s="27">
        <v>1</v>
      </c>
      <c r="S2106" s="27">
        <v>0</v>
      </c>
      <c r="T2106" s="27">
        <v>-0.09</v>
      </c>
      <c r="U2106" s="27">
        <v>-0.1</v>
      </c>
      <c r="V2106" s="27">
        <v>0</v>
      </c>
      <c r="W2106" s="27">
        <v>0</v>
      </c>
      <c r="X2106" s="27" t="s">
        <v>79</v>
      </c>
    </row>
    <row r="2107" spans="1:24">
      <c r="A2107" s="27">
        <v>7</v>
      </c>
      <c r="B2107" s="27">
        <v>2</v>
      </c>
      <c r="C2107" s="27">
        <v>3</v>
      </c>
      <c r="D2107" s="27">
        <v>2015</v>
      </c>
      <c r="E2107" s="27">
        <v>2050</v>
      </c>
      <c r="F2107" s="27">
        <v>8</v>
      </c>
      <c r="G2107" s="27">
        <v>0</v>
      </c>
      <c r="H2107" s="27">
        <v>0</v>
      </c>
      <c r="I2107" s="27">
        <v>0</v>
      </c>
      <c r="J2107" s="27">
        <v>0</v>
      </c>
      <c r="K2107" s="27">
        <v>3.17</v>
      </c>
      <c r="L2107" s="27">
        <v>430</v>
      </c>
      <c r="M2107" s="27">
        <v>330</v>
      </c>
      <c r="N2107" s="27">
        <v>0</v>
      </c>
      <c r="O2107" s="27">
        <v>0</v>
      </c>
      <c r="P2107" s="27" t="s">
        <v>13</v>
      </c>
      <c r="Q2107" s="27">
        <v>1993</v>
      </c>
      <c r="R2107" s="27">
        <v>1</v>
      </c>
      <c r="S2107" s="27">
        <v>0</v>
      </c>
      <c r="T2107" s="27">
        <v>-0.09</v>
      </c>
      <c r="U2107" s="27">
        <v>-0.1</v>
      </c>
      <c r="V2107" s="27">
        <v>0</v>
      </c>
      <c r="W2107" s="27">
        <v>0</v>
      </c>
      <c r="X2107" s="27" t="s">
        <v>79</v>
      </c>
    </row>
    <row r="2108" spans="1:24">
      <c r="A2108" s="27">
        <v>7</v>
      </c>
      <c r="B2108" s="27">
        <v>2</v>
      </c>
      <c r="C2108" s="27">
        <v>3</v>
      </c>
      <c r="D2108" s="27">
        <v>2015</v>
      </c>
      <c r="E2108" s="27">
        <v>2050</v>
      </c>
      <c r="F2108" s="27">
        <v>9</v>
      </c>
      <c r="G2108" s="27">
        <v>0</v>
      </c>
      <c r="H2108" s="27">
        <v>0</v>
      </c>
      <c r="I2108" s="27">
        <v>0</v>
      </c>
      <c r="J2108" s="27">
        <v>0</v>
      </c>
      <c r="K2108" s="27">
        <v>3.17</v>
      </c>
      <c r="L2108" s="27">
        <v>430</v>
      </c>
      <c r="M2108" s="27">
        <v>330</v>
      </c>
      <c r="N2108" s="27">
        <v>0</v>
      </c>
      <c r="O2108" s="27">
        <v>0</v>
      </c>
      <c r="P2108" s="27" t="s">
        <v>13</v>
      </c>
      <c r="Q2108" s="27">
        <v>1993</v>
      </c>
      <c r="R2108" s="27">
        <v>1</v>
      </c>
      <c r="S2108" s="27">
        <v>0</v>
      </c>
      <c r="T2108" s="27">
        <v>-0.09</v>
      </c>
      <c r="U2108" s="27">
        <v>-0.1</v>
      </c>
      <c r="V2108" s="27">
        <v>0</v>
      </c>
      <c r="W2108" s="27">
        <v>0</v>
      </c>
      <c r="X2108" s="27" t="s">
        <v>79</v>
      </c>
    </row>
    <row r="2109" spans="1:24">
      <c r="A2109" s="27">
        <v>7</v>
      </c>
      <c r="B2109" s="27">
        <v>2</v>
      </c>
      <c r="C2109" s="27">
        <v>4</v>
      </c>
      <c r="D2109" s="27">
        <v>2010</v>
      </c>
      <c r="E2109" s="27">
        <v>2014</v>
      </c>
      <c r="F2109" s="27">
        <v>1</v>
      </c>
      <c r="G2109" s="27">
        <v>0</v>
      </c>
      <c r="H2109" s="27">
        <v>0</v>
      </c>
      <c r="I2109" s="27">
        <v>0</v>
      </c>
      <c r="J2109" s="27">
        <v>0</v>
      </c>
      <c r="K2109" s="27">
        <v>3.17</v>
      </c>
      <c r="L2109" s="27">
        <v>430</v>
      </c>
      <c r="M2109" s="27">
        <v>330</v>
      </c>
      <c r="N2109" s="27">
        <v>0</v>
      </c>
      <c r="O2109" s="27">
        <v>0</v>
      </c>
      <c r="P2109" s="27" t="s">
        <v>13</v>
      </c>
      <c r="Q2109" s="27">
        <v>1993</v>
      </c>
      <c r="R2109" s="27">
        <v>1</v>
      </c>
      <c r="S2109" s="27">
        <v>0</v>
      </c>
      <c r="T2109" s="27">
        <v>-0.09</v>
      </c>
      <c r="U2109" s="27">
        <v>-0.1</v>
      </c>
      <c r="V2109" s="27">
        <v>0</v>
      </c>
      <c r="W2109" s="27">
        <v>0</v>
      </c>
      <c r="X2109" s="27" t="s">
        <v>80</v>
      </c>
    </row>
    <row r="2110" spans="1:24">
      <c r="A2110" s="27">
        <v>7</v>
      </c>
      <c r="B2110" s="27">
        <v>2</v>
      </c>
      <c r="C2110" s="27">
        <v>4</v>
      </c>
      <c r="D2110" s="27">
        <v>2010</v>
      </c>
      <c r="E2110" s="27">
        <v>2014</v>
      </c>
      <c r="F2110" s="27">
        <v>2</v>
      </c>
      <c r="G2110" s="27">
        <v>0</v>
      </c>
      <c r="H2110" s="27">
        <v>0</v>
      </c>
      <c r="I2110" s="27">
        <v>0</v>
      </c>
      <c r="J2110" s="27">
        <v>0</v>
      </c>
      <c r="K2110" s="27">
        <v>3.17</v>
      </c>
      <c r="L2110" s="27">
        <v>430</v>
      </c>
      <c r="M2110" s="27">
        <v>330</v>
      </c>
      <c r="N2110" s="27">
        <v>0</v>
      </c>
      <c r="O2110" s="27">
        <v>0</v>
      </c>
      <c r="P2110" s="27" t="s">
        <v>13</v>
      </c>
      <c r="Q2110" s="27">
        <v>1993</v>
      </c>
      <c r="R2110" s="27">
        <v>1</v>
      </c>
      <c r="S2110" s="27">
        <v>0</v>
      </c>
      <c r="T2110" s="27">
        <v>-0.09</v>
      </c>
      <c r="U2110" s="27">
        <v>-0.1</v>
      </c>
      <c r="V2110" s="27">
        <v>0</v>
      </c>
      <c r="W2110" s="27">
        <v>0</v>
      </c>
      <c r="X2110" s="27" t="s">
        <v>80</v>
      </c>
    </row>
    <row r="2111" spans="1:24">
      <c r="A2111" s="27">
        <v>7</v>
      </c>
      <c r="B2111" s="27">
        <v>2</v>
      </c>
      <c r="C2111" s="27">
        <v>4</v>
      </c>
      <c r="D2111" s="27">
        <v>2010</v>
      </c>
      <c r="E2111" s="27">
        <v>2014</v>
      </c>
      <c r="F2111" s="27">
        <v>3</v>
      </c>
      <c r="G2111" s="27">
        <v>0</v>
      </c>
      <c r="H2111" s="27">
        <v>0</v>
      </c>
      <c r="I2111" s="27">
        <v>0</v>
      </c>
      <c r="J2111" s="27">
        <v>0</v>
      </c>
      <c r="K2111" s="27">
        <v>3.17</v>
      </c>
      <c r="L2111" s="27">
        <v>430</v>
      </c>
      <c r="M2111" s="27">
        <v>330</v>
      </c>
      <c r="N2111" s="27">
        <v>0</v>
      </c>
      <c r="O2111" s="27">
        <v>0</v>
      </c>
      <c r="P2111" s="27" t="s">
        <v>13</v>
      </c>
      <c r="Q2111" s="27">
        <v>1993</v>
      </c>
      <c r="R2111" s="27">
        <v>1</v>
      </c>
      <c r="S2111" s="27">
        <v>0</v>
      </c>
      <c r="T2111" s="27">
        <v>-0.09</v>
      </c>
      <c r="U2111" s="27">
        <v>-0.1</v>
      </c>
      <c r="V2111" s="27">
        <v>0</v>
      </c>
      <c r="W2111" s="27">
        <v>0</v>
      </c>
      <c r="X2111" s="27" t="s">
        <v>80</v>
      </c>
    </row>
    <row r="2112" spans="1:24">
      <c r="A2112" s="27">
        <v>7</v>
      </c>
      <c r="B2112" s="27">
        <v>2</v>
      </c>
      <c r="C2112" s="27">
        <v>4</v>
      </c>
      <c r="D2112" s="27">
        <v>2010</v>
      </c>
      <c r="E2112" s="27">
        <v>2014</v>
      </c>
      <c r="F2112" s="27">
        <v>4</v>
      </c>
      <c r="G2112" s="27">
        <v>0</v>
      </c>
      <c r="H2112" s="27">
        <v>0</v>
      </c>
      <c r="I2112" s="27">
        <v>0</v>
      </c>
      <c r="J2112" s="27">
        <v>0</v>
      </c>
      <c r="K2112" s="27">
        <v>3.17</v>
      </c>
      <c r="L2112" s="27">
        <v>430</v>
      </c>
      <c r="M2112" s="27">
        <v>330</v>
      </c>
      <c r="N2112" s="27">
        <v>0</v>
      </c>
      <c r="O2112" s="27">
        <v>0</v>
      </c>
      <c r="P2112" s="27" t="s">
        <v>13</v>
      </c>
      <c r="Q2112" s="27">
        <v>1993</v>
      </c>
      <c r="R2112" s="27">
        <v>1</v>
      </c>
      <c r="S2112" s="27">
        <v>0</v>
      </c>
      <c r="T2112" s="27">
        <v>-0.09</v>
      </c>
      <c r="U2112" s="27">
        <v>-0.1</v>
      </c>
      <c r="V2112" s="27">
        <v>0</v>
      </c>
      <c r="W2112" s="27">
        <v>0</v>
      </c>
      <c r="X2112" s="27" t="s">
        <v>80</v>
      </c>
    </row>
    <row r="2113" spans="1:24">
      <c r="A2113" s="27">
        <v>7</v>
      </c>
      <c r="B2113" s="27">
        <v>2</v>
      </c>
      <c r="C2113" s="27">
        <v>4</v>
      </c>
      <c r="D2113" s="27">
        <v>2010</v>
      </c>
      <c r="E2113" s="27">
        <v>2014</v>
      </c>
      <c r="F2113" s="27">
        <v>5</v>
      </c>
      <c r="G2113" s="27">
        <v>0</v>
      </c>
      <c r="H2113" s="27">
        <v>0</v>
      </c>
      <c r="I2113" s="27">
        <v>0</v>
      </c>
      <c r="J2113" s="27">
        <v>0</v>
      </c>
      <c r="K2113" s="27">
        <v>3.17</v>
      </c>
      <c r="L2113" s="27">
        <v>430</v>
      </c>
      <c r="M2113" s="27">
        <v>330</v>
      </c>
      <c r="N2113" s="27">
        <v>0</v>
      </c>
      <c r="O2113" s="27">
        <v>0</v>
      </c>
      <c r="P2113" s="27" t="s">
        <v>13</v>
      </c>
      <c r="Q2113" s="27">
        <v>1993</v>
      </c>
      <c r="R2113" s="27">
        <v>1</v>
      </c>
      <c r="S2113" s="27">
        <v>0</v>
      </c>
      <c r="T2113" s="27">
        <v>-0.09</v>
      </c>
      <c r="U2113" s="27">
        <v>-0.1</v>
      </c>
      <c r="V2113" s="27">
        <v>0</v>
      </c>
      <c r="W2113" s="27">
        <v>0</v>
      </c>
      <c r="X2113" s="27" t="s">
        <v>80</v>
      </c>
    </row>
    <row r="2114" spans="1:24">
      <c r="A2114" s="27">
        <v>7</v>
      </c>
      <c r="B2114" s="27">
        <v>2</v>
      </c>
      <c r="C2114" s="27">
        <v>4</v>
      </c>
      <c r="D2114" s="27">
        <v>2010</v>
      </c>
      <c r="E2114" s="27">
        <v>2014</v>
      </c>
      <c r="F2114" s="27">
        <v>6</v>
      </c>
      <c r="G2114" s="27">
        <v>0</v>
      </c>
      <c r="H2114" s="27">
        <v>0</v>
      </c>
      <c r="I2114" s="27">
        <v>0</v>
      </c>
      <c r="J2114" s="27">
        <v>0</v>
      </c>
      <c r="K2114" s="27">
        <v>3.17</v>
      </c>
      <c r="L2114" s="27">
        <v>430</v>
      </c>
      <c r="M2114" s="27">
        <v>330</v>
      </c>
      <c r="N2114" s="27">
        <v>0</v>
      </c>
      <c r="O2114" s="27">
        <v>0</v>
      </c>
      <c r="P2114" s="27" t="s">
        <v>13</v>
      </c>
      <c r="Q2114" s="27">
        <v>1993</v>
      </c>
      <c r="R2114" s="27">
        <v>1</v>
      </c>
      <c r="S2114" s="27">
        <v>0</v>
      </c>
      <c r="T2114" s="27">
        <v>-0.09</v>
      </c>
      <c r="U2114" s="27">
        <v>-0.1</v>
      </c>
      <c r="V2114" s="27">
        <v>0</v>
      </c>
      <c r="W2114" s="27">
        <v>0</v>
      </c>
      <c r="X2114" s="27" t="s">
        <v>80</v>
      </c>
    </row>
    <row r="2115" spans="1:24">
      <c r="A2115" s="27">
        <v>7</v>
      </c>
      <c r="B2115" s="27">
        <v>2</v>
      </c>
      <c r="C2115" s="27">
        <v>4</v>
      </c>
      <c r="D2115" s="27">
        <v>2010</v>
      </c>
      <c r="E2115" s="27">
        <v>2014</v>
      </c>
      <c r="F2115" s="27">
        <v>7</v>
      </c>
      <c r="G2115" s="27">
        <v>0</v>
      </c>
      <c r="H2115" s="27">
        <v>0</v>
      </c>
      <c r="I2115" s="27">
        <v>0</v>
      </c>
      <c r="J2115" s="27">
        <v>0</v>
      </c>
      <c r="K2115" s="27">
        <v>3.17</v>
      </c>
      <c r="L2115" s="27">
        <v>430</v>
      </c>
      <c r="M2115" s="27">
        <v>330</v>
      </c>
      <c r="N2115" s="27">
        <v>0</v>
      </c>
      <c r="O2115" s="27">
        <v>0</v>
      </c>
      <c r="P2115" s="27" t="s">
        <v>13</v>
      </c>
      <c r="Q2115" s="27">
        <v>1993</v>
      </c>
      <c r="R2115" s="27">
        <v>1</v>
      </c>
      <c r="S2115" s="27">
        <v>0</v>
      </c>
      <c r="T2115" s="27">
        <v>-0.09</v>
      </c>
      <c r="U2115" s="27">
        <v>-0.1</v>
      </c>
      <c r="V2115" s="27">
        <v>0</v>
      </c>
      <c r="W2115" s="27">
        <v>0</v>
      </c>
      <c r="X2115" s="27" t="s">
        <v>80</v>
      </c>
    </row>
    <row r="2116" spans="1:24">
      <c r="A2116" s="27">
        <v>7</v>
      </c>
      <c r="B2116" s="27">
        <v>2</v>
      </c>
      <c r="C2116" s="27">
        <v>4</v>
      </c>
      <c r="D2116" s="27">
        <v>2010</v>
      </c>
      <c r="E2116" s="27">
        <v>2014</v>
      </c>
      <c r="F2116" s="27">
        <v>8</v>
      </c>
      <c r="G2116" s="27">
        <v>0</v>
      </c>
      <c r="H2116" s="27">
        <v>0</v>
      </c>
      <c r="I2116" s="27">
        <v>0</v>
      </c>
      <c r="J2116" s="27">
        <v>0</v>
      </c>
      <c r="K2116" s="27">
        <v>3.17</v>
      </c>
      <c r="L2116" s="27">
        <v>430</v>
      </c>
      <c r="M2116" s="27">
        <v>330</v>
      </c>
      <c r="N2116" s="27">
        <v>0</v>
      </c>
      <c r="O2116" s="27">
        <v>0</v>
      </c>
      <c r="P2116" s="27" t="s">
        <v>13</v>
      </c>
      <c r="Q2116" s="27">
        <v>1993</v>
      </c>
      <c r="R2116" s="27">
        <v>1</v>
      </c>
      <c r="S2116" s="27">
        <v>0</v>
      </c>
      <c r="T2116" s="27">
        <v>-0.09</v>
      </c>
      <c r="U2116" s="27">
        <v>-0.1</v>
      </c>
      <c r="V2116" s="27">
        <v>0</v>
      </c>
      <c r="W2116" s="27">
        <v>0</v>
      </c>
      <c r="X2116" s="27" t="s">
        <v>80</v>
      </c>
    </row>
    <row r="2117" spans="1:24">
      <c r="A2117" s="27">
        <v>7</v>
      </c>
      <c r="B2117" s="27">
        <v>2</v>
      </c>
      <c r="C2117" s="27">
        <v>4</v>
      </c>
      <c r="D2117" s="27">
        <v>2010</v>
      </c>
      <c r="E2117" s="27">
        <v>2014</v>
      </c>
      <c r="F2117" s="27">
        <v>9</v>
      </c>
      <c r="G2117" s="27">
        <v>0</v>
      </c>
      <c r="H2117" s="27">
        <v>0</v>
      </c>
      <c r="I2117" s="27">
        <v>0</v>
      </c>
      <c r="J2117" s="27">
        <v>0</v>
      </c>
      <c r="K2117" s="27">
        <v>3.17</v>
      </c>
      <c r="L2117" s="27">
        <v>430</v>
      </c>
      <c r="M2117" s="27">
        <v>330</v>
      </c>
      <c r="N2117" s="27">
        <v>0</v>
      </c>
      <c r="O2117" s="27">
        <v>0</v>
      </c>
      <c r="P2117" s="27" t="s">
        <v>13</v>
      </c>
      <c r="Q2117" s="27">
        <v>1993</v>
      </c>
      <c r="R2117" s="27">
        <v>1</v>
      </c>
      <c r="S2117" s="27">
        <v>0</v>
      </c>
      <c r="T2117" s="27">
        <v>-0.09</v>
      </c>
      <c r="U2117" s="27">
        <v>-0.1</v>
      </c>
      <c r="V2117" s="27">
        <v>0</v>
      </c>
      <c r="W2117" s="27">
        <v>0</v>
      </c>
      <c r="X2117" s="27" t="s">
        <v>80</v>
      </c>
    </row>
    <row r="2118" spans="1:24">
      <c r="A2118" s="27">
        <v>7</v>
      </c>
      <c r="B2118" s="27">
        <v>2</v>
      </c>
      <c r="C2118" s="27">
        <v>4</v>
      </c>
      <c r="D2118" s="27">
        <v>2015</v>
      </c>
      <c r="E2118" s="27">
        <v>2050</v>
      </c>
      <c r="F2118" s="27">
        <v>1</v>
      </c>
      <c r="G2118" s="27">
        <v>0</v>
      </c>
      <c r="H2118" s="27">
        <v>0</v>
      </c>
      <c r="I2118" s="27">
        <v>0</v>
      </c>
      <c r="J2118" s="27">
        <v>0</v>
      </c>
      <c r="K2118" s="27">
        <v>4.51</v>
      </c>
      <c r="L2118" s="27">
        <v>750</v>
      </c>
      <c r="M2118" s="27">
        <v>650</v>
      </c>
      <c r="N2118" s="27">
        <v>0</v>
      </c>
      <c r="O2118" s="27">
        <v>0</v>
      </c>
      <c r="P2118" s="27" t="s">
        <v>13</v>
      </c>
      <c r="Q2118" s="27">
        <v>1993</v>
      </c>
      <c r="R2118" s="27">
        <v>1</v>
      </c>
      <c r="S2118" s="27">
        <v>0</v>
      </c>
      <c r="T2118" s="27">
        <v>-0.09</v>
      </c>
      <c r="U2118" s="27">
        <v>-0.1</v>
      </c>
      <c r="V2118" s="27">
        <v>0</v>
      </c>
      <c r="W2118" s="27">
        <v>0</v>
      </c>
      <c r="X2118" s="27" t="s">
        <v>80</v>
      </c>
    </row>
    <row r="2119" spans="1:24">
      <c r="A2119" s="27">
        <v>7</v>
      </c>
      <c r="B2119" s="27">
        <v>2</v>
      </c>
      <c r="C2119" s="27">
        <v>4</v>
      </c>
      <c r="D2119" s="27">
        <v>2015</v>
      </c>
      <c r="E2119" s="27">
        <v>2050</v>
      </c>
      <c r="F2119" s="27">
        <v>2</v>
      </c>
      <c r="G2119" s="27">
        <v>0</v>
      </c>
      <c r="H2119" s="27">
        <v>0</v>
      </c>
      <c r="I2119" s="27">
        <v>0</v>
      </c>
      <c r="J2119" s="27">
        <v>0</v>
      </c>
      <c r="K2119" s="27">
        <v>4.51</v>
      </c>
      <c r="L2119" s="27">
        <v>750</v>
      </c>
      <c r="M2119" s="27">
        <v>650</v>
      </c>
      <c r="N2119" s="27">
        <v>0</v>
      </c>
      <c r="O2119" s="27">
        <v>0</v>
      </c>
      <c r="P2119" s="27" t="s">
        <v>13</v>
      </c>
      <c r="Q2119" s="27">
        <v>1993</v>
      </c>
      <c r="R2119" s="27">
        <v>1</v>
      </c>
      <c r="S2119" s="27">
        <v>0</v>
      </c>
      <c r="T2119" s="27">
        <v>-0.09</v>
      </c>
      <c r="U2119" s="27">
        <v>-0.1</v>
      </c>
      <c r="V2119" s="27">
        <v>0</v>
      </c>
      <c r="W2119" s="27">
        <v>0</v>
      </c>
      <c r="X2119" s="27" t="s">
        <v>80</v>
      </c>
    </row>
    <row r="2120" spans="1:24">
      <c r="A2120" s="27">
        <v>7</v>
      </c>
      <c r="B2120" s="27">
        <v>2</v>
      </c>
      <c r="C2120" s="27">
        <v>4</v>
      </c>
      <c r="D2120" s="27">
        <v>2015</v>
      </c>
      <c r="E2120" s="27">
        <v>2050</v>
      </c>
      <c r="F2120" s="27">
        <v>3</v>
      </c>
      <c r="G2120" s="27">
        <v>0</v>
      </c>
      <c r="H2120" s="27">
        <v>0</v>
      </c>
      <c r="I2120" s="27">
        <v>0</v>
      </c>
      <c r="J2120" s="27">
        <v>0</v>
      </c>
      <c r="K2120" s="27">
        <v>4.51</v>
      </c>
      <c r="L2120" s="27">
        <v>750</v>
      </c>
      <c r="M2120" s="27">
        <v>650</v>
      </c>
      <c r="N2120" s="27">
        <v>0</v>
      </c>
      <c r="O2120" s="27">
        <v>0</v>
      </c>
      <c r="P2120" s="27" t="s">
        <v>13</v>
      </c>
      <c r="Q2120" s="27">
        <v>1993</v>
      </c>
      <c r="R2120" s="27">
        <v>1</v>
      </c>
      <c r="S2120" s="27">
        <v>0</v>
      </c>
      <c r="T2120" s="27">
        <v>-0.09</v>
      </c>
      <c r="U2120" s="27">
        <v>-0.1</v>
      </c>
      <c r="V2120" s="27">
        <v>0</v>
      </c>
      <c r="W2120" s="27">
        <v>0</v>
      </c>
      <c r="X2120" s="27" t="s">
        <v>80</v>
      </c>
    </row>
    <row r="2121" spans="1:24">
      <c r="A2121" s="27">
        <v>7</v>
      </c>
      <c r="B2121" s="27">
        <v>2</v>
      </c>
      <c r="C2121" s="27">
        <v>4</v>
      </c>
      <c r="D2121" s="27">
        <v>2015</v>
      </c>
      <c r="E2121" s="27">
        <v>2050</v>
      </c>
      <c r="F2121" s="27">
        <v>4</v>
      </c>
      <c r="G2121" s="27">
        <v>0</v>
      </c>
      <c r="H2121" s="27">
        <v>0</v>
      </c>
      <c r="I2121" s="27">
        <v>0</v>
      </c>
      <c r="J2121" s="27">
        <v>0</v>
      </c>
      <c r="K2121" s="27">
        <v>4.51</v>
      </c>
      <c r="L2121" s="27">
        <v>750</v>
      </c>
      <c r="M2121" s="27">
        <v>650</v>
      </c>
      <c r="N2121" s="27">
        <v>0</v>
      </c>
      <c r="O2121" s="27">
        <v>0</v>
      </c>
      <c r="P2121" s="27" t="s">
        <v>13</v>
      </c>
      <c r="Q2121" s="27">
        <v>1993</v>
      </c>
      <c r="R2121" s="27">
        <v>1</v>
      </c>
      <c r="S2121" s="27">
        <v>0</v>
      </c>
      <c r="T2121" s="27">
        <v>-0.09</v>
      </c>
      <c r="U2121" s="27">
        <v>-0.1</v>
      </c>
      <c r="V2121" s="27">
        <v>0</v>
      </c>
      <c r="W2121" s="27">
        <v>0</v>
      </c>
      <c r="X2121" s="27" t="s">
        <v>80</v>
      </c>
    </row>
    <row r="2122" spans="1:24">
      <c r="A2122" s="27">
        <v>7</v>
      </c>
      <c r="B2122" s="27">
        <v>2</v>
      </c>
      <c r="C2122" s="27">
        <v>4</v>
      </c>
      <c r="D2122" s="27">
        <v>2015</v>
      </c>
      <c r="E2122" s="27">
        <v>2050</v>
      </c>
      <c r="F2122" s="27">
        <v>5</v>
      </c>
      <c r="G2122" s="27">
        <v>0</v>
      </c>
      <c r="H2122" s="27">
        <v>0</v>
      </c>
      <c r="I2122" s="27">
        <v>0</v>
      </c>
      <c r="J2122" s="27">
        <v>0</v>
      </c>
      <c r="K2122" s="27">
        <v>4.51</v>
      </c>
      <c r="L2122" s="27">
        <v>750</v>
      </c>
      <c r="M2122" s="27">
        <v>650</v>
      </c>
      <c r="N2122" s="27">
        <v>0</v>
      </c>
      <c r="O2122" s="27">
        <v>0</v>
      </c>
      <c r="P2122" s="27" t="s">
        <v>13</v>
      </c>
      <c r="Q2122" s="27">
        <v>1993</v>
      </c>
      <c r="R2122" s="27">
        <v>1</v>
      </c>
      <c r="S2122" s="27">
        <v>0</v>
      </c>
      <c r="T2122" s="27">
        <v>-0.09</v>
      </c>
      <c r="U2122" s="27">
        <v>-0.1</v>
      </c>
      <c r="V2122" s="27">
        <v>0</v>
      </c>
      <c r="W2122" s="27">
        <v>0</v>
      </c>
      <c r="X2122" s="27" t="s">
        <v>80</v>
      </c>
    </row>
    <row r="2123" spans="1:24">
      <c r="A2123" s="27">
        <v>7</v>
      </c>
      <c r="B2123" s="27">
        <v>2</v>
      </c>
      <c r="C2123" s="27">
        <v>4</v>
      </c>
      <c r="D2123" s="27">
        <v>2015</v>
      </c>
      <c r="E2123" s="27">
        <v>2050</v>
      </c>
      <c r="F2123" s="27">
        <v>6</v>
      </c>
      <c r="G2123" s="27">
        <v>0</v>
      </c>
      <c r="H2123" s="27">
        <v>0</v>
      </c>
      <c r="I2123" s="27">
        <v>0</v>
      </c>
      <c r="J2123" s="27">
        <v>0</v>
      </c>
      <c r="K2123" s="27">
        <v>4.51</v>
      </c>
      <c r="L2123" s="27">
        <v>750</v>
      </c>
      <c r="M2123" s="27">
        <v>650</v>
      </c>
      <c r="N2123" s="27">
        <v>0</v>
      </c>
      <c r="O2123" s="27">
        <v>0</v>
      </c>
      <c r="P2123" s="27" t="s">
        <v>13</v>
      </c>
      <c r="Q2123" s="27">
        <v>1993</v>
      </c>
      <c r="R2123" s="27">
        <v>1</v>
      </c>
      <c r="S2123" s="27">
        <v>0</v>
      </c>
      <c r="T2123" s="27">
        <v>-0.09</v>
      </c>
      <c r="U2123" s="27">
        <v>-0.1</v>
      </c>
      <c r="V2123" s="27">
        <v>0</v>
      </c>
      <c r="W2123" s="27">
        <v>0</v>
      </c>
      <c r="X2123" s="27" t="s">
        <v>80</v>
      </c>
    </row>
    <row r="2124" spans="1:24">
      <c r="A2124" s="27">
        <v>7</v>
      </c>
      <c r="B2124" s="27">
        <v>2</v>
      </c>
      <c r="C2124" s="27">
        <v>4</v>
      </c>
      <c r="D2124" s="27">
        <v>2015</v>
      </c>
      <c r="E2124" s="27">
        <v>2050</v>
      </c>
      <c r="F2124" s="27">
        <v>7</v>
      </c>
      <c r="G2124" s="27">
        <v>0</v>
      </c>
      <c r="H2124" s="27">
        <v>0</v>
      </c>
      <c r="I2124" s="27">
        <v>0</v>
      </c>
      <c r="J2124" s="27">
        <v>0</v>
      </c>
      <c r="K2124" s="27">
        <v>4.51</v>
      </c>
      <c r="L2124" s="27">
        <v>750</v>
      </c>
      <c r="M2124" s="27">
        <v>650</v>
      </c>
      <c r="N2124" s="27">
        <v>0</v>
      </c>
      <c r="O2124" s="27">
        <v>0</v>
      </c>
      <c r="P2124" s="27" t="s">
        <v>13</v>
      </c>
      <c r="Q2124" s="27">
        <v>1993</v>
      </c>
      <c r="R2124" s="27">
        <v>1</v>
      </c>
      <c r="S2124" s="27">
        <v>0</v>
      </c>
      <c r="T2124" s="27">
        <v>-0.09</v>
      </c>
      <c r="U2124" s="27">
        <v>-0.1</v>
      </c>
      <c r="V2124" s="27">
        <v>0</v>
      </c>
      <c r="W2124" s="27">
        <v>0</v>
      </c>
      <c r="X2124" s="27" t="s">
        <v>80</v>
      </c>
    </row>
    <row r="2125" spans="1:24">
      <c r="A2125" s="27">
        <v>7</v>
      </c>
      <c r="B2125" s="27">
        <v>2</v>
      </c>
      <c r="C2125" s="27">
        <v>4</v>
      </c>
      <c r="D2125" s="27">
        <v>2015</v>
      </c>
      <c r="E2125" s="27">
        <v>2050</v>
      </c>
      <c r="F2125" s="27">
        <v>8</v>
      </c>
      <c r="G2125" s="27">
        <v>0</v>
      </c>
      <c r="H2125" s="27">
        <v>0</v>
      </c>
      <c r="I2125" s="27">
        <v>0</v>
      </c>
      <c r="J2125" s="27">
        <v>0</v>
      </c>
      <c r="K2125" s="27">
        <v>4.51</v>
      </c>
      <c r="L2125" s="27">
        <v>750</v>
      </c>
      <c r="M2125" s="27">
        <v>650</v>
      </c>
      <c r="N2125" s="27">
        <v>0</v>
      </c>
      <c r="O2125" s="27">
        <v>0</v>
      </c>
      <c r="P2125" s="27" t="s">
        <v>13</v>
      </c>
      <c r="Q2125" s="27">
        <v>1993</v>
      </c>
      <c r="R2125" s="27">
        <v>1</v>
      </c>
      <c r="S2125" s="27">
        <v>0</v>
      </c>
      <c r="T2125" s="27">
        <v>-0.09</v>
      </c>
      <c r="U2125" s="27">
        <v>-0.1</v>
      </c>
      <c r="V2125" s="27">
        <v>0</v>
      </c>
      <c r="W2125" s="27">
        <v>0</v>
      </c>
      <c r="X2125" s="27" t="s">
        <v>80</v>
      </c>
    </row>
    <row r="2126" spans="1:24">
      <c r="A2126" s="27">
        <v>7</v>
      </c>
      <c r="B2126" s="27">
        <v>2</v>
      </c>
      <c r="C2126" s="27">
        <v>4</v>
      </c>
      <c r="D2126" s="27">
        <v>2015</v>
      </c>
      <c r="E2126" s="27">
        <v>2050</v>
      </c>
      <c r="F2126" s="27">
        <v>9</v>
      </c>
      <c r="G2126" s="27">
        <v>0</v>
      </c>
      <c r="H2126" s="27">
        <v>0</v>
      </c>
      <c r="I2126" s="27">
        <v>0</v>
      </c>
      <c r="J2126" s="27">
        <v>0</v>
      </c>
      <c r="K2126" s="27">
        <v>4.51</v>
      </c>
      <c r="L2126" s="27">
        <v>750</v>
      </c>
      <c r="M2126" s="27">
        <v>650</v>
      </c>
      <c r="N2126" s="27">
        <v>0</v>
      </c>
      <c r="O2126" s="27">
        <v>0</v>
      </c>
      <c r="P2126" s="27" t="s">
        <v>13</v>
      </c>
      <c r="Q2126" s="27">
        <v>1993</v>
      </c>
      <c r="R2126" s="27">
        <v>1</v>
      </c>
      <c r="S2126" s="27">
        <v>0</v>
      </c>
      <c r="T2126" s="27">
        <v>-0.09</v>
      </c>
      <c r="U2126" s="27">
        <v>-0.1</v>
      </c>
      <c r="V2126" s="27">
        <v>0</v>
      </c>
      <c r="W2126" s="27">
        <v>0</v>
      </c>
      <c r="X2126" s="27" t="s">
        <v>80</v>
      </c>
    </row>
    <row r="2127" spans="1:24">
      <c r="A2127" s="27">
        <v>8</v>
      </c>
      <c r="B2127" s="27">
        <v>1</v>
      </c>
      <c r="C2127" s="27">
        <v>1</v>
      </c>
      <c r="D2127" s="27">
        <v>2010</v>
      </c>
      <c r="E2127" s="27">
        <v>2013</v>
      </c>
      <c r="F2127" s="27">
        <v>1</v>
      </c>
      <c r="G2127" s="27">
        <v>0</v>
      </c>
      <c r="H2127" s="27">
        <v>0</v>
      </c>
      <c r="I2127" s="27">
        <v>0</v>
      </c>
      <c r="J2127" s="27">
        <v>0</v>
      </c>
      <c r="K2127" s="27">
        <v>511</v>
      </c>
      <c r="L2127" s="27">
        <v>500</v>
      </c>
      <c r="M2127" s="27">
        <v>450</v>
      </c>
      <c r="N2127" s="27">
        <v>0</v>
      </c>
      <c r="O2127" s="27">
        <v>0</v>
      </c>
      <c r="P2127" s="27" t="s">
        <v>13</v>
      </c>
      <c r="Q2127" s="27">
        <v>1993</v>
      </c>
      <c r="R2127" s="27">
        <v>1</v>
      </c>
      <c r="S2127" s="27">
        <v>0</v>
      </c>
      <c r="T2127" s="27">
        <v>-1.21E-2</v>
      </c>
      <c r="U2127" s="27">
        <v>-0.1207</v>
      </c>
      <c r="V2127" s="27">
        <v>0</v>
      </c>
      <c r="W2127" s="27">
        <v>0</v>
      </c>
      <c r="X2127" s="27" t="s">
        <v>922</v>
      </c>
    </row>
    <row r="2128" spans="1:24">
      <c r="A2128" s="27">
        <v>8</v>
      </c>
      <c r="B2128" s="27">
        <v>1</v>
      </c>
      <c r="C2128" s="27">
        <v>1</v>
      </c>
      <c r="D2128" s="27">
        <v>2010</v>
      </c>
      <c r="E2128" s="27">
        <v>2013</v>
      </c>
      <c r="F2128" s="27">
        <v>2</v>
      </c>
      <c r="G2128" s="27">
        <v>0</v>
      </c>
      <c r="H2128" s="27">
        <v>0</v>
      </c>
      <c r="I2128" s="27">
        <v>0</v>
      </c>
      <c r="J2128" s="27">
        <v>0</v>
      </c>
      <c r="K2128" s="27">
        <v>511</v>
      </c>
      <c r="L2128" s="27">
        <v>500</v>
      </c>
      <c r="M2128" s="27">
        <v>450</v>
      </c>
      <c r="N2128" s="27">
        <v>0</v>
      </c>
      <c r="O2128" s="27">
        <v>0</v>
      </c>
      <c r="P2128" s="27" t="s">
        <v>13</v>
      </c>
      <c r="Q2128" s="27">
        <v>1993</v>
      </c>
      <c r="R2128" s="27">
        <v>1</v>
      </c>
      <c r="S2128" s="27">
        <v>0</v>
      </c>
      <c r="T2128" s="27">
        <v>-1.21E-2</v>
      </c>
      <c r="U2128" s="27">
        <v>-0.1207</v>
      </c>
      <c r="V2128" s="27">
        <v>0</v>
      </c>
      <c r="W2128" s="27">
        <v>0</v>
      </c>
      <c r="X2128" s="27" t="s">
        <v>922</v>
      </c>
    </row>
    <row r="2129" spans="1:24">
      <c r="A2129" s="27">
        <v>8</v>
      </c>
      <c r="B2129" s="27">
        <v>1</v>
      </c>
      <c r="C2129" s="27">
        <v>1</v>
      </c>
      <c r="D2129" s="27">
        <v>2010</v>
      </c>
      <c r="E2129" s="27">
        <v>2013</v>
      </c>
      <c r="F2129" s="27">
        <v>3</v>
      </c>
      <c r="G2129" s="27">
        <v>0</v>
      </c>
      <c r="H2129" s="27">
        <v>0</v>
      </c>
      <c r="I2129" s="27">
        <v>0</v>
      </c>
      <c r="J2129" s="27">
        <v>0</v>
      </c>
      <c r="K2129" s="27">
        <v>511</v>
      </c>
      <c r="L2129" s="27">
        <v>500</v>
      </c>
      <c r="M2129" s="27">
        <v>450</v>
      </c>
      <c r="N2129" s="27">
        <v>0</v>
      </c>
      <c r="O2129" s="27">
        <v>0</v>
      </c>
      <c r="P2129" s="27" t="s">
        <v>13</v>
      </c>
      <c r="Q2129" s="27">
        <v>1993</v>
      </c>
      <c r="R2129" s="27">
        <v>1</v>
      </c>
      <c r="S2129" s="27">
        <v>0</v>
      </c>
      <c r="T2129" s="27">
        <v>-1.21E-2</v>
      </c>
      <c r="U2129" s="27">
        <v>-0.1207</v>
      </c>
      <c r="V2129" s="27">
        <v>0</v>
      </c>
      <c r="W2129" s="27">
        <v>0</v>
      </c>
      <c r="X2129" s="27" t="s">
        <v>922</v>
      </c>
    </row>
    <row r="2130" spans="1:24">
      <c r="A2130" s="27">
        <v>8</v>
      </c>
      <c r="B2130" s="27">
        <v>1</v>
      </c>
      <c r="C2130" s="27">
        <v>1</v>
      </c>
      <c r="D2130" s="27">
        <v>2010</v>
      </c>
      <c r="E2130" s="27">
        <v>2013</v>
      </c>
      <c r="F2130" s="27">
        <v>4</v>
      </c>
      <c r="G2130" s="27">
        <v>0</v>
      </c>
      <c r="H2130" s="27">
        <v>0</v>
      </c>
      <c r="I2130" s="27">
        <v>0</v>
      </c>
      <c r="J2130" s="27">
        <v>0</v>
      </c>
      <c r="K2130" s="27">
        <v>511</v>
      </c>
      <c r="L2130" s="27">
        <v>500</v>
      </c>
      <c r="M2130" s="27">
        <v>450</v>
      </c>
      <c r="N2130" s="27">
        <v>0</v>
      </c>
      <c r="O2130" s="27">
        <v>0</v>
      </c>
      <c r="P2130" s="27" t="s">
        <v>13</v>
      </c>
      <c r="Q2130" s="27">
        <v>1993</v>
      </c>
      <c r="R2130" s="27">
        <v>1</v>
      </c>
      <c r="S2130" s="27">
        <v>0</v>
      </c>
      <c r="T2130" s="27">
        <v>-1.21E-2</v>
      </c>
      <c r="U2130" s="27">
        <v>-0.1207</v>
      </c>
      <c r="V2130" s="27">
        <v>0</v>
      </c>
      <c r="W2130" s="27">
        <v>0</v>
      </c>
      <c r="X2130" s="27" t="s">
        <v>922</v>
      </c>
    </row>
    <row r="2131" spans="1:24">
      <c r="A2131" s="27">
        <v>8</v>
      </c>
      <c r="B2131" s="27">
        <v>1</v>
      </c>
      <c r="C2131" s="27">
        <v>1</v>
      </c>
      <c r="D2131" s="27">
        <v>2010</v>
      </c>
      <c r="E2131" s="27">
        <v>2013</v>
      </c>
      <c r="F2131" s="27">
        <v>5</v>
      </c>
      <c r="G2131" s="27">
        <v>0</v>
      </c>
      <c r="H2131" s="27">
        <v>0</v>
      </c>
      <c r="I2131" s="27">
        <v>0</v>
      </c>
      <c r="J2131" s="27">
        <v>0</v>
      </c>
      <c r="K2131" s="27">
        <v>511</v>
      </c>
      <c r="L2131" s="27">
        <v>500</v>
      </c>
      <c r="M2131" s="27">
        <v>450</v>
      </c>
      <c r="N2131" s="27">
        <v>0</v>
      </c>
      <c r="O2131" s="27">
        <v>0</v>
      </c>
      <c r="P2131" s="27" t="s">
        <v>13</v>
      </c>
      <c r="Q2131" s="27">
        <v>1993</v>
      </c>
      <c r="R2131" s="27">
        <v>1</v>
      </c>
      <c r="S2131" s="27">
        <v>0</v>
      </c>
      <c r="T2131" s="27">
        <v>-1.21E-2</v>
      </c>
      <c r="U2131" s="27">
        <v>-0.1207</v>
      </c>
      <c r="V2131" s="27">
        <v>0</v>
      </c>
      <c r="W2131" s="27">
        <v>0</v>
      </c>
      <c r="X2131" s="27" t="s">
        <v>922</v>
      </c>
    </row>
    <row r="2132" spans="1:24">
      <c r="A2132" s="27">
        <v>8</v>
      </c>
      <c r="B2132" s="27">
        <v>1</v>
      </c>
      <c r="C2132" s="27">
        <v>1</v>
      </c>
      <c r="D2132" s="27">
        <v>2010</v>
      </c>
      <c r="E2132" s="27">
        <v>2013</v>
      </c>
      <c r="F2132" s="27">
        <v>6</v>
      </c>
      <c r="G2132" s="27">
        <v>0</v>
      </c>
      <c r="H2132" s="27">
        <v>0</v>
      </c>
      <c r="I2132" s="27">
        <v>0</v>
      </c>
      <c r="J2132" s="27">
        <v>0</v>
      </c>
      <c r="K2132" s="27">
        <v>511</v>
      </c>
      <c r="L2132" s="27">
        <v>500</v>
      </c>
      <c r="M2132" s="27">
        <v>450</v>
      </c>
      <c r="N2132" s="27">
        <v>0</v>
      </c>
      <c r="O2132" s="27">
        <v>0</v>
      </c>
      <c r="P2132" s="27" t="s">
        <v>13</v>
      </c>
      <c r="Q2132" s="27">
        <v>1993</v>
      </c>
      <c r="R2132" s="27">
        <v>1</v>
      </c>
      <c r="S2132" s="27">
        <v>0</v>
      </c>
      <c r="T2132" s="27">
        <v>-1.21E-2</v>
      </c>
      <c r="U2132" s="27">
        <v>-0.1207</v>
      </c>
      <c r="V2132" s="27">
        <v>0</v>
      </c>
      <c r="W2132" s="27">
        <v>0</v>
      </c>
      <c r="X2132" s="27" t="s">
        <v>922</v>
      </c>
    </row>
    <row r="2133" spans="1:24">
      <c r="A2133" s="27">
        <v>8</v>
      </c>
      <c r="B2133" s="27">
        <v>1</v>
      </c>
      <c r="C2133" s="27">
        <v>1</v>
      </c>
      <c r="D2133" s="27">
        <v>2010</v>
      </c>
      <c r="E2133" s="27">
        <v>2013</v>
      </c>
      <c r="F2133" s="27">
        <v>7</v>
      </c>
      <c r="G2133" s="27">
        <v>0</v>
      </c>
      <c r="H2133" s="27">
        <v>0</v>
      </c>
      <c r="I2133" s="27">
        <v>0</v>
      </c>
      <c r="J2133" s="27">
        <v>0</v>
      </c>
      <c r="K2133" s="27">
        <v>511</v>
      </c>
      <c r="L2133" s="27">
        <v>500</v>
      </c>
      <c r="M2133" s="27">
        <v>450</v>
      </c>
      <c r="N2133" s="27">
        <v>0</v>
      </c>
      <c r="O2133" s="27">
        <v>0</v>
      </c>
      <c r="P2133" s="27" t="s">
        <v>13</v>
      </c>
      <c r="Q2133" s="27">
        <v>1993</v>
      </c>
      <c r="R2133" s="27">
        <v>1</v>
      </c>
      <c r="S2133" s="27">
        <v>0</v>
      </c>
      <c r="T2133" s="27">
        <v>-1.21E-2</v>
      </c>
      <c r="U2133" s="27">
        <v>-0.1207</v>
      </c>
      <c r="V2133" s="27">
        <v>0</v>
      </c>
      <c r="W2133" s="27">
        <v>0</v>
      </c>
      <c r="X2133" s="27" t="s">
        <v>922</v>
      </c>
    </row>
    <row r="2134" spans="1:24">
      <c r="A2134" s="27">
        <v>8</v>
      </c>
      <c r="B2134" s="27">
        <v>1</v>
      </c>
      <c r="C2134" s="27">
        <v>1</v>
      </c>
      <c r="D2134" s="27">
        <v>2010</v>
      </c>
      <c r="E2134" s="27">
        <v>2013</v>
      </c>
      <c r="F2134" s="27">
        <v>8</v>
      </c>
      <c r="G2134" s="27">
        <v>0</v>
      </c>
      <c r="H2134" s="27">
        <v>0</v>
      </c>
      <c r="I2134" s="27">
        <v>0</v>
      </c>
      <c r="J2134" s="27">
        <v>0</v>
      </c>
      <c r="K2134" s="27">
        <v>511</v>
      </c>
      <c r="L2134" s="27">
        <v>500</v>
      </c>
      <c r="M2134" s="27">
        <v>450</v>
      </c>
      <c r="N2134" s="27">
        <v>0</v>
      </c>
      <c r="O2134" s="27">
        <v>0</v>
      </c>
      <c r="P2134" s="27" t="s">
        <v>13</v>
      </c>
      <c r="Q2134" s="27">
        <v>1993</v>
      </c>
      <c r="R2134" s="27">
        <v>1</v>
      </c>
      <c r="S2134" s="27">
        <v>0</v>
      </c>
      <c r="T2134" s="27">
        <v>-1.21E-2</v>
      </c>
      <c r="U2134" s="27">
        <v>-0.1207</v>
      </c>
      <c r="V2134" s="27">
        <v>0</v>
      </c>
      <c r="W2134" s="27">
        <v>0</v>
      </c>
      <c r="X2134" s="27" t="s">
        <v>922</v>
      </c>
    </row>
    <row r="2135" spans="1:24">
      <c r="A2135" s="27">
        <v>8</v>
      </c>
      <c r="B2135" s="27">
        <v>1</v>
      </c>
      <c r="C2135" s="27">
        <v>1</v>
      </c>
      <c r="D2135" s="27">
        <v>2010</v>
      </c>
      <c r="E2135" s="27">
        <v>2013</v>
      </c>
      <c r="F2135" s="27">
        <v>9</v>
      </c>
      <c r="G2135" s="27">
        <v>0</v>
      </c>
      <c r="H2135" s="27">
        <v>0</v>
      </c>
      <c r="I2135" s="27">
        <v>0</v>
      </c>
      <c r="J2135" s="27">
        <v>0</v>
      </c>
      <c r="K2135" s="27">
        <v>511</v>
      </c>
      <c r="L2135" s="27">
        <v>500</v>
      </c>
      <c r="M2135" s="27">
        <v>450</v>
      </c>
      <c r="N2135" s="27">
        <v>0</v>
      </c>
      <c r="O2135" s="27">
        <v>0</v>
      </c>
      <c r="P2135" s="27" t="s">
        <v>13</v>
      </c>
      <c r="Q2135" s="27">
        <v>1993</v>
      </c>
      <c r="R2135" s="27">
        <v>1</v>
      </c>
      <c r="S2135" s="27">
        <v>0</v>
      </c>
      <c r="T2135" s="27">
        <v>-1.21E-2</v>
      </c>
      <c r="U2135" s="27">
        <v>-0.1207</v>
      </c>
      <c r="V2135" s="27">
        <v>0</v>
      </c>
      <c r="W2135" s="27">
        <v>0</v>
      </c>
      <c r="X2135" s="27" t="s">
        <v>922</v>
      </c>
    </row>
    <row r="2136" spans="1:24">
      <c r="A2136" s="27">
        <v>8</v>
      </c>
      <c r="B2136" s="27">
        <v>1</v>
      </c>
      <c r="C2136" s="27">
        <v>1</v>
      </c>
      <c r="D2136" s="27">
        <v>2014</v>
      </c>
      <c r="E2136" s="27">
        <v>2050</v>
      </c>
      <c r="F2136" s="27">
        <v>1</v>
      </c>
      <c r="G2136" s="27">
        <v>0</v>
      </c>
      <c r="H2136" s="27">
        <v>0</v>
      </c>
      <c r="I2136" s="27">
        <v>0</v>
      </c>
      <c r="J2136" s="27">
        <v>0</v>
      </c>
      <c r="K2136" s="27">
        <v>408</v>
      </c>
      <c r="L2136" s="27">
        <v>525</v>
      </c>
      <c r="M2136" s="27">
        <v>475</v>
      </c>
      <c r="N2136" s="27">
        <v>0</v>
      </c>
      <c r="O2136" s="27">
        <v>0</v>
      </c>
      <c r="P2136" s="27" t="s">
        <v>13</v>
      </c>
      <c r="Q2136" s="27">
        <v>1993</v>
      </c>
      <c r="R2136" s="27">
        <v>1</v>
      </c>
      <c r="S2136" s="27">
        <v>0</v>
      </c>
      <c r="T2136" s="27">
        <v>-1.21E-2</v>
      </c>
      <c r="U2136" s="27">
        <v>-0.1207</v>
      </c>
      <c r="V2136" s="27">
        <v>0</v>
      </c>
      <c r="W2136" s="27">
        <v>0</v>
      </c>
      <c r="X2136" s="27" t="s">
        <v>922</v>
      </c>
    </row>
    <row r="2137" spans="1:24">
      <c r="A2137" s="27">
        <v>8</v>
      </c>
      <c r="B2137" s="27">
        <v>1</v>
      </c>
      <c r="C2137" s="27">
        <v>1</v>
      </c>
      <c r="D2137" s="27">
        <v>2014</v>
      </c>
      <c r="E2137" s="27">
        <v>2050</v>
      </c>
      <c r="F2137" s="27">
        <v>2</v>
      </c>
      <c r="G2137" s="27">
        <v>0</v>
      </c>
      <c r="H2137" s="27">
        <v>0</v>
      </c>
      <c r="I2137" s="27">
        <v>0</v>
      </c>
      <c r="J2137" s="27">
        <v>0</v>
      </c>
      <c r="K2137" s="27">
        <v>408</v>
      </c>
      <c r="L2137" s="27">
        <v>525</v>
      </c>
      <c r="M2137" s="27">
        <v>475</v>
      </c>
      <c r="N2137" s="27">
        <v>0</v>
      </c>
      <c r="O2137" s="27">
        <v>0</v>
      </c>
      <c r="P2137" s="27" t="s">
        <v>13</v>
      </c>
      <c r="Q2137" s="27">
        <v>1993</v>
      </c>
      <c r="R2137" s="27">
        <v>1</v>
      </c>
      <c r="S2137" s="27">
        <v>0</v>
      </c>
      <c r="T2137" s="27">
        <v>-1.21E-2</v>
      </c>
      <c r="U2137" s="27">
        <v>-0.1207</v>
      </c>
      <c r="V2137" s="27">
        <v>0</v>
      </c>
      <c r="W2137" s="27">
        <v>0</v>
      </c>
      <c r="X2137" s="27" t="s">
        <v>922</v>
      </c>
    </row>
    <row r="2138" spans="1:24">
      <c r="A2138" s="27">
        <v>8</v>
      </c>
      <c r="B2138" s="27">
        <v>1</v>
      </c>
      <c r="C2138" s="27">
        <v>1</v>
      </c>
      <c r="D2138" s="27">
        <v>2014</v>
      </c>
      <c r="E2138" s="27">
        <v>2050</v>
      </c>
      <c r="F2138" s="27">
        <v>3</v>
      </c>
      <c r="G2138" s="27">
        <v>0</v>
      </c>
      <c r="H2138" s="27">
        <v>0</v>
      </c>
      <c r="I2138" s="27">
        <v>0</v>
      </c>
      <c r="J2138" s="27">
        <v>0</v>
      </c>
      <c r="K2138" s="27">
        <v>408</v>
      </c>
      <c r="L2138" s="27">
        <v>525</v>
      </c>
      <c r="M2138" s="27">
        <v>475</v>
      </c>
      <c r="N2138" s="27">
        <v>0</v>
      </c>
      <c r="O2138" s="27">
        <v>0</v>
      </c>
      <c r="P2138" s="27" t="s">
        <v>13</v>
      </c>
      <c r="Q2138" s="27">
        <v>1993</v>
      </c>
      <c r="R2138" s="27">
        <v>1</v>
      </c>
      <c r="S2138" s="27">
        <v>0</v>
      </c>
      <c r="T2138" s="27">
        <v>-1.21E-2</v>
      </c>
      <c r="U2138" s="27">
        <v>-0.1207</v>
      </c>
      <c r="V2138" s="27">
        <v>0</v>
      </c>
      <c r="W2138" s="27">
        <v>0</v>
      </c>
      <c r="X2138" s="27" t="s">
        <v>922</v>
      </c>
    </row>
    <row r="2139" spans="1:24">
      <c r="A2139" s="27">
        <v>8</v>
      </c>
      <c r="B2139" s="27">
        <v>1</v>
      </c>
      <c r="C2139" s="27">
        <v>1</v>
      </c>
      <c r="D2139" s="27">
        <v>2014</v>
      </c>
      <c r="E2139" s="27">
        <v>2050</v>
      </c>
      <c r="F2139" s="27">
        <v>4</v>
      </c>
      <c r="G2139" s="27">
        <v>0</v>
      </c>
      <c r="H2139" s="27">
        <v>0</v>
      </c>
      <c r="I2139" s="27">
        <v>0</v>
      </c>
      <c r="J2139" s="27">
        <v>0</v>
      </c>
      <c r="K2139" s="27">
        <v>408</v>
      </c>
      <c r="L2139" s="27">
        <v>525</v>
      </c>
      <c r="M2139" s="27">
        <v>475</v>
      </c>
      <c r="N2139" s="27">
        <v>0</v>
      </c>
      <c r="O2139" s="27">
        <v>0</v>
      </c>
      <c r="P2139" s="27" t="s">
        <v>13</v>
      </c>
      <c r="Q2139" s="27">
        <v>1993</v>
      </c>
      <c r="R2139" s="27">
        <v>1</v>
      </c>
      <c r="S2139" s="27">
        <v>0</v>
      </c>
      <c r="T2139" s="27">
        <v>-1.21E-2</v>
      </c>
      <c r="U2139" s="27">
        <v>-0.1207</v>
      </c>
      <c r="V2139" s="27">
        <v>0</v>
      </c>
      <c r="W2139" s="27">
        <v>0</v>
      </c>
      <c r="X2139" s="27" t="s">
        <v>922</v>
      </c>
    </row>
    <row r="2140" spans="1:24">
      <c r="A2140" s="27">
        <v>8</v>
      </c>
      <c r="B2140" s="27">
        <v>1</v>
      </c>
      <c r="C2140" s="27">
        <v>1</v>
      </c>
      <c r="D2140" s="27">
        <v>2014</v>
      </c>
      <c r="E2140" s="27">
        <v>2050</v>
      </c>
      <c r="F2140" s="27">
        <v>5</v>
      </c>
      <c r="G2140" s="27">
        <v>0</v>
      </c>
      <c r="H2140" s="27">
        <v>0</v>
      </c>
      <c r="I2140" s="27">
        <v>0</v>
      </c>
      <c r="J2140" s="27">
        <v>0</v>
      </c>
      <c r="K2140" s="27">
        <v>408</v>
      </c>
      <c r="L2140" s="27">
        <v>525</v>
      </c>
      <c r="M2140" s="27">
        <v>475</v>
      </c>
      <c r="N2140" s="27">
        <v>0</v>
      </c>
      <c r="O2140" s="27">
        <v>0</v>
      </c>
      <c r="P2140" s="27" t="s">
        <v>13</v>
      </c>
      <c r="Q2140" s="27">
        <v>1993</v>
      </c>
      <c r="R2140" s="27">
        <v>1</v>
      </c>
      <c r="S2140" s="27">
        <v>0</v>
      </c>
      <c r="T2140" s="27">
        <v>-1.21E-2</v>
      </c>
      <c r="U2140" s="27">
        <v>-0.1207</v>
      </c>
      <c r="V2140" s="27">
        <v>0</v>
      </c>
      <c r="W2140" s="27">
        <v>0</v>
      </c>
      <c r="X2140" s="27" t="s">
        <v>922</v>
      </c>
    </row>
    <row r="2141" spans="1:24">
      <c r="A2141" s="27">
        <v>8</v>
      </c>
      <c r="B2141" s="27">
        <v>1</v>
      </c>
      <c r="C2141" s="27">
        <v>1</v>
      </c>
      <c r="D2141" s="27">
        <v>2014</v>
      </c>
      <c r="E2141" s="27">
        <v>2050</v>
      </c>
      <c r="F2141" s="27">
        <v>6</v>
      </c>
      <c r="G2141" s="27">
        <v>0</v>
      </c>
      <c r="H2141" s="27">
        <v>0</v>
      </c>
      <c r="I2141" s="27">
        <v>0</v>
      </c>
      <c r="J2141" s="27">
        <v>0</v>
      </c>
      <c r="K2141" s="27">
        <v>408</v>
      </c>
      <c r="L2141" s="27">
        <v>525</v>
      </c>
      <c r="M2141" s="27">
        <v>475</v>
      </c>
      <c r="N2141" s="27">
        <v>0</v>
      </c>
      <c r="O2141" s="27">
        <v>0</v>
      </c>
      <c r="P2141" s="27" t="s">
        <v>13</v>
      </c>
      <c r="Q2141" s="27">
        <v>1993</v>
      </c>
      <c r="R2141" s="27">
        <v>1</v>
      </c>
      <c r="S2141" s="27">
        <v>0</v>
      </c>
      <c r="T2141" s="27">
        <v>-1.21E-2</v>
      </c>
      <c r="U2141" s="27">
        <v>-0.1207</v>
      </c>
      <c r="V2141" s="27">
        <v>0</v>
      </c>
      <c r="W2141" s="27">
        <v>0</v>
      </c>
      <c r="X2141" s="27" t="s">
        <v>922</v>
      </c>
    </row>
    <row r="2142" spans="1:24">
      <c r="A2142" s="27">
        <v>8</v>
      </c>
      <c r="B2142" s="27">
        <v>1</v>
      </c>
      <c r="C2142" s="27">
        <v>1</v>
      </c>
      <c r="D2142" s="27">
        <v>2014</v>
      </c>
      <c r="E2142" s="27">
        <v>2050</v>
      </c>
      <c r="F2142" s="27">
        <v>7</v>
      </c>
      <c r="G2142" s="27">
        <v>0</v>
      </c>
      <c r="H2142" s="27">
        <v>0</v>
      </c>
      <c r="I2142" s="27">
        <v>0</v>
      </c>
      <c r="J2142" s="27">
        <v>0</v>
      </c>
      <c r="K2142" s="27">
        <v>408</v>
      </c>
      <c r="L2142" s="27">
        <v>525</v>
      </c>
      <c r="M2142" s="27">
        <v>475</v>
      </c>
      <c r="N2142" s="27">
        <v>0</v>
      </c>
      <c r="O2142" s="27">
        <v>0</v>
      </c>
      <c r="P2142" s="27" t="s">
        <v>13</v>
      </c>
      <c r="Q2142" s="27">
        <v>1993</v>
      </c>
      <c r="R2142" s="27">
        <v>1</v>
      </c>
      <c r="S2142" s="27">
        <v>0</v>
      </c>
      <c r="T2142" s="27">
        <v>-1.21E-2</v>
      </c>
      <c r="U2142" s="27">
        <v>-0.1207</v>
      </c>
      <c r="V2142" s="27">
        <v>0</v>
      </c>
      <c r="W2142" s="27">
        <v>0</v>
      </c>
      <c r="X2142" s="27" t="s">
        <v>922</v>
      </c>
    </row>
    <row r="2143" spans="1:24">
      <c r="A2143" s="27">
        <v>8</v>
      </c>
      <c r="B2143" s="27">
        <v>1</v>
      </c>
      <c r="C2143" s="27">
        <v>1</v>
      </c>
      <c r="D2143" s="27">
        <v>2014</v>
      </c>
      <c r="E2143" s="27">
        <v>2050</v>
      </c>
      <c r="F2143" s="27">
        <v>8</v>
      </c>
      <c r="G2143" s="27">
        <v>0</v>
      </c>
      <c r="H2143" s="27">
        <v>0</v>
      </c>
      <c r="I2143" s="27">
        <v>0</v>
      </c>
      <c r="J2143" s="27">
        <v>0</v>
      </c>
      <c r="K2143" s="27">
        <v>408</v>
      </c>
      <c r="L2143" s="27">
        <v>525</v>
      </c>
      <c r="M2143" s="27">
        <v>475</v>
      </c>
      <c r="N2143" s="27">
        <v>0</v>
      </c>
      <c r="O2143" s="27">
        <v>0</v>
      </c>
      <c r="P2143" s="27" t="s">
        <v>13</v>
      </c>
      <c r="Q2143" s="27">
        <v>1993</v>
      </c>
      <c r="R2143" s="27">
        <v>1</v>
      </c>
      <c r="S2143" s="27">
        <v>0</v>
      </c>
      <c r="T2143" s="27">
        <v>-1.21E-2</v>
      </c>
      <c r="U2143" s="27">
        <v>-0.1207</v>
      </c>
      <c r="V2143" s="27">
        <v>0</v>
      </c>
      <c r="W2143" s="27">
        <v>0</v>
      </c>
      <c r="X2143" s="27" t="s">
        <v>922</v>
      </c>
    </row>
    <row r="2144" spans="1:24">
      <c r="A2144" s="27">
        <v>8</v>
      </c>
      <c r="B2144" s="27">
        <v>1</v>
      </c>
      <c r="C2144" s="27">
        <v>1</v>
      </c>
      <c r="D2144" s="27">
        <v>2014</v>
      </c>
      <c r="E2144" s="27">
        <v>2050</v>
      </c>
      <c r="F2144" s="27">
        <v>9</v>
      </c>
      <c r="G2144" s="27">
        <v>0</v>
      </c>
      <c r="H2144" s="27">
        <v>0</v>
      </c>
      <c r="I2144" s="27">
        <v>0</v>
      </c>
      <c r="J2144" s="27">
        <v>0</v>
      </c>
      <c r="K2144" s="27">
        <v>408</v>
      </c>
      <c r="L2144" s="27">
        <v>525</v>
      </c>
      <c r="M2144" s="27">
        <v>475</v>
      </c>
      <c r="N2144" s="27">
        <v>0</v>
      </c>
      <c r="O2144" s="27">
        <v>0</v>
      </c>
      <c r="P2144" s="27" t="s">
        <v>13</v>
      </c>
      <c r="Q2144" s="27">
        <v>1993</v>
      </c>
      <c r="R2144" s="27">
        <v>1</v>
      </c>
      <c r="S2144" s="27">
        <v>0</v>
      </c>
      <c r="T2144" s="27">
        <v>-1.21E-2</v>
      </c>
      <c r="U2144" s="27">
        <v>-0.1207</v>
      </c>
      <c r="V2144" s="27">
        <v>0</v>
      </c>
      <c r="W2144" s="27">
        <v>0</v>
      </c>
      <c r="X2144" s="27" t="s">
        <v>922</v>
      </c>
    </row>
    <row r="2145" spans="1:24">
      <c r="A2145" s="27">
        <v>8</v>
      </c>
      <c r="B2145" s="27">
        <v>1</v>
      </c>
      <c r="C2145" s="27">
        <v>2</v>
      </c>
      <c r="D2145" s="27">
        <v>2010</v>
      </c>
      <c r="E2145" s="27">
        <v>2010</v>
      </c>
      <c r="F2145" s="27">
        <v>1</v>
      </c>
      <c r="G2145" s="27">
        <v>0</v>
      </c>
      <c r="H2145" s="27">
        <v>0</v>
      </c>
      <c r="I2145" s="27">
        <v>0</v>
      </c>
      <c r="J2145" s="27">
        <v>0</v>
      </c>
      <c r="K2145" s="27">
        <v>408</v>
      </c>
      <c r="L2145" s="27">
        <v>575</v>
      </c>
      <c r="M2145" s="27">
        <v>525</v>
      </c>
      <c r="N2145" s="27">
        <v>100</v>
      </c>
      <c r="O2145" s="27">
        <v>100</v>
      </c>
      <c r="P2145" s="27" t="s">
        <v>13</v>
      </c>
      <c r="Q2145" s="27">
        <v>1993</v>
      </c>
      <c r="R2145" s="27">
        <v>1</v>
      </c>
      <c r="S2145" s="27">
        <v>0</v>
      </c>
      <c r="T2145" s="27">
        <v>-1.21E-2</v>
      </c>
      <c r="U2145" s="27">
        <v>-0.1207</v>
      </c>
      <c r="V2145" s="27">
        <v>0</v>
      </c>
      <c r="W2145" s="27">
        <v>0</v>
      </c>
      <c r="X2145" s="27" t="s">
        <v>923</v>
      </c>
    </row>
    <row r="2146" spans="1:24">
      <c r="A2146" s="27">
        <v>8</v>
      </c>
      <c r="B2146" s="27">
        <v>1</v>
      </c>
      <c r="C2146" s="27">
        <v>2</v>
      </c>
      <c r="D2146" s="27">
        <v>2010</v>
      </c>
      <c r="E2146" s="27">
        <v>2010</v>
      </c>
      <c r="F2146" s="27">
        <v>2</v>
      </c>
      <c r="G2146" s="27">
        <v>0</v>
      </c>
      <c r="H2146" s="27">
        <v>0</v>
      </c>
      <c r="I2146" s="27">
        <v>0</v>
      </c>
      <c r="J2146" s="27">
        <v>0</v>
      </c>
      <c r="K2146" s="27">
        <v>408</v>
      </c>
      <c r="L2146" s="27">
        <v>575</v>
      </c>
      <c r="M2146" s="27">
        <v>525</v>
      </c>
      <c r="N2146" s="27">
        <v>100</v>
      </c>
      <c r="O2146" s="27">
        <v>100</v>
      </c>
      <c r="P2146" s="27" t="s">
        <v>13</v>
      </c>
      <c r="Q2146" s="27">
        <v>1993</v>
      </c>
      <c r="R2146" s="27">
        <v>1</v>
      </c>
      <c r="S2146" s="27">
        <v>0</v>
      </c>
      <c r="T2146" s="27">
        <v>-1.21E-2</v>
      </c>
      <c r="U2146" s="27">
        <v>-0.1207</v>
      </c>
      <c r="V2146" s="27">
        <v>0</v>
      </c>
      <c r="W2146" s="27">
        <v>0</v>
      </c>
      <c r="X2146" s="27" t="s">
        <v>923</v>
      </c>
    </row>
    <row r="2147" spans="1:24">
      <c r="A2147" s="27">
        <v>8</v>
      </c>
      <c r="B2147" s="27">
        <v>1</v>
      </c>
      <c r="C2147" s="27">
        <v>2</v>
      </c>
      <c r="D2147" s="27">
        <v>2010</v>
      </c>
      <c r="E2147" s="27">
        <v>2010</v>
      </c>
      <c r="F2147" s="27">
        <v>3</v>
      </c>
      <c r="G2147" s="27">
        <v>0</v>
      </c>
      <c r="H2147" s="27">
        <v>0</v>
      </c>
      <c r="I2147" s="27">
        <v>0</v>
      </c>
      <c r="J2147" s="27">
        <v>0</v>
      </c>
      <c r="K2147" s="27">
        <v>408</v>
      </c>
      <c r="L2147" s="27">
        <v>575</v>
      </c>
      <c r="M2147" s="27">
        <v>525</v>
      </c>
      <c r="N2147" s="27">
        <v>100</v>
      </c>
      <c r="O2147" s="27">
        <v>100</v>
      </c>
      <c r="P2147" s="27" t="s">
        <v>13</v>
      </c>
      <c r="Q2147" s="27">
        <v>1993</v>
      </c>
      <c r="R2147" s="27">
        <v>1</v>
      </c>
      <c r="S2147" s="27">
        <v>0</v>
      </c>
      <c r="T2147" s="27">
        <v>-1.21E-2</v>
      </c>
      <c r="U2147" s="27">
        <v>-0.1207</v>
      </c>
      <c r="V2147" s="27">
        <v>0</v>
      </c>
      <c r="W2147" s="27">
        <v>0</v>
      </c>
      <c r="X2147" s="27" t="s">
        <v>923</v>
      </c>
    </row>
    <row r="2148" spans="1:24">
      <c r="A2148" s="27">
        <v>8</v>
      </c>
      <c r="B2148" s="27">
        <v>1</v>
      </c>
      <c r="C2148" s="27">
        <v>2</v>
      </c>
      <c r="D2148" s="27">
        <v>2010</v>
      </c>
      <c r="E2148" s="27">
        <v>2010</v>
      </c>
      <c r="F2148" s="27">
        <v>4</v>
      </c>
      <c r="G2148" s="27">
        <v>0</v>
      </c>
      <c r="H2148" s="27">
        <v>0</v>
      </c>
      <c r="I2148" s="27">
        <v>0</v>
      </c>
      <c r="J2148" s="27">
        <v>0</v>
      </c>
      <c r="K2148" s="27">
        <v>408</v>
      </c>
      <c r="L2148" s="27">
        <v>575</v>
      </c>
      <c r="M2148" s="27">
        <v>525</v>
      </c>
      <c r="N2148" s="27">
        <v>100</v>
      </c>
      <c r="O2148" s="27">
        <v>100</v>
      </c>
      <c r="P2148" s="27" t="s">
        <v>13</v>
      </c>
      <c r="Q2148" s="27">
        <v>1993</v>
      </c>
      <c r="R2148" s="27">
        <v>1</v>
      </c>
      <c r="S2148" s="27">
        <v>0</v>
      </c>
      <c r="T2148" s="27">
        <v>-1.21E-2</v>
      </c>
      <c r="U2148" s="27">
        <v>-0.1207</v>
      </c>
      <c r="V2148" s="27">
        <v>0</v>
      </c>
      <c r="W2148" s="27">
        <v>0</v>
      </c>
      <c r="X2148" s="27" t="s">
        <v>923</v>
      </c>
    </row>
    <row r="2149" spans="1:24">
      <c r="A2149" s="27">
        <v>8</v>
      </c>
      <c r="B2149" s="27">
        <v>1</v>
      </c>
      <c r="C2149" s="27">
        <v>2</v>
      </c>
      <c r="D2149" s="27">
        <v>2010</v>
      </c>
      <c r="E2149" s="27">
        <v>2010</v>
      </c>
      <c r="F2149" s="27">
        <v>5</v>
      </c>
      <c r="G2149" s="27">
        <v>0</v>
      </c>
      <c r="H2149" s="27">
        <v>0</v>
      </c>
      <c r="I2149" s="27">
        <v>0</v>
      </c>
      <c r="J2149" s="27">
        <v>0</v>
      </c>
      <c r="K2149" s="27">
        <v>408</v>
      </c>
      <c r="L2149" s="27">
        <v>575</v>
      </c>
      <c r="M2149" s="27">
        <v>525</v>
      </c>
      <c r="N2149" s="27">
        <v>100</v>
      </c>
      <c r="O2149" s="27">
        <v>100</v>
      </c>
      <c r="P2149" s="27" t="s">
        <v>13</v>
      </c>
      <c r="Q2149" s="27">
        <v>1993</v>
      </c>
      <c r="R2149" s="27">
        <v>1</v>
      </c>
      <c r="S2149" s="27">
        <v>0</v>
      </c>
      <c r="T2149" s="27">
        <v>-1.21E-2</v>
      </c>
      <c r="U2149" s="27">
        <v>-0.1207</v>
      </c>
      <c r="V2149" s="27">
        <v>0</v>
      </c>
      <c r="W2149" s="27">
        <v>0</v>
      </c>
      <c r="X2149" s="27" t="s">
        <v>923</v>
      </c>
    </row>
    <row r="2150" spans="1:24">
      <c r="A2150" s="27">
        <v>8</v>
      </c>
      <c r="B2150" s="27">
        <v>1</v>
      </c>
      <c r="C2150" s="27">
        <v>2</v>
      </c>
      <c r="D2150" s="27">
        <v>2010</v>
      </c>
      <c r="E2150" s="27">
        <v>2010</v>
      </c>
      <c r="F2150" s="27">
        <v>6</v>
      </c>
      <c r="G2150" s="27">
        <v>0</v>
      </c>
      <c r="H2150" s="27">
        <v>0</v>
      </c>
      <c r="I2150" s="27">
        <v>0</v>
      </c>
      <c r="J2150" s="27">
        <v>0</v>
      </c>
      <c r="K2150" s="27">
        <v>408</v>
      </c>
      <c r="L2150" s="27">
        <v>575</v>
      </c>
      <c r="M2150" s="27">
        <v>525</v>
      </c>
      <c r="N2150" s="27">
        <v>100</v>
      </c>
      <c r="O2150" s="27">
        <v>100</v>
      </c>
      <c r="P2150" s="27" t="s">
        <v>13</v>
      </c>
      <c r="Q2150" s="27">
        <v>1993</v>
      </c>
      <c r="R2150" s="27">
        <v>1</v>
      </c>
      <c r="S2150" s="27">
        <v>0</v>
      </c>
      <c r="T2150" s="27">
        <v>-1.21E-2</v>
      </c>
      <c r="U2150" s="27">
        <v>-0.1207</v>
      </c>
      <c r="V2150" s="27">
        <v>0</v>
      </c>
      <c r="W2150" s="27">
        <v>0</v>
      </c>
      <c r="X2150" s="27" t="s">
        <v>923</v>
      </c>
    </row>
    <row r="2151" spans="1:24">
      <c r="A2151" s="27">
        <v>8</v>
      </c>
      <c r="B2151" s="27">
        <v>1</v>
      </c>
      <c r="C2151" s="27">
        <v>2</v>
      </c>
      <c r="D2151" s="27">
        <v>2010</v>
      </c>
      <c r="E2151" s="27">
        <v>2010</v>
      </c>
      <c r="F2151" s="27">
        <v>7</v>
      </c>
      <c r="G2151" s="27">
        <v>0</v>
      </c>
      <c r="H2151" s="27">
        <v>0</v>
      </c>
      <c r="I2151" s="27">
        <v>0</v>
      </c>
      <c r="J2151" s="27">
        <v>0</v>
      </c>
      <c r="K2151" s="27">
        <v>408</v>
      </c>
      <c r="L2151" s="27">
        <v>575</v>
      </c>
      <c r="M2151" s="27">
        <v>525</v>
      </c>
      <c r="N2151" s="27">
        <v>100</v>
      </c>
      <c r="O2151" s="27">
        <v>100</v>
      </c>
      <c r="P2151" s="27" t="s">
        <v>13</v>
      </c>
      <c r="Q2151" s="27">
        <v>1993</v>
      </c>
      <c r="R2151" s="27">
        <v>1</v>
      </c>
      <c r="S2151" s="27">
        <v>0</v>
      </c>
      <c r="T2151" s="27">
        <v>-1.21E-2</v>
      </c>
      <c r="U2151" s="27">
        <v>-0.1207</v>
      </c>
      <c r="V2151" s="27">
        <v>0</v>
      </c>
      <c r="W2151" s="27">
        <v>0</v>
      </c>
      <c r="X2151" s="27" t="s">
        <v>923</v>
      </c>
    </row>
    <row r="2152" spans="1:24">
      <c r="A2152" s="27">
        <v>8</v>
      </c>
      <c r="B2152" s="27">
        <v>1</v>
      </c>
      <c r="C2152" s="27">
        <v>2</v>
      </c>
      <c r="D2152" s="27">
        <v>2010</v>
      </c>
      <c r="E2152" s="27">
        <v>2010</v>
      </c>
      <c r="F2152" s="27">
        <v>8</v>
      </c>
      <c r="G2152" s="27">
        <v>0</v>
      </c>
      <c r="H2152" s="27">
        <v>0</v>
      </c>
      <c r="I2152" s="27">
        <v>0</v>
      </c>
      <c r="J2152" s="27">
        <v>0</v>
      </c>
      <c r="K2152" s="27">
        <v>408</v>
      </c>
      <c r="L2152" s="27">
        <v>575</v>
      </c>
      <c r="M2152" s="27">
        <v>525</v>
      </c>
      <c r="N2152" s="27">
        <v>100</v>
      </c>
      <c r="O2152" s="27">
        <v>100</v>
      </c>
      <c r="P2152" s="27" t="s">
        <v>13</v>
      </c>
      <c r="Q2152" s="27">
        <v>1993</v>
      </c>
      <c r="R2152" s="27">
        <v>1</v>
      </c>
      <c r="S2152" s="27">
        <v>0</v>
      </c>
      <c r="T2152" s="27">
        <v>-1.21E-2</v>
      </c>
      <c r="U2152" s="27">
        <v>-0.1207</v>
      </c>
      <c r="V2152" s="27">
        <v>0</v>
      </c>
      <c r="W2152" s="27">
        <v>0</v>
      </c>
      <c r="X2152" s="27" t="s">
        <v>923</v>
      </c>
    </row>
    <row r="2153" spans="1:24">
      <c r="A2153" s="27">
        <v>8</v>
      </c>
      <c r="B2153" s="27">
        <v>1</v>
      </c>
      <c r="C2153" s="27">
        <v>2</v>
      </c>
      <c r="D2153" s="27">
        <v>2010</v>
      </c>
      <c r="E2153" s="27">
        <v>2010</v>
      </c>
      <c r="F2153" s="27">
        <v>9</v>
      </c>
      <c r="G2153" s="27">
        <v>0</v>
      </c>
      <c r="H2153" s="27">
        <v>0</v>
      </c>
      <c r="I2153" s="27">
        <v>0</v>
      </c>
      <c r="J2153" s="27">
        <v>0</v>
      </c>
      <c r="K2153" s="27">
        <v>408</v>
      </c>
      <c r="L2153" s="27">
        <v>575</v>
      </c>
      <c r="M2153" s="27">
        <v>525</v>
      </c>
      <c r="N2153" s="27">
        <v>100</v>
      </c>
      <c r="O2153" s="27">
        <v>100</v>
      </c>
      <c r="P2153" s="27" t="s">
        <v>13</v>
      </c>
      <c r="Q2153" s="27">
        <v>1993</v>
      </c>
      <c r="R2153" s="27">
        <v>1</v>
      </c>
      <c r="S2153" s="27">
        <v>0</v>
      </c>
      <c r="T2153" s="27">
        <v>-1.21E-2</v>
      </c>
      <c r="U2153" s="27">
        <v>-0.1207</v>
      </c>
      <c r="V2153" s="27">
        <v>0</v>
      </c>
      <c r="W2153" s="27">
        <v>0</v>
      </c>
      <c r="X2153" s="27" t="s">
        <v>923</v>
      </c>
    </row>
    <row r="2154" spans="1:24">
      <c r="A2154" s="27">
        <v>8</v>
      </c>
      <c r="B2154" s="27">
        <v>1</v>
      </c>
      <c r="C2154" s="27">
        <v>2</v>
      </c>
      <c r="D2154" s="27">
        <v>2011</v>
      </c>
      <c r="E2154" s="27">
        <v>2013</v>
      </c>
      <c r="F2154" s="27">
        <v>1</v>
      </c>
      <c r="G2154" s="27">
        <v>0</v>
      </c>
      <c r="H2154" s="27">
        <v>0</v>
      </c>
      <c r="I2154" s="27">
        <v>0</v>
      </c>
      <c r="J2154" s="27">
        <v>0</v>
      </c>
      <c r="K2154" s="27">
        <v>408</v>
      </c>
      <c r="L2154" s="27">
        <v>575</v>
      </c>
      <c r="M2154" s="27">
        <v>525</v>
      </c>
      <c r="N2154" s="27">
        <v>0</v>
      </c>
      <c r="O2154" s="27">
        <v>0</v>
      </c>
      <c r="P2154" s="27" t="s">
        <v>13</v>
      </c>
      <c r="Q2154" s="27">
        <v>1993</v>
      </c>
      <c r="R2154" s="27">
        <v>1</v>
      </c>
      <c r="S2154" s="27">
        <v>0</v>
      </c>
      <c r="T2154" s="27">
        <v>-1.21E-2</v>
      </c>
      <c r="U2154" s="27">
        <v>-0.1207</v>
      </c>
      <c r="V2154" s="27">
        <v>0</v>
      </c>
      <c r="W2154" s="27">
        <v>0</v>
      </c>
      <c r="X2154" s="27" t="s">
        <v>923</v>
      </c>
    </row>
    <row r="2155" spans="1:24">
      <c r="A2155" s="27">
        <v>8</v>
      </c>
      <c r="B2155" s="27">
        <v>1</v>
      </c>
      <c r="C2155" s="27">
        <v>2</v>
      </c>
      <c r="D2155" s="27">
        <v>2011</v>
      </c>
      <c r="E2155" s="27">
        <v>2013</v>
      </c>
      <c r="F2155" s="27">
        <v>2</v>
      </c>
      <c r="G2155" s="27">
        <v>0</v>
      </c>
      <c r="H2155" s="27">
        <v>0</v>
      </c>
      <c r="I2155" s="27">
        <v>0</v>
      </c>
      <c r="J2155" s="27">
        <v>0</v>
      </c>
      <c r="K2155" s="27">
        <v>408</v>
      </c>
      <c r="L2155" s="27">
        <v>575</v>
      </c>
      <c r="M2155" s="27">
        <v>525</v>
      </c>
      <c r="N2155" s="27">
        <v>0</v>
      </c>
      <c r="O2155" s="27">
        <v>0</v>
      </c>
      <c r="P2155" s="27" t="s">
        <v>13</v>
      </c>
      <c r="Q2155" s="27">
        <v>1993</v>
      </c>
      <c r="R2155" s="27">
        <v>1</v>
      </c>
      <c r="S2155" s="27">
        <v>0</v>
      </c>
      <c r="T2155" s="27">
        <v>-1.21E-2</v>
      </c>
      <c r="U2155" s="27">
        <v>-0.1207</v>
      </c>
      <c r="V2155" s="27">
        <v>0</v>
      </c>
      <c r="W2155" s="27">
        <v>0</v>
      </c>
      <c r="X2155" s="27" t="s">
        <v>923</v>
      </c>
    </row>
    <row r="2156" spans="1:24">
      <c r="A2156" s="27">
        <v>8</v>
      </c>
      <c r="B2156" s="27">
        <v>1</v>
      </c>
      <c r="C2156" s="27">
        <v>2</v>
      </c>
      <c r="D2156" s="27">
        <v>2011</v>
      </c>
      <c r="E2156" s="27">
        <v>2013</v>
      </c>
      <c r="F2156" s="27">
        <v>3</v>
      </c>
      <c r="G2156" s="27">
        <v>0</v>
      </c>
      <c r="H2156" s="27">
        <v>0</v>
      </c>
      <c r="I2156" s="27">
        <v>0</v>
      </c>
      <c r="J2156" s="27">
        <v>0</v>
      </c>
      <c r="K2156" s="27">
        <v>408</v>
      </c>
      <c r="L2156" s="27">
        <v>575</v>
      </c>
      <c r="M2156" s="27">
        <v>525</v>
      </c>
      <c r="N2156" s="27">
        <v>0</v>
      </c>
      <c r="O2156" s="27">
        <v>0</v>
      </c>
      <c r="P2156" s="27" t="s">
        <v>13</v>
      </c>
      <c r="Q2156" s="27">
        <v>1993</v>
      </c>
      <c r="R2156" s="27">
        <v>1</v>
      </c>
      <c r="S2156" s="27">
        <v>0</v>
      </c>
      <c r="T2156" s="27">
        <v>-1.21E-2</v>
      </c>
      <c r="U2156" s="27">
        <v>-0.1207</v>
      </c>
      <c r="V2156" s="27">
        <v>0</v>
      </c>
      <c r="W2156" s="27">
        <v>0</v>
      </c>
      <c r="X2156" s="27" t="s">
        <v>923</v>
      </c>
    </row>
    <row r="2157" spans="1:24">
      <c r="A2157" s="27">
        <v>8</v>
      </c>
      <c r="B2157" s="27">
        <v>1</v>
      </c>
      <c r="C2157" s="27">
        <v>2</v>
      </c>
      <c r="D2157" s="27">
        <v>2011</v>
      </c>
      <c r="E2157" s="27">
        <v>2013</v>
      </c>
      <c r="F2157" s="27">
        <v>4</v>
      </c>
      <c r="G2157" s="27">
        <v>0</v>
      </c>
      <c r="H2157" s="27">
        <v>0</v>
      </c>
      <c r="I2157" s="27">
        <v>0</v>
      </c>
      <c r="J2157" s="27">
        <v>0</v>
      </c>
      <c r="K2157" s="27">
        <v>408</v>
      </c>
      <c r="L2157" s="27">
        <v>575</v>
      </c>
      <c r="M2157" s="27">
        <v>525</v>
      </c>
      <c r="N2157" s="27">
        <v>0</v>
      </c>
      <c r="O2157" s="27">
        <v>0</v>
      </c>
      <c r="P2157" s="27" t="s">
        <v>13</v>
      </c>
      <c r="Q2157" s="27">
        <v>1993</v>
      </c>
      <c r="R2157" s="27">
        <v>1</v>
      </c>
      <c r="S2157" s="27">
        <v>0</v>
      </c>
      <c r="T2157" s="27">
        <v>-1.21E-2</v>
      </c>
      <c r="U2157" s="27">
        <v>-0.1207</v>
      </c>
      <c r="V2157" s="27">
        <v>0</v>
      </c>
      <c r="W2157" s="27">
        <v>0</v>
      </c>
      <c r="X2157" s="27" t="s">
        <v>923</v>
      </c>
    </row>
    <row r="2158" spans="1:24">
      <c r="A2158" s="27">
        <v>8</v>
      </c>
      <c r="B2158" s="27">
        <v>1</v>
      </c>
      <c r="C2158" s="27">
        <v>2</v>
      </c>
      <c r="D2158" s="27">
        <v>2011</v>
      </c>
      <c r="E2158" s="27">
        <v>2013</v>
      </c>
      <c r="F2158" s="27">
        <v>5</v>
      </c>
      <c r="G2158" s="27">
        <v>0</v>
      </c>
      <c r="H2158" s="27">
        <v>0</v>
      </c>
      <c r="I2158" s="27">
        <v>0</v>
      </c>
      <c r="J2158" s="27">
        <v>0</v>
      </c>
      <c r="K2158" s="27">
        <v>408</v>
      </c>
      <c r="L2158" s="27">
        <v>575</v>
      </c>
      <c r="M2158" s="27">
        <v>525</v>
      </c>
      <c r="N2158" s="27">
        <v>0</v>
      </c>
      <c r="O2158" s="27">
        <v>0</v>
      </c>
      <c r="P2158" s="27" t="s">
        <v>13</v>
      </c>
      <c r="Q2158" s="27">
        <v>1993</v>
      </c>
      <c r="R2158" s="27">
        <v>1</v>
      </c>
      <c r="S2158" s="27">
        <v>0</v>
      </c>
      <c r="T2158" s="27">
        <v>-1.21E-2</v>
      </c>
      <c r="U2158" s="27">
        <v>-0.1207</v>
      </c>
      <c r="V2158" s="27">
        <v>0</v>
      </c>
      <c r="W2158" s="27">
        <v>0</v>
      </c>
      <c r="X2158" s="27" t="s">
        <v>923</v>
      </c>
    </row>
    <row r="2159" spans="1:24">
      <c r="A2159" s="27">
        <v>8</v>
      </c>
      <c r="B2159" s="27">
        <v>1</v>
      </c>
      <c r="C2159" s="27">
        <v>2</v>
      </c>
      <c r="D2159" s="27">
        <v>2011</v>
      </c>
      <c r="E2159" s="27">
        <v>2013</v>
      </c>
      <c r="F2159" s="27">
        <v>6</v>
      </c>
      <c r="G2159" s="27">
        <v>0</v>
      </c>
      <c r="H2159" s="27">
        <v>0</v>
      </c>
      <c r="I2159" s="27">
        <v>0</v>
      </c>
      <c r="J2159" s="27">
        <v>0</v>
      </c>
      <c r="K2159" s="27">
        <v>408</v>
      </c>
      <c r="L2159" s="27">
        <v>575</v>
      </c>
      <c r="M2159" s="27">
        <v>525</v>
      </c>
      <c r="N2159" s="27">
        <v>0</v>
      </c>
      <c r="O2159" s="27">
        <v>0</v>
      </c>
      <c r="P2159" s="27" t="s">
        <v>13</v>
      </c>
      <c r="Q2159" s="27">
        <v>1993</v>
      </c>
      <c r="R2159" s="27">
        <v>1</v>
      </c>
      <c r="S2159" s="27">
        <v>0</v>
      </c>
      <c r="T2159" s="27">
        <v>-1.21E-2</v>
      </c>
      <c r="U2159" s="27">
        <v>-0.1207</v>
      </c>
      <c r="V2159" s="27">
        <v>0</v>
      </c>
      <c r="W2159" s="27">
        <v>0</v>
      </c>
      <c r="X2159" s="27" t="s">
        <v>923</v>
      </c>
    </row>
    <row r="2160" spans="1:24">
      <c r="A2160" s="27">
        <v>8</v>
      </c>
      <c r="B2160" s="27">
        <v>1</v>
      </c>
      <c r="C2160" s="27">
        <v>2</v>
      </c>
      <c r="D2160" s="27">
        <v>2011</v>
      </c>
      <c r="E2160" s="27">
        <v>2013</v>
      </c>
      <c r="F2160" s="27">
        <v>7</v>
      </c>
      <c r="G2160" s="27">
        <v>0</v>
      </c>
      <c r="H2160" s="27">
        <v>0</v>
      </c>
      <c r="I2160" s="27">
        <v>0</v>
      </c>
      <c r="J2160" s="27">
        <v>0</v>
      </c>
      <c r="K2160" s="27">
        <v>408</v>
      </c>
      <c r="L2160" s="27">
        <v>575</v>
      </c>
      <c r="M2160" s="27">
        <v>525</v>
      </c>
      <c r="N2160" s="27">
        <v>0</v>
      </c>
      <c r="O2160" s="27">
        <v>0</v>
      </c>
      <c r="P2160" s="27" t="s">
        <v>13</v>
      </c>
      <c r="Q2160" s="27">
        <v>1993</v>
      </c>
      <c r="R2160" s="27">
        <v>1</v>
      </c>
      <c r="S2160" s="27">
        <v>0</v>
      </c>
      <c r="T2160" s="27">
        <v>-1.21E-2</v>
      </c>
      <c r="U2160" s="27">
        <v>-0.1207</v>
      </c>
      <c r="V2160" s="27">
        <v>0</v>
      </c>
      <c r="W2160" s="27">
        <v>0</v>
      </c>
      <c r="X2160" s="27" t="s">
        <v>923</v>
      </c>
    </row>
    <row r="2161" spans="1:24">
      <c r="A2161" s="27">
        <v>8</v>
      </c>
      <c r="B2161" s="27">
        <v>1</v>
      </c>
      <c r="C2161" s="27">
        <v>2</v>
      </c>
      <c r="D2161" s="27">
        <v>2011</v>
      </c>
      <c r="E2161" s="27">
        <v>2013</v>
      </c>
      <c r="F2161" s="27">
        <v>8</v>
      </c>
      <c r="G2161" s="27">
        <v>0</v>
      </c>
      <c r="H2161" s="27">
        <v>0</v>
      </c>
      <c r="I2161" s="27">
        <v>0</v>
      </c>
      <c r="J2161" s="27">
        <v>0</v>
      </c>
      <c r="K2161" s="27">
        <v>408</v>
      </c>
      <c r="L2161" s="27">
        <v>575</v>
      </c>
      <c r="M2161" s="27">
        <v>525</v>
      </c>
      <c r="N2161" s="27">
        <v>0</v>
      </c>
      <c r="O2161" s="27">
        <v>0</v>
      </c>
      <c r="P2161" s="27" t="s">
        <v>13</v>
      </c>
      <c r="Q2161" s="27">
        <v>1993</v>
      </c>
      <c r="R2161" s="27">
        <v>1</v>
      </c>
      <c r="S2161" s="27">
        <v>0</v>
      </c>
      <c r="T2161" s="27">
        <v>-1.21E-2</v>
      </c>
      <c r="U2161" s="27">
        <v>-0.1207</v>
      </c>
      <c r="V2161" s="27">
        <v>0</v>
      </c>
      <c r="W2161" s="27">
        <v>0</v>
      </c>
      <c r="X2161" s="27" t="s">
        <v>923</v>
      </c>
    </row>
    <row r="2162" spans="1:24">
      <c r="A2162" s="27">
        <v>8</v>
      </c>
      <c r="B2162" s="27">
        <v>1</v>
      </c>
      <c r="C2162" s="27">
        <v>2</v>
      </c>
      <c r="D2162" s="27">
        <v>2011</v>
      </c>
      <c r="E2162" s="27">
        <v>2013</v>
      </c>
      <c r="F2162" s="27">
        <v>9</v>
      </c>
      <c r="G2162" s="27">
        <v>0</v>
      </c>
      <c r="H2162" s="27">
        <v>0</v>
      </c>
      <c r="I2162" s="27">
        <v>0</v>
      </c>
      <c r="J2162" s="27">
        <v>0</v>
      </c>
      <c r="K2162" s="27">
        <v>408</v>
      </c>
      <c r="L2162" s="27">
        <v>575</v>
      </c>
      <c r="M2162" s="27">
        <v>525</v>
      </c>
      <c r="N2162" s="27">
        <v>0</v>
      </c>
      <c r="O2162" s="27">
        <v>0</v>
      </c>
      <c r="P2162" s="27" t="s">
        <v>13</v>
      </c>
      <c r="Q2162" s="27">
        <v>1993</v>
      </c>
      <c r="R2162" s="27">
        <v>1</v>
      </c>
      <c r="S2162" s="27">
        <v>0</v>
      </c>
      <c r="T2162" s="27">
        <v>-1.21E-2</v>
      </c>
      <c r="U2162" s="27">
        <v>-0.1207</v>
      </c>
      <c r="V2162" s="27">
        <v>0</v>
      </c>
      <c r="W2162" s="27">
        <v>0</v>
      </c>
      <c r="X2162" s="27" t="s">
        <v>923</v>
      </c>
    </row>
    <row r="2163" spans="1:24">
      <c r="A2163" s="27">
        <v>8</v>
      </c>
      <c r="B2163" s="27">
        <v>1</v>
      </c>
      <c r="C2163" s="27">
        <v>2</v>
      </c>
      <c r="D2163" s="27">
        <v>2014</v>
      </c>
      <c r="E2163" s="27">
        <v>2050</v>
      </c>
      <c r="F2163" s="27">
        <v>1</v>
      </c>
      <c r="G2163" s="27">
        <v>0</v>
      </c>
      <c r="H2163" s="27">
        <v>0</v>
      </c>
      <c r="I2163" s="27">
        <v>0</v>
      </c>
      <c r="J2163" s="27">
        <v>0</v>
      </c>
      <c r="K2163" s="27">
        <v>342</v>
      </c>
      <c r="L2163" s="27">
        <v>600</v>
      </c>
      <c r="M2163" s="27">
        <v>550</v>
      </c>
      <c r="N2163" s="27">
        <v>0</v>
      </c>
      <c r="O2163" s="27">
        <v>0</v>
      </c>
      <c r="P2163" s="27" t="s">
        <v>13</v>
      </c>
      <c r="Q2163" s="27">
        <v>1993</v>
      </c>
      <c r="R2163" s="27">
        <v>1</v>
      </c>
      <c r="S2163" s="27">
        <v>0</v>
      </c>
      <c r="T2163" s="27">
        <v>-1.21E-2</v>
      </c>
      <c r="U2163" s="27">
        <v>-0.1207</v>
      </c>
      <c r="V2163" s="27">
        <v>0</v>
      </c>
      <c r="W2163" s="27">
        <v>0</v>
      </c>
      <c r="X2163" s="27" t="s">
        <v>923</v>
      </c>
    </row>
    <row r="2164" spans="1:24">
      <c r="A2164" s="27">
        <v>8</v>
      </c>
      <c r="B2164" s="27">
        <v>1</v>
      </c>
      <c r="C2164" s="27">
        <v>2</v>
      </c>
      <c r="D2164" s="27">
        <v>2014</v>
      </c>
      <c r="E2164" s="27">
        <v>2050</v>
      </c>
      <c r="F2164" s="27">
        <v>2</v>
      </c>
      <c r="G2164" s="27">
        <v>0</v>
      </c>
      <c r="H2164" s="27">
        <v>0</v>
      </c>
      <c r="I2164" s="27">
        <v>0</v>
      </c>
      <c r="J2164" s="27">
        <v>0</v>
      </c>
      <c r="K2164" s="27">
        <v>342</v>
      </c>
      <c r="L2164" s="27">
        <v>600</v>
      </c>
      <c r="M2164" s="27">
        <v>550</v>
      </c>
      <c r="N2164" s="27">
        <v>0</v>
      </c>
      <c r="O2164" s="27">
        <v>0</v>
      </c>
      <c r="P2164" s="27" t="s">
        <v>13</v>
      </c>
      <c r="Q2164" s="27">
        <v>1993</v>
      </c>
      <c r="R2164" s="27">
        <v>1</v>
      </c>
      <c r="S2164" s="27">
        <v>0</v>
      </c>
      <c r="T2164" s="27">
        <v>-1.21E-2</v>
      </c>
      <c r="U2164" s="27">
        <v>-0.1207</v>
      </c>
      <c r="V2164" s="27">
        <v>0</v>
      </c>
      <c r="W2164" s="27">
        <v>0</v>
      </c>
      <c r="X2164" s="27" t="s">
        <v>923</v>
      </c>
    </row>
    <row r="2165" spans="1:24">
      <c r="A2165" s="27">
        <v>8</v>
      </c>
      <c r="B2165" s="27">
        <v>1</v>
      </c>
      <c r="C2165" s="27">
        <v>2</v>
      </c>
      <c r="D2165" s="27">
        <v>2014</v>
      </c>
      <c r="E2165" s="27">
        <v>2050</v>
      </c>
      <c r="F2165" s="27">
        <v>3</v>
      </c>
      <c r="G2165" s="27">
        <v>0</v>
      </c>
      <c r="H2165" s="27">
        <v>0</v>
      </c>
      <c r="I2165" s="27">
        <v>0</v>
      </c>
      <c r="J2165" s="27">
        <v>0</v>
      </c>
      <c r="K2165" s="27">
        <v>342</v>
      </c>
      <c r="L2165" s="27">
        <v>600</v>
      </c>
      <c r="M2165" s="27">
        <v>550</v>
      </c>
      <c r="N2165" s="27">
        <v>0</v>
      </c>
      <c r="O2165" s="27">
        <v>0</v>
      </c>
      <c r="P2165" s="27" t="s">
        <v>13</v>
      </c>
      <c r="Q2165" s="27">
        <v>1993</v>
      </c>
      <c r="R2165" s="27">
        <v>1</v>
      </c>
      <c r="S2165" s="27">
        <v>0</v>
      </c>
      <c r="T2165" s="27">
        <v>-1.21E-2</v>
      </c>
      <c r="U2165" s="27">
        <v>-0.1207</v>
      </c>
      <c r="V2165" s="27">
        <v>0</v>
      </c>
      <c r="W2165" s="27">
        <v>0</v>
      </c>
      <c r="X2165" s="27" t="s">
        <v>923</v>
      </c>
    </row>
    <row r="2166" spans="1:24">
      <c r="A2166" s="27">
        <v>8</v>
      </c>
      <c r="B2166" s="27">
        <v>1</v>
      </c>
      <c r="C2166" s="27">
        <v>2</v>
      </c>
      <c r="D2166" s="27">
        <v>2014</v>
      </c>
      <c r="E2166" s="27">
        <v>2050</v>
      </c>
      <c r="F2166" s="27">
        <v>4</v>
      </c>
      <c r="G2166" s="27">
        <v>0</v>
      </c>
      <c r="H2166" s="27">
        <v>0</v>
      </c>
      <c r="I2166" s="27">
        <v>0</v>
      </c>
      <c r="J2166" s="27">
        <v>0</v>
      </c>
      <c r="K2166" s="27">
        <v>342</v>
      </c>
      <c r="L2166" s="27">
        <v>600</v>
      </c>
      <c r="M2166" s="27">
        <v>550</v>
      </c>
      <c r="N2166" s="27">
        <v>0</v>
      </c>
      <c r="O2166" s="27">
        <v>0</v>
      </c>
      <c r="P2166" s="27" t="s">
        <v>13</v>
      </c>
      <c r="Q2166" s="27">
        <v>1993</v>
      </c>
      <c r="R2166" s="27">
        <v>1</v>
      </c>
      <c r="S2166" s="27">
        <v>0</v>
      </c>
      <c r="T2166" s="27">
        <v>-1.21E-2</v>
      </c>
      <c r="U2166" s="27">
        <v>-0.1207</v>
      </c>
      <c r="V2166" s="27">
        <v>0</v>
      </c>
      <c r="W2166" s="27">
        <v>0</v>
      </c>
      <c r="X2166" s="27" t="s">
        <v>923</v>
      </c>
    </row>
    <row r="2167" spans="1:24">
      <c r="A2167" s="27">
        <v>8</v>
      </c>
      <c r="B2167" s="27">
        <v>1</v>
      </c>
      <c r="C2167" s="27">
        <v>2</v>
      </c>
      <c r="D2167" s="27">
        <v>2014</v>
      </c>
      <c r="E2167" s="27">
        <v>2050</v>
      </c>
      <c r="F2167" s="27">
        <v>5</v>
      </c>
      <c r="G2167" s="27">
        <v>0</v>
      </c>
      <c r="H2167" s="27">
        <v>0</v>
      </c>
      <c r="I2167" s="27">
        <v>0</v>
      </c>
      <c r="J2167" s="27">
        <v>0</v>
      </c>
      <c r="K2167" s="27">
        <v>342</v>
      </c>
      <c r="L2167" s="27">
        <v>600</v>
      </c>
      <c r="M2167" s="27">
        <v>550</v>
      </c>
      <c r="N2167" s="27">
        <v>0</v>
      </c>
      <c r="O2167" s="27">
        <v>0</v>
      </c>
      <c r="P2167" s="27" t="s">
        <v>13</v>
      </c>
      <c r="Q2167" s="27">
        <v>1993</v>
      </c>
      <c r="R2167" s="27">
        <v>1</v>
      </c>
      <c r="S2167" s="27">
        <v>0</v>
      </c>
      <c r="T2167" s="27">
        <v>-1.21E-2</v>
      </c>
      <c r="U2167" s="27">
        <v>-0.1207</v>
      </c>
      <c r="V2167" s="27">
        <v>0</v>
      </c>
      <c r="W2167" s="27">
        <v>0</v>
      </c>
      <c r="X2167" s="27" t="s">
        <v>923</v>
      </c>
    </row>
    <row r="2168" spans="1:24">
      <c r="A2168" s="27">
        <v>8</v>
      </c>
      <c r="B2168" s="27">
        <v>1</v>
      </c>
      <c r="C2168" s="27">
        <v>2</v>
      </c>
      <c r="D2168" s="27">
        <v>2014</v>
      </c>
      <c r="E2168" s="27">
        <v>2050</v>
      </c>
      <c r="F2168" s="27">
        <v>6</v>
      </c>
      <c r="G2168" s="27">
        <v>0</v>
      </c>
      <c r="H2168" s="27">
        <v>0</v>
      </c>
      <c r="I2168" s="27">
        <v>0</v>
      </c>
      <c r="J2168" s="27">
        <v>0</v>
      </c>
      <c r="K2168" s="27">
        <v>342</v>
      </c>
      <c r="L2168" s="27">
        <v>600</v>
      </c>
      <c r="M2168" s="27">
        <v>550</v>
      </c>
      <c r="N2168" s="27">
        <v>0</v>
      </c>
      <c r="O2168" s="27">
        <v>0</v>
      </c>
      <c r="P2168" s="27" t="s">
        <v>13</v>
      </c>
      <c r="Q2168" s="27">
        <v>1993</v>
      </c>
      <c r="R2168" s="27">
        <v>1</v>
      </c>
      <c r="S2168" s="27">
        <v>0</v>
      </c>
      <c r="T2168" s="27">
        <v>-1.21E-2</v>
      </c>
      <c r="U2168" s="27">
        <v>-0.1207</v>
      </c>
      <c r="V2168" s="27">
        <v>0</v>
      </c>
      <c r="W2168" s="27">
        <v>0</v>
      </c>
      <c r="X2168" s="27" t="s">
        <v>923</v>
      </c>
    </row>
    <row r="2169" spans="1:24">
      <c r="A2169" s="27">
        <v>8</v>
      </c>
      <c r="B2169" s="27">
        <v>1</v>
      </c>
      <c r="C2169" s="27">
        <v>2</v>
      </c>
      <c r="D2169" s="27">
        <v>2014</v>
      </c>
      <c r="E2169" s="27">
        <v>2050</v>
      </c>
      <c r="F2169" s="27">
        <v>7</v>
      </c>
      <c r="G2169" s="27">
        <v>0</v>
      </c>
      <c r="H2169" s="27">
        <v>0</v>
      </c>
      <c r="I2169" s="27">
        <v>0</v>
      </c>
      <c r="J2169" s="27">
        <v>0</v>
      </c>
      <c r="K2169" s="27">
        <v>342</v>
      </c>
      <c r="L2169" s="27">
        <v>600</v>
      </c>
      <c r="M2169" s="27">
        <v>550</v>
      </c>
      <c r="N2169" s="27">
        <v>0</v>
      </c>
      <c r="O2169" s="27">
        <v>0</v>
      </c>
      <c r="P2169" s="27" t="s">
        <v>13</v>
      </c>
      <c r="Q2169" s="27">
        <v>1993</v>
      </c>
      <c r="R2169" s="27">
        <v>1</v>
      </c>
      <c r="S2169" s="27">
        <v>0</v>
      </c>
      <c r="T2169" s="27">
        <v>-1.21E-2</v>
      </c>
      <c r="U2169" s="27">
        <v>-0.1207</v>
      </c>
      <c r="V2169" s="27">
        <v>0</v>
      </c>
      <c r="W2169" s="27">
        <v>0</v>
      </c>
      <c r="X2169" s="27" t="s">
        <v>923</v>
      </c>
    </row>
    <row r="2170" spans="1:24">
      <c r="A2170" s="27">
        <v>8</v>
      </c>
      <c r="B2170" s="27">
        <v>1</v>
      </c>
      <c r="C2170" s="27">
        <v>2</v>
      </c>
      <c r="D2170" s="27">
        <v>2014</v>
      </c>
      <c r="E2170" s="27">
        <v>2050</v>
      </c>
      <c r="F2170" s="27">
        <v>8</v>
      </c>
      <c r="G2170" s="27">
        <v>0</v>
      </c>
      <c r="H2170" s="27">
        <v>0</v>
      </c>
      <c r="I2170" s="27">
        <v>0</v>
      </c>
      <c r="J2170" s="27">
        <v>0</v>
      </c>
      <c r="K2170" s="27">
        <v>342</v>
      </c>
      <c r="L2170" s="27">
        <v>600</v>
      </c>
      <c r="M2170" s="27">
        <v>550</v>
      </c>
      <c r="N2170" s="27">
        <v>0</v>
      </c>
      <c r="O2170" s="27">
        <v>0</v>
      </c>
      <c r="P2170" s="27" t="s">
        <v>13</v>
      </c>
      <c r="Q2170" s="27">
        <v>1993</v>
      </c>
      <c r="R2170" s="27">
        <v>1</v>
      </c>
      <c r="S2170" s="27">
        <v>0</v>
      </c>
      <c r="T2170" s="27">
        <v>-1.21E-2</v>
      </c>
      <c r="U2170" s="27">
        <v>-0.1207</v>
      </c>
      <c r="V2170" s="27">
        <v>0</v>
      </c>
      <c r="W2170" s="27">
        <v>0</v>
      </c>
      <c r="X2170" s="27" t="s">
        <v>923</v>
      </c>
    </row>
    <row r="2171" spans="1:24">
      <c r="A2171" s="27">
        <v>8</v>
      </c>
      <c r="B2171" s="27">
        <v>1</v>
      </c>
      <c r="C2171" s="27">
        <v>2</v>
      </c>
      <c r="D2171" s="27">
        <v>2014</v>
      </c>
      <c r="E2171" s="27">
        <v>2050</v>
      </c>
      <c r="F2171" s="27">
        <v>9</v>
      </c>
      <c r="G2171" s="27">
        <v>0</v>
      </c>
      <c r="H2171" s="27">
        <v>0</v>
      </c>
      <c r="I2171" s="27">
        <v>0</v>
      </c>
      <c r="J2171" s="27">
        <v>0</v>
      </c>
      <c r="K2171" s="27">
        <v>342</v>
      </c>
      <c r="L2171" s="27">
        <v>600</v>
      </c>
      <c r="M2171" s="27">
        <v>550</v>
      </c>
      <c r="N2171" s="27">
        <v>0</v>
      </c>
      <c r="O2171" s="27">
        <v>0</v>
      </c>
      <c r="P2171" s="27" t="s">
        <v>13</v>
      </c>
      <c r="Q2171" s="27">
        <v>1993</v>
      </c>
      <c r="R2171" s="27">
        <v>1</v>
      </c>
      <c r="S2171" s="27">
        <v>0</v>
      </c>
      <c r="T2171" s="27">
        <v>-1.21E-2</v>
      </c>
      <c r="U2171" s="27">
        <v>-0.1207</v>
      </c>
      <c r="V2171" s="27">
        <v>0</v>
      </c>
      <c r="W2171" s="27">
        <v>0</v>
      </c>
      <c r="X2171" s="27" t="s">
        <v>923</v>
      </c>
    </row>
    <row r="2172" spans="1:24">
      <c r="A2172" s="27">
        <v>8</v>
      </c>
      <c r="B2172" s="27">
        <v>1</v>
      </c>
      <c r="C2172" s="27">
        <v>3</v>
      </c>
      <c r="D2172" s="27">
        <v>2010</v>
      </c>
      <c r="E2172" s="27">
        <v>2010</v>
      </c>
      <c r="F2172" s="27">
        <v>1</v>
      </c>
      <c r="G2172" s="27">
        <v>0</v>
      </c>
      <c r="H2172" s="27">
        <v>0</v>
      </c>
      <c r="I2172" s="27">
        <v>0</v>
      </c>
      <c r="J2172" s="27">
        <v>0</v>
      </c>
      <c r="K2172" s="27">
        <v>342</v>
      </c>
      <c r="L2172" s="27">
        <v>1050</v>
      </c>
      <c r="M2172" s="27">
        <v>1000</v>
      </c>
      <c r="N2172" s="27">
        <v>200</v>
      </c>
      <c r="O2172" s="27">
        <v>200</v>
      </c>
      <c r="P2172" s="27" t="s">
        <v>13</v>
      </c>
      <c r="Q2172" s="27">
        <v>1993</v>
      </c>
      <c r="R2172" s="27">
        <v>1</v>
      </c>
      <c r="S2172" s="27">
        <v>0</v>
      </c>
      <c r="T2172" s="27">
        <v>-1.21E-2</v>
      </c>
      <c r="U2172" s="27">
        <v>-0.1207</v>
      </c>
      <c r="V2172" s="27">
        <v>0</v>
      </c>
      <c r="W2172" s="27">
        <v>0</v>
      </c>
      <c r="X2172" s="27" t="s">
        <v>924</v>
      </c>
    </row>
    <row r="2173" spans="1:24">
      <c r="A2173" s="27">
        <v>8</v>
      </c>
      <c r="B2173" s="27">
        <v>1</v>
      </c>
      <c r="C2173" s="27">
        <v>3</v>
      </c>
      <c r="D2173" s="27">
        <v>2010</v>
      </c>
      <c r="E2173" s="27">
        <v>2010</v>
      </c>
      <c r="F2173" s="27">
        <v>2</v>
      </c>
      <c r="G2173" s="27">
        <v>0</v>
      </c>
      <c r="H2173" s="27">
        <v>0</v>
      </c>
      <c r="I2173" s="27">
        <v>0</v>
      </c>
      <c r="J2173" s="27">
        <v>0</v>
      </c>
      <c r="K2173" s="27">
        <v>342</v>
      </c>
      <c r="L2173" s="27">
        <v>1050</v>
      </c>
      <c r="M2173" s="27">
        <v>1000</v>
      </c>
      <c r="N2173" s="27">
        <v>200</v>
      </c>
      <c r="O2173" s="27">
        <v>200</v>
      </c>
      <c r="P2173" s="27" t="s">
        <v>13</v>
      </c>
      <c r="Q2173" s="27">
        <v>1993</v>
      </c>
      <c r="R2173" s="27">
        <v>1</v>
      </c>
      <c r="S2173" s="27">
        <v>0</v>
      </c>
      <c r="T2173" s="27">
        <v>-1.21E-2</v>
      </c>
      <c r="U2173" s="27">
        <v>-0.1207</v>
      </c>
      <c r="V2173" s="27">
        <v>0</v>
      </c>
      <c r="W2173" s="27">
        <v>0</v>
      </c>
      <c r="X2173" s="27" t="s">
        <v>924</v>
      </c>
    </row>
    <row r="2174" spans="1:24">
      <c r="A2174" s="27">
        <v>8</v>
      </c>
      <c r="B2174" s="27">
        <v>1</v>
      </c>
      <c r="C2174" s="27">
        <v>3</v>
      </c>
      <c r="D2174" s="27">
        <v>2010</v>
      </c>
      <c r="E2174" s="27">
        <v>2010</v>
      </c>
      <c r="F2174" s="27">
        <v>3</v>
      </c>
      <c r="G2174" s="27">
        <v>0</v>
      </c>
      <c r="H2174" s="27">
        <v>0</v>
      </c>
      <c r="I2174" s="27">
        <v>0</v>
      </c>
      <c r="J2174" s="27">
        <v>0</v>
      </c>
      <c r="K2174" s="27">
        <v>342</v>
      </c>
      <c r="L2174" s="27">
        <v>1050</v>
      </c>
      <c r="M2174" s="27">
        <v>1000</v>
      </c>
      <c r="N2174" s="27">
        <v>200</v>
      </c>
      <c r="O2174" s="27">
        <v>200</v>
      </c>
      <c r="P2174" s="27" t="s">
        <v>13</v>
      </c>
      <c r="Q2174" s="27">
        <v>1993</v>
      </c>
      <c r="R2174" s="27">
        <v>1</v>
      </c>
      <c r="S2174" s="27">
        <v>0</v>
      </c>
      <c r="T2174" s="27">
        <v>-1.21E-2</v>
      </c>
      <c r="U2174" s="27">
        <v>-0.1207</v>
      </c>
      <c r="V2174" s="27">
        <v>0</v>
      </c>
      <c r="W2174" s="27">
        <v>0</v>
      </c>
      <c r="X2174" s="27" t="s">
        <v>924</v>
      </c>
    </row>
    <row r="2175" spans="1:24">
      <c r="A2175" s="27">
        <v>8</v>
      </c>
      <c r="B2175" s="27">
        <v>1</v>
      </c>
      <c r="C2175" s="27">
        <v>3</v>
      </c>
      <c r="D2175" s="27">
        <v>2010</v>
      </c>
      <c r="E2175" s="27">
        <v>2010</v>
      </c>
      <c r="F2175" s="27">
        <v>4</v>
      </c>
      <c r="G2175" s="27">
        <v>0</v>
      </c>
      <c r="H2175" s="27">
        <v>0</v>
      </c>
      <c r="I2175" s="27">
        <v>0</v>
      </c>
      <c r="J2175" s="27">
        <v>0</v>
      </c>
      <c r="K2175" s="27">
        <v>342</v>
      </c>
      <c r="L2175" s="27">
        <v>1050</v>
      </c>
      <c r="M2175" s="27">
        <v>1000</v>
      </c>
      <c r="N2175" s="27">
        <v>200</v>
      </c>
      <c r="O2175" s="27">
        <v>200</v>
      </c>
      <c r="P2175" s="27" t="s">
        <v>13</v>
      </c>
      <c r="Q2175" s="27">
        <v>1993</v>
      </c>
      <c r="R2175" s="27">
        <v>1</v>
      </c>
      <c r="S2175" s="27">
        <v>0</v>
      </c>
      <c r="T2175" s="27">
        <v>-1.21E-2</v>
      </c>
      <c r="U2175" s="27">
        <v>-0.1207</v>
      </c>
      <c r="V2175" s="27">
        <v>0</v>
      </c>
      <c r="W2175" s="27">
        <v>0</v>
      </c>
      <c r="X2175" s="27" t="s">
        <v>924</v>
      </c>
    </row>
    <row r="2176" spans="1:24">
      <c r="A2176" s="27">
        <v>8</v>
      </c>
      <c r="B2176" s="27">
        <v>1</v>
      </c>
      <c r="C2176" s="27">
        <v>3</v>
      </c>
      <c r="D2176" s="27">
        <v>2010</v>
      </c>
      <c r="E2176" s="27">
        <v>2010</v>
      </c>
      <c r="F2176" s="27">
        <v>5</v>
      </c>
      <c r="G2176" s="27">
        <v>0</v>
      </c>
      <c r="H2176" s="27">
        <v>0</v>
      </c>
      <c r="I2176" s="27">
        <v>0</v>
      </c>
      <c r="J2176" s="27">
        <v>0</v>
      </c>
      <c r="K2176" s="27">
        <v>342</v>
      </c>
      <c r="L2176" s="27">
        <v>1050</v>
      </c>
      <c r="M2176" s="27">
        <v>1000</v>
      </c>
      <c r="N2176" s="27">
        <v>200</v>
      </c>
      <c r="O2176" s="27">
        <v>200</v>
      </c>
      <c r="P2176" s="27" t="s">
        <v>13</v>
      </c>
      <c r="Q2176" s="27">
        <v>1993</v>
      </c>
      <c r="R2176" s="27">
        <v>1</v>
      </c>
      <c r="S2176" s="27">
        <v>0</v>
      </c>
      <c r="T2176" s="27">
        <v>-1.21E-2</v>
      </c>
      <c r="U2176" s="27">
        <v>-0.1207</v>
      </c>
      <c r="V2176" s="27">
        <v>0</v>
      </c>
      <c r="W2176" s="27">
        <v>0</v>
      </c>
      <c r="X2176" s="27" t="s">
        <v>924</v>
      </c>
    </row>
    <row r="2177" spans="1:24">
      <c r="A2177" s="27">
        <v>8</v>
      </c>
      <c r="B2177" s="27">
        <v>1</v>
      </c>
      <c r="C2177" s="27">
        <v>3</v>
      </c>
      <c r="D2177" s="27">
        <v>2010</v>
      </c>
      <c r="E2177" s="27">
        <v>2010</v>
      </c>
      <c r="F2177" s="27">
        <v>6</v>
      </c>
      <c r="G2177" s="27">
        <v>0</v>
      </c>
      <c r="H2177" s="27">
        <v>0</v>
      </c>
      <c r="I2177" s="27">
        <v>0</v>
      </c>
      <c r="J2177" s="27">
        <v>0</v>
      </c>
      <c r="K2177" s="27">
        <v>342</v>
      </c>
      <c r="L2177" s="27">
        <v>1050</v>
      </c>
      <c r="M2177" s="27">
        <v>1000</v>
      </c>
      <c r="N2177" s="27">
        <v>200</v>
      </c>
      <c r="O2177" s="27">
        <v>200</v>
      </c>
      <c r="P2177" s="27" t="s">
        <v>13</v>
      </c>
      <c r="Q2177" s="27">
        <v>1993</v>
      </c>
      <c r="R2177" s="27">
        <v>1</v>
      </c>
      <c r="S2177" s="27">
        <v>0</v>
      </c>
      <c r="T2177" s="27">
        <v>-1.21E-2</v>
      </c>
      <c r="U2177" s="27">
        <v>-0.1207</v>
      </c>
      <c r="V2177" s="27">
        <v>0</v>
      </c>
      <c r="W2177" s="27">
        <v>0</v>
      </c>
      <c r="X2177" s="27" t="s">
        <v>924</v>
      </c>
    </row>
    <row r="2178" spans="1:24">
      <c r="A2178" s="27">
        <v>8</v>
      </c>
      <c r="B2178" s="27">
        <v>1</v>
      </c>
      <c r="C2178" s="27">
        <v>3</v>
      </c>
      <c r="D2178" s="27">
        <v>2010</v>
      </c>
      <c r="E2178" s="27">
        <v>2010</v>
      </c>
      <c r="F2178" s="27">
        <v>7</v>
      </c>
      <c r="G2178" s="27">
        <v>0</v>
      </c>
      <c r="H2178" s="27">
        <v>0</v>
      </c>
      <c r="I2178" s="27">
        <v>0</v>
      </c>
      <c r="J2178" s="27">
        <v>0</v>
      </c>
      <c r="K2178" s="27">
        <v>342</v>
      </c>
      <c r="L2178" s="27">
        <v>1050</v>
      </c>
      <c r="M2178" s="27">
        <v>1000</v>
      </c>
      <c r="N2178" s="27">
        <v>200</v>
      </c>
      <c r="O2178" s="27">
        <v>200</v>
      </c>
      <c r="P2178" s="27" t="s">
        <v>13</v>
      </c>
      <c r="Q2178" s="27">
        <v>1993</v>
      </c>
      <c r="R2178" s="27">
        <v>1</v>
      </c>
      <c r="S2178" s="27">
        <v>0</v>
      </c>
      <c r="T2178" s="27">
        <v>-1.21E-2</v>
      </c>
      <c r="U2178" s="27">
        <v>-0.1207</v>
      </c>
      <c r="V2178" s="27">
        <v>0</v>
      </c>
      <c r="W2178" s="27">
        <v>0</v>
      </c>
      <c r="X2178" s="27" t="s">
        <v>924</v>
      </c>
    </row>
    <row r="2179" spans="1:24">
      <c r="A2179" s="27">
        <v>8</v>
      </c>
      <c r="B2179" s="27">
        <v>1</v>
      </c>
      <c r="C2179" s="27">
        <v>3</v>
      </c>
      <c r="D2179" s="27">
        <v>2010</v>
      </c>
      <c r="E2179" s="27">
        <v>2010</v>
      </c>
      <c r="F2179" s="27">
        <v>8</v>
      </c>
      <c r="G2179" s="27">
        <v>0</v>
      </c>
      <c r="H2179" s="27">
        <v>0</v>
      </c>
      <c r="I2179" s="27">
        <v>0</v>
      </c>
      <c r="J2179" s="27">
        <v>0</v>
      </c>
      <c r="K2179" s="27">
        <v>342</v>
      </c>
      <c r="L2179" s="27">
        <v>1050</v>
      </c>
      <c r="M2179" s="27">
        <v>1000</v>
      </c>
      <c r="N2179" s="27">
        <v>200</v>
      </c>
      <c r="O2179" s="27">
        <v>200</v>
      </c>
      <c r="P2179" s="27" t="s">
        <v>13</v>
      </c>
      <c r="Q2179" s="27">
        <v>1993</v>
      </c>
      <c r="R2179" s="27">
        <v>1</v>
      </c>
      <c r="S2179" s="27">
        <v>0</v>
      </c>
      <c r="T2179" s="27">
        <v>-1.21E-2</v>
      </c>
      <c r="U2179" s="27">
        <v>-0.1207</v>
      </c>
      <c r="V2179" s="27">
        <v>0</v>
      </c>
      <c r="W2179" s="27">
        <v>0</v>
      </c>
      <c r="X2179" s="27" t="s">
        <v>924</v>
      </c>
    </row>
    <row r="2180" spans="1:24">
      <c r="A2180" s="27">
        <v>8</v>
      </c>
      <c r="B2180" s="27">
        <v>1</v>
      </c>
      <c r="C2180" s="27">
        <v>3</v>
      </c>
      <c r="D2180" s="27">
        <v>2010</v>
      </c>
      <c r="E2180" s="27">
        <v>2010</v>
      </c>
      <c r="F2180" s="27">
        <v>9</v>
      </c>
      <c r="G2180" s="27">
        <v>0</v>
      </c>
      <c r="H2180" s="27">
        <v>0</v>
      </c>
      <c r="I2180" s="27">
        <v>0</v>
      </c>
      <c r="J2180" s="27">
        <v>0</v>
      </c>
      <c r="K2180" s="27">
        <v>342</v>
      </c>
      <c r="L2180" s="27">
        <v>1050</v>
      </c>
      <c r="M2180" s="27">
        <v>1000</v>
      </c>
      <c r="N2180" s="27">
        <v>200</v>
      </c>
      <c r="O2180" s="27">
        <v>200</v>
      </c>
      <c r="P2180" s="27" t="s">
        <v>13</v>
      </c>
      <c r="Q2180" s="27">
        <v>1993</v>
      </c>
      <c r="R2180" s="27">
        <v>1</v>
      </c>
      <c r="S2180" s="27">
        <v>0</v>
      </c>
      <c r="T2180" s="27">
        <v>-1.21E-2</v>
      </c>
      <c r="U2180" s="27">
        <v>-0.1207</v>
      </c>
      <c r="V2180" s="27">
        <v>0</v>
      </c>
      <c r="W2180" s="27">
        <v>0</v>
      </c>
      <c r="X2180" s="27" t="s">
        <v>924</v>
      </c>
    </row>
    <row r="2181" spans="1:24">
      <c r="A2181" s="27">
        <v>8</v>
      </c>
      <c r="B2181" s="27">
        <v>1</v>
      </c>
      <c r="C2181" s="27">
        <v>3</v>
      </c>
      <c r="D2181" s="27">
        <v>2011</v>
      </c>
      <c r="E2181" s="27">
        <v>2011</v>
      </c>
      <c r="F2181" s="27">
        <v>1</v>
      </c>
      <c r="G2181" s="27">
        <v>0</v>
      </c>
      <c r="H2181" s="27">
        <v>0</v>
      </c>
      <c r="I2181" s="27">
        <v>0</v>
      </c>
      <c r="J2181" s="27">
        <v>0</v>
      </c>
      <c r="K2181" s="27">
        <v>342</v>
      </c>
      <c r="L2181" s="27">
        <v>1050</v>
      </c>
      <c r="M2181" s="27">
        <v>1000</v>
      </c>
      <c r="N2181" s="27">
        <v>150</v>
      </c>
      <c r="O2181" s="27">
        <v>150</v>
      </c>
      <c r="P2181" s="27" t="s">
        <v>13</v>
      </c>
      <c r="Q2181" s="27">
        <v>1993</v>
      </c>
      <c r="R2181" s="27">
        <v>1</v>
      </c>
      <c r="S2181" s="27">
        <v>0</v>
      </c>
      <c r="T2181" s="27">
        <v>-1.21E-2</v>
      </c>
      <c r="U2181" s="27">
        <v>-0.1207</v>
      </c>
      <c r="V2181" s="27">
        <v>0</v>
      </c>
      <c r="W2181" s="27">
        <v>0</v>
      </c>
      <c r="X2181" s="27" t="s">
        <v>924</v>
      </c>
    </row>
    <row r="2182" spans="1:24">
      <c r="A2182" s="27">
        <v>8</v>
      </c>
      <c r="B2182" s="27">
        <v>1</v>
      </c>
      <c r="C2182" s="27">
        <v>3</v>
      </c>
      <c r="D2182" s="27">
        <v>2011</v>
      </c>
      <c r="E2182" s="27">
        <v>2011</v>
      </c>
      <c r="F2182" s="27">
        <v>2</v>
      </c>
      <c r="G2182" s="27">
        <v>0</v>
      </c>
      <c r="H2182" s="27">
        <v>0</v>
      </c>
      <c r="I2182" s="27">
        <v>0</v>
      </c>
      <c r="J2182" s="27">
        <v>0</v>
      </c>
      <c r="K2182" s="27">
        <v>342</v>
      </c>
      <c r="L2182" s="27">
        <v>1050</v>
      </c>
      <c r="M2182" s="27">
        <v>1000</v>
      </c>
      <c r="N2182" s="27">
        <v>150</v>
      </c>
      <c r="O2182" s="27">
        <v>150</v>
      </c>
      <c r="P2182" s="27" t="s">
        <v>13</v>
      </c>
      <c r="Q2182" s="27">
        <v>1993</v>
      </c>
      <c r="R2182" s="27">
        <v>1</v>
      </c>
      <c r="S2182" s="27">
        <v>0</v>
      </c>
      <c r="T2182" s="27">
        <v>-1.21E-2</v>
      </c>
      <c r="U2182" s="27">
        <v>-0.1207</v>
      </c>
      <c r="V2182" s="27">
        <v>0</v>
      </c>
      <c r="W2182" s="27">
        <v>0</v>
      </c>
      <c r="X2182" s="27" t="s">
        <v>924</v>
      </c>
    </row>
    <row r="2183" spans="1:24">
      <c r="A2183" s="27">
        <v>8</v>
      </c>
      <c r="B2183" s="27">
        <v>1</v>
      </c>
      <c r="C2183" s="27">
        <v>3</v>
      </c>
      <c r="D2183" s="27">
        <v>2011</v>
      </c>
      <c r="E2183" s="27">
        <v>2011</v>
      </c>
      <c r="F2183" s="27">
        <v>3</v>
      </c>
      <c r="G2183" s="27">
        <v>0</v>
      </c>
      <c r="H2183" s="27">
        <v>0</v>
      </c>
      <c r="I2183" s="27">
        <v>0</v>
      </c>
      <c r="J2183" s="27">
        <v>0</v>
      </c>
      <c r="K2183" s="27">
        <v>342</v>
      </c>
      <c r="L2183" s="27">
        <v>1050</v>
      </c>
      <c r="M2183" s="27">
        <v>1000</v>
      </c>
      <c r="N2183" s="27">
        <v>150</v>
      </c>
      <c r="O2183" s="27">
        <v>150</v>
      </c>
      <c r="P2183" s="27" t="s">
        <v>13</v>
      </c>
      <c r="Q2183" s="27">
        <v>1993</v>
      </c>
      <c r="R2183" s="27">
        <v>1</v>
      </c>
      <c r="S2183" s="27">
        <v>0</v>
      </c>
      <c r="T2183" s="27">
        <v>-1.21E-2</v>
      </c>
      <c r="U2183" s="27">
        <v>-0.1207</v>
      </c>
      <c r="V2183" s="27">
        <v>0</v>
      </c>
      <c r="W2183" s="27">
        <v>0</v>
      </c>
      <c r="X2183" s="27" t="s">
        <v>924</v>
      </c>
    </row>
    <row r="2184" spans="1:24">
      <c r="A2184" s="27">
        <v>8</v>
      </c>
      <c r="B2184" s="27">
        <v>1</v>
      </c>
      <c r="C2184" s="27">
        <v>3</v>
      </c>
      <c r="D2184" s="27">
        <v>2011</v>
      </c>
      <c r="E2184" s="27">
        <v>2011</v>
      </c>
      <c r="F2184" s="27">
        <v>4</v>
      </c>
      <c r="G2184" s="27">
        <v>0</v>
      </c>
      <c r="H2184" s="27">
        <v>0</v>
      </c>
      <c r="I2184" s="27">
        <v>0</v>
      </c>
      <c r="J2184" s="27">
        <v>0</v>
      </c>
      <c r="K2184" s="27">
        <v>342</v>
      </c>
      <c r="L2184" s="27">
        <v>1050</v>
      </c>
      <c r="M2184" s="27">
        <v>1000</v>
      </c>
      <c r="N2184" s="27">
        <v>150</v>
      </c>
      <c r="O2184" s="27">
        <v>150</v>
      </c>
      <c r="P2184" s="27" t="s">
        <v>13</v>
      </c>
      <c r="Q2184" s="27">
        <v>1993</v>
      </c>
      <c r="R2184" s="27">
        <v>1</v>
      </c>
      <c r="S2184" s="27">
        <v>0</v>
      </c>
      <c r="T2184" s="27">
        <v>-1.21E-2</v>
      </c>
      <c r="U2184" s="27">
        <v>-0.1207</v>
      </c>
      <c r="V2184" s="27">
        <v>0</v>
      </c>
      <c r="W2184" s="27">
        <v>0</v>
      </c>
      <c r="X2184" s="27" t="s">
        <v>924</v>
      </c>
    </row>
    <row r="2185" spans="1:24">
      <c r="A2185" s="27">
        <v>8</v>
      </c>
      <c r="B2185" s="27">
        <v>1</v>
      </c>
      <c r="C2185" s="27">
        <v>3</v>
      </c>
      <c r="D2185" s="27">
        <v>2011</v>
      </c>
      <c r="E2185" s="27">
        <v>2011</v>
      </c>
      <c r="F2185" s="27">
        <v>5</v>
      </c>
      <c r="G2185" s="27">
        <v>0</v>
      </c>
      <c r="H2185" s="27">
        <v>0</v>
      </c>
      <c r="I2185" s="27">
        <v>0</v>
      </c>
      <c r="J2185" s="27">
        <v>0</v>
      </c>
      <c r="K2185" s="27">
        <v>342</v>
      </c>
      <c r="L2185" s="27">
        <v>1050</v>
      </c>
      <c r="M2185" s="27">
        <v>1000</v>
      </c>
      <c r="N2185" s="27">
        <v>150</v>
      </c>
      <c r="O2185" s="27">
        <v>150</v>
      </c>
      <c r="P2185" s="27" t="s">
        <v>13</v>
      </c>
      <c r="Q2185" s="27">
        <v>1993</v>
      </c>
      <c r="R2185" s="27">
        <v>1</v>
      </c>
      <c r="S2185" s="27">
        <v>0</v>
      </c>
      <c r="T2185" s="27">
        <v>-1.21E-2</v>
      </c>
      <c r="U2185" s="27">
        <v>-0.1207</v>
      </c>
      <c r="V2185" s="27">
        <v>0</v>
      </c>
      <c r="W2185" s="27">
        <v>0</v>
      </c>
      <c r="X2185" s="27" t="s">
        <v>924</v>
      </c>
    </row>
    <row r="2186" spans="1:24">
      <c r="A2186" s="27">
        <v>8</v>
      </c>
      <c r="B2186" s="27">
        <v>1</v>
      </c>
      <c r="C2186" s="27">
        <v>3</v>
      </c>
      <c r="D2186" s="27">
        <v>2011</v>
      </c>
      <c r="E2186" s="27">
        <v>2011</v>
      </c>
      <c r="F2186" s="27">
        <v>6</v>
      </c>
      <c r="G2186" s="27">
        <v>0</v>
      </c>
      <c r="H2186" s="27">
        <v>0</v>
      </c>
      <c r="I2186" s="27">
        <v>0</v>
      </c>
      <c r="J2186" s="27">
        <v>0</v>
      </c>
      <c r="K2186" s="27">
        <v>342</v>
      </c>
      <c r="L2186" s="27">
        <v>1050</v>
      </c>
      <c r="M2186" s="27">
        <v>1000</v>
      </c>
      <c r="N2186" s="27">
        <v>150</v>
      </c>
      <c r="O2186" s="27">
        <v>150</v>
      </c>
      <c r="P2186" s="27" t="s">
        <v>13</v>
      </c>
      <c r="Q2186" s="27">
        <v>1993</v>
      </c>
      <c r="R2186" s="27">
        <v>1</v>
      </c>
      <c r="S2186" s="27">
        <v>0</v>
      </c>
      <c r="T2186" s="27">
        <v>-1.21E-2</v>
      </c>
      <c r="U2186" s="27">
        <v>-0.1207</v>
      </c>
      <c r="V2186" s="27">
        <v>0</v>
      </c>
      <c r="W2186" s="27">
        <v>0</v>
      </c>
      <c r="X2186" s="27" t="s">
        <v>924</v>
      </c>
    </row>
    <row r="2187" spans="1:24">
      <c r="A2187" s="27">
        <v>8</v>
      </c>
      <c r="B2187" s="27">
        <v>1</v>
      </c>
      <c r="C2187" s="27">
        <v>3</v>
      </c>
      <c r="D2187" s="27">
        <v>2011</v>
      </c>
      <c r="E2187" s="27">
        <v>2011</v>
      </c>
      <c r="F2187" s="27">
        <v>7</v>
      </c>
      <c r="G2187" s="27">
        <v>0</v>
      </c>
      <c r="H2187" s="27">
        <v>0</v>
      </c>
      <c r="I2187" s="27">
        <v>0</v>
      </c>
      <c r="J2187" s="27">
        <v>0</v>
      </c>
      <c r="K2187" s="27">
        <v>342</v>
      </c>
      <c r="L2187" s="27">
        <v>1050</v>
      </c>
      <c r="M2187" s="27">
        <v>1000</v>
      </c>
      <c r="N2187" s="27">
        <v>150</v>
      </c>
      <c r="O2187" s="27">
        <v>150</v>
      </c>
      <c r="P2187" s="27" t="s">
        <v>13</v>
      </c>
      <c r="Q2187" s="27">
        <v>1993</v>
      </c>
      <c r="R2187" s="27">
        <v>1</v>
      </c>
      <c r="S2187" s="27">
        <v>0</v>
      </c>
      <c r="T2187" s="27">
        <v>-1.21E-2</v>
      </c>
      <c r="U2187" s="27">
        <v>-0.1207</v>
      </c>
      <c r="V2187" s="27">
        <v>0</v>
      </c>
      <c r="W2187" s="27">
        <v>0</v>
      </c>
      <c r="X2187" s="27" t="s">
        <v>924</v>
      </c>
    </row>
    <row r="2188" spans="1:24">
      <c r="A2188" s="27">
        <v>8</v>
      </c>
      <c r="B2188" s="27">
        <v>1</v>
      </c>
      <c r="C2188" s="27">
        <v>3</v>
      </c>
      <c r="D2188" s="27">
        <v>2011</v>
      </c>
      <c r="E2188" s="27">
        <v>2011</v>
      </c>
      <c r="F2188" s="27">
        <v>8</v>
      </c>
      <c r="G2188" s="27">
        <v>0</v>
      </c>
      <c r="H2188" s="27">
        <v>0</v>
      </c>
      <c r="I2188" s="27">
        <v>0</v>
      </c>
      <c r="J2188" s="27">
        <v>0</v>
      </c>
      <c r="K2188" s="27">
        <v>342</v>
      </c>
      <c r="L2188" s="27">
        <v>1050</v>
      </c>
      <c r="M2188" s="27">
        <v>1000</v>
      </c>
      <c r="N2188" s="27">
        <v>150</v>
      </c>
      <c r="O2188" s="27">
        <v>150</v>
      </c>
      <c r="P2188" s="27" t="s">
        <v>13</v>
      </c>
      <c r="Q2188" s="27">
        <v>1993</v>
      </c>
      <c r="R2188" s="27">
        <v>1</v>
      </c>
      <c r="S2188" s="27">
        <v>0</v>
      </c>
      <c r="T2188" s="27">
        <v>-1.21E-2</v>
      </c>
      <c r="U2188" s="27">
        <v>-0.1207</v>
      </c>
      <c r="V2188" s="27">
        <v>0</v>
      </c>
      <c r="W2188" s="27">
        <v>0</v>
      </c>
      <c r="X2188" s="27" t="s">
        <v>924</v>
      </c>
    </row>
    <row r="2189" spans="1:24">
      <c r="A2189" s="27">
        <v>8</v>
      </c>
      <c r="B2189" s="27">
        <v>1</v>
      </c>
      <c r="C2189" s="27">
        <v>3</v>
      </c>
      <c r="D2189" s="27">
        <v>2011</v>
      </c>
      <c r="E2189" s="27">
        <v>2011</v>
      </c>
      <c r="F2189" s="27">
        <v>9</v>
      </c>
      <c r="G2189" s="27">
        <v>0</v>
      </c>
      <c r="H2189" s="27">
        <v>0</v>
      </c>
      <c r="I2189" s="27">
        <v>0</v>
      </c>
      <c r="J2189" s="27">
        <v>0</v>
      </c>
      <c r="K2189" s="27">
        <v>342</v>
      </c>
      <c r="L2189" s="27">
        <v>1050</v>
      </c>
      <c r="M2189" s="27">
        <v>1000</v>
      </c>
      <c r="N2189" s="27">
        <v>150</v>
      </c>
      <c r="O2189" s="27">
        <v>150</v>
      </c>
      <c r="P2189" s="27" t="s">
        <v>13</v>
      </c>
      <c r="Q2189" s="27">
        <v>1993</v>
      </c>
      <c r="R2189" s="27">
        <v>1</v>
      </c>
      <c r="S2189" s="27">
        <v>0</v>
      </c>
      <c r="T2189" s="27">
        <v>-1.21E-2</v>
      </c>
      <c r="U2189" s="27">
        <v>-0.1207</v>
      </c>
      <c r="V2189" s="27">
        <v>0</v>
      </c>
      <c r="W2189" s="27">
        <v>0</v>
      </c>
      <c r="X2189" s="27" t="s">
        <v>924</v>
      </c>
    </row>
    <row r="2190" spans="1:24">
      <c r="A2190" s="27">
        <v>8</v>
      </c>
      <c r="B2190" s="27">
        <v>1</v>
      </c>
      <c r="C2190" s="27">
        <v>3</v>
      </c>
      <c r="D2190" s="27">
        <v>2012</v>
      </c>
      <c r="E2190" s="27">
        <v>2012</v>
      </c>
      <c r="F2190" s="27">
        <v>1</v>
      </c>
      <c r="G2190" s="27">
        <v>0</v>
      </c>
      <c r="H2190" s="27">
        <v>0</v>
      </c>
      <c r="I2190" s="27">
        <v>0</v>
      </c>
      <c r="J2190" s="27">
        <v>0</v>
      </c>
      <c r="K2190" s="27">
        <v>342</v>
      </c>
      <c r="L2190" s="27">
        <v>1050</v>
      </c>
      <c r="M2190" s="27">
        <v>1000</v>
      </c>
      <c r="N2190" s="27">
        <v>0</v>
      </c>
      <c r="O2190" s="27">
        <v>0</v>
      </c>
      <c r="P2190" s="27" t="s">
        <v>13</v>
      </c>
      <c r="Q2190" s="27">
        <v>1993</v>
      </c>
      <c r="R2190" s="27">
        <v>1</v>
      </c>
      <c r="S2190" s="27">
        <v>0</v>
      </c>
      <c r="T2190" s="27">
        <v>-1.21E-2</v>
      </c>
      <c r="U2190" s="27">
        <v>-0.1207</v>
      </c>
      <c r="V2190" s="27">
        <v>0</v>
      </c>
      <c r="W2190" s="27">
        <v>0</v>
      </c>
      <c r="X2190" s="27" t="s">
        <v>924</v>
      </c>
    </row>
    <row r="2191" spans="1:24">
      <c r="A2191" s="27">
        <v>8</v>
      </c>
      <c r="B2191" s="27">
        <v>1</v>
      </c>
      <c r="C2191" s="27">
        <v>3</v>
      </c>
      <c r="D2191" s="27">
        <v>2012</v>
      </c>
      <c r="E2191" s="27">
        <v>2012</v>
      </c>
      <c r="F2191" s="27">
        <v>2</v>
      </c>
      <c r="G2191" s="27">
        <v>0</v>
      </c>
      <c r="H2191" s="27">
        <v>0</v>
      </c>
      <c r="I2191" s="27">
        <v>0</v>
      </c>
      <c r="J2191" s="27">
        <v>0</v>
      </c>
      <c r="K2191" s="27">
        <v>342</v>
      </c>
      <c r="L2191" s="27">
        <v>1050</v>
      </c>
      <c r="M2191" s="27">
        <v>1000</v>
      </c>
      <c r="N2191" s="27">
        <v>0</v>
      </c>
      <c r="O2191" s="27">
        <v>0</v>
      </c>
      <c r="P2191" s="27" t="s">
        <v>13</v>
      </c>
      <c r="Q2191" s="27">
        <v>1993</v>
      </c>
      <c r="R2191" s="27">
        <v>1</v>
      </c>
      <c r="S2191" s="27">
        <v>0</v>
      </c>
      <c r="T2191" s="27">
        <v>-1.21E-2</v>
      </c>
      <c r="U2191" s="27">
        <v>-0.1207</v>
      </c>
      <c r="V2191" s="27">
        <v>0</v>
      </c>
      <c r="W2191" s="27">
        <v>0</v>
      </c>
      <c r="X2191" s="27" t="s">
        <v>924</v>
      </c>
    </row>
    <row r="2192" spans="1:24">
      <c r="A2192" s="27">
        <v>8</v>
      </c>
      <c r="B2192" s="27">
        <v>1</v>
      </c>
      <c r="C2192" s="27">
        <v>3</v>
      </c>
      <c r="D2192" s="27">
        <v>2012</v>
      </c>
      <c r="E2192" s="27">
        <v>2012</v>
      </c>
      <c r="F2192" s="27">
        <v>3</v>
      </c>
      <c r="G2192" s="27">
        <v>0</v>
      </c>
      <c r="H2192" s="27">
        <v>0</v>
      </c>
      <c r="I2192" s="27">
        <v>0</v>
      </c>
      <c r="J2192" s="27">
        <v>0</v>
      </c>
      <c r="K2192" s="27">
        <v>342</v>
      </c>
      <c r="L2192" s="27">
        <v>1050</v>
      </c>
      <c r="M2192" s="27">
        <v>1000</v>
      </c>
      <c r="N2192" s="27">
        <v>0</v>
      </c>
      <c r="O2192" s="27">
        <v>0</v>
      </c>
      <c r="P2192" s="27" t="s">
        <v>13</v>
      </c>
      <c r="Q2192" s="27">
        <v>1993</v>
      </c>
      <c r="R2192" s="27">
        <v>1</v>
      </c>
      <c r="S2192" s="27">
        <v>0</v>
      </c>
      <c r="T2192" s="27">
        <v>-1.21E-2</v>
      </c>
      <c r="U2192" s="27">
        <v>-0.1207</v>
      </c>
      <c r="V2192" s="27">
        <v>0</v>
      </c>
      <c r="W2192" s="27">
        <v>0</v>
      </c>
      <c r="X2192" s="27" t="s">
        <v>924</v>
      </c>
    </row>
    <row r="2193" spans="1:24">
      <c r="A2193" s="27">
        <v>8</v>
      </c>
      <c r="B2193" s="27">
        <v>1</v>
      </c>
      <c r="C2193" s="27">
        <v>3</v>
      </c>
      <c r="D2193" s="27">
        <v>2012</v>
      </c>
      <c r="E2193" s="27">
        <v>2012</v>
      </c>
      <c r="F2193" s="27">
        <v>4</v>
      </c>
      <c r="G2193" s="27">
        <v>0</v>
      </c>
      <c r="H2193" s="27">
        <v>0</v>
      </c>
      <c r="I2193" s="27">
        <v>0</v>
      </c>
      <c r="J2193" s="27">
        <v>0</v>
      </c>
      <c r="K2193" s="27">
        <v>342</v>
      </c>
      <c r="L2193" s="27">
        <v>1050</v>
      </c>
      <c r="M2193" s="27">
        <v>1000</v>
      </c>
      <c r="N2193" s="27">
        <v>0</v>
      </c>
      <c r="O2193" s="27">
        <v>0</v>
      </c>
      <c r="P2193" s="27" t="s">
        <v>13</v>
      </c>
      <c r="Q2193" s="27">
        <v>1993</v>
      </c>
      <c r="R2193" s="27">
        <v>1</v>
      </c>
      <c r="S2193" s="27">
        <v>0</v>
      </c>
      <c r="T2193" s="27">
        <v>-1.21E-2</v>
      </c>
      <c r="U2193" s="27">
        <v>-0.1207</v>
      </c>
      <c r="V2193" s="27">
        <v>0</v>
      </c>
      <c r="W2193" s="27">
        <v>0</v>
      </c>
      <c r="X2193" s="27" t="s">
        <v>924</v>
      </c>
    </row>
    <row r="2194" spans="1:24">
      <c r="A2194" s="27">
        <v>8</v>
      </c>
      <c r="B2194" s="27">
        <v>1</v>
      </c>
      <c r="C2194" s="27">
        <v>3</v>
      </c>
      <c r="D2194" s="27">
        <v>2012</v>
      </c>
      <c r="E2194" s="27">
        <v>2012</v>
      </c>
      <c r="F2194" s="27">
        <v>5</v>
      </c>
      <c r="G2194" s="27">
        <v>0</v>
      </c>
      <c r="H2194" s="27">
        <v>0</v>
      </c>
      <c r="I2194" s="27">
        <v>0</v>
      </c>
      <c r="J2194" s="27">
        <v>0</v>
      </c>
      <c r="K2194" s="27">
        <v>342</v>
      </c>
      <c r="L2194" s="27">
        <v>1050</v>
      </c>
      <c r="M2194" s="27">
        <v>1000</v>
      </c>
      <c r="N2194" s="27">
        <v>0</v>
      </c>
      <c r="O2194" s="27">
        <v>0</v>
      </c>
      <c r="P2194" s="27" t="s">
        <v>13</v>
      </c>
      <c r="Q2194" s="27">
        <v>1993</v>
      </c>
      <c r="R2194" s="27">
        <v>1</v>
      </c>
      <c r="S2194" s="27">
        <v>0</v>
      </c>
      <c r="T2194" s="27">
        <v>-1.21E-2</v>
      </c>
      <c r="U2194" s="27">
        <v>-0.1207</v>
      </c>
      <c r="V2194" s="27">
        <v>0</v>
      </c>
      <c r="W2194" s="27">
        <v>0</v>
      </c>
      <c r="X2194" s="27" t="s">
        <v>924</v>
      </c>
    </row>
    <row r="2195" spans="1:24">
      <c r="A2195" s="27">
        <v>8</v>
      </c>
      <c r="B2195" s="27">
        <v>1</v>
      </c>
      <c r="C2195" s="27">
        <v>3</v>
      </c>
      <c r="D2195" s="27">
        <v>2012</v>
      </c>
      <c r="E2195" s="27">
        <v>2012</v>
      </c>
      <c r="F2195" s="27">
        <v>6</v>
      </c>
      <c r="G2195" s="27">
        <v>0</v>
      </c>
      <c r="H2195" s="27">
        <v>0</v>
      </c>
      <c r="I2195" s="27">
        <v>0</v>
      </c>
      <c r="J2195" s="27">
        <v>0</v>
      </c>
      <c r="K2195" s="27">
        <v>342</v>
      </c>
      <c r="L2195" s="27">
        <v>1050</v>
      </c>
      <c r="M2195" s="27">
        <v>1000</v>
      </c>
      <c r="N2195" s="27">
        <v>0</v>
      </c>
      <c r="O2195" s="27">
        <v>0</v>
      </c>
      <c r="P2195" s="27" t="s">
        <v>13</v>
      </c>
      <c r="Q2195" s="27">
        <v>1993</v>
      </c>
      <c r="R2195" s="27">
        <v>1</v>
      </c>
      <c r="S2195" s="27">
        <v>0</v>
      </c>
      <c r="T2195" s="27">
        <v>-1.21E-2</v>
      </c>
      <c r="U2195" s="27">
        <v>-0.1207</v>
      </c>
      <c r="V2195" s="27">
        <v>0</v>
      </c>
      <c r="W2195" s="27">
        <v>0</v>
      </c>
      <c r="X2195" s="27" t="s">
        <v>924</v>
      </c>
    </row>
    <row r="2196" spans="1:24">
      <c r="A2196" s="27">
        <v>8</v>
      </c>
      <c r="B2196" s="27">
        <v>1</v>
      </c>
      <c r="C2196" s="27">
        <v>3</v>
      </c>
      <c r="D2196" s="27">
        <v>2012</v>
      </c>
      <c r="E2196" s="27">
        <v>2012</v>
      </c>
      <c r="F2196" s="27">
        <v>7</v>
      </c>
      <c r="G2196" s="27">
        <v>0</v>
      </c>
      <c r="H2196" s="27">
        <v>0</v>
      </c>
      <c r="I2196" s="27">
        <v>0</v>
      </c>
      <c r="J2196" s="27">
        <v>0</v>
      </c>
      <c r="K2196" s="27">
        <v>342</v>
      </c>
      <c r="L2196" s="27">
        <v>1050</v>
      </c>
      <c r="M2196" s="27">
        <v>1000</v>
      </c>
      <c r="N2196" s="27">
        <v>0</v>
      </c>
      <c r="O2196" s="27">
        <v>0</v>
      </c>
      <c r="P2196" s="27" t="s">
        <v>13</v>
      </c>
      <c r="Q2196" s="27">
        <v>1993</v>
      </c>
      <c r="R2196" s="27">
        <v>1</v>
      </c>
      <c r="S2196" s="27">
        <v>0</v>
      </c>
      <c r="T2196" s="27">
        <v>-1.21E-2</v>
      </c>
      <c r="U2196" s="27">
        <v>-0.1207</v>
      </c>
      <c r="V2196" s="27">
        <v>0</v>
      </c>
      <c r="W2196" s="27">
        <v>0</v>
      </c>
      <c r="X2196" s="27" t="s">
        <v>924</v>
      </c>
    </row>
    <row r="2197" spans="1:24">
      <c r="A2197" s="27">
        <v>8</v>
      </c>
      <c r="B2197" s="27">
        <v>1</v>
      </c>
      <c r="C2197" s="27">
        <v>3</v>
      </c>
      <c r="D2197" s="27">
        <v>2012</v>
      </c>
      <c r="E2197" s="27">
        <v>2012</v>
      </c>
      <c r="F2197" s="27">
        <v>8</v>
      </c>
      <c r="G2197" s="27">
        <v>0</v>
      </c>
      <c r="H2197" s="27">
        <v>0</v>
      </c>
      <c r="I2197" s="27">
        <v>0</v>
      </c>
      <c r="J2197" s="27">
        <v>0</v>
      </c>
      <c r="K2197" s="27">
        <v>342</v>
      </c>
      <c r="L2197" s="27">
        <v>1050</v>
      </c>
      <c r="M2197" s="27">
        <v>1000</v>
      </c>
      <c r="N2197" s="27">
        <v>0</v>
      </c>
      <c r="O2197" s="27">
        <v>0</v>
      </c>
      <c r="P2197" s="27" t="s">
        <v>13</v>
      </c>
      <c r="Q2197" s="27">
        <v>1993</v>
      </c>
      <c r="R2197" s="27">
        <v>1</v>
      </c>
      <c r="S2197" s="27">
        <v>0</v>
      </c>
      <c r="T2197" s="27">
        <v>-1.21E-2</v>
      </c>
      <c r="U2197" s="27">
        <v>-0.1207</v>
      </c>
      <c r="V2197" s="27">
        <v>0</v>
      </c>
      <c r="W2197" s="27">
        <v>0</v>
      </c>
      <c r="X2197" s="27" t="s">
        <v>924</v>
      </c>
    </row>
    <row r="2198" spans="1:24">
      <c r="A2198" s="27">
        <v>8</v>
      </c>
      <c r="B2198" s="27">
        <v>1</v>
      </c>
      <c r="C2198" s="27">
        <v>3</v>
      </c>
      <c r="D2198" s="27">
        <v>2012</v>
      </c>
      <c r="E2198" s="27">
        <v>2012</v>
      </c>
      <c r="F2198" s="27">
        <v>9</v>
      </c>
      <c r="G2198" s="27">
        <v>0</v>
      </c>
      <c r="H2198" s="27">
        <v>0</v>
      </c>
      <c r="I2198" s="27">
        <v>0</v>
      </c>
      <c r="J2198" s="27">
        <v>0</v>
      </c>
      <c r="K2198" s="27">
        <v>342</v>
      </c>
      <c r="L2198" s="27">
        <v>1050</v>
      </c>
      <c r="M2198" s="27">
        <v>1000</v>
      </c>
      <c r="N2198" s="27">
        <v>0</v>
      </c>
      <c r="O2198" s="27">
        <v>0</v>
      </c>
      <c r="P2198" s="27" t="s">
        <v>13</v>
      </c>
      <c r="Q2198" s="27">
        <v>1993</v>
      </c>
      <c r="R2198" s="27">
        <v>1</v>
      </c>
      <c r="S2198" s="27">
        <v>0</v>
      </c>
      <c r="T2198" s="27">
        <v>-1.21E-2</v>
      </c>
      <c r="U2198" s="27">
        <v>-0.1207</v>
      </c>
      <c r="V2198" s="27">
        <v>0</v>
      </c>
      <c r="W2198" s="27">
        <v>0</v>
      </c>
      <c r="X2198" s="27" t="s">
        <v>924</v>
      </c>
    </row>
    <row r="2199" spans="1:24">
      <c r="A2199" s="27">
        <v>8</v>
      </c>
      <c r="B2199" s="27">
        <v>1</v>
      </c>
      <c r="C2199" s="27">
        <v>3</v>
      </c>
      <c r="D2199" s="27">
        <v>2013</v>
      </c>
      <c r="E2199" s="27">
        <v>2013</v>
      </c>
      <c r="F2199" s="27">
        <v>1</v>
      </c>
      <c r="G2199" s="27">
        <v>0</v>
      </c>
      <c r="H2199" s="27">
        <v>0</v>
      </c>
      <c r="I2199" s="27">
        <v>0</v>
      </c>
      <c r="J2199" s="27">
        <v>0</v>
      </c>
      <c r="K2199" s="27">
        <v>342</v>
      </c>
      <c r="L2199" s="27">
        <v>1050</v>
      </c>
      <c r="M2199" s="27">
        <v>1000</v>
      </c>
      <c r="N2199" s="27">
        <v>150</v>
      </c>
      <c r="O2199" s="27">
        <v>150</v>
      </c>
      <c r="P2199" s="27" t="s">
        <v>13</v>
      </c>
      <c r="Q2199" s="27">
        <v>1993</v>
      </c>
      <c r="R2199" s="27">
        <v>1</v>
      </c>
      <c r="S2199" s="27">
        <v>0</v>
      </c>
      <c r="T2199" s="27">
        <v>-1.21E-2</v>
      </c>
      <c r="U2199" s="27">
        <v>-0.1207</v>
      </c>
      <c r="V2199" s="27">
        <v>0</v>
      </c>
      <c r="W2199" s="27">
        <v>0</v>
      </c>
      <c r="X2199" s="27" t="s">
        <v>924</v>
      </c>
    </row>
    <row r="2200" spans="1:24">
      <c r="A2200" s="27">
        <v>8</v>
      </c>
      <c r="B2200" s="27">
        <v>1</v>
      </c>
      <c r="C2200" s="27">
        <v>3</v>
      </c>
      <c r="D2200" s="27">
        <v>2013</v>
      </c>
      <c r="E2200" s="27">
        <v>2013</v>
      </c>
      <c r="F2200" s="27">
        <v>2</v>
      </c>
      <c r="G2200" s="27">
        <v>0</v>
      </c>
      <c r="H2200" s="27">
        <v>0</v>
      </c>
      <c r="I2200" s="27">
        <v>0</v>
      </c>
      <c r="J2200" s="27">
        <v>0</v>
      </c>
      <c r="K2200" s="27">
        <v>342</v>
      </c>
      <c r="L2200" s="27">
        <v>1050</v>
      </c>
      <c r="M2200" s="27">
        <v>1000</v>
      </c>
      <c r="N2200" s="27">
        <v>150</v>
      </c>
      <c r="O2200" s="27">
        <v>150</v>
      </c>
      <c r="P2200" s="27" t="s">
        <v>13</v>
      </c>
      <c r="Q2200" s="27">
        <v>1993</v>
      </c>
      <c r="R2200" s="27">
        <v>1</v>
      </c>
      <c r="S2200" s="27">
        <v>0</v>
      </c>
      <c r="T2200" s="27">
        <v>-1.21E-2</v>
      </c>
      <c r="U2200" s="27">
        <v>-0.1207</v>
      </c>
      <c r="V2200" s="27">
        <v>0</v>
      </c>
      <c r="W2200" s="27">
        <v>0</v>
      </c>
      <c r="X2200" s="27" t="s">
        <v>924</v>
      </c>
    </row>
    <row r="2201" spans="1:24">
      <c r="A2201" s="27">
        <v>8</v>
      </c>
      <c r="B2201" s="27">
        <v>1</v>
      </c>
      <c r="C2201" s="27">
        <v>3</v>
      </c>
      <c r="D2201" s="27">
        <v>2013</v>
      </c>
      <c r="E2201" s="27">
        <v>2013</v>
      </c>
      <c r="F2201" s="27">
        <v>3</v>
      </c>
      <c r="G2201" s="27">
        <v>0</v>
      </c>
      <c r="H2201" s="27">
        <v>0</v>
      </c>
      <c r="I2201" s="27">
        <v>0</v>
      </c>
      <c r="J2201" s="27">
        <v>0</v>
      </c>
      <c r="K2201" s="27">
        <v>342</v>
      </c>
      <c r="L2201" s="27">
        <v>1050</v>
      </c>
      <c r="M2201" s="27">
        <v>1000</v>
      </c>
      <c r="N2201" s="27">
        <v>150</v>
      </c>
      <c r="O2201" s="27">
        <v>150</v>
      </c>
      <c r="P2201" s="27" t="s">
        <v>13</v>
      </c>
      <c r="Q2201" s="27">
        <v>1993</v>
      </c>
      <c r="R2201" s="27">
        <v>1</v>
      </c>
      <c r="S2201" s="27">
        <v>0</v>
      </c>
      <c r="T2201" s="27">
        <v>-1.21E-2</v>
      </c>
      <c r="U2201" s="27">
        <v>-0.1207</v>
      </c>
      <c r="V2201" s="27">
        <v>0</v>
      </c>
      <c r="W2201" s="27">
        <v>0</v>
      </c>
      <c r="X2201" s="27" t="s">
        <v>924</v>
      </c>
    </row>
    <row r="2202" spans="1:24">
      <c r="A2202" s="27">
        <v>8</v>
      </c>
      <c r="B2202" s="27">
        <v>1</v>
      </c>
      <c r="C2202" s="27">
        <v>3</v>
      </c>
      <c r="D2202" s="27">
        <v>2013</v>
      </c>
      <c r="E2202" s="27">
        <v>2013</v>
      </c>
      <c r="F2202" s="27">
        <v>4</v>
      </c>
      <c r="G2202" s="27">
        <v>0</v>
      </c>
      <c r="H2202" s="27">
        <v>0</v>
      </c>
      <c r="I2202" s="27">
        <v>0</v>
      </c>
      <c r="J2202" s="27">
        <v>0</v>
      </c>
      <c r="K2202" s="27">
        <v>342</v>
      </c>
      <c r="L2202" s="27">
        <v>1050</v>
      </c>
      <c r="M2202" s="27">
        <v>1000</v>
      </c>
      <c r="N2202" s="27">
        <v>150</v>
      </c>
      <c r="O2202" s="27">
        <v>150</v>
      </c>
      <c r="P2202" s="27" t="s">
        <v>13</v>
      </c>
      <c r="Q2202" s="27">
        <v>1993</v>
      </c>
      <c r="R2202" s="27">
        <v>1</v>
      </c>
      <c r="S2202" s="27">
        <v>0</v>
      </c>
      <c r="T2202" s="27">
        <v>-1.21E-2</v>
      </c>
      <c r="U2202" s="27">
        <v>-0.1207</v>
      </c>
      <c r="V2202" s="27">
        <v>0</v>
      </c>
      <c r="W2202" s="27">
        <v>0</v>
      </c>
      <c r="X2202" s="27" t="s">
        <v>924</v>
      </c>
    </row>
    <row r="2203" spans="1:24">
      <c r="A2203" s="27">
        <v>8</v>
      </c>
      <c r="B2203" s="27">
        <v>1</v>
      </c>
      <c r="C2203" s="27">
        <v>3</v>
      </c>
      <c r="D2203" s="27">
        <v>2013</v>
      </c>
      <c r="E2203" s="27">
        <v>2013</v>
      </c>
      <c r="F2203" s="27">
        <v>5</v>
      </c>
      <c r="G2203" s="27">
        <v>0</v>
      </c>
      <c r="H2203" s="27">
        <v>0</v>
      </c>
      <c r="I2203" s="27">
        <v>0</v>
      </c>
      <c r="J2203" s="27">
        <v>0</v>
      </c>
      <c r="K2203" s="27">
        <v>342</v>
      </c>
      <c r="L2203" s="27">
        <v>1050</v>
      </c>
      <c r="M2203" s="27">
        <v>1000</v>
      </c>
      <c r="N2203" s="27">
        <v>150</v>
      </c>
      <c r="O2203" s="27">
        <v>150</v>
      </c>
      <c r="P2203" s="27" t="s">
        <v>13</v>
      </c>
      <c r="Q2203" s="27">
        <v>1993</v>
      </c>
      <c r="R2203" s="27">
        <v>1</v>
      </c>
      <c r="S2203" s="27">
        <v>0</v>
      </c>
      <c r="T2203" s="27">
        <v>-1.21E-2</v>
      </c>
      <c r="U2203" s="27">
        <v>-0.1207</v>
      </c>
      <c r="V2203" s="27">
        <v>0</v>
      </c>
      <c r="W2203" s="27">
        <v>0</v>
      </c>
      <c r="X2203" s="27" t="s">
        <v>924</v>
      </c>
    </row>
    <row r="2204" spans="1:24">
      <c r="A2204" s="27">
        <v>8</v>
      </c>
      <c r="B2204" s="27">
        <v>1</v>
      </c>
      <c r="C2204" s="27">
        <v>3</v>
      </c>
      <c r="D2204" s="27">
        <v>2013</v>
      </c>
      <c r="E2204" s="27">
        <v>2013</v>
      </c>
      <c r="F2204" s="27">
        <v>6</v>
      </c>
      <c r="G2204" s="27">
        <v>0</v>
      </c>
      <c r="H2204" s="27">
        <v>0</v>
      </c>
      <c r="I2204" s="27">
        <v>0</v>
      </c>
      <c r="J2204" s="27">
        <v>0</v>
      </c>
      <c r="K2204" s="27">
        <v>342</v>
      </c>
      <c r="L2204" s="27">
        <v>1050</v>
      </c>
      <c r="M2204" s="27">
        <v>1000</v>
      </c>
      <c r="N2204" s="27">
        <v>150</v>
      </c>
      <c r="O2204" s="27">
        <v>150</v>
      </c>
      <c r="P2204" s="27" t="s">
        <v>13</v>
      </c>
      <c r="Q2204" s="27">
        <v>1993</v>
      </c>
      <c r="R2204" s="27">
        <v>1</v>
      </c>
      <c r="S2204" s="27">
        <v>0</v>
      </c>
      <c r="T2204" s="27">
        <v>-1.21E-2</v>
      </c>
      <c r="U2204" s="27">
        <v>-0.1207</v>
      </c>
      <c r="V2204" s="27">
        <v>0</v>
      </c>
      <c r="W2204" s="27">
        <v>0</v>
      </c>
      <c r="X2204" s="27" t="s">
        <v>924</v>
      </c>
    </row>
    <row r="2205" spans="1:24">
      <c r="A2205" s="27">
        <v>8</v>
      </c>
      <c r="B2205" s="27">
        <v>1</v>
      </c>
      <c r="C2205" s="27">
        <v>3</v>
      </c>
      <c r="D2205" s="27">
        <v>2013</v>
      </c>
      <c r="E2205" s="27">
        <v>2013</v>
      </c>
      <c r="F2205" s="27">
        <v>7</v>
      </c>
      <c r="G2205" s="27">
        <v>0</v>
      </c>
      <c r="H2205" s="27">
        <v>0</v>
      </c>
      <c r="I2205" s="27">
        <v>0</v>
      </c>
      <c r="J2205" s="27">
        <v>0</v>
      </c>
      <c r="K2205" s="27">
        <v>342</v>
      </c>
      <c r="L2205" s="27">
        <v>1050</v>
      </c>
      <c r="M2205" s="27">
        <v>1000</v>
      </c>
      <c r="N2205" s="27">
        <v>150</v>
      </c>
      <c r="O2205" s="27">
        <v>150</v>
      </c>
      <c r="P2205" s="27" t="s">
        <v>13</v>
      </c>
      <c r="Q2205" s="27">
        <v>1993</v>
      </c>
      <c r="R2205" s="27">
        <v>1</v>
      </c>
      <c r="S2205" s="27">
        <v>0</v>
      </c>
      <c r="T2205" s="27">
        <v>-1.21E-2</v>
      </c>
      <c r="U2205" s="27">
        <v>-0.1207</v>
      </c>
      <c r="V2205" s="27">
        <v>0</v>
      </c>
      <c r="W2205" s="27">
        <v>0</v>
      </c>
      <c r="X2205" s="27" t="s">
        <v>924</v>
      </c>
    </row>
    <row r="2206" spans="1:24">
      <c r="A2206" s="27">
        <v>8</v>
      </c>
      <c r="B2206" s="27">
        <v>1</v>
      </c>
      <c r="C2206" s="27">
        <v>3</v>
      </c>
      <c r="D2206" s="27">
        <v>2013</v>
      </c>
      <c r="E2206" s="27">
        <v>2013</v>
      </c>
      <c r="F2206" s="27">
        <v>8</v>
      </c>
      <c r="G2206" s="27">
        <v>0</v>
      </c>
      <c r="H2206" s="27">
        <v>0</v>
      </c>
      <c r="I2206" s="27">
        <v>0</v>
      </c>
      <c r="J2206" s="27">
        <v>0</v>
      </c>
      <c r="K2206" s="27">
        <v>342</v>
      </c>
      <c r="L2206" s="27">
        <v>1050</v>
      </c>
      <c r="M2206" s="27">
        <v>1000</v>
      </c>
      <c r="N2206" s="27">
        <v>150</v>
      </c>
      <c r="O2206" s="27">
        <v>150</v>
      </c>
      <c r="P2206" s="27" t="s">
        <v>13</v>
      </c>
      <c r="Q2206" s="27">
        <v>1993</v>
      </c>
      <c r="R2206" s="27">
        <v>1</v>
      </c>
      <c r="S2206" s="27">
        <v>0</v>
      </c>
      <c r="T2206" s="27">
        <v>-1.21E-2</v>
      </c>
      <c r="U2206" s="27">
        <v>-0.1207</v>
      </c>
      <c r="V2206" s="27">
        <v>0</v>
      </c>
      <c r="W2206" s="27">
        <v>0</v>
      </c>
      <c r="X2206" s="27" t="s">
        <v>924</v>
      </c>
    </row>
    <row r="2207" spans="1:24">
      <c r="A2207" s="27">
        <v>8</v>
      </c>
      <c r="B2207" s="27">
        <v>1</v>
      </c>
      <c r="C2207" s="27">
        <v>3</v>
      </c>
      <c r="D2207" s="27">
        <v>2013</v>
      </c>
      <c r="E2207" s="27">
        <v>2013</v>
      </c>
      <c r="F2207" s="27">
        <v>9</v>
      </c>
      <c r="G2207" s="27">
        <v>0</v>
      </c>
      <c r="H2207" s="27">
        <v>0</v>
      </c>
      <c r="I2207" s="27">
        <v>0</v>
      </c>
      <c r="J2207" s="27">
        <v>0</v>
      </c>
      <c r="K2207" s="27">
        <v>342</v>
      </c>
      <c r="L2207" s="27">
        <v>1050</v>
      </c>
      <c r="M2207" s="27">
        <v>1000</v>
      </c>
      <c r="N2207" s="27">
        <v>150</v>
      </c>
      <c r="O2207" s="27">
        <v>150</v>
      </c>
      <c r="P2207" s="27" t="s">
        <v>13</v>
      </c>
      <c r="Q2207" s="27">
        <v>1993</v>
      </c>
      <c r="R2207" s="27">
        <v>1</v>
      </c>
      <c r="S2207" s="27">
        <v>0</v>
      </c>
      <c r="T2207" s="27">
        <v>-1.21E-2</v>
      </c>
      <c r="U2207" s="27">
        <v>-0.1207</v>
      </c>
      <c r="V2207" s="27">
        <v>0</v>
      </c>
      <c r="W2207" s="27">
        <v>0</v>
      </c>
      <c r="X2207" s="27" t="s">
        <v>924</v>
      </c>
    </row>
    <row r="2208" spans="1:24">
      <c r="A2208" s="27">
        <v>8</v>
      </c>
      <c r="B2208" s="27">
        <v>1</v>
      </c>
      <c r="C2208" s="27">
        <v>3</v>
      </c>
      <c r="D2208" s="27">
        <v>2014</v>
      </c>
      <c r="E2208" s="27">
        <v>2050</v>
      </c>
      <c r="F2208" s="27">
        <v>1</v>
      </c>
      <c r="G2208" s="27">
        <v>0</v>
      </c>
      <c r="H2208" s="27">
        <v>0</v>
      </c>
      <c r="I2208" s="27">
        <v>0</v>
      </c>
      <c r="J2208" s="27">
        <v>0</v>
      </c>
      <c r="K2208" s="27">
        <v>327</v>
      </c>
      <c r="L2208" s="27">
        <v>1250</v>
      </c>
      <c r="M2208" s="27">
        <v>1200</v>
      </c>
      <c r="N2208" s="27">
        <v>0</v>
      </c>
      <c r="O2208" s="27">
        <v>0</v>
      </c>
      <c r="P2208" s="27" t="s">
        <v>13</v>
      </c>
      <c r="Q2208" s="27">
        <v>1993</v>
      </c>
      <c r="R2208" s="27">
        <v>1</v>
      </c>
      <c r="S2208" s="27">
        <v>0</v>
      </c>
      <c r="T2208" s="27">
        <v>-1.21E-2</v>
      </c>
      <c r="U2208" s="27">
        <v>-0.1207</v>
      </c>
      <c r="V2208" s="27">
        <v>0</v>
      </c>
      <c r="W2208" s="27">
        <v>0</v>
      </c>
      <c r="X2208" s="27" t="s">
        <v>924</v>
      </c>
    </row>
    <row r="2209" spans="1:24">
      <c r="A2209" s="27">
        <v>8</v>
      </c>
      <c r="B2209" s="27">
        <v>1</v>
      </c>
      <c r="C2209" s="27">
        <v>3</v>
      </c>
      <c r="D2209" s="27">
        <v>2014</v>
      </c>
      <c r="E2209" s="27">
        <v>2050</v>
      </c>
      <c r="F2209" s="27">
        <v>2</v>
      </c>
      <c r="G2209" s="27">
        <v>0</v>
      </c>
      <c r="H2209" s="27">
        <v>0</v>
      </c>
      <c r="I2209" s="27">
        <v>0</v>
      </c>
      <c r="J2209" s="27">
        <v>0</v>
      </c>
      <c r="K2209" s="27">
        <v>327</v>
      </c>
      <c r="L2209" s="27">
        <v>1250</v>
      </c>
      <c r="M2209" s="27">
        <v>1200</v>
      </c>
      <c r="N2209" s="27">
        <v>0</v>
      </c>
      <c r="O2209" s="27">
        <v>0</v>
      </c>
      <c r="P2209" s="27" t="s">
        <v>13</v>
      </c>
      <c r="Q2209" s="27">
        <v>1993</v>
      </c>
      <c r="R2209" s="27">
        <v>1</v>
      </c>
      <c r="S2209" s="27">
        <v>0</v>
      </c>
      <c r="T2209" s="27">
        <v>-1.21E-2</v>
      </c>
      <c r="U2209" s="27">
        <v>-0.1207</v>
      </c>
      <c r="V2209" s="27">
        <v>0</v>
      </c>
      <c r="W2209" s="27">
        <v>0</v>
      </c>
      <c r="X2209" s="27" t="s">
        <v>924</v>
      </c>
    </row>
    <row r="2210" spans="1:24">
      <c r="A2210" s="27">
        <v>8</v>
      </c>
      <c r="B2210" s="27">
        <v>1</v>
      </c>
      <c r="C2210" s="27">
        <v>3</v>
      </c>
      <c r="D2210" s="27">
        <v>2014</v>
      </c>
      <c r="E2210" s="27">
        <v>2050</v>
      </c>
      <c r="F2210" s="27">
        <v>3</v>
      </c>
      <c r="G2210" s="27">
        <v>0</v>
      </c>
      <c r="H2210" s="27">
        <v>0</v>
      </c>
      <c r="I2210" s="27">
        <v>0</v>
      </c>
      <c r="J2210" s="27">
        <v>0</v>
      </c>
      <c r="K2210" s="27">
        <v>327</v>
      </c>
      <c r="L2210" s="27">
        <v>1250</v>
      </c>
      <c r="M2210" s="27">
        <v>1200</v>
      </c>
      <c r="N2210" s="27">
        <v>0</v>
      </c>
      <c r="O2210" s="27">
        <v>0</v>
      </c>
      <c r="P2210" s="27" t="s">
        <v>13</v>
      </c>
      <c r="Q2210" s="27">
        <v>1993</v>
      </c>
      <c r="R2210" s="27">
        <v>1</v>
      </c>
      <c r="S2210" s="27">
        <v>0</v>
      </c>
      <c r="T2210" s="27">
        <v>-1.21E-2</v>
      </c>
      <c r="U2210" s="27">
        <v>-0.1207</v>
      </c>
      <c r="V2210" s="27">
        <v>0</v>
      </c>
      <c r="W2210" s="27">
        <v>0</v>
      </c>
      <c r="X2210" s="27" t="s">
        <v>924</v>
      </c>
    </row>
    <row r="2211" spans="1:24">
      <c r="A2211" s="27">
        <v>8</v>
      </c>
      <c r="B2211" s="27">
        <v>1</v>
      </c>
      <c r="C2211" s="27">
        <v>3</v>
      </c>
      <c r="D2211" s="27">
        <v>2014</v>
      </c>
      <c r="E2211" s="27">
        <v>2050</v>
      </c>
      <c r="F2211" s="27">
        <v>4</v>
      </c>
      <c r="G2211" s="27">
        <v>0</v>
      </c>
      <c r="H2211" s="27">
        <v>0</v>
      </c>
      <c r="I2211" s="27">
        <v>0</v>
      </c>
      <c r="J2211" s="27">
        <v>0</v>
      </c>
      <c r="K2211" s="27">
        <v>327</v>
      </c>
      <c r="L2211" s="27">
        <v>1250</v>
      </c>
      <c r="M2211" s="27">
        <v>1200</v>
      </c>
      <c r="N2211" s="27">
        <v>0</v>
      </c>
      <c r="O2211" s="27">
        <v>0</v>
      </c>
      <c r="P2211" s="27" t="s">
        <v>13</v>
      </c>
      <c r="Q2211" s="27">
        <v>1993</v>
      </c>
      <c r="R2211" s="27">
        <v>1</v>
      </c>
      <c r="S2211" s="27">
        <v>0</v>
      </c>
      <c r="T2211" s="27">
        <v>-1.21E-2</v>
      </c>
      <c r="U2211" s="27">
        <v>-0.1207</v>
      </c>
      <c r="V2211" s="27">
        <v>0</v>
      </c>
      <c r="W2211" s="27">
        <v>0</v>
      </c>
      <c r="X2211" s="27" t="s">
        <v>924</v>
      </c>
    </row>
    <row r="2212" spans="1:24">
      <c r="A2212" s="27">
        <v>8</v>
      </c>
      <c r="B2212" s="27">
        <v>1</v>
      </c>
      <c r="C2212" s="27">
        <v>3</v>
      </c>
      <c r="D2212" s="27">
        <v>2014</v>
      </c>
      <c r="E2212" s="27">
        <v>2050</v>
      </c>
      <c r="F2212" s="27">
        <v>5</v>
      </c>
      <c r="G2212" s="27">
        <v>0</v>
      </c>
      <c r="H2212" s="27">
        <v>0</v>
      </c>
      <c r="I2212" s="27">
        <v>0</v>
      </c>
      <c r="J2212" s="27">
        <v>0</v>
      </c>
      <c r="K2212" s="27">
        <v>327</v>
      </c>
      <c r="L2212" s="27">
        <v>1250</v>
      </c>
      <c r="M2212" s="27">
        <v>1200</v>
      </c>
      <c r="N2212" s="27">
        <v>0</v>
      </c>
      <c r="O2212" s="27">
        <v>0</v>
      </c>
      <c r="P2212" s="27" t="s">
        <v>13</v>
      </c>
      <c r="Q2212" s="27">
        <v>1993</v>
      </c>
      <c r="R2212" s="27">
        <v>1</v>
      </c>
      <c r="S2212" s="27">
        <v>0</v>
      </c>
      <c r="T2212" s="27">
        <v>-1.21E-2</v>
      </c>
      <c r="U2212" s="27">
        <v>-0.1207</v>
      </c>
      <c r="V2212" s="27">
        <v>0</v>
      </c>
      <c r="W2212" s="27">
        <v>0</v>
      </c>
      <c r="X2212" s="27" t="s">
        <v>924</v>
      </c>
    </row>
    <row r="2213" spans="1:24">
      <c r="A2213" s="27">
        <v>8</v>
      </c>
      <c r="B2213" s="27">
        <v>1</v>
      </c>
      <c r="C2213" s="27">
        <v>3</v>
      </c>
      <c r="D2213" s="27">
        <v>2014</v>
      </c>
      <c r="E2213" s="27">
        <v>2050</v>
      </c>
      <c r="F2213" s="27">
        <v>6</v>
      </c>
      <c r="G2213" s="27">
        <v>0</v>
      </c>
      <c r="H2213" s="27">
        <v>0</v>
      </c>
      <c r="I2213" s="27">
        <v>0</v>
      </c>
      <c r="J2213" s="27">
        <v>0</v>
      </c>
      <c r="K2213" s="27">
        <v>327</v>
      </c>
      <c r="L2213" s="27">
        <v>1250</v>
      </c>
      <c r="M2213" s="27">
        <v>1200</v>
      </c>
      <c r="N2213" s="27">
        <v>0</v>
      </c>
      <c r="O2213" s="27">
        <v>0</v>
      </c>
      <c r="P2213" s="27" t="s">
        <v>13</v>
      </c>
      <c r="Q2213" s="27">
        <v>1993</v>
      </c>
      <c r="R2213" s="27">
        <v>1</v>
      </c>
      <c r="S2213" s="27">
        <v>0</v>
      </c>
      <c r="T2213" s="27">
        <v>-1.21E-2</v>
      </c>
      <c r="U2213" s="27">
        <v>-0.1207</v>
      </c>
      <c r="V2213" s="27">
        <v>0</v>
      </c>
      <c r="W2213" s="27">
        <v>0</v>
      </c>
      <c r="X2213" s="27" t="s">
        <v>924</v>
      </c>
    </row>
    <row r="2214" spans="1:24">
      <c r="A2214" s="27">
        <v>8</v>
      </c>
      <c r="B2214" s="27">
        <v>1</v>
      </c>
      <c r="C2214" s="27">
        <v>3</v>
      </c>
      <c r="D2214" s="27">
        <v>2014</v>
      </c>
      <c r="E2214" s="27">
        <v>2050</v>
      </c>
      <c r="F2214" s="27">
        <v>7</v>
      </c>
      <c r="G2214" s="27">
        <v>0</v>
      </c>
      <c r="H2214" s="27">
        <v>0</v>
      </c>
      <c r="I2214" s="27">
        <v>0</v>
      </c>
      <c r="J2214" s="27">
        <v>0</v>
      </c>
      <c r="K2214" s="27">
        <v>327</v>
      </c>
      <c r="L2214" s="27">
        <v>1250</v>
      </c>
      <c r="M2214" s="27">
        <v>1200</v>
      </c>
      <c r="N2214" s="27">
        <v>0</v>
      </c>
      <c r="O2214" s="27">
        <v>0</v>
      </c>
      <c r="P2214" s="27" t="s">
        <v>13</v>
      </c>
      <c r="Q2214" s="27">
        <v>1993</v>
      </c>
      <c r="R2214" s="27">
        <v>1</v>
      </c>
      <c r="S2214" s="27">
        <v>0</v>
      </c>
      <c r="T2214" s="27">
        <v>-1.21E-2</v>
      </c>
      <c r="U2214" s="27">
        <v>-0.1207</v>
      </c>
      <c r="V2214" s="27">
        <v>0</v>
      </c>
      <c r="W2214" s="27">
        <v>0</v>
      </c>
      <c r="X2214" s="27" t="s">
        <v>924</v>
      </c>
    </row>
    <row r="2215" spans="1:24">
      <c r="A2215" s="27">
        <v>8</v>
      </c>
      <c r="B2215" s="27">
        <v>1</v>
      </c>
      <c r="C2215" s="27">
        <v>3</v>
      </c>
      <c r="D2215" s="27">
        <v>2014</v>
      </c>
      <c r="E2215" s="27">
        <v>2050</v>
      </c>
      <c r="F2215" s="27">
        <v>8</v>
      </c>
      <c r="G2215" s="27">
        <v>0</v>
      </c>
      <c r="H2215" s="27">
        <v>0</v>
      </c>
      <c r="I2215" s="27">
        <v>0</v>
      </c>
      <c r="J2215" s="27">
        <v>0</v>
      </c>
      <c r="K2215" s="27">
        <v>327</v>
      </c>
      <c r="L2215" s="27">
        <v>1250</v>
      </c>
      <c r="M2215" s="27">
        <v>1200</v>
      </c>
      <c r="N2215" s="27">
        <v>0</v>
      </c>
      <c r="O2215" s="27">
        <v>0</v>
      </c>
      <c r="P2215" s="27" t="s">
        <v>13</v>
      </c>
      <c r="Q2215" s="27">
        <v>1993</v>
      </c>
      <c r="R2215" s="27">
        <v>1</v>
      </c>
      <c r="S2215" s="27">
        <v>0</v>
      </c>
      <c r="T2215" s="27">
        <v>-1.21E-2</v>
      </c>
      <c r="U2215" s="27">
        <v>-0.1207</v>
      </c>
      <c r="V2215" s="27">
        <v>0</v>
      </c>
      <c r="W2215" s="27">
        <v>0</v>
      </c>
      <c r="X2215" s="27" t="s">
        <v>924</v>
      </c>
    </row>
    <row r="2216" spans="1:24">
      <c r="A2216" s="27">
        <v>8</v>
      </c>
      <c r="B2216" s="27">
        <v>1</v>
      </c>
      <c r="C2216" s="27">
        <v>3</v>
      </c>
      <c r="D2216" s="27">
        <v>2014</v>
      </c>
      <c r="E2216" s="27">
        <v>2050</v>
      </c>
      <c r="F2216" s="27">
        <v>9</v>
      </c>
      <c r="G2216" s="27">
        <v>0</v>
      </c>
      <c r="H2216" s="27">
        <v>0</v>
      </c>
      <c r="I2216" s="27">
        <v>0</v>
      </c>
      <c r="J2216" s="27">
        <v>0</v>
      </c>
      <c r="K2216" s="27">
        <v>327</v>
      </c>
      <c r="L2216" s="27">
        <v>1250</v>
      </c>
      <c r="M2216" s="27">
        <v>1200</v>
      </c>
      <c r="N2216" s="27">
        <v>0</v>
      </c>
      <c r="O2216" s="27">
        <v>0</v>
      </c>
      <c r="P2216" s="27" t="s">
        <v>13</v>
      </c>
      <c r="Q2216" s="27">
        <v>1993</v>
      </c>
      <c r="R2216" s="27">
        <v>1</v>
      </c>
      <c r="S2216" s="27">
        <v>0</v>
      </c>
      <c r="T2216" s="27">
        <v>-1.21E-2</v>
      </c>
      <c r="U2216" s="27">
        <v>-0.1207</v>
      </c>
      <c r="V2216" s="27">
        <v>0</v>
      </c>
      <c r="W2216" s="27">
        <v>0</v>
      </c>
      <c r="X2216" s="27" t="s">
        <v>924</v>
      </c>
    </row>
    <row r="2217" spans="1:24">
      <c r="A2217" s="27">
        <v>8</v>
      </c>
      <c r="B2217" s="27">
        <v>1</v>
      </c>
      <c r="C2217" s="27">
        <v>4</v>
      </c>
      <c r="D2217" s="27">
        <v>2010</v>
      </c>
      <c r="E2217" s="27">
        <v>2013</v>
      </c>
      <c r="F2217" s="27">
        <v>1</v>
      </c>
      <c r="G2217" s="27">
        <v>0</v>
      </c>
      <c r="H2217" s="27">
        <v>0</v>
      </c>
      <c r="I2217" s="27">
        <v>0</v>
      </c>
      <c r="J2217" s="27">
        <v>0</v>
      </c>
      <c r="K2217" s="27">
        <v>813</v>
      </c>
      <c r="L2217" s="27">
        <v>1450</v>
      </c>
      <c r="M2217" s="27">
        <v>1400</v>
      </c>
      <c r="N2217" s="27">
        <v>0</v>
      </c>
      <c r="O2217" s="27">
        <v>0</v>
      </c>
      <c r="P2217" s="27" t="s">
        <v>13</v>
      </c>
      <c r="Q2217" s="27">
        <v>1993</v>
      </c>
      <c r="R2217" s="27">
        <v>1</v>
      </c>
      <c r="S2217" s="27">
        <v>0</v>
      </c>
      <c r="T2217" s="27">
        <v>-1.21E-2</v>
      </c>
      <c r="U2217" s="27">
        <v>-0.1207</v>
      </c>
      <c r="V2217" s="27">
        <v>0</v>
      </c>
      <c r="W2217" s="27">
        <v>0</v>
      </c>
      <c r="X2217" s="27" t="s">
        <v>925</v>
      </c>
    </row>
    <row r="2218" spans="1:24">
      <c r="A2218" s="27">
        <v>8</v>
      </c>
      <c r="B2218" s="27">
        <v>1</v>
      </c>
      <c r="C2218" s="27">
        <v>4</v>
      </c>
      <c r="D2218" s="27">
        <v>2010</v>
      </c>
      <c r="E2218" s="27">
        <v>2013</v>
      </c>
      <c r="F2218" s="27">
        <v>2</v>
      </c>
      <c r="G2218" s="27">
        <v>0</v>
      </c>
      <c r="H2218" s="27">
        <v>0</v>
      </c>
      <c r="I2218" s="27">
        <v>0</v>
      </c>
      <c r="J2218" s="27">
        <v>0</v>
      </c>
      <c r="K2218" s="27">
        <v>813</v>
      </c>
      <c r="L2218" s="27">
        <v>1450</v>
      </c>
      <c r="M2218" s="27">
        <v>1400</v>
      </c>
      <c r="N2218" s="27">
        <v>0</v>
      </c>
      <c r="O2218" s="27">
        <v>0</v>
      </c>
      <c r="P2218" s="27" t="s">
        <v>13</v>
      </c>
      <c r="Q2218" s="27">
        <v>1993</v>
      </c>
      <c r="R2218" s="27">
        <v>1</v>
      </c>
      <c r="S2218" s="27">
        <v>0</v>
      </c>
      <c r="T2218" s="27">
        <v>-1.21E-2</v>
      </c>
      <c r="U2218" s="27">
        <v>-0.1207</v>
      </c>
      <c r="V2218" s="27">
        <v>0</v>
      </c>
      <c r="W2218" s="27">
        <v>0</v>
      </c>
      <c r="X2218" s="27" t="s">
        <v>925</v>
      </c>
    </row>
    <row r="2219" spans="1:24">
      <c r="A2219" s="27">
        <v>8</v>
      </c>
      <c r="B2219" s="27">
        <v>1</v>
      </c>
      <c r="C2219" s="27">
        <v>4</v>
      </c>
      <c r="D2219" s="27">
        <v>2010</v>
      </c>
      <c r="E2219" s="27">
        <v>2013</v>
      </c>
      <c r="F2219" s="27">
        <v>3</v>
      </c>
      <c r="G2219" s="27">
        <v>0</v>
      </c>
      <c r="H2219" s="27">
        <v>0</v>
      </c>
      <c r="I2219" s="27">
        <v>0</v>
      </c>
      <c r="J2219" s="27">
        <v>0</v>
      </c>
      <c r="K2219" s="27">
        <v>813</v>
      </c>
      <c r="L2219" s="27">
        <v>1450</v>
      </c>
      <c r="M2219" s="27">
        <v>1400</v>
      </c>
      <c r="N2219" s="27">
        <v>0</v>
      </c>
      <c r="O2219" s="27">
        <v>0</v>
      </c>
      <c r="P2219" s="27" t="s">
        <v>13</v>
      </c>
      <c r="Q2219" s="27">
        <v>1993</v>
      </c>
      <c r="R2219" s="27">
        <v>1</v>
      </c>
      <c r="S2219" s="27">
        <v>0</v>
      </c>
      <c r="T2219" s="27">
        <v>-1.21E-2</v>
      </c>
      <c r="U2219" s="27">
        <v>-0.1207</v>
      </c>
      <c r="V2219" s="27">
        <v>0</v>
      </c>
      <c r="W2219" s="27">
        <v>0</v>
      </c>
      <c r="X2219" s="27" t="s">
        <v>925</v>
      </c>
    </row>
    <row r="2220" spans="1:24">
      <c r="A2220" s="27">
        <v>8</v>
      </c>
      <c r="B2220" s="27">
        <v>1</v>
      </c>
      <c r="C2220" s="27">
        <v>4</v>
      </c>
      <c r="D2220" s="27">
        <v>2010</v>
      </c>
      <c r="E2220" s="27">
        <v>2013</v>
      </c>
      <c r="F2220" s="27">
        <v>4</v>
      </c>
      <c r="G2220" s="27">
        <v>0</v>
      </c>
      <c r="H2220" s="27">
        <v>0</v>
      </c>
      <c r="I2220" s="27">
        <v>0</v>
      </c>
      <c r="J2220" s="27">
        <v>0</v>
      </c>
      <c r="K2220" s="27">
        <v>813</v>
      </c>
      <c r="L2220" s="27">
        <v>1450</v>
      </c>
      <c r="M2220" s="27">
        <v>1400</v>
      </c>
      <c r="N2220" s="27">
        <v>0</v>
      </c>
      <c r="O2220" s="27">
        <v>0</v>
      </c>
      <c r="P2220" s="27" t="s">
        <v>13</v>
      </c>
      <c r="Q2220" s="27">
        <v>1993</v>
      </c>
      <c r="R2220" s="27">
        <v>1</v>
      </c>
      <c r="S2220" s="27">
        <v>0</v>
      </c>
      <c r="T2220" s="27">
        <v>-1.21E-2</v>
      </c>
      <c r="U2220" s="27">
        <v>-0.1207</v>
      </c>
      <c r="V2220" s="27">
        <v>0</v>
      </c>
      <c r="W2220" s="27">
        <v>0</v>
      </c>
      <c r="X2220" s="27" t="s">
        <v>925</v>
      </c>
    </row>
    <row r="2221" spans="1:24">
      <c r="A2221" s="27">
        <v>8</v>
      </c>
      <c r="B2221" s="27">
        <v>1</v>
      </c>
      <c r="C2221" s="27">
        <v>4</v>
      </c>
      <c r="D2221" s="27">
        <v>2010</v>
      </c>
      <c r="E2221" s="27">
        <v>2013</v>
      </c>
      <c r="F2221" s="27">
        <v>5</v>
      </c>
      <c r="G2221" s="27">
        <v>0</v>
      </c>
      <c r="H2221" s="27">
        <v>0</v>
      </c>
      <c r="I2221" s="27">
        <v>0</v>
      </c>
      <c r="J2221" s="27">
        <v>0</v>
      </c>
      <c r="K2221" s="27">
        <v>813</v>
      </c>
      <c r="L2221" s="27">
        <v>1450</v>
      </c>
      <c r="M2221" s="27">
        <v>1400</v>
      </c>
      <c r="N2221" s="27">
        <v>0</v>
      </c>
      <c r="O2221" s="27">
        <v>0</v>
      </c>
      <c r="P2221" s="27" t="s">
        <v>13</v>
      </c>
      <c r="Q2221" s="27">
        <v>1993</v>
      </c>
      <c r="R2221" s="27">
        <v>1</v>
      </c>
      <c r="S2221" s="27">
        <v>0</v>
      </c>
      <c r="T2221" s="27">
        <v>-1.21E-2</v>
      </c>
      <c r="U2221" s="27">
        <v>-0.1207</v>
      </c>
      <c r="V2221" s="27">
        <v>0</v>
      </c>
      <c r="W2221" s="27">
        <v>0</v>
      </c>
      <c r="X2221" s="27" t="s">
        <v>925</v>
      </c>
    </row>
    <row r="2222" spans="1:24">
      <c r="A2222" s="27">
        <v>8</v>
      </c>
      <c r="B2222" s="27">
        <v>1</v>
      </c>
      <c r="C2222" s="27">
        <v>4</v>
      </c>
      <c r="D2222" s="27">
        <v>2010</v>
      </c>
      <c r="E2222" s="27">
        <v>2013</v>
      </c>
      <c r="F2222" s="27">
        <v>6</v>
      </c>
      <c r="G2222" s="27">
        <v>0</v>
      </c>
      <c r="H2222" s="27">
        <v>0</v>
      </c>
      <c r="I2222" s="27">
        <v>0</v>
      </c>
      <c r="J2222" s="27">
        <v>0</v>
      </c>
      <c r="K2222" s="27">
        <v>813</v>
      </c>
      <c r="L2222" s="27">
        <v>1450</v>
      </c>
      <c r="M2222" s="27">
        <v>1400</v>
      </c>
      <c r="N2222" s="27">
        <v>0</v>
      </c>
      <c r="O2222" s="27">
        <v>0</v>
      </c>
      <c r="P2222" s="27" t="s">
        <v>13</v>
      </c>
      <c r="Q2222" s="27">
        <v>1993</v>
      </c>
      <c r="R2222" s="27">
        <v>1</v>
      </c>
      <c r="S2222" s="27">
        <v>0</v>
      </c>
      <c r="T2222" s="27">
        <v>-1.21E-2</v>
      </c>
      <c r="U2222" s="27">
        <v>-0.1207</v>
      </c>
      <c r="V2222" s="27">
        <v>0</v>
      </c>
      <c r="W2222" s="27">
        <v>0</v>
      </c>
      <c r="X2222" s="27" t="s">
        <v>925</v>
      </c>
    </row>
    <row r="2223" spans="1:24">
      <c r="A2223" s="27">
        <v>8</v>
      </c>
      <c r="B2223" s="27">
        <v>1</v>
      </c>
      <c r="C2223" s="27">
        <v>4</v>
      </c>
      <c r="D2223" s="27">
        <v>2010</v>
      </c>
      <c r="E2223" s="27">
        <v>2013</v>
      </c>
      <c r="F2223" s="27">
        <v>7</v>
      </c>
      <c r="G2223" s="27">
        <v>0</v>
      </c>
      <c r="H2223" s="27">
        <v>0</v>
      </c>
      <c r="I2223" s="27">
        <v>0</v>
      </c>
      <c r="J2223" s="27">
        <v>0</v>
      </c>
      <c r="K2223" s="27">
        <v>813</v>
      </c>
      <c r="L2223" s="27">
        <v>1450</v>
      </c>
      <c r="M2223" s="27">
        <v>1400</v>
      </c>
      <c r="N2223" s="27">
        <v>0</v>
      </c>
      <c r="O2223" s="27">
        <v>0</v>
      </c>
      <c r="P2223" s="27" t="s">
        <v>13</v>
      </c>
      <c r="Q2223" s="27">
        <v>1993</v>
      </c>
      <c r="R2223" s="27">
        <v>1</v>
      </c>
      <c r="S2223" s="27">
        <v>0</v>
      </c>
      <c r="T2223" s="27">
        <v>-1.21E-2</v>
      </c>
      <c r="U2223" s="27">
        <v>-0.1207</v>
      </c>
      <c r="V2223" s="27">
        <v>0</v>
      </c>
      <c r="W2223" s="27">
        <v>0</v>
      </c>
      <c r="X2223" s="27" t="s">
        <v>925</v>
      </c>
    </row>
    <row r="2224" spans="1:24">
      <c r="A2224" s="27">
        <v>8</v>
      </c>
      <c r="B2224" s="27">
        <v>1</v>
      </c>
      <c r="C2224" s="27">
        <v>4</v>
      </c>
      <c r="D2224" s="27">
        <v>2010</v>
      </c>
      <c r="E2224" s="27">
        <v>2013</v>
      </c>
      <c r="F2224" s="27">
        <v>8</v>
      </c>
      <c r="G2224" s="27">
        <v>0</v>
      </c>
      <c r="H2224" s="27">
        <v>0</v>
      </c>
      <c r="I2224" s="27">
        <v>0</v>
      </c>
      <c r="J2224" s="27">
        <v>0</v>
      </c>
      <c r="K2224" s="27">
        <v>813</v>
      </c>
      <c r="L2224" s="27">
        <v>1450</v>
      </c>
      <c r="M2224" s="27">
        <v>1400</v>
      </c>
      <c r="N2224" s="27">
        <v>0</v>
      </c>
      <c r="O2224" s="27">
        <v>0</v>
      </c>
      <c r="P2224" s="27" t="s">
        <v>13</v>
      </c>
      <c r="Q2224" s="27">
        <v>1993</v>
      </c>
      <c r="R2224" s="27">
        <v>1</v>
      </c>
      <c r="S2224" s="27">
        <v>0</v>
      </c>
      <c r="T2224" s="27">
        <v>-1.21E-2</v>
      </c>
      <c r="U2224" s="27">
        <v>-0.1207</v>
      </c>
      <c r="V2224" s="27">
        <v>0</v>
      </c>
      <c r="W2224" s="27">
        <v>0</v>
      </c>
      <c r="X2224" s="27" t="s">
        <v>925</v>
      </c>
    </row>
    <row r="2225" spans="1:24">
      <c r="A2225" s="27">
        <v>8</v>
      </c>
      <c r="B2225" s="27">
        <v>1</v>
      </c>
      <c r="C2225" s="27">
        <v>4</v>
      </c>
      <c r="D2225" s="27">
        <v>2010</v>
      </c>
      <c r="E2225" s="27">
        <v>2013</v>
      </c>
      <c r="F2225" s="27">
        <v>9</v>
      </c>
      <c r="G2225" s="27">
        <v>0</v>
      </c>
      <c r="H2225" s="27">
        <v>0</v>
      </c>
      <c r="I2225" s="27">
        <v>0</v>
      </c>
      <c r="J2225" s="27">
        <v>0</v>
      </c>
      <c r="K2225" s="27">
        <v>813</v>
      </c>
      <c r="L2225" s="27">
        <v>1450</v>
      </c>
      <c r="M2225" s="27">
        <v>1400</v>
      </c>
      <c r="N2225" s="27">
        <v>0</v>
      </c>
      <c r="O2225" s="27">
        <v>0</v>
      </c>
      <c r="P2225" s="27" t="s">
        <v>13</v>
      </c>
      <c r="Q2225" s="27">
        <v>1993</v>
      </c>
      <c r="R2225" s="27">
        <v>1</v>
      </c>
      <c r="S2225" s="27">
        <v>0</v>
      </c>
      <c r="T2225" s="27">
        <v>-1.21E-2</v>
      </c>
      <c r="U2225" s="27">
        <v>-0.1207</v>
      </c>
      <c r="V2225" s="27">
        <v>0</v>
      </c>
      <c r="W2225" s="27">
        <v>0</v>
      </c>
      <c r="X2225" s="27" t="s">
        <v>925</v>
      </c>
    </row>
    <row r="2226" spans="1:24">
      <c r="A2226" s="27">
        <v>8</v>
      </c>
      <c r="B2226" s="27">
        <v>1</v>
      </c>
      <c r="C2226" s="27">
        <v>4</v>
      </c>
      <c r="D2226" s="27">
        <v>2014</v>
      </c>
      <c r="E2226" s="27">
        <v>2050</v>
      </c>
      <c r="F2226" s="27">
        <v>1</v>
      </c>
      <c r="G2226" s="27">
        <v>0</v>
      </c>
      <c r="H2226" s="27">
        <v>0</v>
      </c>
      <c r="I2226" s="27">
        <v>0</v>
      </c>
      <c r="J2226" s="27">
        <v>0</v>
      </c>
      <c r="K2226" s="27">
        <v>716</v>
      </c>
      <c r="L2226" s="27">
        <v>1650</v>
      </c>
      <c r="M2226" s="27">
        <v>1600</v>
      </c>
      <c r="N2226" s="27">
        <v>0</v>
      </c>
      <c r="O2226" s="27">
        <v>0</v>
      </c>
      <c r="P2226" s="27" t="s">
        <v>13</v>
      </c>
      <c r="Q2226" s="27">
        <v>1993</v>
      </c>
      <c r="R2226" s="27">
        <v>1</v>
      </c>
      <c r="S2226" s="27">
        <v>0</v>
      </c>
      <c r="T2226" s="27">
        <v>-1.21E-2</v>
      </c>
      <c r="U2226" s="27">
        <v>-0.1207</v>
      </c>
      <c r="V2226" s="27">
        <v>0</v>
      </c>
      <c r="W2226" s="27">
        <v>0</v>
      </c>
      <c r="X2226" s="27" t="s">
        <v>925</v>
      </c>
    </row>
    <row r="2227" spans="1:24">
      <c r="A2227" s="27">
        <v>8</v>
      </c>
      <c r="B2227" s="27">
        <v>1</v>
      </c>
      <c r="C2227" s="27">
        <v>4</v>
      </c>
      <c r="D2227" s="27">
        <v>2014</v>
      </c>
      <c r="E2227" s="27">
        <v>2050</v>
      </c>
      <c r="F2227" s="27">
        <v>2</v>
      </c>
      <c r="G2227" s="27">
        <v>0</v>
      </c>
      <c r="H2227" s="27">
        <v>0</v>
      </c>
      <c r="I2227" s="27">
        <v>0</v>
      </c>
      <c r="J2227" s="27">
        <v>0</v>
      </c>
      <c r="K2227" s="27">
        <v>716</v>
      </c>
      <c r="L2227" s="27">
        <v>1650</v>
      </c>
      <c r="M2227" s="27">
        <v>1600</v>
      </c>
      <c r="N2227" s="27">
        <v>0</v>
      </c>
      <c r="O2227" s="27">
        <v>0</v>
      </c>
      <c r="P2227" s="27" t="s">
        <v>13</v>
      </c>
      <c r="Q2227" s="27">
        <v>1993</v>
      </c>
      <c r="R2227" s="27">
        <v>1</v>
      </c>
      <c r="S2227" s="27">
        <v>0</v>
      </c>
      <c r="T2227" s="27">
        <v>-1.21E-2</v>
      </c>
      <c r="U2227" s="27">
        <v>-0.1207</v>
      </c>
      <c r="V2227" s="27">
        <v>0</v>
      </c>
      <c r="W2227" s="27">
        <v>0</v>
      </c>
      <c r="X2227" s="27" t="s">
        <v>925</v>
      </c>
    </row>
    <row r="2228" spans="1:24">
      <c r="A2228" s="27">
        <v>8</v>
      </c>
      <c r="B2228" s="27">
        <v>1</v>
      </c>
      <c r="C2228" s="27">
        <v>4</v>
      </c>
      <c r="D2228" s="27">
        <v>2014</v>
      </c>
      <c r="E2228" s="27">
        <v>2050</v>
      </c>
      <c r="F2228" s="27">
        <v>3</v>
      </c>
      <c r="G2228" s="27">
        <v>0</v>
      </c>
      <c r="H2228" s="27">
        <v>0</v>
      </c>
      <c r="I2228" s="27">
        <v>0</v>
      </c>
      <c r="J2228" s="27">
        <v>0</v>
      </c>
      <c r="K2228" s="27">
        <v>716</v>
      </c>
      <c r="L2228" s="27">
        <v>1650</v>
      </c>
      <c r="M2228" s="27">
        <v>1600</v>
      </c>
      <c r="N2228" s="27">
        <v>0</v>
      </c>
      <c r="O2228" s="27">
        <v>0</v>
      </c>
      <c r="P2228" s="27" t="s">
        <v>13</v>
      </c>
      <c r="Q2228" s="27">
        <v>1993</v>
      </c>
      <c r="R2228" s="27">
        <v>1</v>
      </c>
      <c r="S2228" s="27">
        <v>0</v>
      </c>
      <c r="T2228" s="27">
        <v>-1.21E-2</v>
      </c>
      <c r="U2228" s="27">
        <v>-0.1207</v>
      </c>
      <c r="V2228" s="27">
        <v>0</v>
      </c>
      <c r="W2228" s="27">
        <v>0</v>
      </c>
      <c r="X2228" s="27" t="s">
        <v>925</v>
      </c>
    </row>
    <row r="2229" spans="1:24">
      <c r="A2229" s="27">
        <v>8</v>
      </c>
      <c r="B2229" s="27">
        <v>1</v>
      </c>
      <c r="C2229" s="27">
        <v>4</v>
      </c>
      <c r="D2229" s="27">
        <v>2014</v>
      </c>
      <c r="E2229" s="27">
        <v>2050</v>
      </c>
      <c r="F2229" s="27">
        <v>4</v>
      </c>
      <c r="G2229" s="27">
        <v>0</v>
      </c>
      <c r="H2229" s="27">
        <v>0</v>
      </c>
      <c r="I2229" s="27">
        <v>0</v>
      </c>
      <c r="J2229" s="27">
        <v>0</v>
      </c>
      <c r="K2229" s="27">
        <v>716</v>
      </c>
      <c r="L2229" s="27">
        <v>1650</v>
      </c>
      <c r="M2229" s="27">
        <v>1600</v>
      </c>
      <c r="N2229" s="27">
        <v>0</v>
      </c>
      <c r="O2229" s="27">
        <v>0</v>
      </c>
      <c r="P2229" s="27" t="s">
        <v>13</v>
      </c>
      <c r="Q2229" s="27">
        <v>1993</v>
      </c>
      <c r="R2229" s="27">
        <v>1</v>
      </c>
      <c r="S2229" s="27">
        <v>0</v>
      </c>
      <c r="T2229" s="27">
        <v>-1.21E-2</v>
      </c>
      <c r="U2229" s="27">
        <v>-0.1207</v>
      </c>
      <c r="V2229" s="27">
        <v>0</v>
      </c>
      <c r="W2229" s="27">
        <v>0</v>
      </c>
      <c r="X2229" s="27" t="s">
        <v>925</v>
      </c>
    </row>
    <row r="2230" spans="1:24">
      <c r="A2230" s="27">
        <v>8</v>
      </c>
      <c r="B2230" s="27">
        <v>1</v>
      </c>
      <c r="C2230" s="27">
        <v>4</v>
      </c>
      <c r="D2230" s="27">
        <v>2014</v>
      </c>
      <c r="E2230" s="27">
        <v>2050</v>
      </c>
      <c r="F2230" s="27">
        <v>5</v>
      </c>
      <c r="G2230" s="27">
        <v>0</v>
      </c>
      <c r="H2230" s="27">
        <v>0</v>
      </c>
      <c r="I2230" s="27">
        <v>0</v>
      </c>
      <c r="J2230" s="27">
        <v>0</v>
      </c>
      <c r="K2230" s="27">
        <v>716</v>
      </c>
      <c r="L2230" s="27">
        <v>1650</v>
      </c>
      <c r="M2230" s="27">
        <v>1600</v>
      </c>
      <c r="N2230" s="27">
        <v>0</v>
      </c>
      <c r="O2230" s="27">
        <v>0</v>
      </c>
      <c r="P2230" s="27" t="s">
        <v>13</v>
      </c>
      <c r="Q2230" s="27">
        <v>1993</v>
      </c>
      <c r="R2230" s="27">
        <v>1</v>
      </c>
      <c r="S2230" s="27">
        <v>0</v>
      </c>
      <c r="T2230" s="27">
        <v>-1.21E-2</v>
      </c>
      <c r="U2230" s="27">
        <v>-0.1207</v>
      </c>
      <c r="V2230" s="27">
        <v>0</v>
      </c>
      <c r="W2230" s="27">
        <v>0</v>
      </c>
      <c r="X2230" s="27" t="s">
        <v>925</v>
      </c>
    </row>
    <row r="2231" spans="1:24">
      <c r="A2231" s="27">
        <v>8</v>
      </c>
      <c r="B2231" s="27">
        <v>1</v>
      </c>
      <c r="C2231" s="27">
        <v>4</v>
      </c>
      <c r="D2231" s="27">
        <v>2014</v>
      </c>
      <c r="E2231" s="27">
        <v>2050</v>
      </c>
      <c r="F2231" s="27">
        <v>6</v>
      </c>
      <c r="G2231" s="27">
        <v>0</v>
      </c>
      <c r="H2231" s="27">
        <v>0</v>
      </c>
      <c r="I2231" s="27">
        <v>0</v>
      </c>
      <c r="J2231" s="27">
        <v>0</v>
      </c>
      <c r="K2231" s="27">
        <v>716</v>
      </c>
      <c r="L2231" s="27">
        <v>1650</v>
      </c>
      <c r="M2231" s="27">
        <v>1600</v>
      </c>
      <c r="N2231" s="27">
        <v>0</v>
      </c>
      <c r="O2231" s="27">
        <v>0</v>
      </c>
      <c r="P2231" s="27" t="s">
        <v>13</v>
      </c>
      <c r="Q2231" s="27">
        <v>1993</v>
      </c>
      <c r="R2231" s="27">
        <v>1</v>
      </c>
      <c r="S2231" s="27">
        <v>0</v>
      </c>
      <c r="T2231" s="27">
        <v>-1.21E-2</v>
      </c>
      <c r="U2231" s="27">
        <v>-0.1207</v>
      </c>
      <c r="V2231" s="27">
        <v>0</v>
      </c>
      <c r="W2231" s="27">
        <v>0</v>
      </c>
      <c r="X2231" s="27" t="s">
        <v>925</v>
      </c>
    </row>
    <row r="2232" spans="1:24">
      <c r="A2232" s="27">
        <v>8</v>
      </c>
      <c r="B2232" s="27">
        <v>1</v>
      </c>
      <c r="C2232" s="27">
        <v>4</v>
      </c>
      <c r="D2232" s="27">
        <v>2014</v>
      </c>
      <c r="E2232" s="27">
        <v>2050</v>
      </c>
      <c r="F2232" s="27">
        <v>7</v>
      </c>
      <c r="G2232" s="27">
        <v>0</v>
      </c>
      <c r="H2232" s="27">
        <v>0</v>
      </c>
      <c r="I2232" s="27">
        <v>0</v>
      </c>
      <c r="J2232" s="27">
        <v>0</v>
      </c>
      <c r="K2232" s="27">
        <v>716</v>
      </c>
      <c r="L2232" s="27">
        <v>1650</v>
      </c>
      <c r="M2232" s="27">
        <v>1600</v>
      </c>
      <c r="N2232" s="27">
        <v>0</v>
      </c>
      <c r="O2232" s="27">
        <v>0</v>
      </c>
      <c r="P2232" s="27" t="s">
        <v>13</v>
      </c>
      <c r="Q2232" s="27">
        <v>1993</v>
      </c>
      <c r="R2232" s="27">
        <v>1</v>
      </c>
      <c r="S2232" s="27">
        <v>0</v>
      </c>
      <c r="T2232" s="27">
        <v>-1.21E-2</v>
      </c>
      <c r="U2232" s="27">
        <v>-0.1207</v>
      </c>
      <c r="V2232" s="27">
        <v>0</v>
      </c>
      <c r="W2232" s="27">
        <v>0</v>
      </c>
      <c r="X2232" s="27" t="s">
        <v>925</v>
      </c>
    </row>
    <row r="2233" spans="1:24">
      <c r="A2233" s="27">
        <v>8</v>
      </c>
      <c r="B2233" s="27">
        <v>1</v>
      </c>
      <c r="C2233" s="27">
        <v>4</v>
      </c>
      <c r="D2233" s="27">
        <v>2014</v>
      </c>
      <c r="E2233" s="27">
        <v>2050</v>
      </c>
      <c r="F2233" s="27">
        <v>8</v>
      </c>
      <c r="G2233" s="27">
        <v>0</v>
      </c>
      <c r="H2233" s="27">
        <v>0</v>
      </c>
      <c r="I2233" s="27">
        <v>0</v>
      </c>
      <c r="J2233" s="27">
        <v>0</v>
      </c>
      <c r="K2233" s="27">
        <v>716</v>
      </c>
      <c r="L2233" s="27">
        <v>1650</v>
      </c>
      <c r="M2233" s="27">
        <v>1600</v>
      </c>
      <c r="N2233" s="27">
        <v>0</v>
      </c>
      <c r="O2233" s="27">
        <v>0</v>
      </c>
      <c r="P2233" s="27" t="s">
        <v>13</v>
      </c>
      <c r="Q2233" s="27">
        <v>1993</v>
      </c>
      <c r="R2233" s="27">
        <v>1</v>
      </c>
      <c r="S2233" s="27">
        <v>0</v>
      </c>
      <c r="T2233" s="27">
        <v>-1.21E-2</v>
      </c>
      <c r="U2233" s="27">
        <v>-0.1207</v>
      </c>
      <c r="V2233" s="27">
        <v>0</v>
      </c>
      <c r="W2233" s="27">
        <v>0</v>
      </c>
      <c r="X2233" s="27" t="s">
        <v>925</v>
      </c>
    </row>
    <row r="2234" spans="1:24">
      <c r="A2234" s="27">
        <v>8</v>
      </c>
      <c r="B2234" s="27">
        <v>1</v>
      </c>
      <c r="C2234" s="27">
        <v>4</v>
      </c>
      <c r="D2234" s="27">
        <v>2014</v>
      </c>
      <c r="E2234" s="27">
        <v>2050</v>
      </c>
      <c r="F2234" s="27">
        <v>9</v>
      </c>
      <c r="G2234" s="27">
        <v>0</v>
      </c>
      <c r="H2234" s="27">
        <v>0</v>
      </c>
      <c r="I2234" s="27">
        <v>0</v>
      </c>
      <c r="J2234" s="27">
        <v>0</v>
      </c>
      <c r="K2234" s="27">
        <v>716</v>
      </c>
      <c r="L2234" s="27">
        <v>1650</v>
      </c>
      <c r="M2234" s="27">
        <v>1600</v>
      </c>
      <c r="N2234" s="27">
        <v>0</v>
      </c>
      <c r="O2234" s="27">
        <v>0</v>
      </c>
      <c r="P2234" s="27" t="s">
        <v>13</v>
      </c>
      <c r="Q2234" s="27">
        <v>1993</v>
      </c>
      <c r="R2234" s="27">
        <v>1</v>
      </c>
      <c r="S2234" s="27">
        <v>0</v>
      </c>
      <c r="T2234" s="27">
        <v>-1.21E-2</v>
      </c>
      <c r="U2234" s="27">
        <v>-0.1207</v>
      </c>
      <c r="V2234" s="27">
        <v>0</v>
      </c>
      <c r="W2234" s="27">
        <v>0</v>
      </c>
      <c r="X2234" s="27" t="s">
        <v>925</v>
      </c>
    </row>
    <row r="2235" spans="1:24">
      <c r="A2235" s="27">
        <v>8</v>
      </c>
      <c r="B2235" s="27">
        <v>1</v>
      </c>
      <c r="C2235" s="27">
        <v>5</v>
      </c>
      <c r="D2235" s="27">
        <v>2010</v>
      </c>
      <c r="E2235" s="27">
        <v>2013</v>
      </c>
      <c r="F2235" s="27">
        <v>1</v>
      </c>
      <c r="G2235" s="27">
        <v>0</v>
      </c>
      <c r="H2235" s="27">
        <v>0</v>
      </c>
      <c r="I2235" s="27">
        <v>0</v>
      </c>
      <c r="J2235" s="27">
        <v>0</v>
      </c>
      <c r="K2235" s="27">
        <v>716</v>
      </c>
      <c r="L2235" s="27">
        <v>1650</v>
      </c>
      <c r="M2235" s="27">
        <v>1600</v>
      </c>
      <c r="N2235" s="27">
        <v>0</v>
      </c>
      <c r="O2235" s="27">
        <v>0</v>
      </c>
      <c r="P2235" s="27" t="s">
        <v>13</v>
      </c>
      <c r="Q2235" s="27">
        <v>1993</v>
      </c>
      <c r="R2235" s="27">
        <v>1</v>
      </c>
      <c r="S2235" s="27">
        <v>0</v>
      </c>
      <c r="T2235" s="27">
        <v>-1.21E-2</v>
      </c>
      <c r="U2235" s="27">
        <v>-0.1207</v>
      </c>
      <c r="V2235" s="27">
        <v>0</v>
      </c>
      <c r="W2235" s="27">
        <v>0</v>
      </c>
      <c r="X2235" s="27" t="s">
        <v>926</v>
      </c>
    </row>
    <row r="2236" spans="1:24">
      <c r="A2236" s="27">
        <v>8</v>
      </c>
      <c r="B2236" s="27">
        <v>1</v>
      </c>
      <c r="C2236" s="27">
        <v>5</v>
      </c>
      <c r="D2236" s="27">
        <v>2010</v>
      </c>
      <c r="E2236" s="27">
        <v>2013</v>
      </c>
      <c r="F2236" s="27">
        <v>2</v>
      </c>
      <c r="G2236" s="27">
        <v>0</v>
      </c>
      <c r="H2236" s="27">
        <v>0</v>
      </c>
      <c r="I2236" s="27">
        <v>0</v>
      </c>
      <c r="J2236" s="27">
        <v>0</v>
      </c>
      <c r="K2236" s="27">
        <v>716</v>
      </c>
      <c r="L2236" s="27">
        <v>1650</v>
      </c>
      <c r="M2236" s="27">
        <v>1600</v>
      </c>
      <c r="N2236" s="27">
        <v>0</v>
      </c>
      <c r="O2236" s="27">
        <v>0</v>
      </c>
      <c r="P2236" s="27" t="s">
        <v>13</v>
      </c>
      <c r="Q2236" s="27">
        <v>1993</v>
      </c>
      <c r="R2236" s="27">
        <v>1</v>
      </c>
      <c r="S2236" s="27">
        <v>0</v>
      </c>
      <c r="T2236" s="27">
        <v>-1.21E-2</v>
      </c>
      <c r="U2236" s="27">
        <v>-0.1207</v>
      </c>
      <c r="V2236" s="27">
        <v>0</v>
      </c>
      <c r="W2236" s="27">
        <v>0</v>
      </c>
      <c r="X2236" s="27" t="s">
        <v>926</v>
      </c>
    </row>
    <row r="2237" spans="1:24">
      <c r="A2237" s="27">
        <v>8</v>
      </c>
      <c r="B2237" s="27">
        <v>1</v>
      </c>
      <c r="C2237" s="27">
        <v>5</v>
      </c>
      <c r="D2237" s="27">
        <v>2010</v>
      </c>
      <c r="E2237" s="27">
        <v>2013</v>
      </c>
      <c r="F2237" s="27">
        <v>3</v>
      </c>
      <c r="G2237" s="27">
        <v>0</v>
      </c>
      <c r="H2237" s="27">
        <v>0</v>
      </c>
      <c r="I2237" s="27">
        <v>0</v>
      </c>
      <c r="J2237" s="27">
        <v>0</v>
      </c>
      <c r="K2237" s="27">
        <v>716</v>
      </c>
      <c r="L2237" s="27">
        <v>1650</v>
      </c>
      <c r="M2237" s="27">
        <v>1600</v>
      </c>
      <c r="N2237" s="27">
        <v>0</v>
      </c>
      <c r="O2237" s="27">
        <v>0</v>
      </c>
      <c r="P2237" s="27" t="s">
        <v>13</v>
      </c>
      <c r="Q2237" s="27">
        <v>1993</v>
      </c>
      <c r="R2237" s="27">
        <v>1</v>
      </c>
      <c r="S2237" s="27">
        <v>0</v>
      </c>
      <c r="T2237" s="27">
        <v>-1.21E-2</v>
      </c>
      <c r="U2237" s="27">
        <v>-0.1207</v>
      </c>
      <c r="V2237" s="27">
        <v>0</v>
      </c>
      <c r="W2237" s="27">
        <v>0</v>
      </c>
      <c r="X2237" s="27" t="s">
        <v>926</v>
      </c>
    </row>
    <row r="2238" spans="1:24">
      <c r="A2238" s="27">
        <v>8</v>
      </c>
      <c r="B2238" s="27">
        <v>1</v>
      </c>
      <c r="C2238" s="27">
        <v>5</v>
      </c>
      <c r="D2238" s="27">
        <v>2010</v>
      </c>
      <c r="E2238" s="27">
        <v>2013</v>
      </c>
      <c r="F2238" s="27">
        <v>4</v>
      </c>
      <c r="G2238" s="27">
        <v>0</v>
      </c>
      <c r="H2238" s="27">
        <v>0</v>
      </c>
      <c r="I2238" s="27">
        <v>0</v>
      </c>
      <c r="J2238" s="27">
        <v>0</v>
      </c>
      <c r="K2238" s="27">
        <v>716</v>
      </c>
      <c r="L2238" s="27">
        <v>1650</v>
      </c>
      <c r="M2238" s="27">
        <v>1600</v>
      </c>
      <c r="N2238" s="27">
        <v>0</v>
      </c>
      <c r="O2238" s="27">
        <v>0</v>
      </c>
      <c r="P2238" s="27" t="s">
        <v>13</v>
      </c>
      <c r="Q2238" s="27">
        <v>1993</v>
      </c>
      <c r="R2238" s="27">
        <v>1</v>
      </c>
      <c r="S2238" s="27">
        <v>0</v>
      </c>
      <c r="T2238" s="27">
        <v>-1.21E-2</v>
      </c>
      <c r="U2238" s="27">
        <v>-0.1207</v>
      </c>
      <c r="V2238" s="27">
        <v>0</v>
      </c>
      <c r="W2238" s="27">
        <v>0</v>
      </c>
      <c r="X2238" s="27" t="s">
        <v>926</v>
      </c>
    </row>
    <row r="2239" spans="1:24">
      <c r="A2239" s="27">
        <v>8</v>
      </c>
      <c r="B2239" s="27">
        <v>1</v>
      </c>
      <c r="C2239" s="27">
        <v>5</v>
      </c>
      <c r="D2239" s="27">
        <v>2010</v>
      </c>
      <c r="E2239" s="27">
        <v>2013</v>
      </c>
      <c r="F2239" s="27">
        <v>5</v>
      </c>
      <c r="G2239" s="27">
        <v>0</v>
      </c>
      <c r="H2239" s="27">
        <v>0</v>
      </c>
      <c r="I2239" s="27">
        <v>0</v>
      </c>
      <c r="J2239" s="27">
        <v>0</v>
      </c>
      <c r="K2239" s="27">
        <v>716</v>
      </c>
      <c r="L2239" s="27">
        <v>1650</v>
      </c>
      <c r="M2239" s="27">
        <v>1600</v>
      </c>
      <c r="N2239" s="27">
        <v>0</v>
      </c>
      <c r="O2239" s="27">
        <v>0</v>
      </c>
      <c r="P2239" s="27" t="s">
        <v>13</v>
      </c>
      <c r="Q2239" s="27">
        <v>1993</v>
      </c>
      <c r="R2239" s="27">
        <v>1</v>
      </c>
      <c r="S2239" s="27">
        <v>0</v>
      </c>
      <c r="T2239" s="27">
        <v>-1.21E-2</v>
      </c>
      <c r="U2239" s="27">
        <v>-0.1207</v>
      </c>
      <c r="V2239" s="27">
        <v>0</v>
      </c>
      <c r="W2239" s="27">
        <v>0</v>
      </c>
      <c r="X2239" s="27" t="s">
        <v>926</v>
      </c>
    </row>
    <row r="2240" spans="1:24">
      <c r="A2240" s="27">
        <v>8</v>
      </c>
      <c r="B2240" s="27">
        <v>1</v>
      </c>
      <c r="C2240" s="27">
        <v>5</v>
      </c>
      <c r="D2240" s="27">
        <v>2010</v>
      </c>
      <c r="E2240" s="27">
        <v>2013</v>
      </c>
      <c r="F2240" s="27">
        <v>6</v>
      </c>
      <c r="G2240" s="27">
        <v>0</v>
      </c>
      <c r="H2240" s="27">
        <v>0</v>
      </c>
      <c r="I2240" s="27">
        <v>0</v>
      </c>
      <c r="J2240" s="27">
        <v>0</v>
      </c>
      <c r="K2240" s="27">
        <v>716</v>
      </c>
      <c r="L2240" s="27">
        <v>1650</v>
      </c>
      <c r="M2240" s="27">
        <v>1600</v>
      </c>
      <c r="N2240" s="27">
        <v>0</v>
      </c>
      <c r="O2240" s="27">
        <v>0</v>
      </c>
      <c r="P2240" s="27" t="s">
        <v>13</v>
      </c>
      <c r="Q2240" s="27">
        <v>1993</v>
      </c>
      <c r="R2240" s="27">
        <v>1</v>
      </c>
      <c r="S2240" s="27">
        <v>0</v>
      </c>
      <c r="T2240" s="27">
        <v>-1.21E-2</v>
      </c>
      <c r="U2240" s="27">
        <v>-0.1207</v>
      </c>
      <c r="V2240" s="27">
        <v>0</v>
      </c>
      <c r="W2240" s="27">
        <v>0</v>
      </c>
      <c r="X2240" s="27" t="s">
        <v>926</v>
      </c>
    </row>
    <row r="2241" spans="1:24">
      <c r="A2241" s="27">
        <v>8</v>
      </c>
      <c r="B2241" s="27">
        <v>1</v>
      </c>
      <c r="C2241" s="27">
        <v>5</v>
      </c>
      <c r="D2241" s="27">
        <v>2010</v>
      </c>
      <c r="E2241" s="27">
        <v>2013</v>
      </c>
      <c r="F2241" s="27">
        <v>7</v>
      </c>
      <c r="G2241" s="27">
        <v>0</v>
      </c>
      <c r="H2241" s="27">
        <v>0</v>
      </c>
      <c r="I2241" s="27">
        <v>0</v>
      </c>
      <c r="J2241" s="27">
        <v>0</v>
      </c>
      <c r="K2241" s="27">
        <v>716</v>
      </c>
      <c r="L2241" s="27">
        <v>1650</v>
      </c>
      <c r="M2241" s="27">
        <v>1600</v>
      </c>
      <c r="N2241" s="27">
        <v>0</v>
      </c>
      <c r="O2241" s="27">
        <v>0</v>
      </c>
      <c r="P2241" s="27" t="s">
        <v>13</v>
      </c>
      <c r="Q2241" s="27">
        <v>1993</v>
      </c>
      <c r="R2241" s="27">
        <v>1</v>
      </c>
      <c r="S2241" s="27">
        <v>0</v>
      </c>
      <c r="T2241" s="27">
        <v>-1.21E-2</v>
      </c>
      <c r="U2241" s="27">
        <v>-0.1207</v>
      </c>
      <c r="V2241" s="27">
        <v>0</v>
      </c>
      <c r="W2241" s="27">
        <v>0</v>
      </c>
      <c r="X2241" s="27" t="s">
        <v>926</v>
      </c>
    </row>
    <row r="2242" spans="1:24">
      <c r="A2242" s="27">
        <v>8</v>
      </c>
      <c r="B2242" s="27">
        <v>1</v>
      </c>
      <c r="C2242" s="27">
        <v>5</v>
      </c>
      <c r="D2242" s="27">
        <v>2010</v>
      </c>
      <c r="E2242" s="27">
        <v>2013</v>
      </c>
      <c r="F2242" s="27">
        <v>8</v>
      </c>
      <c r="G2242" s="27">
        <v>0</v>
      </c>
      <c r="H2242" s="27">
        <v>0</v>
      </c>
      <c r="I2242" s="27">
        <v>0</v>
      </c>
      <c r="J2242" s="27">
        <v>0</v>
      </c>
      <c r="K2242" s="27">
        <v>716</v>
      </c>
      <c r="L2242" s="27">
        <v>1650</v>
      </c>
      <c r="M2242" s="27">
        <v>1600</v>
      </c>
      <c r="N2242" s="27">
        <v>0</v>
      </c>
      <c r="O2242" s="27">
        <v>0</v>
      </c>
      <c r="P2242" s="27" t="s">
        <v>13</v>
      </c>
      <c r="Q2242" s="27">
        <v>1993</v>
      </c>
      <c r="R2242" s="27">
        <v>1</v>
      </c>
      <c r="S2242" s="27">
        <v>0</v>
      </c>
      <c r="T2242" s="27">
        <v>-1.21E-2</v>
      </c>
      <c r="U2242" s="27">
        <v>-0.1207</v>
      </c>
      <c r="V2242" s="27">
        <v>0</v>
      </c>
      <c r="W2242" s="27">
        <v>0</v>
      </c>
      <c r="X2242" s="27" t="s">
        <v>926</v>
      </c>
    </row>
    <row r="2243" spans="1:24">
      <c r="A2243" s="27">
        <v>8</v>
      </c>
      <c r="B2243" s="27">
        <v>1</v>
      </c>
      <c r="C2243" s="27">
        <v>5</v>
      </c>
      <c r="D2243" s="27">
        <v>2010</v>
      </c>
      <c r="E2243" s="27">
        <v>2013</v>
      </c>
      <c r="F2243" s="27">
        <v>9</v>
      </c>
      <c r="G2243" s="27">
        <v>0</v>
      </c>
      <c r="H2243" s="27">
        <v>0</v>
      </c>
      <c r="I2243" s="27">
        <v>0</v>
      </c>
      <c r="J2243" s="27">
        <v>0</v>
      </c>
      <c r="K2243" s="27">
        <v>716</v>
      </c>
      <c r="L2243" s="27">
        <v>1650</v>
      </c>
      <c r="M2243" s="27">
        <v>1600</v>
      </c>
      <c r="N2243" s="27">
        <v>0</v>
      </c>
      <c r="O2243" s="27">
        <v>0</v>
      </c>
      <c r="P2243" s="27" t="s">
        <v>13</v>
      </c>
      <c r="Q2243" s="27">
        <v>1993</v>
      </c>
      <c r="R2243" s="27">
        <v>1</v>
      </c>
      <c r="S2243" s="27">
        <v>0</v>
      </c>
      <c r="T2243" s="27">
        <v>-1.21E-2</v>
      </c>
      <c r="U2243" s="27">
        <v>-0.1207</v>
      </c>
      <c r="V2243" s="27">
        <v>0</v>
      </c>
      <c r="W2243" s="27">
        <v>0</v>
      </c>
      <c r="X2243" s="27" t="s">
        <v>926</v>
      </c>
    </row>
    <row r="2244" spans="1:24">
      <c r="A2244" s="27">
        <v>8</v>
      </c>
      <c r="B2244" s="27">
        <v>1</v>
      </c>
      <c r="C2244" s="27">
        <v>5</v>
      </c>
      <c r="D2244" s="27">
        <v>2014</v>
      </c>
      <c r="E2244" s="27">
        <v>2050</v>
      </c>
      <c r="F2244" s="27">
        <v>1</v>
      </c>
      <c r="G2244" s="27">
        <v>0</v>
      </c>
      <c r="H2244" s="27">
        <v>0</v>
      </c>
      <c r="I2244" s="27">
        <v>0</v>
      </c>
      <c r="J2244" s="27">
        <v>0</v>
      </c>
      <c r="K2244" s="27">
        <v>645</v>
      </c>
      <c r="L2244" s="27">
        <v>1725</v>
      </c>
      <c r="M2244" s="27">
        <v>1675</v>
      </c>
      <c r="N2244" s="27">
        <v>0</v>
      </c>
      <c r="O2244" s="27">
        <v>0</v>
      </c>
      <c r="P2244" s="27" t="s">
        <v>13</v>
      </c>
      <c r="Q2244" s="27">
        <v>1993</v>
      </c>
      <c r="R2244" s="27">
        <v>1</v>
      </c>
      <c r="S2244" s="27">
        <v>0</v>
      </c>
      <c r="T2244" s="27">
        <v>-1.21E-2</v>
      </c>
      <c r="U2244" s="27">
        <v>-0.1207</v>
      </c>
      <c r="V2244" s="27">
        <v>0</v>
      </c>
      <c r="W2244" s="27">
        <v>0</v>
      </c>
      <c r="X2244" s="27" t="s">
        <v>926</v>
      </c>
    </row>
    <row r="2245" spans="1:24">
      <c r="A2245" s="27">
        <v>8</v>
      </c>
      <c r="B2245" s="27">
        <v>1</v>
      </c>
      <c r="C2245" s="27">
        <v>5</v>
      </c>
      <c r="D2245" s="27">
        <v>2014</v>
      </c>
      <c r="E2245" s="27">
        <v>2050</v>
      </c>
      <c r="F2245" s="27">
        <v>2</v>
      </c>
      <c r="G2245" s="27">
        <v>0</v>
      </c>
      <c r="H2245" s="27">
        <v>0</v>
      </c>
      <c r="I2245" s="27">
        <v>0</v>
      </c>
      <c r="J2245" s="27">
        <v>0</v>
      </c>
      <c r="K2245" s="27">
        <v>645</v>
      </c>
      <c r="L2245" s="27">
        <v>1725</v>
      </c>
      <c r="M2245" s="27">
        <v>1675</v>
      </c>
      <c r="N2245" s="27">
        <v>0</v>
      </c>
      <c r="O2245" s="27">
        <v>0</v>
      </c>
      <c r="P2245" s="27" t="s">
        <v>13</v>
      </c>
      <c r="Q2245" s="27">
        <v>1993</v>
      </c>
      <c r="R2245" s="27">
        <v>1</v>
      </c>
      <c r="S2245" s="27">
        <v>0</v>
      </c>
      <c r="T2245" s="27">
        <v>-1.21E-2</v>
      </c>
      <c r="U2245" s="27">
        <v>-0.1207</v>
      </c>
      <c r="V2245" s="27">
        <v>0</v>
      </c>
      <c r="W2245" s="27">
        <v>0</v>
      </c>
      <c r="X2245" s="27" t="s">
        <v>926</v>
      </c>
    </row>
    <row r="2246" spans="1:24">
      <c r="A2246" s="27">
        <v>8</v>
      </c>
      <c r="B2246" s="27">
        <v>1</v>
      </c>
      <c r="C2246" s="27">
        <v>5</v>
      </c>
      <c r="D2246" s="27">
        <v>2014</v>
      </c>
      <c r="E2246" s="27">
        <v>2050</v>
      </c>
      <c r="F2246" s="27">
        <v>3</v>
      </c>
      <c r="G2246" s="27">
        <v>0</v>
      </c>
      <c r="H2246" s="27">
        <v>0</v>
      </c>
      <c r="I2246" s="27">
        <v>0</v>
      </c>
      <c r="J2246" s="27">
        <v>0</v>
      </c>
      <c r="K2246" s="27">
        <v>645</v>
      </c>
      <c r="L2246" s="27">
        <v>1725</v>
      </c>
      <c r="M2246" s="27">
        <v>1675</v>
      </c>
      <c r="N2246" s="27">
        <v>0</v>
      </c>
      <c r="O2246" s="27">
        <v>0</v>
      </c>
      <c r="P2246" s="27" t="s">
        <v>13</v>
      </c>
      <c r="Q2246" s="27">
        <v>1993</v>
      </c>
      <c r="R2246" s="27">
        <v>1</v>
      </c>
      <c r="S2246" s="27">
        <v>0</v>
      </c>
      <c r="T2246" s="27">
        <v>-1.21E-2</v>
      </c>
      <c r="U2246" s="27">
        <v>-0.1207</v>
      </c>
      <c r="V2246" s="27">
        <v>0</v>
      </c>
      <c r="W2246" s="27">
        <v>0</v>
      </c>
      <c r="X2246" s="27" t="s">
        <v>926</v>
      </c>
    </row>
    <row r="2247" spans="1:24">
      <c r="A2247" s="27">
        <v>8</v>
      </c>
      <c r="B2247" s="27">
        <v>1</v>
      </c>
      <c r="C2247" s="27">
        <v>5</v>
      </c>
      <c r="D2247" s="27">
        <v>2014</v>
      </c>
      <c r="E2247" s="27">
        <v>2050</v>
      </c>
      <c r="F2247" s="27">
        <v>4</v>
      </c>
      <c r="G2247" s="27">
        <v>0</v>
      </c>
      <c r="H2247" s="27">
        <v>0</v>
      </c>
      <c r="I2247" s="27">
        <v>0</v>
      </c>
      <c r="J2247" s="27">
        <v>0</v>
      </c>
      <c r="K2247" s="27">
        <v>645</v>
      </c>
      <c r="L2247" s="27">
        <v>1725</v>
      </c>
      <c r="M2247" s="27">
        <v>1675</v>
      </c>
      <c r="N2247" s="27">
        <v>0</v>
      </c>
      <c r="O2247" s="27">
        <v>0</v>
      </c>
      <c r="P2247" s="27" t="s">
        <v>13</v>
      </c>
      <c r="Q2247" s="27">
        <v>1993</v>
      </c>
      <c r="R2247" s="27">
        <v>1</v>
      </c>
      <c r="S2247" s="27">
        <v>0</v>
      </c>
      <c r="T2247" s="27">
        <v>-1.21E-2</v>
      </c>
      <c r="U2247" s="27">
        <v>-0.1207</v>
      </c>
      <c r="V2247" s="27">
        <v>0</v>
      </c>
      <c r="W2247" s="27">
        <v>0</v>
      </c>
      <c r="X2247" s="27" t="s">
        <v>926</v>
      </c>
    </row>
    <row r="2248" spans="1:24">
      <c r="A2248" s="27">
        <v>8</v>
      </c>
      <c r="B2248" s="27">
        <v>1</v>
      </c>
      <c r="C2248" s="27">
        <v>5</v>
      </c>
      <c r="D2248" s="27">
        <v>2014</v>
      </c>
      <c r="E2248" s="27">
        <v>2050</v>
      </c>
      <c r="F2248" s="27">
        <v>5</v>
      </c>
      <c r="G2248" s="27">
        <v>0</v>
      </c>
      <c r="H2248" s="27">
        <v>0</v>
      </c>
      <c r="I2248" s="27">
        <v>0</v>
      </c>
      <c r="J2248" s="27">
        <v>0</v>
      </c>
      <c r="K2248" s="27">
        <v>645</v>
      </c>
      <c r="L2248" s="27">
        <v>1725</v>
      </c>
      <c r="M2248" s="27">
        <v>1675</v>
      </c>
      <c r="N2248" s="27">
        <v>0</v>
      </c>
      <c r="O2248" s="27">
        <v>0</v>
      </c>
      <c r="P2248" s="27" t="s">
        <v>13</v>
      </c>
      <c r="Q2248" s="27">
        <v>1993</v>
      </c>
      <c r="R2248" s="27">
        <v>1</v>
      </c>
      <c r="S2248" s="27">
        <v>0</v>
      </c>
      <c r="T2248" s="27">
        <v>-1.21E-2</v>
      </c>
      <c r="U2248" s="27">
        <v>-0.1207</v>
      </c>
      <c r="V2248" s="27">
        <v>0</v>
      </c>
      <c r="W2248" s="27">
        <v>0</v>
      </c>
      <c r="X2248" s="27" t="s">
        <v>926</v>
      </c>
    </row>
    <row r="2249" spans="1:24">
      <c r="A2249" s="27">
        <v>8</v>
      </c>
      <c r="B2249" s="27">
        <v>1</v>
      </c>
      <c r="C2249" s="27">
        <v>5</v>
      </c>
      <c r="D2249" s="27">
        <v>2014</v>
      </c>
      <c r="E2249" s="27">
        <v>2050</v>
      </c>
      <c r="F2249" s="27">
        <v>6</v>
      </c>
      <c r="G2249" s="27">
        <v>0</v>
      </c>
      <c r="H2249" s="27">
        <v>0</v>
      </c>
      <c r="I2249" s="27">
        <v>0</v>
      </c>
      <c r="J2249" s="27">
        <v>0</v>
      </c>
      <c r="K2249" s="27">
        <v>645</v>
      </c>
      <c r="L2249" s="27">
        <v>1725</v>
      </c>
      <c r="M2249" s="27">
        <v>1675</v>
      </c>
      <c r="N2249" s="27">
        <v>0</v>
      </c>
      <c r="O2249" s="27">
        <v>0</v>
      </c>
      <c r="P2249" s="27" t="s">
        <v>13</v>
      </c>
      <c r="Q2249" s="27">
        <v>1993</v>
      </c>
      <c r="R2249" s="27">
        <v>1</v>
      </c>
      <c r="S2249" s="27">
        <v>0</v>
      </c>
      <c r="T2249" s="27">
        <v>-1.21E-2</v>
      </c>
      <c r="U2249" s="27">
        <v>-0.1207</v>
      </c>
      <c r="V2249" s="27">
        <v>0</v>
      </c>
      <c r="W2249" s="27">
        <v>0</v>
      </c>
      <c r="X2249" s="27" t="s">
        <v>926</v>
      </c>
    </row>
    <row r="2250" spans="1:24">
      <c r="A2250" s="27">
        <v>8</v>
      </c>
      <c r="B2250" s="27">
        <v>1</v>
      </c>
      <c r="C2250" s="27">
        <v>5</v>
      </c>
      <c r="D2250" s="27">
        <v>2014</v>
      </c>
      <c r="E2250" s="27">
        <v>2050</v>
      </c>
      <c r="F2250" s="27">
        <v>7</v>
      </c>
      <c r="G2250" s="27">
        <v>0</v>
      </c>
      <c r="H2250" s="27">
        <v>0</v>
      </c>
      <c r="I2250" s="27">
        <v>0</v>
      </c>
      <c r="J2250" s="27">
        <v>0</v>
      </c>
      <c r="K2250" s="27">
        <v>645</v>
      </c>
      <c r="L2250" s="27">
        <v>1725</v>
      </c>
      <c r="M2250" s="27">
        <v>1675</v>
      </c>
      <c r="N2250" s="27">
        <v>0</v>
      </c>
      <c r="O2250" s="27">
        <v>0</v>
      </c>
      <c r="P2250" s="27" t="s">
        <v>13</v>
      </c>
      <c r="Q2250" s="27">
        <v>1993</v>
      </c>
      <c r="R2250" s="27">
        <v>1</v>
      </c>
      <c r="S2250" s="27">
        <v>0</v>
      </c>
      <c r="T2250" s="27">
        <v>-1.21E-2</v>
      </c>
      <c r="U2250" s="27">
        <v>-0.1207</v>
      </c>
      <c r="V2250" s="27">
        <v>0</v>
      </c>
      <c r="W2250" s="27">
        <v>0</v>
      </c>
      <c r="X2250" s="27" t="s">
        <v>926</v>
      </c>
    </row>
    <row r="2251" spans="1:24">
      <c r="A2251" s="27">
        <v>8</v>
      </c>
      <c r="B2251" s="27">
        <v>1</v>
      </c>
      <c r="C2251" s="27">
        <v>5</v>
      </c>
      <c r="D2251" s="27">
        <v>2014</v>
      </c>
      <c r="E2251" s="27">
        <v>2050</v>
      </c>
      <c r="F2251" s="27">
        <v>8</v>
      </c>
      <c r="G2251" s="27">
        <v>0</v>
      </c>
      <c r="H2251" s="27">
        <v>0</v>
      </c>
      <c r="I2251" s="27">
        <v>0</v>
      </c>
      <c r="J2251" s="27">
        <v>0</v>
      </c>
      <c r="K2251" s="27">
        <v>645</v>
      </c>
      <c r="L2251" s="27">
        <v>1725</v>
      </c>
      <c r="M2251" s="27">
        <v>1675</v>
      </c>
      <c r="N2251" s="27">
        <v>0</v>
      </c>
      <c r="O2251" s="27">
        <v>0</v>
      </c>
      <c r="P2251" s="27" t="s">
        <v>13</v>
      </c>
      <c r="Q2251" s="27">
        <v>1993</v>
      </c>
      <c r="R2251" s="27">
        <v>1</v>
      </c>
      <c r="S2251" s="27">
        <v>0</v>
      </c>
      <c r="T2251" s="27">
        <v>-1.21E-2</v>
      </c>
      <c r="U2251" s="27">
        <v>-0.1207</v>
      </c>
      <c r="V2251" s="27">
        <v>0</v>
      </c>
      <c r="W2251" s="27">
        <v>0</v>
      </c>
      <c r="X2251" s="27" t="s">
        <v>926</v>
      </c>
    </row>
    <row r="2252" spans="1:24">
      <c r="A2252" s="27">
        <v>8</v>
      </c>
      <c r="B2252" s="27">
        <v>1</v>
      </c>
      <c r="C2252" s="27">
        <v>5</v>
      </c>
      <c r="D2252" s="27">
        <v>2014</v>
      </c>
      <c r="E2252" s="27">
        <v>2050</v>
      </c>
      <c r="F2252" s="27">
        <v>9</v>
      </c>
      <c r="G2252" s="27">
        <v>0</v>
      </c>
      <c r="H2252" s="27">
        <v>0</v>
      </c>
      <c r="I2252" s="27">
        <v>0</v>
      </c>
      <c r="J2252" s="27">
        <v>0</v>
      </c>
      <c r="K2252" s="27">
        <v>645</v>
      </c>
      <c r="L2252" s="27">
        <v>1725</v>
      </c>
      <c r="M2252" s="27">
        <v>1675</v>
      </c>
      <c r="N2252" s="27">
        <v>0</v>
      </c>
      <c r="O2252" s="27">
        <v>0</v>
      </c>
      <c r="P2252" s="27" t="s">
        <v>13</v>
      </c>
      <c r="Q2252" s="27">
        <v>1993</v>
      </c>
      <c r="R2252" s="27">
        <v>1</v>
      </c>
      <c r="S2252" s="27">
        <v>0</v>
      </c>
      <c r="T2252" s="27">
        <v>-1.21E-2</v>
      </c>
      <c r="U2252" s="27">
        <v>-0.1207</v>
      </c>
      <c r="V2252" s="27">
        <v>0</v>
      </c>
      <c r="W2252" s="27">
        <v>0</v>
      </c>
      <c r="X2252" s="27" t="s">
        <v>926</v>
      </c>
    </row>
    <row r="2253" spans="1:24">
      <c r="A2253" s="27">
        <v>8</v>
      </c>
      <c r="B2253" s="27">
        <v>1</v>
      </c>
      <c r="C2253" s="27">
        <v>6</v>
      </c>
      <c r="D2253" s="27">
        <v>2010</v>
      </c>
      <c r="E2253" s="27">
        <v>2013</v>
      </c>
      <c r="F2253" s="27">
        <v>1</v>
      </c>
      <c r="G2253" s="27">
        <v>0</v>
      </c>
      <c r="H2253" s="27">
        <v>0</v>
      </c>
      <c r="I2253" s="27">
        <v>0</v>
      </c>
      <c r="J2253" s="27">
        <v>0</v>
      </c>
      <c r="K2253" s="27">
        <v>680</v>
      </c>
      <c r="L2253" s="27">
        <v>1450</v>
      </c>
      <c r="M2253" s="27">
        <v>1400</v>
      </c>
      <c r="N2253" s="27">
        <v>0</v>
      </c>
      <c r="O2253" s="27">
        <v>0</v>
      </c>
      <c r="P2253" s="27" t="s">
        <v>13</v>
      </c>
      <c r="Q2253" s="27">
        <v>1993</v>
      </c>
      <c r="R2253" s="27">
        <v>1</v>
      </c>
      <c r="S2253" s="27">
        <v>0</v>
      </c>
      <c r="T2253" s="27">
        <v>-1.21E-2</v>
      </c>
      <c r="U2253" s="27">
        <v>-0.1207</v>
      </c>
      <c r="V2253" s="27">
        <v>0</v>
      </c>
      <c r="W2253" s="27">
        <v>0</v>
      </c>
      <c r="X2253" s="27" t="s">
        <v>927</v>
      </c>
    </row>
    <row r="2254" spans="1:24">
      <c r="A2254" s="27">
        <v>8</v>
      </c>
      <c r="B2254" s="27">
        <v>1</v>
      </c>
      <c r="C2254" s="27">
        <v>6</v>
      </c>
      <c r="D2254" s="27">
        <v>2010</v>
      </c>
      <c r="E2254" s="27">
        <v>2013</v>
      </c>
      <c r="F2254" s="27">
        <v>2</v>
      </c>
      <c r="G2254" s="27">
        <v>0</v>
      </c>
      <c r="H2254" s="27">
        <v>0</v>
      </c>
      <c r="I2254" s="27">
        <v>0</v>
      </c>
      <c r="J2254" s="27">
        <v>0</v>
      </c>
      <c r="K2254" s="27">
        <v>680</v>
      </c>
      <c r="L2254" s="27">
        <v>1450</v>
      </c>
      <c r="M2254" s="27">
        <v>1400</v>
      </c>
      <c r="N2254" s="27">
        <v>0</v>
      </c>
      <c r="O2254" s="27">
        <v>0</v>
      </c>
      <c r="P2254" s="27" t="s">
        <v>13</v>
      </c>
      <c r="Q2254" s="27">
        <v>1993</v>
      </c>
      <c r="R2254" s="27">
        <v>1</v>
      </c>
      <c r="S2254" s="27">
        <v>0</v>
      </c>
      <c r="T2254" s="27">
        <v>-1.21E-2</v>
      </c>
      <c r="U2254" s="27">
        <v>-0.1207</v>
      </c>
      <c r="V2254" s="27">
        <v>0</v>
      </c>
      <c r="W2254" s="27">
        <v>0</v>
      </c>
      <c r="X2254" s="27" t="s">
        <v>927</v>
      </c>
    </row>
    <row r="2255" spans="1:24">
      <c r="A2255" s="27">
        <v>8</v>
      </c>
      <c r="B2255" s="27">
        <v>1</v>
      </c>
      <c r="C2255" s="27">
        <v>6</v>
      </c>
      <c r="D2255" s="27">
        <v>2010</v>
      </c>
      <c r="E2255" s="27">
        <v>2013</v>
      </c>
      <c r="F2255" s="27">
        <v>3</v>
      </c>
      <c r="G2255" s="27">
        <v>0</v>
      </c>
      <c r="H2255" s="27">
        <v>0</v>
      </c>
      <c r="I2255" s="27">
        <v>0</v>
      </c>
      <c r="J2255" s="27">
        <v>0</v>
      </c>
      <c r="K2255" s="27">
        <v>680</v>
      </c>
      <c r="L2255" s="27">
        <v>1450</v>
      </c>
      <c r="M2255" s="27">
        <v>1400</v>
      </c>
      <c r="N2255" s="27">
        <v>0</v>
      </c>
      <c r="O2255" s="27">
        <v>0</v>
      </c>
      <c r="P2255" s="27" t="s">
        <v>13</v>
      </c>
      <c r="Q2255" s="27">
        <v>1993</v>
      </c>
      <c r="R2255" s="27">
        <v>1</v>
      </c>
      <c r="S2255" s="27">
        <v>0</v>
      </c>
      <c r="T2255" s="27">
        <v>-1.21E-2</v>
      </c>
      <c r="U2255" s="27">
        <v>-0.1207</v>
      </c>
      <c r="V2255" s="27">
        <v>0</v>
      </c>
      <c r="W2255" s="27">
        <v>0</v>
      </c>
      <c r="X2255" s="27" t="s">
        <v>927</v>
      </c>
    </row>
    <row r="2256" spans="1:24">
      <c r="A2256" s="27">
        <v>8</v>
      </c>
      <c r="B2256" s="27">
        <v>1</v>
      </c>
      <c r="C2256" s="27">
        <v>6</v>
      </c>
      <c r="D2256" s="27">
        <v>2010</v>
      </c>
      <c r="E2256" s="27">
        <v>2013</v>
      </c>
      <c r="F2256" s="27">
        <v>4</v>
      </c>
      <c r="G2256" s="27">
        <v>0</v>
      </c>
      <c r="H2256" s="27">
        <v>0</v>
      </c>
      <c r="I2256" s="27">
        <v>0</v>
      </c>
      <c r="J2256" s="27">
        <v>0</v>
      </c>
      <c r="K2256" s="27">
        <v>680</v>
      </c>
      <c r="L2256" s="27">
        <v>1450</v>
      </c>
      <c r="M2256" s="27">
        <v>1400</v>
      </c>
      <c r="N2256" s="27">
        <v>0</v>
      </c>
      <c r="O2256" s="27">
        <v>0</v>
      </c>
      <c r="P2256" s="27" t="s">
        <v>13</v>
      </c>
      <c r="Q2256" s="27">
        <v>1993</v>
      </c>
      <c r="R2256" s="27">
        <v>1</v>
      </c>
      <c r="S2256" s="27">
        <v>0</v>
      </c>
      <c r="T2256" s="27">
        <v>-1.21E-2</v>
      </c>
      <c r="U2256" s="27">
        <v>-0.1207</v>
      </c>
      <c r="V2256" s="27">
        <v>0</v>
      </c>
      <c r="W2256" s="27">
        <v>0</v>
      </c>
      <c r="X2256" s="27" t="s">
        <v>927</v>
      </c>
    </row>
    <row r="2257" spans="1:24">
      <c r="A2257" s="27">
        <v>8</v>
      </c>
      <c r="B2257" s="27">
        <v>1</v>
      </c>
      <c r="C2257" s="27">
        <v>6</v>
      </c>
      <c r="D2257" s="27">
        <v>2010</v>
      </c>
      <c r="E2257" s="27">
        <v>2013</v>
      </c>
      <c r="F2257" s="27">
        <v>5</v>
      </c>
      <c r="G2257" s="27">
        <v>0</v>
      </c>
      <c r="H2257" s="27">
        <v>0</v>
      </c>
      <c r="I2257" s="27">
        <v>0</v>
      </c>
      <c r="J2257" s="27">
        <v>0</v>
      </c>
      <c r="K2257" s="27">
        <v>680</v>
      </c>
      <c r="L2257" s="27">
        <v>1450</v>
      </c>
      <c r="M2257" s="27">
        <v>1400</v>
      </c>
      <c r="N2257" s="27">
        <v>0</v>
      </c>
      <c r="O2257" s="27">
        <v>0</v>
      </c>
      <c r="P2257" s="27" t="s">
        <v>13</v>
      </c>
      <c r="Q2257" s="27">
        <v>1993</v>
      </c>
      <c r="R2257" s="27">
        <v>1</v>
      </c>
      <c r="S2257" s="27">
        <v>0</v>
      </c>
      <c r="T2257" s="27">
        <v>-1.21E-2</v>
      </c>
      <c r="U2257" s="27">
        <v>-0.1207</v>
      </c>
      <c r="V2257" s="27">
        <v>0</v>
      </c>
      <c r="W2257" s="27">
        <v>0</v>
      </c>
      <c r="X2257" s="27" t="s">
        <v>927</v>
      </c>
    </row>
    <row r="2258" spans="1:24">
      <c r="A2258" s="27">
        <v>8</v>
      </c>
      <c r="B2258" s="27">
        <v>1</v>
      </c>
      <c r="C2258" s="27">
        <v>6</v>
      </c>
      <c r="D2258" s="27">
        <v>2010</v>
      </c>
      <c r="E2258" s="27">
        <v>2013</v>
      </c>
      <c r="F2258" s="27">
        <v>6</v>
      </c>
      <c r="G2258" s="27">
        <v>0</v>
      </c>
      <c r="H2258" s="27">
        <v>0</v>
      </c>
      <c r="I2258" s="27">
        <v>0</v>
      </c>
      <c r="J2258" s="27">
        <v>0</v>
      </c>
      <c r="K2258" s="27">
        <v>680</v>
      </c>
      <c r="L2258" s="27">
        <v>1450</v>
      </c>
      <c r="M2258" s="27">
        <v>1400</v>
      </c>
      <c r="N2258" s="27">
        <v>0</v>
      </c>
      <c r="O2258" s="27">
        <v>0</v>
      </c>
      <c r="P2258" s="27" t="s">
        <v>13</v>
      </c>
      <c r="Q2258" s="27">
        <v>1993</v>
      </c>
      <c r="R2258" s="27">
        <v>1</v>
      </c>
      <c r="S2258" s="27">
        <v>0</v>
      </c>
      <c r="T2258" s="27">
        <v>-1.21E-2</v>
      </c>
      <c r="U2258" s="27">
        <v>-0.1207</v>
      </c>
      <c r="V2258" s="27">
        <v>0</v>
      </c>
      <c r="W2258" s="27">
        <v>0</v>
      </c>
      <c r="X2258" s="27" t="s">
        <v>927</v>
      </c>
    </row>
    <row r="2259" spans="1:24">
      <c r="A2259" s="27">
        <v>8</v>
      </c>
      <c r="B2259" s="27">
        <v>1</v>
      </c>
      <c r="C2259" s="27">
        <v>6</v>
      </c>
      <c r="D2259" s="27">
        <v>2010</v>
      </c>
      <c r="E2259" s="27">
        <v>2013</v>
      </c>
      <c r="F2259" s="27">
        <v>7</v>
      </c>
      <c r="G2259" s="27">
        <v>0</v>
      </c>
      <c r="H2259" s="27">
        <v>0</v>
      </c>
      <c r="I2259" s="27">
        <v>0</v>
      </c>
      <c r="J2259" s="27">
        <v>0</v>
      </c>
      <c r="K2259" s="27">
        <v>680</v>
      </c>
      <c r="L2259" s="27">
        <v>1450</v>
      </c>
      <c r="M2259" s="27">
        <v>1400</v>
      </c>
      <c r="N2259" s="27">
        <v>0</v>
      </c>
      <c r="O2259" s="27">
        <v>0</v>
      </c>
      <c r="P2259" s="27" t="s">
        <v>13</v>
      </c>
      <c r="Q2259" s="27">
        <v>1993</v>
      </c>
      <c r="R2259" s="27">
        <v>1</v>
      </c>
      <c r="S2259" s="27">
        <v>0</v>
      </c>
      <c r="T2259" s="27">
        <v>-1.21E-2</v>
      </c>
      <c r="U2259" s="27">
        <v>-0.1207</v>
      </c>
      <c r="V2259" s="27">
        <v>0</v>
      </c>
      <c r="W2259" s="27">
        <v>0</v>
      </c>
      <c r="X2259" s="27" t="s">
        <v>927</v>
      </c>
    </row>
    <row r="2260" spans="1:24">
      <c r="A2260" s="27">
        <v>8</v>
      </c>
      <c r="B2260" s="27">
        <v>1</v>
      </c>
      <c r="C2260" s="27">
        <v>6</v>
      </c>
      <c r="D2260" s="27">
        <v>2010</v>
      </c>
      <c r="E2260" s="27">
        <v>2013</v>
      </c>
      <c r="F2260" s="27">
        <v>8</v>
      </c>
      <c r="G2260" s="27">
        <v>0</v>
      </c>
      <c r="H2260" s="27">
        <v>0</v>
      </c>
      <c r="I2260" s="27">
        <v>0</v>
      </c>
      <c r="J2260" s="27">
        <v>0</v>
      </c>
      <c r="K2260" s="27">
        <v>680</v>
      </c>
      <c r="L2260" s="27">
        <v>1450</v>
      </c>
      <c r="M2260" s="27">
        <v>1400</v>
      </c>
      <c r="N2260" s="27">
        <v>0</v>
      </c>
      <c r="O2260" s="27">
        <v>0</v>
      </c>
      <c r="P2260" s="27" t="s">
        <v>13</v>
      </c>
      <c r="Q2260" s="27">
        <v>1993</v>
      </c>
      <c r="R2260" s="27">
        <v>1</v>
      </c>
      <c r="S2260" s="27">
        <v>0</v>
      </c>
      <c r="T2260" s="27">
        <v>-1.21E-2</v>
      </c>
      <c r="U2260" s="27">
        <v>-0.1207</v>
      </c>
      <c r="V2260" s="27">
        <v>0</v>
      </c>
      <c r="W2260" s="27">
        <v>0</v>
      </c>
      <c r="X2260" s="27" t="s">
        <v>927</v>
      </c>
    </row>
    <row r="2261" spans="1:24">
      <c r="A2261" s="27">
        <v>8</v>
      </c>
      <c r="B2261" s="27">
        <v>1</v>
      </c>
      <c r="C2261" s="27">
        <v>6</v>
      </c>
      <c r="D2261" s="27">
        <v>2010</v>
      </c>
      <c r="E2261" s="27">
        <v>2013</v>
      </c>
      <c r="F2261" s="27">
        <v>9</v>
      </c>
      <c r="G2261" s="27">
        <v>0</v>
      </c>
      <c r="H2261" s="27">
        <v>0</v>
      </c>
      <c r="I2261" s="27">
        <v>0</v>
      </c>
      <c r="J2261" s="27">
        <v>0</v>
      </c>
      <c r="K2261" s="27">
        <v>680</v>
      </c>
      <c r="L2261" s="27">
        <v>1450</v>
      </c>
      <c r="M2261" s="27">
        <v>1400</v>
      </c>
      <c r="N2261" s="27">
        <v>0</v>
      </c>
      <c r="O2261" s="27">
        <v>0</v>
      </c>
      <c r="P2261" s="27" t="s">
        <v>13</v>
      </c>
      <c r="Q2261" s="27">
        <v>1993</v>
      </c>
      <c r="R2261" s="27">
        <v>1</v>
      </c>
      <c r="S2261" s="27">
        <v>0</v>
      </c>
      <c r="T2261" s="27">
        <v>-1.21E-2</v>
      </c>
      <c r="U2261" s="27">
        <v>-0.1207</v>
      </c>
      <c r="V2261" s="27">
        <v>0</v>
      </c>
      <c r="W2261" s="27">
        <v>0</v>
      </c>
      <c r="X2261" s="27" t="s">
        <v>927</v>
      </c>
    </row>
    <row r="2262" spans="1:24">
      <c r="A2262" s="27">
        <v>8</v>
      </c>
      <c r="B2262" s="27">
        <v>1</v>
      </c>
      <c r="C2262" s="27">
        <v>6</v>
      </c>
      <c r="D2262" s="27">
        <v>2014</v>
      </c>
      <c r="E2262" s="27">
        <v>2050</v>
      </c>
      <c r="F2262" s="27">
        <v>1</v>
      </c>
      <c r="G2262" s="27">
        <v>0</v>
      </c>
      <c r="H2262" s="27">
        <v>0</v>
      </c>
      <c r="I2262" s="27">
        <v>0</v>
      </c>
      <c r="J2262" s="27">
        <v>0</v>
      </c>
      <c r="K2262" s="27">
        <v>672</v>
      </c>
      <c r="L2262" s="27">
        <v>1850</v>
      </c>
      <c r="M2262" s="27">
        <v>1800</v>
      </c>
      <c r="N2262" s="27">
        <v>0</v>
      </c>
      <c r="O2262" s="27">
        <v>0</v>
      </c>
      <c r="P2262" s="27" t="s">
        <v>13</v>
      </c>
      <c r="Q2262" s="27">
        <v>1993</v>
      </c>
      <c r="R2262" s="27">
        <v>1</v>
      </c>
      <c r="S2262" s="27">
        <v>0</v>
      </c>
      <c r="T2262" s="27">
        <v>-1.21E-2</v>
      </c>
      <c r="U2262" s="27">
        <v>-0.1207</v>
      </c>
      <c r="V2262" s="27">
        <v>0</v>
      </c>
      <c r="W2262" s="27">
        <v>0</v>
      </c>
      <c r="X2262" s="27" t="s">
        <v>927</v>
      </c>
    </row>
    <row r="2263" spans="1:24">
      <c r="A2263" s="27">
        <v>8</v>
      </c>
      <c r="B2263" s="27">
        <v>1</v>
      </c>
      <c r="C2263" s="27">
        <v>6</v>
      </c>
      <c r="D2263" s="27">
        <v>2014</v>
      </c>
      <c r="E2263" s="27">
        <v>2050</v>
      </c>
      <c r="F2263" s="27">
        <v>2</v>
      </c>
      <c r="G2263" s="27">
        <v>0</v>
      </c>
      <c r="H2263" s="27">
        <v>0</v>
      </c>
      <c r="I2263" s="27">
        <v>0</v>
      </c>
      <c r="J2263" s="27">
        <v>0</v>
      </c>
      <c r="K2263" s="27">
        <v>672</v>
      </c>
      <c r="L2263" s="27">
        <v>1850</v>
      </c>
      <c r="M2263" s="27">
        <v>1800</v>
      </c>
      <c r="N2263" s="27">
        <v>0</v>
      </c>
      <c r="O2263" s="27">
        <v>0</v>
      </c>
      <c r="P2263" s="27" t="s">
        <v>13</v>
      </c>
      <c r="Q2263" s="27">
        <v>1993</v>
      </c>
      <c r="R2263" s="27">
        <v>1</v>
      </c>
      <c r="S2263" s="27">
        <v>0</v>
      </c>
      <c r="T2263" s="27">
        <v>-1.21E-2</v>
      </c>
      <c r="U2263" s="27">
        <v>-0.1207</v>
      </c>
      <c r="V2263" s="27">
        <v>0</v>
      </c>
      <c r="W2263" s="27">
        <v>0</v>
      </c>
      <c r="X2263" s="27" t="s">
        <v>927</v>
      </c>
    </row>
    <row r="2264" spans="1:24">
      <c r="A2264" s="27">
        <v>8</v>
      </c>
      <c r="B2264" s="27">
        <v>1</v>
      </c>
      <c r="C2264" s="27">
        <v>6</v>
      </c>
      <c r="D2264" s="27">
        <v>2014</v>
      </c>
      <c r="E2264" s="27">
        <v>2050</v>
      </c>
      <c r="F2264" s="27">
        <v>3</v>
      </c>
      <c r="G2264" s="27">
        <v>0</v>
      </c>
      <c r="H2264" s="27">
        <v>0</v>
      </c>
      <c r="I2264" s="27">
        <v>0</v>
      </c>
      <c r="J2264" s="27">
        <v>0</v>
      </c>
      <c r="K2264" s="27">
        <v>672</v>
      </c>
      <c r="L2264" s="27">
        <v>1850</v>
      </c>
      <c r="M2264" s="27">
        <v>1800</v>
      </c>
      <c r="N2264" s="27">
        <v>0</v>
      </c>
      <c r="O2264" s="27">
        <v>0</v>
      </c>
      <c r="P2264" s="27" t="s">
        <v>13</v>
      </c>
      <c r="Q2264" s="27">
        <v>1993</v>
      </c>
      <c r="R2264" s="27">
        <v>1</v>
      </c>
      <c r="S2264" s="27">
        <v>0</v>
      </c>
      <c r="T2264" s="27">
        <v>-1.21E-2</v>
      </c>
      <c r="U2264" s="27">
        <v>-0.1207</v>
      </c>
      <c r="V2264" s="27">
        <v>0</v>
      </c>
      <c r="W2264" s="27">
        <v>0</v>
      </c>
      <c r="X2264" s="27" t="s">
        <v>927</v>
      </c>
    </row>
    <row r="2265" spans="1:24">
      <c r="A2265" s="27">
        <v>8</v>
      </c>
      <c r="B2265" s="27">
        <v>1</v>
      </c>
      <c r="C2265" s="27">
        <v>6</v>
      </c>
      <c r="D2265" s="27">
        <v>2014</v>
      </c>
      <c r="E2265" s="27">
        <v>2050</v>
      </c>
      <c r="F2265" s="27">
        <v>4</v>
      </c>
      <c r="G2265" s="27">
        <v>0</v>
      </c>
      <c r="H2265" s="27">
        <v>0</v>
      </c>
      <c r="I2265" s="27">
        <v>0</v>
      </c>
      <c r="J2265" s="27">
        <v>0</v>
      </c>
      <c r="K2265" s="27">
        <v>672</v>
      </c>
      <c r="L2265" s="27">
        <v>1850</v>
      </c>
      <c r="M2265" s="27">
        <v>1800</v>
      </c>
      <c r="N2265" s="27">
        <v>0</v>
      </c>
      <c r="O2265" s="27">
        <v>0</v>
      </c>
      <c r="P2265" s="27" t="s">
        <v>13</v>
      </c>
      <c r="Q2265" s="27">
        <v>1993</v>
      </c>
      <c r="R2265" s="27">
        <v>1</v>
      </c>
      <c r="S2265" s="27">
        <v>0</v>
      </c>
      <c r="T2265" s="27">
        <v>-1.21E-2</v>
      </c>
      <c r="U2265" s="27">
        <v>-0.1207</v>
      </c>
      <c r="V2265" s="27">
        <v>0</v>
      </c>
      <c r="W2265" s="27">
        <v>0</v>
      </c>
      <c r="X2265" s="27" t="s">
        <v>927</v>
      </c>
    </row>
    <row r="2266" spans="1:24">
      <c r="A2266" s="27">
        <v>8</v>
      </c>
      <c r="B2266" s="27">
        <v>1</v>
      </c>
      <c r="C2266" s="27">
        <v>6</v>
      </c>
      <c r="D2266" s="27">
        <v>2014</v>
      </c>
      <c r="E2266" s="27">
        <v>2050</v>
      </c>
      <c r="F2266" s="27">
        <v>5</v>
      </c>
      <c r="G2266" s="27">
        <v>0</v>
      </c>
      <c r="H2266" s="27">
        <v>0</v>
      </c>
      <c r="I2266" s="27">
        <v>0</v>
      </c>
      <c r="J2266" s="27">
        <v>0</v>
      </c>
      <c r="K2266" s="27">
        <v>672</v>
      </c>
      <c r="L2266" s="27">
        <v>1850</v>
      </c>
      <c r="M2266" s="27">
        <v>1800</v>
      </c>
      <c r="N2266" s="27">
        <v>0</v>
      </c>
      <c r="O2266" s="27">
        <v>0</v>
      </c>
      <c r="P2266" s="27" t="s">
        <v>13</v>
      </c>
      <c r="Q2266" s="27">
        <v>1993</v>
      </c>
      <c r="R2266" s="27">
        <v>1</v>
      </c>
      <c r="S2266" s="27">
        <v>0</v>
      </c>
      <c r="T2266" s="27">
        <v>-1.21E-2</v>
      </c>
      <c r="U2266" s="27">
        <v>-0.1207</v>
      </c>
      <c r="V2266" s="27">
        <v>0</v>
      </c>
      <c r="W2266" s="27">
        <v>0</v>
      </c>
      <c r="X2266" s="27" t="s">
        <v>927</v>
      </c>
    </row>
    <row r="2267" spans="1:24">
      <c r="A2267" s="27">
        <v>8</v>
      </c>
      <c r="B2267" s="27">
        <v>1</v>
      </c>
      <c r="C2267" s="27">
        <v>6</v>
      </c>
      <c r="D2267" s="27">
        <v>2014</v>
      </c>
      <c r="E2267" s="27">
        <v>2050</v>
      </c>
      <c r="F2267" s="27">
        <v>6</v>
      </c>
      <c r="G2267" s="27">
        <v>0</v>
      </c>
      <c r="H2267" s="27">
        <v>0</v>
      </c>
      <c r="I2267" s="27">
        <v>0</v>
      </c>
      <c r="J2267" s="27">
        <v>0</v>
      </c>
      <c r="K2267" s="27">
        <v>672</v>
      </c>
      <c r="L2267" s="27">
        <v>1850</v>
      </c>
      <c r="M2267" s="27">
        <v>1800</v>
      </c>
      <c r="N2267" s="27">
        <v>0</v>
      </c>
      <c r="O2267" s="27">
        <v>0</v>
      </c>
      <c r="P2267" s="27" t="s">
        <v>13</v>
      </c>
      <c r="Q2267" s="27">
        <v>1993</v>
      </c>
      <c r="R2267" s="27">
        <v>1</v>
      </c>
      <c r="S2267" s="27">
        <v>0</v>
      </c>
      <c r="T2267" s="27">
        <v>-1.21E-2</v>
      </c>
      <c r="U2267" s="27">
        <v>-0.1207</v>
      </c>
      <c r="V2267" s="27">
        <v>0</v>
      </c>
      <c r="W2267" s="27">
        <v>0</v>
      </c>
      <c r="X2267" s="27" t="s">
        <v>927</v>
      </c>
    </row>
    <row r="2268" spans="1:24">
      <c r="A2268" s="27">
        <v>8</v>
      </c>
      <c r="B2268" s="27">
        <v>1</v>
      </c>
      <c r="C2268" s="27">
        <v>6</v>
      </c>
      <c r="D2268" s="27">
        <v>2014</v>
      </c>
      <c r="E2268" s="27">
        <v>2050</v>
      </c>
      <c r="F2268" s="27">
        <v>7</v>
      </c>
      <c r="G2268" s="27">
        <v>0</v>
      </c>
      <c r="H2268" s="27">
        <v>0</v>
      </c>
      <c r="I2268" s="27">
        <v>0</v>
      </c>
      <c r="J2268" s="27">
        <v>0</v>
      </c>
      <c r="K2268" s="27">
        <v>672</v>
      </c>
      <c r="L2268" s="27">
        <v>1850</v>
      </c>
      <c r="M2268" s="27">
        <v>1800</v>
      </c>
      <c r="N2268" s="27">
        <v>0</v>
      </c>
      <c r="O2268" s="27">
        <v>0</v>
      </c>
      <c r="P2268" s="27" t="s">
        <v>13</v>
      </c>
      <c r="Q2268" s="27">
        <v>1993</v>
      </c>
      <c r="R2268" s="27">
        <v>1</v>
      </c>
      <c r="S2268" s="27">
        <v>0</v>
      </c>
      <c r="T2268" s="27">
        <v>-1.21E-2</v>
      </c>
      <c r="U2268" s="27">
        <v>-0.1207</v>
      </c>
      <c r="V2268" s="27">
        <v>0</v>
      </c>
      <c r="W2268" s="27">
        <v>0</v>
      </c>
      <c r="X2268" s="27" t="s">
        <v>927</v>
      </c>
    </row>
    <row r="2269" spans="1:24">
      <c r="A2269" s="27">
        <v>8</v>
      </c>
      <c r="B2269" s="27">
        <v>1</v>
      </c>
      <c r="C2269" s="27">
        <v>6</v>
      </c>
      <c r="D2269" s="27">
        <v>2014</v>
      </c>
      <c r="E2269" s="27">
        <v>2050</v>
      </c>
      <c r="F2269" s="27">
        <v>8</v>
      </c>
      <c r="G2269" s="27">
        <v>0</v>
      </c>
      <c r="H2269" s="27">
        <v>0</v>
      </c>
      <c r="I2269" s="27">
        <v>0</v>
      </c>
      <c r="J2269" s="27">
        <v>0</v>
      </c>
      <c r="K2269" s="27">
        <v>672</v>
      </c>
      <c r="L2269" s="27">
        <v>1850</v>
      </c>
      <c r="M2269" s="27">
        <v>1800</v>
      </c>
      <c r="N2269" s="27">
        <v>0</v>
      </c>
      <c r="O2269" s="27">
        <v>0</v>
      </c>
      <c r="P2269" s="27" t="s">
        <v>13</v>
      </c>
      <c r="Q2269" s="27">
        <v>1993</v>
      </c>
      <c r="R2269" s="27">
        <v>1</v>
      </c>
      <c r="S2269" s="27">
        <v>0</v>
      </c>
      <c r="T2269" s="27">
        <v>-1.21E-2</v>
      </c>
      <c r="U2269" s="27">
        <v>-0.1207</v>
      </c>
      <c r="V2269" s="27">
        <v>0</v>
      </c>
      <c r="W2269" s="27">
        <v>0</v>
      </c>
      <c r="X2269" s="27" t="s">
        <v>927</v>
      </c>
    </row>
    <row r="2270" spans="1:24">
      <c r="A2270" s="27">
        <v>8</v>
      </c>
      <c r="B2270" s="27">
        <v>1</v>
      </c>
      <c r="C2270" s="27">
        <v>6</v>
      </c>
      <c r="D2270" s="27">
        <v>2014</v>
      </c>
      <c r="E2270" s="27">
        <v>2050</v>
      </c>
      <c r="F2270" s="27">
        <v>9</v>
      </c>
      <c r="G2270" s="27">
        <v>0</v>
      </c>
      <c r="H2270" s="27">
        <v>0</v>
      </c>
      <c r="I2270" s="27">
        <v>0</v>
      </c>
      <c r="J2270" s="27">
        <v>0</v>
      </c>
      <c r="K2270" s="27">
        <v>672</v>
      </c>
      <c r="L2270" s="27">
        <v>1850</v>
      </c>
      <c r="M2270" s="27">
        <v>1800</v>
      </c>
      <c r="N2270" s="27">
        <v>0</v>
      </c>
      <c r="O2270" s="27">
        <v>0</v>
      </c>
      <c r="P2270" s="27" t="s">
        <v>13</v>
      </c>
      <c r="Q2270" s="27">
        <v>1993</v>
      </c>
      <c r="R2270" s="27">
        <v>1</v>
      </c>
      <c r="S2270" s="27">
        <v>0</v>
      </c>
      <c r="T2270" s="27">
        <v>-1.21E-2</v>
      </c>
      <c r="U2270" s="27">
        <v>-0.1207</v>
      </c>
      <c r="V2270" s="27">
        <v>0</v>
      </c>
      <c r="W2270" s="27">
        <v>0</v>
      </c>
      <c r="X2270" s="27" t="s">
        <v>927</v>
      </c>
    </row>
    <row r="2271" spans="1:24">
      <c r="A2271" s="27">
        <v>8</v>
      </c>
      <c r="B2271" s="27">
        <v>1</v>
      </c>
      <c r="C2271" s="27">
        <v>7</v>
      </c>
      <c r="D2271" s="27">
        <v>2010</v>
      </c>
      <c r="E2271" s="27">
        <v>2013</v>
      </c>
      <c r="F2271" s="27">
        <v>1</v>
      </c>
      <c r="G2271" s="27">
        <v>0</v>
      </c>
      <c r="H2271" s="27">
        <v>0</v>
      </c>
      <c r="I2271" s="27">
        <v>0</v>
      </c>
      <c r="J2271" s="27">
        <v>0</v>
      </c>
      <c r="K2271" s="27">
        <v>672</v>
      </c>
      <c r="L2271" s="27">
        <v>1850</v>
      </c>
      <c r="M2271" s="27">
        <v>1800</v>
      </c>
      <c r="N2271" s="27">
        <v>0</v>
      </c>
      <c r="O2271" s="27">
        <v>0</v>
      </c>
      <c r="P2271" s="27" t="s">
        <v>13</v>
      </c>
      <c r="Q2271" s="27">
        <v>1993</v>
      </c>
      <c r="R2271" s="27">
        <v>1</v>
      </c>
      <c r="S2271" s="27">
        <v>0</v>
      </c>
      <c r="T2271" s="27">
        <v>-1.21E-2</v>
      </c>
      <c r="U2271" s="27">
        <v>-0.1207</v>
      </c>
      <c r="V2271" s="27">
        <v>0</v>
      </c>
      <c r="W2271" s="27">
        <v>0</v>
      </c>
      <c r="X2271" s="27" t="s">
        <v>928</v>
      </c>
    </row>
    <row r="2272" spans="1:24">
      <c r="A2272" s="27">
        <v>8</v>
      </c>
      <c r="B2272" s="27">
        <v>1</v>
      </c>
      <c r="C2272" s="27">
        <v>7</v>
      </c>
      <c r="D2272" s="27">
        <v>2010</v>
      </c>
      <c r="E2272" s="27">
        <v>2013</v>
      </c>
      <c r="F2272" s="27">
        <v>2</v>
      </c>
      <c r="G2272" s="27">
        <v>0</v>
      </c>
      <c r="H2272" s="27">
        <v>0</v>
      </c>
      <c r="I2272" s="27">
        <v>0</v>
      </c>
      <c r="J2272" s="27">
        <v>0</v>
      </c>
      <c r="K2272" s="27">
        <v>672</v>
      </c>
      <c r="L2272" s="27">
        <v>1850</v>
      </c>
      <c r="M2272" s="27">
        <v>1800</v>
      </c>
      <c r="N2272" s="27">
        <v>0</v>
      </c>
      <c r="O2272" s="27">
        <v>0</v>
      </c>
      <c r="P2272" s="27" t="s">
        <v>13</v>
      </c>
      <c r="Q2272" s="27">
        <v>1993</v>
      </c>
      <c r="R2272" s="27">
        <v>1</v>
      </c>
      <c r="S2272" s="27">
        <v>0</v>
      </c>
      <c r="T2272" s="27">
        <v>-1.21E-2</v>
      </c>
      <c r="U2272" s="27">
        <v>-0.1207</v>
      </c>
      <c r="V2272" s="27">
        <v>0</v>
      </c>
      <c r="W2272" s="27">
        <v>0</v>
      </c>
      <c r="X2272" s="27" t="s">
        <v>928</v>
      </c>
    </row>
    <row r="2273" spans="1:24">
      <c r="A2273" s="27">
        <v>8</v>
      </c>
      <c r="B2273" s="27">
        <v>1</v>
      </c>
      <c r="C2273" s="27">
        <v>7</v>
      </c>
      <c r="D2273" s="27">
        <v>2010</v>
      </c>
      <c r="E2273" s="27">
        <v>2013</v>
      </c>
      <c r="F2273" s="27">
        <v>3</v>
      </c>
      <c r="G2273" s="27">
        <v>0</v>
      </c>
      <c r="H2273" s="27">
        <v>0</v>
      </c>
      <c r="I2273" s="27">
        <v>0</v>
      </c>
      <c r="J2273" s="27">
        <v>0</v>
      </c>
      <c r="K2273" s="27">
        <v>672</v>
      </c>
      <c r="L2273" s="27">
        <v>1850</v>
      </c>
      <c r="M2273" s="27">
        <v>1800</v>
      </c>
      <c r="N2273" s="27">
        <v>0</v>
      </c>
      <c r="O2273" s="27">
        <v>0</v>
      </c>
      <c r="P2273" s="27" t="s">
        <v>13</v>
      </c>
      <c r="Q2273" s="27">
        <v>1993</v>
      </c>
      <c r="R2273" s="27">
        <v>1</v>
      </c>
      <c r="S2273" s="27">
        <v>0</v>
      </c>
      <c r="T2273" s="27">
        <v>-1.21E-2</v>
      </c>
      <c r="U2273" s="27">
        <v>-0.1207</v>
      </c>
      <c r="V2273" s="27">
        <v>0</v>
      </c>
      <c r="W2273" s="27">
        <v>0</v>
      </c>
      <c r="X2273" s="27" t="s">
        <v>928</v>
      </c>
    </row>
    <row r="2274" spans="1:24">
      <c r="A2274" s="27">
        <v>8</v>
      </c>
      <c r="B2274" s="27">
        <v>1</v>
      </c>
      <c r="C2274" s="27">
        <v>7</v>
      </c>
      <c r="D2274" s="27">
        <v>2010</v>
      </c>
      <c r="E2274" s="27">
        <v>2013</v>
      </c>
      <c r="F2274" s="27">
        <v>4</v>
      </c>
      <c r="G2274" s="27">
        <v>0</v>
      </c>
      <c r="H2274" s="27">
        <v>0</v>
      </c>
      <c r="I2274" s="27">
        <v>0</v>
      </c>
      <c r="J2274" s="27">
        <v>0</v>
      </c>
      <c r="K2274" s="27">
        <v>672</v>
      </c>
      <c r="L2274" s="27">
        <v>1850</v>
      </c>
      <c r="M2274" s="27">
        <v>1800</v>
      </c>
      <c r="N2274" s="27">
        <v>0</v>
      </c>
      <c r="O2274" s="27">
        <v>0</v>
      </c>
      <c r="P2274" s="27" t="s">
        <v>13</v>
      </c>
      <c r="Q2274" s="27">
        <v>1993</v>
      </c>
      <c r="R2274" s="27">
        <v>1</v>
      </c>
      <c r="S2274" s="27">
        <v>0</v>
      </c>
      <c r="T2274" s="27">
        <v>-1.21E-2</v>
      </c>
      <c r="U2274" s="27">
        <v>-0.1207</v>
      </c>
      <c r="V2274" s="27">
        <v>0</v>
      </c>
      <c r="W2274" s="27">
        <v>0</v>
      </c>
      <c r="X2274" s="27" t="s">
        <v>928</v>
      </c>
    </row>
    <row r="2275" spans="1:24">
      <c r="A2275" s="27">
        <v>8</v>
      </c>
      <c r="B2275" s="27">
        <v>1</v>
      </c>
      <c r="C2275" s="27">
        <v>7</v>
      </c>
      <c r="D2275" s="27">
        <v>2010</v>
      </c>
      <c r="E2275" s="27">
        <v>2013</v>
      </c>
      <c r="F2275" s="27">
        <v>5</v>
      </c>
      <c r="G2275" s="27">
        <v>0</v>
      </c>
      <c r="H2275" s="27">
        <v>0</v>
      </c>
      <c r="I2275" s="27">
        <v>0</v>
      </c>
      <c r="J2275" s="27">
        <v>0</v>
      </c>
      <c r="K2275" s="27">
        <v>672</v>
      </c>
      <c r="L2275" s="27">
        <v>1850</v>
      </c>
      <c r="M2275" s="27">
        <v>1800</v>
      </c>
      <c r="N2275" s="27">
        <v>0</v>
      </c>
      <c r="O2275" s="27">
        <v>0</v>
      </c>
      <c r="P2275" s="27" t="s">
        <v>13</v>
      </c>
      <c r="Q2275" s="27">
        <v>1993</v>
      </c>
      <c r="R2275" s="27">
        <v>1</v>
      </c>
      <c r="S2275" s="27">
        <v>0</v>
      </c>
      <c r="T2275" s="27">
        <v>-1.21E-2</v>
      </c>
      <c r="U2275" s="27">
        <v>-0.1207</v>
      </c>
      <c r="V2275" s="27">
        <v>0</v>
      </c>
      <c r="W2275" s="27">
        <v>0</v>
      </c>
      <c r="X2275" s="27" t="s">
        <v>928</v>
      </c>
    </row>
    <row r="2276" spans="1:24">
      <c r="A2276" s="27">
        <v>8</v>
      </c>
      <c r="B2276" s="27">
        <v>1</v>
      </c>
      <c r="C2276" s="27">
        <v>7</v>
      </c>
      <c r="D2276" s="27">
        <v>2010</v>
      </c>
      <c r="E2276" s="27">
        <v>2013</v>
      </c>
      <c r="F2276" s="27">
        <v>6</v>
      </c>
      <c r="G2276" s="27">
        <v>0</v>
      </c>
      <c r="H2276" s="27">
        <v>0</v>
      </c>
      <c r="I2276" s="27">
        <v>0</v>
      </c>
      <c r="J2276" s="27">
        <v>0</v>
      </c>
      <c r="K2276" s="27">
        <v>672</v>
      </c>
      <c r="L2276" s="27">
        <v>1850</v>
      </c>
      <c r="M2276" s="27">
        <v>1800</v>
      </c>
      <c r="N2276" s="27">
        <v>0</v>
      </c>
      <c r="O2276" s="27">
        <v>0</v>
      </c>
      <c r="P2276" s="27" t="s">
        <v>13</v>
      </c>
      <c r="Q2276" s="27">
        <v>1993</v>
      </c>
      <c r="R2276" s="27">
        <v>1</v>
      </c>
      <c r="S2276" s="27">
        <v>0</v>
      </c>
      <c r="T2276" s="27">
        <v>-1.21E-2</v>
      </c>
      <c r="U2276" s="27">
        <v>-0.1207</v>
      </c>
      <c r="V2276" s="27">
        <v>0</v>
      </c>
      <c r="W2276" s="27">
        <v>0</v>
      </c>
      <c r="X2276" s="27" t="s">
        <v>928</v>
      </c>
    </row>
    <row r="2277" spans="1:24">
      <c r="A2277" s="27">
        <v>8</v>
      </c>
      <c r="B2277" s="27">
        <v>1</v>
      </c>
      <c r="C2277" s="27">
        <v>7</v>
      </c>
      <c r="D2277" s="27">
        <v>2010</v>
      </c>
      <c r="E2277" s="27">
        <v>2013</v>
      </c>
      <c r="F2277" s="27">
        <v>7</v>
      </c>
      <c r="G2277" s="27">
        <v>0</v>
      </c>
      <c r="H2277" s="27">
        <v>0</v>
      </c>
      <c r="I2277" s="27">
        <v>0</v>
      </c>
      <c r="J2277" s="27">
        <v>0</v>
      </c>
      <c r="K2277" s="27">
        <v>672</v>
      </c>
      <c r="L2277" s="27">
        <v>1850</v>
      </c>
      <c r="M2277" s="27">
        <v>1800</v>
      </c>
      <c r="N2277" s="27">
        <v>0</v>
      </c>
      <c r="O2277" s="27">
        <v>0</v>
      </c>
      <c r="P2277" s="27" t="s">
        <v>13</v>
      </c>
      <c r="Q2277" s="27">
        <v>1993</v>
      </c>
      <c r="R2277" s="27">
        <v>1</v>
      </c>
      <c r="S2277" s="27">
        <v>0</v>
      </c>
      <c r="T2277" s="27">
        <v>-1.21E-2</v>
      </c>
      <c r="U2277" s="27">
        <v>-0.1207</v>
      </c>
      <c r="V2277" s="27">
        <v>0</v>
      </c>
      <c r="W2277" s="27">
        <v>0</v>
      </c>
      <c r="X2277" s="27" t="s">
        <v>928</v>
      </c>
    </row>
    <row r="2278" spans="1:24">
      <c r="A2278" s="27">
        <v>8</v>
      </c>
      <c r="B2278" s="27">
        <v>1</v>
      </c>
      <c r="C2278" s="27">
        <v>7</v>
      </c>
      <c r="D2278" s="27">
        <v>2010</v>
      </c>
      <c r="E2278" s="27">
        <v>2013</v>
      </c>
      <c r="F2278" s="27">
        <v>8</v>
      </c>
      <c r="G2278" s="27">
        <v>0</v>
      </c>
      <c r="H2278" s="27">
        <v>0</v>
      </c>
      <c r="I2278" s="27">
        <v>0</v>
      </c>
      <c r="J2278" s="27">
        <v>0</v>
      </c>
      <c r="K2278" s="27">
        <v>672</v>
      </c>
      <c r="L2278" s="27">
        <v>1850</v>
      </c>
      <c r="M2278" s="27">
        <v>1800</v>
      </c>
      <c r="N2278" s="27">
        <v>0</v>
      </c>
      <c r="O2278" s="27">
        <v>0</v>
      </c>
      <c r="P2278" s="27" t="s">
        <v>13</v>
      </c>
      <c r="Q2278" s="27">
        <v>1993</v>
      </c>
      <c r="R2278" s="27">
        <v>1</v>
      </c>
      <c r="S2278" s="27">
        <v>0</v>
      </c>
      <c r="T2278" s="27">
        <v>-1.21E-2</v>
      </c>
      <c r="U2278" s="27">
        <v>-0.1207</v>
      </c>
      <c r="V2278" s="27">
        <v>0</v>
      </c>
      <c r="W2278" s="27">
        <v>0</v>
      </c>
      <c r="X2278" s="27" t="s">
        <v>928</v>
      </c>
    </row>
    <row r="2279" spans="1:24">
      <c r="A2279" s="27">
        <v>8</v>
      </c>
      <c r="B2279" s="27">
        <v>1</v>
      </c>
      <c r="C2279" s="27">
        <v>7</v>
      </c>
      <c r="D2279" s="27">
        <v>2010</v>
      </c>
      <c r="E2279" s="27">
        <v>2013</v>
      </c>
      <c r="F2279" s="27">
        <v>9</v>
      </c>
      <c r="G2279" s="27">
        <v>0</v>
      </c>
      <c r="H2279" s="27">
        <v>0</v>
      </c>
      <c r="I2279" s="27">
        <v>0</v>
      </c>
      <c r="J2279" s="27">
        <v>0</v>
      </c>
      <c r="K2279" s="27">
        <v>672</v>
      </c>
      <c r="L2279" s="27">
        <v>1850</v>
      </c>
      <c r="M2279" s="27">
        <v>1800</v>
      </c>
      <c r="N2279" s="27">
        <v>0</v>
      </c>
      <c r="O2279" s="27">
        <v>0</v>
      </c>
      <c r="P2279" s="27" t="s">
        <v>13</v>
      </c>
      <c r="Q2279" s="27">
        <v>1993</v>
      </c>
      <c r="R2279" s="27">
        <v>1</v>
      </c>
      <c r="S2279" s="27">
        <v>0</v>
      </c>
      <c r="T2279" s="27">
        <v>-1.21E-2</v>
      </c>
      <c r="U2279" s="27">
        <v>-0.1207</v>
      </c>
      <c r="V2279" s="27">
        <v>0</v>
      </c>
      <c r="W2279" s="27">
        <v>0</v>
      </c>
      <c r="X2279" s="27" t="s">
        <v>928</v>
      </c>
    </row>
    <row r="2280" spans="1:24">
      <c r="A2280" s="27">
        <v>8</v>
      </c>
      <c r="B2280" s="27">
        <v>1</v>
      </c>
      <c r="C2280" s="27">
        <v>7</v>
      </c>
      <c r="D2280" s="27">
        <v>2014</v>
      </c>
      <c r="E2280" s="27">
        <v>2050</v>
      </c>
      <c r="F2280" s="27">
        <v>1</v>
      </c>
      <c r="G2280" s="27">
        <v>0</v>
      </c>
      <c r="H2280" s="27">
        <v>0</v>
      </c>
      <c r="I2280" s="27">
        <v>0</v>
      </c>
      <c r="J2280" s="27">
        <v>0</v>
      </c>
      <c r="K2280" s="27">
        <v>605</v>
      </c>
      <c r="L2280" s="27">
        <v>1925</v>
      </c>
      <c r="M2280" s="27">
        <v>1875</v>
      </c>
      <c r="N2280" s="27">
        <v>0</v>
      </c>
      <c r="O2280" s="27">
        <v>0</v>
      </c>
      <c r="P2280" s="27" t="s">
        <v>13</v>
      </c>
      <c r="Q2280" s="27">
        <v>1993</v>
      </c>
      <c r="R2280" s="27">
        <v>1</v>
      </c>
      <c r="S2280" s="27">
        <v>0</v>
      </c>
      <c r="T2280" s="27">
        <v>-1.21E-2</v>
      </c>
      <c r="U2280" s="27">
        <v>-0.1207</v>
      </c>
      <c r="V2280" s="27">
        <v>0</v>
      </c>
      <c r="W2280" s="27">
        <v>0</v>
      </c>
      <c r="X2280" s="27" t="s">
        <v>928</v>
      </c>
    </row>
    <row r="2281" spans="1:24">
      <c r="A2281" s="27">
        <v>8</v>
      </c>
      <c r="B2281" s="27">
        <v>1</v>
      </c>
      <c r="C2281" s="27">
        <v>7</v>
      </c>
      <c r="D2281" s="27">
        <v>2014</v>
      </c>
      <c r="E2281" s="27">
        <v>2050</v>
      </c>
      <c r="F2281" s="27">
        <v>2</v>
      </c>
      <c r="G2281" s="27">
        <v>0</v>
      </c>
      <c r="H2281" s="27">
        <v>0</v>
      </c>
      <c r="I2281" s="27">
        <v>0</v>
      </c>
      <c r="J2281" s="27">
        <v>0</v>
      </c>
      <c r="K2281" s="27">
        <v>605</v>
      </c>
      <c r="L2281" s="27">
        <v>1925</v>
      </c>
      <c r="M2281" s="27">
        <v>1875</v>
      </c>
      <c r="N2281" s="27">
        <v>0</v>
      </c>
      <c r="O2281" s="27">
        <v>0</v>
      </c>
      <c r="P2281" s="27" t="s">
        <v>13</v>
      </c>
      <c r="Q2281" s="27">
        <v>1993</v>
      </c>
      <c r="R2281" s="27">
        <v>1</v>
      </c>
      <c r="S2281" s="27">
        <v>0</v>
      </c>
      <c r="T2281" s="27">
        <v>-1.21E-2</v>
      </c>
      <c r="U2281" s="27">
        <v>-0.1207</v>
      </c>
      <c r="V2281" s="27">
        <v>0</v>
      </c>
      <c r="W2281" s="27">
        <v>0</v>
      </c>
      <c r="X2281" s="27" t="s">
        <v>928</v>
      </c>
    </row>
    <row r="2282" spans="1:24">
      <c r="A2282" s="27">
        <v>8</v>
      </c>
      <c r="B2282" s="27">
        <v>1</v>
      </c>
      <c r="C2282" s="27">
        <v>7</v>
      </c>
      <c r="D2282" s="27">
        <v>2014</v>
      </c>
      <c r="E2282" s="27">
        <v>2050</v>
      </c>
      <c r="F2282" s="27">
        <v>3</v>
      </c>
      <c r="G2282" s="27">
        <v>0</v>
      </c>
      <c r="H2282" s="27">
        <v>0</v>
      </c>
      <c r="I2282" s="27">
        <v>0</v>
      </c>
      <c r="J2282" s="27">
        <v>0</v>
      </c>
      <c r="K2282" s="27">
        <v>605</v>
      </c>
      <c r="L2282" s="27">
        <v>1925</v>
      </c>
      <c r="M2282" s="27">
        <v>1875</v>
      </c>
      <c r="N2282" s="27">
        <v>0</v>
      </c>
      <c r="O2282" s="27">
        <v>0</v>
      </c>
      <c r="P2282" s="27" t="s">
        <v>13</v>
      </c>
      <c r="Q2282" s="27">
        <v>1993</v>
      </c>
      <c r="R2282" s="27">
        <v>1</v>
      </c>
      <c r="S2282" s="27">
        <v>0</v>
      </c>
      <c r="T2282" s="27">
        <v>-1.21E-2</v>
      </c>
      <c r="U2282" s="27">
        <v>-0.1207</v>
      </c>
      <c r="V2282" s="27">
        <v>0</v>
      </c>
      <c r="W2282" s="27">
        <v>0</v>
      </c>
      <c r="X2282" s="27" t="s">
        <v>928</v>
      </c>
    </row>
    <row r="2283" spans="1:24">
      <c r="A2283" s="27">
        <v>8</v>
      </c>
      <c r="B2283" s="27">
        <v>1</v>
      </c>
      <c r="C2283" s="27">
        <v>7</v>
      </c>
      <c r="D2283" s="27">
        <v>2014</v>
      </c>
      <c r="E2283" s="27">
        <v>2050</v>
      </c>
      <c r="F2283" s="27">
        <v>4</v>
      </c>
      <c r="G2283" s="27">
        <v>0</v>
      </c>
      <c r="H2283" s="27">
        <v>0</v>
      </c>
      <c r="I2283" s="27">
        <v>0</v>
      </c>
      <c r="J2283" s="27">
        <v>0</v>
      </c>
      <c r="K2283" s="27">
        <v>605</v>
      </c>
      <c r="L2283" s="27">
        <v>1925</v>
      </c>
      <c r="M2283" s="27">
        <v>1875</v>
      </c>
      <c r="N2283" s="27">
        <v>0</v>
      </c>
      <c r="O2283" s="27">
        <v>0</v>
      </c>
      <c r="P2283" s="27" t="s">
        <v>13</v>
      </c>
      <c r="Q2283" s="27">
        <v>1993</v>
      </c>
      <c r="R2283" s="27">
        <v>1</v>
      </c>
      <c r="S2283" s="27">
        <v>0</v>
      </c>
      <c r="T2283" s="27">
        <v>-1.21E-2</v>
      </c>
      <c r="U2283" s="27">
        <v>-0.1207</v>
      </c>
      <c r="V2283" s="27">
        <v>0</v>
      </c>
      <c r="W2283" s="27">
        <v>0</v>
      </c>
      <c r="X2283" s="27" t="s">
        <v>928</v>
      </c>
    </row>
    <row r="2284" spans="1:24">
      <c r="A2284" s="27">
        <v>8</v>
      </c>
      <c r="B2284" s="27">
        <v>1</v>
      </c>
      <c r="C2284" s="27">
        <v>7</v>
      </c>
      <c r="D2284" s="27">
        <v>2014</v>
      </c>
      <c r="E2284" s="27">
        <v>2050</v>
      </c>
      <c r="F2284" s="27">
        <v>5</v>
      </c>
      <c r="G2284" s="27">
        <v>0</v>
      </c>
      <c r="H2284" s="27">
        <v>0</v>
      </c>
      <c r="I2284" s="27">
        <v>0</v>
      </c>
      <c r="J2284" s="27">
        <v>0</v>
      </c>
      <c r="K2284" s="27">
        <v>605</v>
      </c>
      <c r="L2284" s="27">
        <v>1925</v>
      </c>
      <c r="M2284" s="27">
        <v>1875</v>
      </c>
      <c r="N2284" s="27">
        <v>0</v>
      </c>
      <c r="O2284" s="27">
        <v>0</v>
      </c>
      <c r="P2284" s="27" t="s">
        <v>13</v>
      </c>
      <c r="Q2284" s="27">
        <v>1993</v>
      </c>
      <c r="R2284" s="27">
        <v>1</v>
      </c>
      <c r="S2284" s="27">
        <v>0</v>
      </c>
      <c r="T2284" s="27">
        <v>-1.21E-2</v>
      </c>
      <c r="U2284" s="27">
        <v>-0.1207</v>
      </c>
      <c r="V2284" s="27">
        <v>0</v>
      </c>
      <c r="W2284" s="27">
        <v>0</v>
      </c>
      <c r="X2284" s="27" t="s">
        <v>928</v>
      </c>
    </row>
    <row r="2285" spans="1:24">
      <c r="A2285" s="27">
        <v>8</v>
      </c>
      <c r="B2285" s="27">
        <v>1</v>
      </c>
      <c r="C2285" s="27">
        <v>7</v>
      </c>
      <c r="D2285" s="27">
        <v>2014</v>
      </c>
      <c r="E2285" s="27">
        <v>2050</v>
      </c>
      <c r="F2285" s="27">
        <v>6</v>
      </c>
      <c r="G2285" s="27">
        <v>0</v>
      </c>
      <c r="H2285" s="27">
        <v>0</v>
      </c>
      <c r="I2285" s="27">
        <v>0</v>
      </c>
      <c r="J2285" s="27">
        <v>0</v>
      </c>
      <c r="K2285" s="27">
        <v>605</v>
      </c>
      <c r="L2285" s="27">
        <v>1925</v>
      </c>
      <c r="M2285" s="27">
        <v>1875</v>
      </c>
      <c r="N2285" s="27">
        <v>0</v>
      </c>
      <c r="O2285" s="27">
        <v>0</v>
      </c>
      <c r="P2285" s="27" t="s">
        <v>13</v>
      </c>
      <c r="Q2285" s="27">
        <v>1993</v>
      </c>
      <c r="R2285" s="27">
        <v>1</v>
      </c>
      <c r="S2285" s="27">
        <v>0</v>
      </c>
      <c r="T2285" s="27">
        <v>-1.21E-2</v>
      </c>
      <c r="U2285" s="27">
        <v>-0.1207</v>
      </c>
      <c r="V2285" s="27">
        <v>0</v>
      </c>
      <c r="W2285" s="27">
        <v>0</v>
      </c>
      <c r="X2285" s="27" t="s">
        <v>928</v>
      </c>
    </row>
    <row r="2286" spans="1:24">
      <c r="A2286" s="27">
        <v>8</v>
      </c>
      <c r="B2286" s="27">
        <v>1</v>
      </c>
      <c r="C2286" s="27">
        <v>7</v>
      </c>
      <c r="D2286" s="27">
        <v>2014</v>
      </c>
      <c r="E2286" s="27">
        <v>2050</v>
      </c>
      <c r="F2286" s="27">
        <v>7</v>
      </c>
      <c r="G2286" s="27">
        <v>0</v>
      </c>
      <c r="H2286" s="27">
        <v>0</v>
      </c>
      <c r="I2286" s="27">
        <v>0</v>
      </c>
      <c r="J2286" s="27">
        <v>0</v>
      </c>
      <c r="K2286" s="27">
        <v>605</v>
      </c>
      <c r="L2286" s="27">
        <v>1925</v>
      </c>
      <c r="M2286" s="27">
        <v>1875</v>
      </c>
      <c r="N2286" s="27">
        <v>0</v>
      </c>
      <c r="O2286" s="27">
        <v>0</v>
      </c>
      <c r="P2286" s="27" t="s">
        <v>13</v>
      </c>
      <c r="Q2286" s="27">
        <v>1993</v>
      </c>
      <c r="R2286" s="27">
        <v>1</v>
      </c>
      <c r="S2286" s="27">
        <v>0</v>
      </c>
      <c r="T2286" s="27">
        <v>-1.21E-2</v>
      </c>
      <c r="U2286" s="27">
        <v>-0.1207</v>
      </c>
      <c r="V2286" s="27">
        <v>0</v>
      </c>
      <c r="W2286" s="27">
        <v>0</v>
      </c>
      <c r="X2286" s="27" t="s">
        <v>928</v>
      </c>
    </row>
    <row r="2287" spans="1:24">
      <c r="A2287" s="27">
        <v>8</v>
      </c>
      <c r="B2287" s="27">
        <v>1</v>
      </c>
      <c r="C2287" s="27">
        <v>7</v>
      </c>
      <c r="D2287" s="27">
        <v>2014</v>
      </c>
      <c r="E2287" s="27">
        <v>2050</v>
      </c>
      <c r="F2287" s="27">
        <v>8</v>
      </c>
      <c r="G2287" s="27">
        <v>0</v>
      </c>
      <c r="H2287" s="27">
        <v>0</v>
      </c>
      <c r="I2287" s="27">
        <v>0</v>
      </c>
      <c r="J2287" s="27">
        <v>0</v>
      </c>
      <c r="K2287" s="27">
        <v>605</v>
      </c>
      <c r="L2287" s="27">
        <v>1925</v>
      </c>
      <c r="M2287" s="27">
        <v>1875</v>
      </c>
      <c r="N2287" s="27">
        <v>0</v>
      </c>
      <c r="O2287" s="27">
        <v>0</v>
      </c>
      <c r="P2287" s="27" t="s">
        <v>13</v>
      </c>
      <c r="Q2287" s="27">
        <v>1993</v>
      </c>
      <c r="R2287" s="27">
        <v>1</v>
      </c>
      <c r="S2287" s="27">
        <v>0</v>
      </c>
      <c r="T2287" s="27">
        <v>-1.21E-2</v>
      </c>
      <c r="U2287" s="27">
        <v>-0.1207</v>
      </c>
      <c r="V2287" s="27">
        <v>0</v>
      </c>
      <c r="W2287" s="27">
        <v>0</v>
      </c>
      <c r="X2287" s="27" t="s">
        <v>928</v>
      </c>
    </row>
    <row r="2288" spans="1:24">
      <c r="A2288" s="27">
        <v>8</v>
      </c>
      <c r="B2288" s="27">
        <v>1</v>
      </c>
      <c r="C2288" s="27">
        <v>7</v>
      </c>
      <c r="D2288" s="27">
        <v>2014</v>
      </c>
      <c r="E2288" s="27">
        <v>2050</v>
      </c>
      <c r="F2288" s="27">
        <v>9</v>
      </c>
      <c r="G2288" s="27">
        <v>0</v>
      </c>
      <c r="H2288" s="27">
        <v>0</v>
      </c>
      <c r="I2288" s="27">
        <v>0</v>
      </c>
      <c r="J2288" s="27">
        <v>0</v>
      </c>
      <c r="K2288" s="27">
        <v>605</v>
      </c>
      <c r="L2288" s="27">
        <v>1925</v>
      </c>
      <c r="M2288" s="27">
        <v>1875</v>
      </c>
      <c r="N2288" s="27">
        <v>0</v>
      </c>
      <c r="O2288" s="27">
        <v>0</v>
      </c>
      <c r="P2288" s="27" t="s">
        <v>13</v>
      </c>
      <c r="Q2288" s="27">
        <v>1993</v>
      </c>
      <c r="R2288" s="27">
        <v>1</v>
      </c>
      <c r="S2288" s="27">
        <v>0</v>
      </c>
      <c r="T2288" s="27">
        <v>-1.21E-2</v>
      </c>
      <c r="U2288" s="27">
        <v>-0.1207</v>
      </c>
      <c r="V2288" s="27">
        <v>0</v>
      </c>
      <c r="W2288" s="27">
        <v>0</v>
      </c>
      <c r="X2288" s="27" t="s">
        <v>928</v>
      </c>
    </row>
    <row r="2289" spans="1:24">
      <c r="A2289" s="27">
        <v>9</v>
      </c>
      <c r="B2289" s="27">
        <v>1</v>
      </c>
      <c r="C2289" s="27">
        <v>1</v>
      </c>
      <c r="D2289" s="27">
        <v>2010</v>
      </c>
      <c r="E2289" s="27">
        <v>2013</v>
      </c>
      <c r="F2289" s="27">
        <v>1</v>
      </c>
      <c r="G2289" s="27">
        <v>0</v>
      </c>
      <c r="H2289" s="27">
        <v>0</v>
      </c>
      <c r="I2289" s="27">
        <v>0</v>
      </c>
      <c r="J2289" s="27">
        <v>0</v>
      </c>
      <c r="K2289" s="27">
        <v>397</v>
      </c>
      <c r="L2289" s="27">
        <v>450</v>
      </c>
      <c r="M2289" s="27">
        <v>400</v>
      </c>
      <c r="N2289" s="27">
        <v>0</v>
      </c>
      <c r="O2289" s="27">
        <v>0</v>
      </c>
      <c r="P2289" s="27" t="s">
        <v>13</v>
      </c>
      <c r="Q2289" s="27">
        <v>1993</v>
      </c>
      <c r="R2289" s="27">
        <v>1</v>
      </c>
      <c r="S2289" s="27">
        <v>0</v>
      </c>
      <c r="T2289" s="27">
        <v>-2.3990000000000001E-2</v>
      </c>
      <c r="U2289" s="27">
        <v>-6.5079999999999999E-2</v>
      </c>
      <c r="V2289" s="27">
        <v>0</v>
      </c>
      <c r="W2289" s="27">
        <v>0</v>
      </c>
      <c r="X2289" s="27" t="s">
        <v>929</v>
      </c>
    </row>
    <row r="2290" spans="1:24">
      <c r="A2290" s="27">
        <v>9</v>
      </c>
      <c r="B2290" s="27">
        <v>1</v>
      </c>
      <c r="C2290" s="27">
        <v>1</v>
      </c>
      <c r="D2290" s="27">
        <v>2010</v>
      </c>
      <c r="E2290" s="27">
        <v>2013</v>
      </c>
      <c r="F2290" s="27">
        <v>2</v>
      </c>
      <c r="G2290" s="27">
        <v>0</v>
      </c>
      <c r="H2290" s="27">
        <v>0</v>
      </c>
      <c r="I2290" s="27">
        <v>0</v>
      </c>
      <c r="J2290" s="27">
        <v>0</v>
      </c>
      <c r="K2290" s="27">
        <v>397</v>
      </c>
      <c r="L2290" s="27">
        <v>450</v>
      </c>
      <c r="M2290" s="27">
        <v>400</v>
      </c>
      <c r="N2290" s="27">
        <v>0</v>
      </c>
      <c r="O2290" s="27">
        <v>0</v>
      </c>
      <c r="P2290" s="27" t="s">
        <v>13</v>
      </c>
      <c r="Q2290" s="27">
        <v>1993</v>
      </c>
      <c r="R2290" s="27">
        <v>1</v>
      </c>
      <c r="S2290" s="27">
        <v>0</v>
      </c>
      <c r="T2290" s="27">
        <v>-2.3990000000000001E-2</v>
      </c>
      <c r="U2290" s="27">
        <v>-6.5079999999999999E-2</v>
      </c>
      <c r="V2290" s="27">
        <v>0</v>
      </c>
      <c r="W2290" s="27">
        <v>0</v>
      </c>
      <c r="X2290" s="27" t="s">
        <v>929</v>
      </c>
    </row>
    <row r="2291" spans="1:24">
      <c r="A2291" s="27">
        <v>9</v>
      </c>
      <c r="B2291" s="27">
        <v>1</v>
      </c>
      <c r="C2291" s="27">
        <v>1</v>
      </c>
      <c r="D2291" s="27">
        <v>2010</v>
      </c>
      <c r="E2291" s="27">
        <v>2013</v>
      </c>
      <c r="F2291" s="27">
        <v>3</v>
      </c>
      <c r="G2291" s="27">
        <v>0</v>
      </c>
      <c r="H2291" s="27">
        <v>0</v>
      </c>
      <c r="I2291" s="27">
        <v>0</v>
      </c>
      <c r="J2291" s="27">
        <v>0</v>
      </c>
      <c r="K2291" s="27">
        <v>397</v>
      </c>
      <c r="L2291" s="27">
        <v>450</v>
      </c>
      <c r="M2291" s="27">
        <v>400</v>
      </c>
      <c r="N2291" s="27">
        <v>0</v>
      </c>
      <c r="O2291" s="27">
        <v>0</v>
      </c>
      <c r="P2291" s="27" t="s">
        <v>13</v>
      </c>
      <c r="Q2291" s="27">
        <v>1993</v>
      </c>
      <c r="R2291" s="27">
        <v>1</v>
      </c>
      <c r="S2291" s="27">
        <v>0</v>
      </c>
      <c r="T2291" s="27">
        <v>-2.3990000000000001E-2</v>
      </c>
      <c r="U2291" s="27">
        <v>-6.5079999999999999E-2</v>
      </c>
      <c r="V2291" s="27">
        <v>0</v>
      </c>
      <c r="W2291" s="27">
        <v>0</v>
      </c>
      <c r="X2291" s="27" t="s">
        <v>929</v>
      </c>
    </row>
    <row r="2292" spans="1:24">
      <c r="A2292" s="27">
        <v>9</v>
      </c>
      <c r="B2292" s="27">
        <v>1</v>
      </c>
      <c r="C2292" s="27">
        <v>1</v>
      </c>
      <c r="D2292" s="27">
        <v>2010</v>
      </c>
      <c r="E2292" s="27">
        <v>2013</v>
      </c>
      <c r="F2292" s="27">
        <v>4</v>
      </c>
      <c r="G2292" s="27">
        <v>0</v>
      </c>
      <c r="H2292" s="27">
        <v>0</v>
      </c>
      <c r="I2292" s="27">
        <v>0</v>
      </c>
      <c r="J2292" s="27">
        <v>0</v>
      </c>
      <c r="K2292" s="27">
        <v>397</v>
      </c>
      <c r="L2292" s="27">
        <v>450</v>
      </c>
      <c r="M2292" s="27">
        <v>400</v>
      </c>
      <c r="N2292" s="27">
        <v>0</v>
      </c>
      <c r="O2292" s="27">
        <v>0</v>
      </c>
      <c r="P2292" s="27" t="s">
        <v>13</v>
      </c>
      <c r="Q2292" s="27">
        <v>1993</v>
      </c>
      <c r="R2292" s="27">
        <v>1</v>
      </c>
      <c r="S2292" s="27">
        <v>0</v>
      </c>
      <c r="T2292" s="27">
        <v>-2.3990000000000001E-2</v>
      </c>
      <c r="U2292" s="27">
        <v>-6.5079999999999999E-2</v>
      </c>
      <c r="V2292" s="27">
        <v>0</v>
      </c>
      <c r="W2292" s="27">
        <v>0</v>
      </c>
      <c r="X2292" s="27" t="s">
        <v>929</v>
      </c>
    </row>
    <row r="2293" spans="1:24">
      <c r="A2293" s="27">
        <v>9</v>
      </c>
      <c r="B2293" s="27">
        <v>1</v>
      </c>
      <c r="C2293" s="27">
        <v>1</v>
      </c>
      <c r="D2293" s="27">
        <v>2010</v>
      </c>
      <c r="E2293" s="27">
        <v>2013</v>
      </c>
      <c r="F2293" s="27">
        <v>5</v>
      </c>
      <c r="G2293" s="27">
        <v>0</v>
      </c>
      <c r="H2293" s="27">
        <v>0</v>
      </c>
      <c r="I2293" s="27">
        <v>0</v>
      </c>
      <c r="J2293" s="27">
        <v>0</v>
      </c>
      <c r="K2293" s="27">
        <v>397</v>
      </c>
      <c r="L2293" s="27">
        <v>450</v>
      </c>
      <c r="M2293" s="27">
        <v>400</v>
      </c>
      <c r="N2293" s="27">
        <v>0</v>
      </c>
      <c r="O2293" s="27">
        <v>0</v>
      </c>
      <c r="P2293" s="27" t="s">
        <v>13</v>
      </c>
      <c r="Q2293" s="27">
        <v>1993</v>
      </c>
      <c r="R2293" s="27">
        <v>1</v>
      </c>
      <c r="S2293" s="27">
        <v>0</v>
      </c>
      <c r="T2293" s="27">
        <v>-2.3990000000000001E-2</v>
      </c>
      <c r="U2293" s="27">
        <v>-6.5079999999999999E-2</v>
      </c>
      <c r="V2293" s="27">
        <v>0</v>
      </c>
      <c r="W2293" s="27">
        <v>0</v>
      </c>
      <c r="X2293" s="27" t="s">
        <v>929</v>
      </c>
    </row>
    <row r="2294" spans="1:24">
      <c r="A2294" s="27">
        <v>9</v>
      </c>
      <c r="B2294" s="27">
        <v>1</v>
      </c>
      <c r="C2294" s="27">
        <v>1</v>
      </c>
      <c r="D2294" s="27">
        <v>2010</v>
      </c>
      <c r="E2294" s="27">
        <v>2013</v>
      </c>
      <c r="F2294" s="27">
        <v>6</v>
      </c>
      <c r="G2294" s="27">
        <v>0</v>
      </c>
      <c r="H2294" s="27">
        <v>0</v>
      </c>
      <c r="I2294" s="27">
        <v>0</v>
      </c>
      <c r="J2294" s="27">
        <v>0</v>
      </c>
      <c r="K2294" s="27">
        <v>397</v>
      </c>
      <c r="L2294" s="27">
        <v>450</v>
      </c>
      <c r="M2294" s="27">
        <v>400</v>
      </c>
      <c r="N2294" s="27">
        <v>0</v>
      </c>
      <c r="O2294" s="27">
        <v>0</v>
      </c>
      <c r="P2294" s="27" t="s">
        <v>13</v>
      </c>
      <c r="Q2294" s="27">
        <v>1993</v>
      </c>
      <c r="R2294" s="27">
        <v>1</v>
      </c>
      <c r="S2294" s="27">
        <v>0</v>
      </c>
      <c r="T2294" s="27">
        <v>-2.3990000000000001E-2</v>
      </c>
      <c r="U2294" s="27">
        <v>-6.5079999999999999E-2</v>
      </c>
      <c r="V2294" s="27">
        <v>0</v>
      </c>
      <c r="W2294" s="27">
        <v>0</v>
      </c>
      <c r="X2294" s="27" t="s">
        <v>929</v>
      </c>
    </row>
    <row r="2295" spans="1:24">
      <c r="A2295" s="27">
        <v>9</v>
      </c>
      <c r="B2295" s="27">
        <v>1</v>
      </c>
      <c r="C2295" s="27">
        <v>1</v>
      </c>
      <c r="D2295" s="27">
        <v>2010</v>
      </c>
      <c r="E2295" s="27">
        <v>2013</v>
      </c>
      <c r="F2295" s="27">
        <v>7</v>
      </c>
      <c r="G2295" s="27">
        <v>0</v>
      </c>
      <c r="H2295" s="27">
        <v>0</v>
      </c>
      <c r="I2295" s="27">
        <v>0</v>
      </c>
      <c r="J2295" s="27">
        <v>0</v>
      </c>
      <c r="K2295" s="27">
        <v>397</v>
      </c>
      <c r="L2295" s="27">
        <v>450</v>
      </c>
      <c r="M2295" s="27">
        <v>400</v>
      </c>
      <c r="N2295" s="27">
        <v>0</v>
      </c>
      <c r="O2295" s="27">
        <v>0</v>
      </c>
      <c r="P2295" s="27" t="s">
        <v>13</v>
      </c>
      <c r="Q2295" s="27">
        <v>1993</v>
      </c>
      <c r="R2295" s="27">
        <v>1</v>
      </c>
      <c r="S2295" s="27">
        <v>0</v>
      </c>
      <c r="T2295" s="27">
        <v>-2.3990000000000001E-2</v>
      </c>
      <c r="U2295" s="27">
        <v>-6.5079999999999999E-2</v>
      </c>
      <c r="V2295" s="27">
        <v>0</v>
      </c>
      <c r="W2295" s="27">
        <v>0</v>
      </c>
      <c r="X2295" s="27" t="s">
        <v>929</v>
      </c>
    </row>
    <row r="2296" spans="1:24">
      <c r="A2296" s="27">
        <v>9</v>
      </c>
      <c r="B2296" s="27">
        <v>1</v>
      </c>
      <c r="C2296" s="27">
        <v>1</v>
      </c>
      <c r="D2296" s="27">
        <v>2010</v>
      </c>
      <c r="E2296" s="27">
        <v>2013</v>
      </c>
      <c r="F2296" s="27">
        <v>8</v>
      </c>
      <c r="G2296" s="27">
        <v>0</v>
      </c>
      <c r="H2296" s="27">
        <v>0</v>
      </c>
      <c r="I2296" s="27">
        <v>0</v>
      </c>
      <c r="J2296" s="27">
        <v>0</v>
      </c>
      <c r="K2296" s="27">
        <v>397</v>
      </c>
      <c r="L2296" s="27">
        <v>450</v>
      </c>
      <c r="M2296" s="27">
        <v>400</v>
      </c>
      <c r="N2296" s="27">
        <v>0</v>
      </c>
      <c r="O2296" s="27">
        <v>0</v>
      </c>
      <c r="P2296" s="27" t="s">
        <v>13</v>
      </c>
      <c r="Q2296" s="27">
        <v>1993</v>
      </c>
      <c r="R2296" s="27">
        <v>1</v>
      </c>
      <c r="S2296" s="27">
        <v>0</v>
      </c>
      <c r="T2296" s="27">
        <v>-2.3990000000000001E-2</v>
      </c>
      <c r="U2296" s="27">
        <v>-6.5079999999999999E-2</v>
      </c>
      <c r="V2296" s="27">
        <v>0</v>
      </c>
      <c r="W2296" s="27">
        <v>0</v>
      </c>
      <c r="X2296" s="27" t="s">
        <v>929</v>
      </c>
    </row>
    <row r="2297" spans="1:24">
      <c r="A2297" s="27">
        <v>9</v>
      </c>
      <c r="B2297" s="27">
        <v>1</v>
      </c>
      <c r="C2297" s="27">
        <v>1</v>
      </c>
      <c r="D2297" s="27">
        <v>2010</v>
      </c>
      <c r="E2297" s="27">
        <v>2013</v>
      </c>
      <c r="F2297" s="27">
        <v>9</v>
      </c>
      <c r="G2297" s="27">
        <v>0</v>
      </c>
      <c r="H2297" s="27">
        <v>0</v>
      </c>
      <c r="I2297" s="27">
        <v>0</v>
      </c>
      <c r="J2297" s="27">
        <v>0</v>
      </c>
      <c r="K2297" s="27">
        <v>397</v>
      </c>
      <c r="L2297" s="27">
        <v>450</v>
      </c>
      <c r="M2297" s="27">
        <v>400</v>
      </c>
      <c r="N2297" s="27">
        <v>0</v>
      </c>
      <c r="O2297" s="27">
        <v>0</v>
      </c>
      <c r="P2297" s="27" t="s">
        <v>13</v>
      </c>
      <c r="Q2297" s="27">
        <v>1993</v>
      </c>
      <c r="R2297" s="27">
        <v>1</v>
      </c>
      <c r="S2297" s="27">
        <v>0</v>
      </c>
      <c r="T2297" s="27">
        <v>-2.3990000000000001E-2</v>
      </c>
      <c r="U2297" s="27">
        <v>-6.5079999999999999E-2</v>
      </c>
      <c r="V2297" s="27">
        <v>0</v>
      </c>
      <c r="W2297" s="27">
        <v>0</v>
      </c>
      <c r="X2297" s="27" t="s">
        <v>929</v>
      </c>
    </row>
    <row r="2298" spans="1:24">
      <c r="A2298" s="27">
        <v>9</v>
      </c>
      <c r="B2298" s="27">
        <v>1</v>
      </c>
      <c r="C2298" s="27">
        <v>1</v>
      </c>
      <c r="D2298" s="27">
        <v>2014</v>
      </c>
      <c r="E2298" s="27">
        <v>2050</v>
      </c>
      <c r="F2298" s="27">
        <v>1</v>
      </c>
      <c r="G2298" s="27">
        <v>0</v>
      </c>
      <c r="H2298" s="27">
        <v>0</v>
      </c>
      <c r="I2298" s="27">
        <v>0</v>
      </c>
      <c r="J2298" s="27">
        <v>0</v>
      </c>
      <c r="K2298" s="27">
        <v>298</v>
      </c>
      <c r="L2298" s="27">
        <v>600</v>
      </c>
      <c r="M2298" s="27">
        <v>550</v>
      </c>
      <c r="N2298" s="27">
        <v>0</v>
      </c>
      <c r="O2298" s="27">
        <v>0</v>
      </c>
      <c r="P2298" s="27" t="s">
        <v>13</v>
      </c>
      <c r="Q2298" s="27">
        <v>1993</v>
      </c>
      <c r="R2298" s="27">
        <v>1</v>
      </c>
      <c r="S2298" s="27">
        <v>0</v>
      </c>
      <c r="T2298" s="27">
        <v>-2.3990000000000001E-2</v>
      </c>
      <c r="U2298" s="27">
        <v>-6.5079999999999999E-2</v>
      </c>
      <c r="V2298" s="27">
        <v>0</v>
      </c>
      <c r="W2298" s="27">
        <v>0</v>
      </c>
      <c r="X2298" s="27" t="s">
        <v>929</v>
      </c>
    </row>
    <row r="2299" spans="1:24">
      <c r="A2299" s="27">
        <v>9</v>
      </c>
      <c r="B2299" s="27">
        <v>1</v>
      </c>
      <c r="C2299" s="27">
        <v>1</v>
      </c>
      <c r="D2299" s="27">
        <v>2014</v>
      </c>
      <c r="E2299" s="27">
        <v>2050</v>
      </c>
      <c r="F2299" s="27">
        <v>2</v>
      </c>
      <c r="G2299" s="27">
        <v>0</v>
      </c>
      <c r="H2299" s="27">
        <v>0</v>
      </c>
      <c r="I2299" s="27">
        <v>0</v>
      </c>
      <c r="J2299" s="27">
        <v>0</v>
      </c>
      <c r="K2299" s="27">
        <v>298</v>
      </c>
      <c r="L2299" s="27">
        <v>600</v>
      </c>
      <c r="M2299" s="27">
        <v>550</v>
      </c>
      <c r="N2299" s="27">
        <v>0</v>
      </c>
      <c r="O2299" s="27">
        <v>0</v>
      </c>
      <c r="P2299" s="27" t="s">
        <v>13</v>
      </c>
      <c r="Q2299" s="27">
        <v>1993</v>
      </c>
      <c r="R2299" s="27">
        <v>1</v>
      </c>
      <c r="S2299" s="27">
        <v>0</v>
      </c>
      <c r="T2299" s="27">
        <v>-2.3990000000000001E-2</v>
      </c>
      <c r="U2299" s="27">
        <v>-6.5079999999999999E-2</v>
      </c>
      <c r="V2299" s="27">
        <v>0</v>
      </c>
      <c r="W2299" s="27">
        <v>0</v>
      </c>
      <c r="X2299" s="27" t="s">
        <v>929</v>
      </c>
    </row>
    <row r="2300" spans="1:24">
      <c r="A2300" s="27">
        <v>9</v>
      </c>
      <c r="B2300" s="27">
        <v>1</v>
      </c>
      <c r="C2300" s="27">
        <v>1</v>
      </c>
      <c r="D2300" s="27">
        <v>2014</v>
      </c>
      <c r="E2300" s="27">
        <v>2050</v>
      </c>
      <c r="F2300" s="27">
        <v>3</v>
      </c>
      <c r="G2300" s="27">
        <v>0</v>
      </c>
      <c r="H2300" s="27">
        <v>0</v>
      </c>
      <c r="I2300" s="27">
        <v>0</v>
      </c>
      <c r="J2300" s="27">
        <v>0</v>
      </c>
      <c r="K2300" s="27">
        <v>298</v>
      </c>
      <c r="L2300" s="27">
        <v>600</v>
      </c>
      <c r="M2300" s="27">
        <v>550</v>
      </c>
      <c r="N2300" s="27">
        <v>0</v>
      </c>
      <c r="O2300" s="27">
        <v>0</v>
      </c>
      <c r="P2300" s="27" t="s">
        <v>13</v>
      </c>
      <c r="Q2300" s="27">
        <v>1993</v>
      </c>
      <c r="R2300" s="27">
        <v>1</v>
      </c>
      <c r="S2300" s="27">
        <v>0</v>
      </c>
      <c r="T2300" s="27">
        <v>-2.3990000000000001E-2</v>
      </c>
      <c r="U2300" s="27">
        <v>-6.5079999999999999E-2</v>
      </c>
      <c r="V2300" s="27">
        <v>0</v>
      </c>
      <c r="W2300" s="27">
        <v>0</v>
      </c>
      <c r="X2300" s="27" t="s">
        <v>929</v>
      </c>
    </row>
    <row r="2301" spans="1:24">
      <c r="A2301" s="27">
        <v>9</v>
      </c>
      <c r="B2301" s="27">
        <v>1</v>
      </c>
      <c r="C2301" s="27">
        <v>1</v>
      </c>
      <c r="D2301" s="27">
        <v>2014</v>
      </c>
      <c r="E2301" s="27">
        <v>2050</v>
      </c>
      <c r="F2301" s="27">
        <v>4</v>
      </c>
      <c r="G2301" s="27">
        <v>0</v>
      </c>
      <c r="H2301" s="27">
        <v>0</v>
      </c>
      <c r="I2301" s="27">
        <v>0</v>
      </c>
      <c r="J2301" s="27">
        <v>0</v>
      </c>
      <c r="K2301" s="27">
        <v>298</v>
      </c>
      <c r="L2301" s="27">
        <v>600</v>
      </c>
      <c r="M2301" s="27">
        <v>550</v>
      </c>
      <c r="N2301" s="27">
        <v>0</v>
      </c>
      <c r="O2301" s="27">
        <v>0</v>
      </c>
      <c r="P2301" s="27" t="s">
        <v>13</v>
      </c>
      <c r="Q2301" s="27">
        <v>1993</v>
      </c>
      <c r="R2301" s="27">
        <v>1</v>
      </c>
      <c r="S2301" s="27">
        <v>0</v>
      </c>
      <c r="T2301" s="27">
        <v>-2.3990000000000001E-2</v>
      </c>
      <c r="U2301" s="27">
        <v>-6.5079999999999999E-2</v>
      </c>
      <c r="V2301" s="27">
        <v>0</v>
      </c>
      <c r="W2301" s="27">
        <v>0</v>
      </c>
      <c r="X2301" s="27" t="s">
        <v>929</v>
      </c>
    </row>
    <row r="2302" spans="1:24">
      <c r="A2302" s="27">
        <v>9</v>
      </c>
      <c r="B2302" s="27">
        <v>1</v>
      </c>
      <c r="C2302" s="27">
        <v>1</v>
      </c>
      <c r="D2302" s="27">
        <v>2014</v>
      </c>
      <c r="E2302" s="27">
        <v>2050</v>
      </c>
      <c r="F2302" s="27">
        <v>5</v>
      </c>
      <c r="G2302" s="27">
        <v>0</v>
      </c>
      <c r="H2302" s="27">
        <v>0</v>
      </c>
      <c r="I2302" s="27">
        <v>0</v>
      </c>
      <c r="J2302" s="27">
        <v>0</v>
      </c>
      <c r="K2302" s="27">
        <v>298</v>
      </c>
      <c r="L2302" s="27">
        <v>600</v>
      </c>
      <c r="M2302" s="27">
        <v>550</v>
      </c>
      <c r="N2302" s="27">
        <v>0</v>
      </c>
      <c r="O2302" s="27">
        <v>0</v>
      </c>
      <c r="P2302" s="27" t="s">
        <v>13</v>
      </c>
      <c r="Q2302" s="27">
        <v>1993</v>
      </c>
      <c r="R2302" s="27">
        <v>1</v>
      </c>
      <c r="S2302" s="27">
        <v>0</v>
      </c>
      <c r="T2302" s="27">
        <v>-2.3990000000000001E-2</v>
      </c>
      <c r="U2302" s="27">
        <v>-6.5079999999999999E-2</v>
      </c>
      <c r="V2302" s="27">
        <v>0</v>
      </c>
      <c r="W2302" s="27">
        <v>0</v>
      </c>
      <c r="X2302" s="27" t="s">
        <v>929</v>
      </c>
    </row>
    <row r="2303" spans="1:24">
      <c r="A2303" s="27">
        <v>9</v>
      </c>
      <c r="B2303" s="27">
        <v>1</v>
      </c>
      <c r="C2303" s="27">
        <v>1</v>
      </c>
      <c r="D2303" s="27">
        <v>2014</v>
      </c>
      <c r="E2303" s="27">
        <v>2050</v>
      </c>
      <c r="F2303" s="27">
        <v>6</v>
      </c>
      <c r="G2303" s="27">
        <v>0</v>
      </c>
      <c r="H2303" s="27">
        <v>0</v>
      </c>
      <c r="I2303" s="27">
        <v>0</v>
      </c>
      <c r="J2303" s="27">
        <v>0</v>
      </c>
      <c r="K2303" s="27">
        <v>298</v>
      </c>
      <c r="L2303" s="27">
        <v>600</v>
      </c>
      <c r="M2303" s="27">
        <v>550</v>
      </c>
      <c r="N2303" s="27">
        <v>0</v>
      </c>
      <c r="O2303" s="27">
        <v>0</v>
      </c>
      <c r="P2303" s="27" t="s">
        <v>13</v>
      </c>
      <c r="Q2303" s="27">
        <v>1993</v>
      </c>
      <c r="R2303" s="27">
        <v>1</v>
      </c>
      <c r="S2303" s="27">
        <v>0</v>
      </c>
      <c r="T2303" s="27">
        <v>-2.3990000000000001E-2</v>
      </c>
      <c r="U2303" s="27">
        <v>-6.5079999999999999E-2</v>
      </c>
      <c r="V2303" s="27">
        <v>0</v>
      </c>
      <c r="W2303" s="27">
        <v>0</v>
      </c>
      <c r="X2303" s="27" t="s">
        <v>929</v>
      </c>
    </row>
    <row r="2304" spans="1:24">
      <c r="A2304" s="27">
        <v>9</v>
      </c>
      <c r="B2304" s="27">
        <v>1</v>
      </c>
      <c r="C2304" s="27">
        <v>1</v>
      </c>
      <c r="D2304" s="27">
        <v>2014</v>
      </c>
      <c r="E2304" s="27">
        <v>2050</v>
      </c>
      <c r="F2304" s="27">
        <v>7</v>
      </c>
      <c r="G2304" s="27">
        <v>0</v>
      </c>
      <c r="H2304" s="27">
        <v>0</v>
      </c>
      <c r="I2304" s="27">
        <v>0</v>
      </c>
      <c r="J2304" s="27">
        <v>0</v>
      </c>
      <c r="K2304" s="27">
        <v>298</v>
      </c>
      <c r="L2304" s="27">
        <v>600</v>
      </c>
      <c r="M2304" s="27">
        <v>550</v>
      </c>
      <c r="N2304" s="27">
        <v>0</v>
      </c>
      <c r="O2304" s="27">
        <v>0</v>
      </c>
      <c r="P2304" s="27" t="s">
        <v>13</v>
      </c>
      <c r="Q2304" s="27">
        <v>1993</v>
      </c>
      <c r="R2304" s="27">
        <v>1</v>
      </c>
      <c r="S2304" s="27">
        <v>0</v>
      </c>
      <c r="T2304" s="27">
        <v>-2.3990000000000001E-2</v>
      </c>
      <c r="U2304" s="27">
        <v>-6.5079999999999999E-2</v>
      </c>
      <c r="V2304" s="27">
        <v>0</v>
      </c>
      <c r="W2304" s="27">
        <v>0</v>
      </c>
      <c r="X2304" s="27" t="s">
        <v>929</v>
      </c>
    </row>
    <row r="2305" spans="1:24">
      <c r="A2305" s="27">
        <v>9</v>
      </c>
      <c r="B2305" s="27">
        <v>1</v>
      </c>
      <c r="C2305" s="27">
        <v>1</v>
      </c>
      <c r="D2305" s="27">
        <v>2014</v>
      </c>
      <c r="E2305" s="27">
        <v>2050</v>
      </c>
      <c r="F2305" s="27">
        <v>8</v>
      </c>
      <c r="G2305" s="27">
        <v>0</v>
      </c>
      <c r="H2305" s="27">
        <v>0</v>
      </c>
      <c r="I2305" s="27">
        <v>0</v>
      </c>
      <c r="J2305" s="27">
        <v>0</v>
      </c>
      <c r="K2305" s="27">
        <v>298</v>
      </c>
      <c r="L2305" s="27">
        <v>600</v>
      </c>
      <c r="M2305" s="27">
        <v>550</v>
      </c>
      <c r="N2305" s="27">
        <v>0</v>
      </c>
      <c r="O2305" s="27">
        <v>0</v>
      </c>
      <c r="P2305" s="27" t="s">
        <v>13</v>
      </c>
      <c r="Q2305" s="27">
        <v>1993</v>
      </c>
      <c r="R2305" s="27">
        <v>1</v>
      </c>
      <c r="S2305" s="27">
        <v>0</v>
      </c>
      <c r="T2305" s="27">
        <v>-2.3990000000000001E-2</v>
      </c>
      <c r="U2305" s="27">
        <v>-6.5079999999999999E-2</v>
      </c>
      <c r="V2305" s="27">
        <v>0</v>
      </c>
      <c r="W2305" s="27">
        <v>0</v>
      </c>
      <c r="X2305" s="27" t="s">
        <v>929</v>
      </c>
    </row>
    <row r="2306" spans="1:24">
      <c r="A2306" s="27">
        <v>9</v>
      </c>
      <c r="B2306" s="27">
        <v>1</v>
      </c>
      <c r="C2306" s="27">
        <v>1</v>
      </c>
      <c r="D2306" s="27">
        <v>2014</v>
      </c>
      <c r="E2306" s="27">
        <v>2050</v>
      </c>
      <c r="F2306" s="27">
        <v>9</v>
      </c>
      <c r="G2306" s="27">
        <v>0</v>
      </c>
      <c r="H2306" s="27">
        <v>0</v>
      </c>
      <c r="I2306" s="27">
        <v>0</v>
      </c>
      <c r="J2306" s="27">
        <v>0</v>
      </c>
      <c r="K2306" s="27">
        <v>298</v>
      </c>
      <c r="L2306" s="27">
        <v>600</v>
      </c>
      <c r="M2306" s="27">
        <v>550</v>
      </c>
      <c r="N2306" s="27">
        <v>0</v>
      </c>
      <c r="O2306" s="27">
        <v>0</v>
      </c>
      <c r="P2306" s="27" t="s">
        <v>13</v>
      </c>
      <c r="Q2306" s="27">
        <v>1993</v>
      </c>
      <c r="R2306" s="27">
        <v>1</v>
      </c>
      <c r="S2306" s="27">
        <v>0</v>
      </c>
      <c r="T2306" s="27">
        <v>-2.3990000000000001E-2</v>
      </c>
      <c r="U2306" s="27">
        <v>-6.5079999999999999E-2</v>
      </c>
      <c r="V2306" s="27">
        <v>0</v>
      </c>
      <c r="W2306" s="27">
        <v>0</v>
      </c>
      <c r="X2306" s="27" t="s">
        <v>929</v>
      </c>
    </row>
    <row r="2307" spans="1:24">
      <c r="A2307" s="27">
        <v>9</v>
      </c>
      <c r="B2307" s="27">
        <v>1</v>
      </c>
      <c r="C2307" s="27">
        <v>2</v>
      </c>
      <c r="D2307" s="27">
        <v>2010</v>
      </c>
      <c r="E2307" s="27">
        <v>2013</v>
      </c>
      <c r="F2307" s="27">
        <v>1</v>
      </c>
      <c r="G2307" s="27">
        <v>0</v>
      </c>
      <c r="H2307" s="27">
        <v>0</v>
      </c>
      <c r="I2307" s="27">
        <v>0</v>
      </c>
      <c r="J2307" s="27">
        <v>0</v>
      </c>
      <c r="K2307" s="27">
        <v>298</v>
      </c>
      <c r="L2307" s="27">
        <v>600</v>
      </c>
      <c r="M2307" s="27">
        <v>550</v>
      </c>
      <c r="N2307" s="27">
        <v>0</v>
      </c>
      <c r="O2307" s="27">
        <v>0</v>
      </c>
      <c r="P2307" s="27" t="s">
        <v>13</v>
      </c>
      <c r="Q2307" s="27">
        <v>1993</v>
      </c>
      <c r="R2307" s="27">
        <v>1</v>
      </c>
      <c r="S2307" s="27">
        <v>0</v>
      </c>
      <c r="T2307" s="27">
        <v>-2.3990000000000001E-2</v>
      </c>
      <c r="U2307" s="27">
        <v>-6.5079999999999999E-2</v>
      </c>
      <c r="V2307" s="27">
        <v>0</v>
      </c>
      <c r="W2307" s="27">
        <v>0</v>
      </c>
      <c r="X2307" s="27" t="s">
        <v>930</v>
      </c>
    </row>
    <row r="2308" spans="1:24">
      <c r="A2308" s="27">
        <v>9</v>
      </c>
      <c r="B2308" s="27">
        <v>1</v>
      </c>
      <c r="C2308" s="27">
        <v>2</v>
      </c>
      <c r="D2308" s="27">
        <v>2010</v>
      </c>
      <c r="E2308" s="27">
        <v>2013</v>
      </c>
      <c r="F2308" s="27">
        <v>2</v>
      </c>
      <c r="G2308" s="27">
        <v>0</v>
      </c>
      <c r="H2308" s="27">
        <v>0</v>
      </c>
      <c r="I2308" s="27">
        <v>0</v>
      </c>
      <c r="J2308" s="27">
        <v>0</v>
      </c>
      <c r="K2308" s="27">
        <v>298</v>
      </c>
      <c r="L2308" s="27">
        <v>600</v>
      </c>
      <c r="M2308" s="27">
        <v>550</v>
      </c>
      <c r="N2308" s="27">
        <v>0</v>
      </c>
      <c r="O2308" s="27">
        <v>0</v>
      </c>
      <c r="P2308" s="27" t="s">
        <v>13</v>
      </c>
      <c r="Q2308" s="27">
        <v>1993</v>
      </c>
      <c r="R2308" s="27">
        <v>1</v>
      </c>
      <c r="S2308" s="27">
        <v>0</v>
      </c>
      <c r="T2308" s="27">
        <v>-2.3990000000000001E-2</v>
      </c>
      <c r="U2308" s="27">
        <v>-6.5079999999999999E-2</v>
      </c>
      <c r="V2308" s="27">
        <v>0</v>
      </c>
      <c r="W2308" s="27">
        <v>0</v>
      </c>
      <c r="X2308" s="27" t="s">
        <v>930</v>
      </c>
    </row>
    <row r="2309" spans="1:24">
      <c r="A2309" s="27">
        <v>9</v>
      </c>
      <c r="B2309" s="27">
        <v>1</v>
      </c>
      <c r="C2309" s="27">
        <v>2</v>
      </c>
      <c r="D2309" s="27">
        <v>2010</v>
      </c>
      <c r="E2309" s="27">
        <v>2013</v>
      </c>
      <c r="F2309" s="27">
        <v>3</v>
      </c>
      <c r="G2309" s="27">
        <v>0</v>
      </c>
      <c r="H2309" s="27">
        <v>0</v>
      </c>
      <c r="I2309" s="27">
        <v>0</v>
      </c>
      <c r="J2309" s="27">
        <v>0</v>
      </c>
      <c r="K2309" s="27">
        <v>298</v>
      </c>
      <c r="L2309" s="27">
        <v>600</v>
      </c>
      <c r="M2309" s="27">
        <v>550</v>
      </c>
      <c r="N2309" s="27">
        <v>0</v>
      </c>
      <c r="O2309" s="27">
        <v>0</v>
      </c>
      <c r="P2309" s="27" t="s">
        <v>13</v>
      </c>
      <c r="Q2309" s="27">
        <v>1993</v>
      </c>
      <c r="R2309" s="27">
        <v>1</v>
      </c>
      <c r="S2309" s="27">
        <v>0</v>
      </c>
      <c r="T2309" s="27">
        <v>-2.3990000000000001E-2</v>
      </c>
      <c r="U2309" s="27">
        <v>-6.5079999999999999E-2</v>
      </c>
      <c r="V2309" s="27">
        <v>0</v>
      </c>
      <c r="W2309" s="27">
        <v>0</v>
      </c>
      <c r="X2309" s="27" t="s">
        <v>930</v>
      </c>
    </row>
    <row r="2310" spans="1:24">
      <c r="A2310" s="27">
        <v>9</v>
      </c>
      <c r="B2310" s="27">
        <v>1</v>
      </c>
      <c r="C2310" s="27">
        <v>2</v>
      </c>
      <c r="D2310" s="27">
        <v>2010</v>
      </c>
      <c r="E2310" s="27">
        <v>2013</v>
      </c>
      <c r="F2310" s="27">
        <v>4</v>
      </c>
      <c r="G2310" s="27">
        <v>0</v>
      </c>
      <c r="H2310" s="27">
        <v>0</v>
      </c>
      <c r="I2310" s="27">
        <v>0</v>
      </c>
      <c r="J2310" s="27">
        <v>0</v>
      </c>
      <c r="K2310" s="27">
        <v>298</v>
      </c>
      <c r="L2310" s="27">
        <v>600</v>
      </c>
      <c r="M2310" s="27">
        <v>550</v>
      </c>
      <c r="N2310" s="27">
        <v>0</v>
      </c>
      <c r="O2310" s="27">
        <v>0</v>
      </c>
      <c r="P2310" s="27" t="s">
        <v>13</v>
      </c>
      <c r="Q2310" s="27">
        <v>1993</v>
      </c>
      <c r="R2310" s="27">
        <v>1</v>
      </c>
      <c r="S2310" s="27">
        <v>0</v>
      </c>
      <c r="T2310" s="27">
        <v>-2.3990000000000001E-2</v>
      </c>
      <c r="U2310" s="27">
        <v>-6.5079999999999999E-2</v>
      </c>
      <c r="V2310" s="27">
        <v>0</v>
      </c>
      <c r="W2310" s="27">
        <v>0</v>
      </c>
      <c r="X2310" s="27" t="s">
        <v>930</v>
      </c>
    </row>
    <row r="2311" spans="1:24">
      <c r="A2311" s="27">
        <v>9</v>
      </c>
      <c r="B2311" s="27">
        <v>1</v>
      </c>
      <c r="C2311" s="27">
        <v>2</v>
      </c>
      <c r="D2311" s="27">
        <v>2010</v>
      </c>
      <c r="E2311" s="27">
        <v>2013</v>
      </c>
      <c r="F2311" s="27">
        <v>5</v>
      </c>
      <c r="G2311" s="27">
        <v>0</v>
      </c>
      <c r="H2311" s="27">
        <v>0</v>
      </c>
      <c r="I2311" s="27">
        <v>0</v>
      </c>
      <c r="J2311" s="27">
        <v>0</v>
      </c>
      <c r="K2311" s="27">
        <v>298</v>
      </c>
      <c r="L2311" s="27">
        <v>600</v>
      </c>
      <c r="M2311" s="27">
        <v>550</v>
      </c>
      <c r="N2311" s="27">
        <v>0</v>
      </c>
      <c r="O2311" s="27">
        <v>0</v>
      </c>
      <c r="P2311" s="27" t="s">
        <v>13</v>
      </c>
      <c r="Q2311" s="27">
        <v>1993</v>
      </c>
      <c r="R2311" s="27">
        <v>1</v>
      </c>
      <c r="S2311" s="27">
        <v>0</v>
      </c>
      <c r="T2311" s="27">
        <v>-2.3990000000000001E-2</v>
      </c>
      <c r="U2311" s="27">
        <v>-6.5079999999999999E-2</v>
      </c>
      <c r="V2311" s="27">
        <v>0</v>
      </c>
      <c r="W2311" s="27">
        <v>0</v>
      </c>
      <c r="X2311" s="27" t="s">
        <v>930</v>
      </c>
    </row>
    <row r="2312" spans="1:24">
      <c r="A2312" s="27">
        <v>9</v>
      </c>
      <c r="B2312" s="27">
        <v>1</v>
      </c>
      <c r="C2312" s="27">
        <v>2</v>
      </c>
      <c r="D2312" s="27">
        <v>2010</v>
      </c>
      <c r="E2312" s="27">
        <v>2013</v>
      </c>
      <c r="F2312" s="27">
        <v>6</v>
      </c>
      <c r="G2312" s="27">
        <v>0</v>
      </c>
      <c r="H2312" s="27">
        <v>0</v>
      </c>
      <c r="I2312" s="27">
        <v>0</v>
      </c>
      <c r="J2312" s="27">
        <v>0</v>
      </c>
      <c r="K2312" s="27">
        <v>298</v>
      </c>
      <c r="L2312" s="27">
        <v>600</v>
      </c>
      <c r="M2312" s="27">
        <v>550</v>
      </c>
      <c r="N2312" s="27">
        <v>0</v>
      </c>
      <c r="O2312" s="27">
        <v>0</v>
      </c>
      <c r="P2312" s="27" t="s">
        <v>13</v>
      </c>
      <c r="Q2312" s="27">
        <v>1993</v>
      </c>
      <c r="R2312" s="27">
        <v>1</v>
      </c>
      <c r="S2312" s="27">
        <v>0</v>
      </c>
      <c r="T2312" s="27">
        <v>-2.3990000000000001E-2</v>
      </c>
      <c r="U2312" s="27">
        <v>-6.5079999999999999E-2</v>
      </c>
      <c r="V2312" s="27">
        <v>0</v>
      </c>
      <c r="W2312" s="27">
        <v>0</v>
      </c>
      <c r="X2312" s="27" t="s">
        <v>930</v>
      </c>
    </row>
    <row r="2313" spans="1:24">
      <c r="A2313" s="27">
        <v>9</v>
      </c>
      <c r="B2313" s="27">
        <v>1</v>
      </c>
      <c r="C2313" s="27">
        <v>2</v>
      </c>
      <c r="D2313" s="27">
        <v>2010</v>
      </c>
      <c r="E2313" s="27">
        <v>2013</v>
      </c>
      <c r="F2313" s="27">
        <v>7</v>
      </c>
      <c r="G2313" s="27">
        <v>0</v>
      </c>
      <c r="H2313" s="27">
        <v>0</v>
      </c>
      <c r="I2313" s="27">
        <v>0</v>
      </c>
      <c r="J2313" s="27">
        <v>0</v>
      </c>
      <c r="K2313" s="27">
        <v>298</v>
      </c>
      <c r="L2313" s="27">
        <v>600</v>
      </c>
      <c r="M2313" s="27">
        <v>550</v>
      </c>
      <c r="N2313" s="27">
        <v>0</v>
      </c>
      <c r="O2313" s="27">
        <v>0</v>
      </c>
      <c r="P2313" s="27" t="s">
        <v>13</v>
      </c>
      <c r="Q2313" s="27">
        <v>1993</v>
      </c>
      <c r="R2313" s="27">
        <v>1</v>
      </c>
      <c r="S2313" s="27">
        <v>0</v>
      </c>
      <c r="T2313" s="27">
        <v>-2.3990000000000001E-2</v>
      </c>
      <c r="U2313" s="27">
        <v>-6.5079999999999999E-2</v>
      </c>
      <c r="V2313" s="27">
        <v>0</v>
      </c>
      <c r="W2313" s="27">
        <v>0</v>
      </c>
      <c r="X2313" s="27" t="s">
        <v>930</v>
      </c>
    </row>
    <row r="2314" spans="1:24">
      <c r="A2314" s="27">
        <v>9</v>
      </c>
      <c r="B2314" s="27">
        <v>1</v>
      </c>
      <c r="C2314" s="27">
        <v>2</v>
      </c>
      <c r="D2314" s="27">
        <v>2010</v>
      </c>
      <c r="E2314" s="27">
        <v>2013</v>
      </c>
      <c r="F2314" s="27">
        <v>8</v>
      </c>
      <c r="G2314" s="27">
        <v>0</v>
      </c>
      <c r="H2314" s="27">
        <v>0</v>
      </c>
      <c r="I2314" s="27">
        <v>0</v>
      </c>
      <c r="J2314" s="27">
        <v>0</v>
      </c>
      <c r="K2314" s="27">
        <v>298</v>
      </c>
      <c r="L2314" s="27">
        <v>600</v>
      </c>
      <c r="M2314" s="27">
        <v>550</v>
      </c>
      <c r="N2314" s="27">
        <v>0</v>
      </c>
      <c r="O2314" s="27">
        <v>0</v>
      </c>
      <c r="P2314" s="27" t="s">
        <v>13</v>
      </c>
      <c r="Q2314" s="27">
        <v>1993</v>
      </c>
      <c r="R2314" s="27">
        <v>1</v>
      </c>
      <c r="S2314" s="27">
        <v>0</v>
      </c>
      <c r="T2314" s="27">
        <v>-2.3990000000000001E-2</v>
      </c>
      <c r="U2314" s="27">
        <v>-6.5079999999999999E-2</v>
      </c>
      <c r="V2314" s="27">
        <v>0</v>
      </c>
      <c r="W2314" s="27">
        <v>0</v>
      </c>
      <c r="X2314" s="27" t="s">
        <v>930</v>
      </c>
    </row>
    <row r="2315" spans="1:24">
      <c r="A2315" s="27">
        <v>9</v>
      </c>
      <c r="B2315" s="27">
        <v>1</v>
      </c>
      <c r="C2315" s="27">
        <v>2</v>
      </c>
      <c r="D2315" s="27">
        <v>2010</v>
      </c>
      <c r="E2315" s="27">
        <v>2013</v>
      </c>
      <c r="F2315" s="27">
        <v>9</v>
      </c>
      <c r="G2315" s="27">
        <v>0</v>
      </c>
      <c r="H2315" s="27">
        <v>0</v>
      </c>
      <c r="I2315" s="27">
        <v>0</v>
      </c>
      <c r="J2315" s="27">
        <v>0</v>
      </c>
      <c r="K2315" s="27">
        <v>298</v>
      </c>
      <c r="L2315" s="27">
        <v>600</v>
      </c>
      <c r="M2315" s="27">
        <v>550</v>
      </c>
      <c r="N2315" s="27">
        <v>0</v>
      </c>
      <c r="O2315" s="27">
        <v>0</v>
      </c>
      <c r="P2315" s="27" t="s">
        <v>13</v>
      </c>
      <c r="Q2315" s="27">
        <v>1993</v>
      </c>
      <c r="R2315" s="27">
        <v>1</v>
      </c>
      <c r="S2315" s="27">
        <v>0</v>
      </c>
      <c r="T2315" s="27">
        <v>-2.3990000000000001E-2</v>
      </c>
      <c r="U2315" s="27">
        <v>-6.5079999999999999E-2</v>
      </c>
      <c r="V2315" s="27">
        <v>0</v>
      </c>
      <c r="W2315" s="27">
        <v>0</v>
      </c>
      <c r="X2315" s="27" t="s">
        <v>930</v>
      </c>
    </row>
    <row r="2316" spans="1:24">
      <c r="A2316" s="27">
        <v>9</v>
      </c>
      <c r="B2316" s="27">
        <v>1</v>
      </c>
      <c r="C2316" s="27">
        <v>2</v>
      </c>
      <c r="D2316" s="27">
        <v>2014</v>
      </c>
      <c r="E2316" s="27">
        <v>2050</v>
      </c>
      <c r="F2316" s="27">
        <v>1</v>
      </c>
      <c r="G2316" s="27">
        <v>0</v>
      </c>
      <c r="H2316" s="27">
        <v>0</v>
      </c>
      <c r="I2316" s="27">
        <v>0</v>
      </c>
      <c r="J2316" s="27">
        <v>0</v>
      </c>
      <c r="K2316" s="27">
        <v>238</v>
      </c>
      <c r="L2316" s="27">
        <v>750</v>
      </c>
      <c r="M2316" s="27">
        <v>700</v>
      </c>
      <c r="N2316" s="27">
        <v>0</v>
      </c>
      <c r="O2316" s="27">
        <v>0</v>
      </c>
      <c r="P2316" s="27" t="s">
        <v>13</v>
      </c>
      <c r="Q2316" s="27">
        <v>1993</v>
      </c>
      <c r="R2316" s="27">
        <v>1</v>
      </c>
      <c r="S2316" s="27">
        <v>0</v>
      </c>
      <c r="T2316" s="27">
        <v>-2.3990000000000001E-2</v>
      </c>
      <c r="U2316" s="27">
        <v>-6.5079999999999999E-2</v>
      </c>
      <c r="V2316" s="27">
        <v>0</v>
      </c>
      <c r="W2316" s="27">
        <v>0</v>
      </c>
      <c r="X2316" s="27" t="s">
        <v>930</v>
      </c>
    </row>
    <row r="2317" spans="1:24">
      <c r="A2317" s="27">
        <v>9</v>
      </c>
      <c r="B2317" s="27">
        <v>1</v>
      </c>
      <c r="C2317" s="27">
        <v>2</v>
      </c>
      <c r="D2317" s="27">
        <v>2014</v>
      </c>
      <c r="E2317" s="27">
        <v>2050</v>
      </c>
      <c r="F2317" s="27">
        <v>2</v>
      </c>
      <c r="G2317" s="27">
        <v>0</v>
      </c>
      <c r="H2317" s="27">
        <v>0</v>
      </c>
      <c r="I2317" s="27">
        <v>0</v>
      </c>
      <c r="J2317" s="27">
        <v>0</v>
      </c>
      <c r="K2317" s="27">
        <v>238</v>
      </c>
      <c r="L2317" s="27">
        <v>750</v>
      </c>
      <c r="M2317" s="27">
        <v>700</v>
      </c>
      <c r="N2317" s="27">
        <v>0</v>
      </c>
      <c r="O2317" s="27">
        <v>0</v>
      </c>
      <c r="P2317" s="27" t="s">
        <v>13</v>
      </c>
      <c r="Q2317" s="27">
        <v>1993</v>
      </c>
      <c r="R2317" s="27">
        <v>1</v>
      </c>
      <c r="S2317" s="27">
        <v>0</v>
      </c>
      <c r="T2317" s="27">
        <v>-2.3990000000000001E-2</v>
      </c>
      <c r="U2317" s="27">
        <v>-6.5079999999999999E-2</v>
      </c>
      <c r="V2317" s="27">
        <v>0</v>
      </c>
      <c r="W2317" s="27">
        <v>0</v>
      </c>
      <c r="X2317" s="27" t="s">
        <v>930</v>
      </c>
    </row>
    <row r="2318" spans="1:24">
      <c r="A2318" s="27">
        <v>9</v>
      </c>
      <c r="B2318" s="27">
        <v>1</v>
      </c>
      <c r="C2318" s="27">
        <v>2</v>
      </c>
      <c r="D2318" s="27">
        <v>2014</v>
      </c>
      <c r="E2318" s="27">
        <v>2050</v>
      </c>
      <c r="F2318" s="27">
        <v>3</v>
      </c>
      <c r="G2318" s="27">
        <v>0</v>
      </c>
      <c r="H2318" s="27">
        <v>0</v>
      </c>
      <c r="I2318" s="27">
        <v>0</v>
      </c>
      <c r="J2318" s="27">
        <v>0</v>
      </c>
      <c r="K2318" s="27">
        <v>238</v>
      </c>
      <c r="L2318" s="27">
        <v>750</v>
      </c>
      <c r="M2318" s="27">
        <v>700</v>
      </c>
      <c r="N2318" s="27">
        <v>0</v>
      </c>
      <c r="O2318" s="27">
        <v>0</v>
      </c>
      <c r="P2318" s="27" t="s">
        <v>13</v>
      </c>
      <c r="Q2318" s="27">
        <v>1993</v>
      </c>
      <c r="R2318" s="27">
        <v>1</v>
      </c>
      <c r="S2318" s="27">
        <v>0</v>
      </c>
      <c r="T2318" s="27">
        <v>-2.3990000000000001E-2</v>
      </c>
      <c r="U2318" s="27">
        <v>-6.5079999999999999E-2</v>
      </c>
      <c r="V2318" s="27">
        <v>0</v>
      </c>
      <c r="W2318" s="27">
        <v>0</v>
      </c>
      <c r="X2318" s="27" t="s">
        <v>930</v>
      </c>
    </row>
    <row r="2319" spans="1:24">
      <c r="A2319" s="27">
        <v>9</v>
      </c>
      <c r="B2319" s="27">
        <v>1</v>
      </c>
      <c r="C2319" s="27">
        <v>2</v>
      </c>
      <c r="D2319" s="27">
        <v>2014</v>
      </c>
      <c r="E2319" s="27">
        <v>2050</v>
      </c>
      <c r="F2319" s="27">
        <v>4</v>
      </c>
      <c r="G2319" s="27">
        <v>0</v>
      </c>
      <c r="H2319" s="27">
        <v>0</v>
      </c>
      <c r="I2319" s="27">
        <v>0</v>
      </c>
      <c r="J2319" s="27">
        <v>0</v>
      </c>
      <c r="K2319" s="27">
        <v>238</v>
      </c>
      <c r="L2319" s="27">
        <v>750</v>
      </c>
      <c r="M2319" s="27">
        <v>700</v>
      </c>
      <c r="N2319" s="27">
        <v>0</v>
      </c>
      <c r="O2319" s="27">
        <v>0</v>
      </c>
      <c r="P2319" s="27" t="s">
        <v>13</v>
      </c>
      <c r="Q2319" s="27">
        <v>1993</v>
      </c>
      <c r="R2319" s="27">
        <v>1</v>
      </c>
      <c r="S2319" s="27">
        <v>0</v>
      </c>
      <c r="T2319" s="27">
        <v>-2.3990000000000001E-2</v>
      </c>
      <c r="U2319" s="27">
        <v>-6.5079999999999999E-2</v>
      </c>
      <c r="V2319" s="27">
        <v>0</v>
      </c>
      <c r="W2319" s="27">
        <v>0</v>
      </c>
      <c r="X2319" s="27" t="s">
        <v>930</v>
      </c>
    </row>
    <row r="2320" spans="1:24">
      <c r="A2320" s="27">
        <v>9</v>
      </c>
      <c r="B2320" s="27">
        <v>1</v>
      </c>
      <c r="C2320" s="27">
        <v>2</v>
      </c>
      <c r="D2320" s="27">
        <v>2014</v>
      </c>
      <c r="E2320" s="27">
        <v>2050</v>
      </c>
      <c r="F2320" s="27">
        <v>5</v>
      </c>
      <c r="G2320" s="27">
        <v>0</v>
      </c>
      <c r="H2320" s="27">
        <v>0</v>
      </c>
      <c r="I2320" s="27">
        <v>0</v>
      </c>
      <c r="J2320" s="27">
        <v>0</v>
      </c>
      <c r="K2320" s="27">
        <v>238</v>
      </c>
      <c r="L2320" s="27">
        <v>750</v>
      </c>
      <c r="M2320" s="27">
        <v>700</v>
      </c>
      <c r="N2320" s="27">
        <v>0</v>
      </c>
      <c r="O2320" s="27">
        <v>0</v>
      </c>
      <c r="P2320" s="27" t="s">
        <v>13</v>
      </c>
      <c r="Q2320" s="27">
        <v>1993</v>
      </c>
      <c r="R2320" s="27">
        <v>1</v>
      </c>
      <c r="S2320" s="27">
        <v>0</v>
      </c>
      <c r="T2320" s="27">
        <v>-2.3990000000000001E-2</v>
      </c>
      <c r="U2320" s="27">
        <v>-6.5079999999999999E-2</v>
      </c>
      <c r="V2320" s="27">
        <v>0</v>
      </c>
      <c r="W2320" s="27">
        <v>0</v>
      </c>
      <c r="X2320" s="27" t="s">
        <v>930</v>
      </c>
    </row>
    <row r="2321" spans="1:24">
      <c r="A2321" s="27">
        <v>9</v>
      </c>
      <c r="B2321" s="27">
        <v>1</v>
      </c>
      <c r="C2321" s="27">
        <v>2</v>
      </c>
      <c r="D2321" s="27">
        <v>2014</v>
      </c>
      <c r="E2321" s="27">
        <v>2050</v>
      </c>
      <c r="F2321" s="27">
        <v>6</v>
      </c>
      <c r="G2321" s="27">
        <v>0</v>
      </c>
      <c r="H2321" s="27">
        <v>0</v>
      </c>
      <c r="I2321" s="27">
        <v>0</v>
      </c>
      <c r="J2321" s="27">
        <v>0</v>
      </c>
      <c r="K2321" s="27">
        <v>238</v>
      </c>
      <c r="L2321" s="27">
        <v>750</v>
      </c>
      <c r="M2321" s="27">
        <v>700</v>
      </c>
      <c r="N2321" s="27">
        <v>0</v>
      </c>
      <c r="O2321" s="27">
        <v>0</v>
      </c>
      <c r="P2321" s="27" t="s">
        <v>13</v>
      </c>
      <c r="Q2321" s="27">
        <v>1993</v>
      </c>
      <c r="R2321" s="27">
        <v>1</v>
      </c>
      <c r="S2321" s="27">
        <v>0</v>
      </c>
      <c r="T2321" s="27">
        <v>-2.3990000000000001E-2</v>
      </c>
      <c r="U2321" s="27">
        <v>-6.5079999999999999E-2</v>
      </c>
      <c r="V2321" s="27">
        <v>0</v>
      </c>
      <c r="W2321" s="27">
        <v>0</v>
      </c>
      <c r="X2321" s="27" t="s">
        <v>930</v>
      </c>
    </row>
    <row r="2322" spans="1:24">
      <c r="A2322" s="27">
        <v>9</v>
      </c>
      <c r="B2322" s="27">
        <v>1</v>
      </c>
      <c r="C2322" s="27">
        <v>2</v>
      </c>
      <c r="D2322" s="27">
        <v>2014</v>
      </c>
      <c r="E2322" s="27">
        <v>2050</v>
      </c>
      <c r="F2322" s="27">
        <v>7</v>
      </c>
      <c r="G2322" s="27">
        <v>0</v>
      </c>
      <c r="H2322" s="27">
        <v>0</v>
      </c>
      <c r="I2322" s="27">
        <v>0</v>
      </c>
      <c r="J2322" s="27">
        <v>0</v>
      </c>
      <c r="K2322" s="27">
        <v>238</v>
      </c>
      <c r="L2322" s="27">
        <v>750</v>
      </c>
      <c r="M2322" s="27">
        <v>700</v>
      </c>
      <c r="N2322" s="27">
        <v>0</v>
      </c>
      <c r="O2322" s="27">
        <v>0</v>
      </c>
      <c r="P2322" s="27" t="s">
        <v>13</v>
      </c>
      <c r="Q2322" s="27">
        <v>1993</v>
      </c>
      <c r="R2322" s="27">
        <v>1</v>
      </c>
      <c r="S2322" s="27">
        <v>0</v>
      </c>
      <c r="T2322" s="27">
        <v>-2.3990000000000001E-2</v>
      </c>
      <c r="U2322" s="27">
        <v>-6.5079999999999999E-2</v>
      </c>
      <c r="V2322" s="27">
        <v>0</v>
      </c>
      <c r="W2322" s="27">
        <v>0</v>
      </c>
      <c r="X2322" s="27" t="s">
        <v>930</v>
      </c>
    </row>
    <row r="2323" spans="1:24">
      <c r="A2323" s="27">
        <v>9</v>
      </c>
      <c r="B2323" s="27">
        <v>1</v>
      </c>
      <c r="C2323" s="27">
        <v>2</v>
      </c>
      <c r="D2323" s="27">
        <v>2014</v>
      </c>
      <c r="E2323" s="27">
        <v>2050</v>
      </c>
      <c r="F2323" s="27">
        <v>8</v>
      </c>
      <c r="G2323" s="27">
        <v>0</v>
      </c>
      <c r="H2323" s="27">
        <v>0</v>
      </c>
      <c r="I2323" s="27">
        <v>0</v>
      </c>
      <c r="J2323" s="27">
        <v>0</v>
      </c>
      <c r="K2323" s="27">
        <v>238</v>
      </c>
      <c r="L2323" s="27">
        <v>750</v>
      </c>
      <c r="M2323" s="27">
        <v>700</v>
      </c>
      <c r="N2323" s="27">
        <v>0</v>
      </c>
      <c r="O2323" s="27">
        <v>0</v>
      </c>
      <c r="P2323" s="27" t="s">
        <v>13</v>
      </c>
      <c r="Q2323" s="27">
        <v>1993</v>
      </c>
      <c r="R2323" s="27">
        <v>1</v>
      </c>
      <c r="S2323" s="27">
        <v>0</v>
      </c>
      <c r="T2323" s="27">
        <v>-2.3990000000000001E-2</v>
      </c>
      <c r="U2323" s="27">
        <v>-6.5079999999999999E-2</v>
      </c>
      <c r="V2323" s="27">
        <v>0</v>
      </c>
      <c r="W2323" s="27">
        <v>0</v>
      </c>
      <c r="X2323" s="27" t="s">
        <v>930</v>
      </c>
    </row>
    <row r="2324" spans="1:24">
      <c r="A2324" s="27">
        <v>9</v>
      </c>
      <c r="B2324" s="27">
        <v>1</v>
      </c>
      <c r="C2324" s="27">
        <v>2</v>
      </c>
      <c r="D2324" s="27">
        <v>2014</v>
      </c>
      <c r="E2324" s="27">
        <v>2050</v>
      </c>
      <c r="F2324" s="27">
        <v>9</v>
      </c>
      <c r="G2324" s="27">
        <v>0</v>
      </c>
      <c r="H2324" s="27">
        <v>0</v>
      </c>
      <c r="I2324" s="27">
        <v>0</v>
      </c>
      <c r="J2324" s="27">
        <v>0</v>
      </c>
      <c r="K2324" s="27">
        <v>238</v>
      </c>
      <c r="L2324" s="27">
        <v>750</v>
      </c>
      <c r="M2324" s="27">
        <v>700</v>
      </c>
      <c r="N2324" s="27">
        <v>0</v>
      </c>
      <c r="O2324" s="27">
        <v>0</v>
      </c>
      <c r="P2324" s="27" t="s">
        <v>13</v>
      </c>
      <c r="Q2324" s="27">
        <v>1993</v>
      </c>
      <c r="R2324" s="27">
        <v>1</v>
      </c>
      <c r="S2324" s="27">
        <v>0</v>
      </c>
      <c r="T2324" s="27">
        <v>-2.3990000000000001E-2</v>
      </c>
      <c r="U2324" s="27">
        <v>-6.5079999999999999E-2</v>
      </c>
      <c r="V2324" s="27">
        <v>0</v>
      </c>
      <c r="W2324" s="27">
        <v>0</v>
      </c>
      <c r="X2324" s="27" t="s">
        <v>930</v>
      </c>
    </row>
    <row r="2325" spans="1:24">
      <c r="A2325" s="27">
        <v>9</v>
      </c>
      <c r="B2325" s="27">
        <v>1</v>
      </c>
      <c r="C2325" s="27">
        <v>3</v>
      </c>
      <c r="D2325" s="27">
        <v>2010</v>
      </c>
      <c r="E2325" s="27">
        <v>2013</v>
      </c>
      <c r="F2325" s="27">
        <v>1</v>
      </c>
      <c r="G2325" s="27">
        <v>0</v>
      </c>
      <c r="H2325" s="27">
        <v>0</v>
      </c>
      <c r="I2325" s="27">
        <v>0</v>
      </c>
      <c r="J2325" s="27">
        <v>0</v>
      </c>
      <c r="K2325" s="27">
        <v>758</v>
      </c>
      <c r="L2325" s="27">
        <v>550</v>
      </c>
      <c r="M2325" s="27">
        <v>500</v>
      </c>
      <c r="N2325" s="27">
        <v>0</v>
      </c>
      <c r="O2325" s="27">
        <v>0</v>
      </c>
      <c r="P2325" s="27" t="s">
        <v>13</v>
      </c>
      <c r="Q2325" s="27">
        <v>1993</v>
      </c>
      <c r="R2325" s="27">
        <v>1</v>
      </c>
      <c r="S2325" s="27">
        <v>0</v>
      </c>
      <c r="T2325" s="27">
        <v>-2.3990000000000001E-2</v>
      </c>
      <c r="U2325" s="27">
        <v>-6.5079999999999999E-2</v>
      </c>
      <c r="V2325" s="27">
        <v>0</v>
      </c>
      <c r="W2325" s="27">
        <v>0</v>
      </c>
      <c r="X2325" s="27" t="s">
        <v>931</v>
      </c>
    </row>
    <row r="2326" spans="1:24">
      <c r="A2326" s="27">
        <v>9</v>
      </c>
      <c r="B2326" s="27">
        <v>1</v>
      </c>
      <c r="C2326" s="27">
        <v>3</v>
      </c>
      <c r="D2326" s="27">
        <v>2010</v>
      </c>
      <c r="E2326" s="27">
        <v>2013</v>
      </c>
      <c r="F2326" s="27">
        <v>2</v>
      </c>
      <c r="G2326" s="27">
        <v>0</v>
      </c>
      <c r="H2326" s="27">
        <v>0</v>
      </c>
      <c r="I2326" s="27">
        <v>0</v>
      </c>
      <c r="J2326" s="27">
        <v>0</v>
      </c>
      <c r="K2326" s="27">
        <v>758</v>
      </c>
      <c r="L2326" s="27">
        <v>550</v>
      </c>
      <c r="M2326" s="27">
        <v>500</v>
      </c>
      <c r="N2326" s="27">
        <v>0</v>
      </c>
      <c r="O2326" s="27">
        <v>0</v>
      </c>
      <c r="P2326" s="27" t="s">
        <v>13</v>
      </c>
      <c r="Q2326" s="27">
        <v>1993</v>
      </c>
      <c r="R2326" s="27">
        <v>1</v>
      </c>
      <c r="S2326" s="27">
        <v>0</v>
      </c>
      <c r="T2326" s="27">
        <v>-2.3990000000000001E-2</v>
      </c>
      <c r="U2326" s="27">
        <v>-6.5079999999999999E-2</v>
      </c>
      <c r="V2326" s="27">
        <v>0</v>
      </c>
      <c r="W2326" s="27">
        <v>0</v>
      </c>
      <c r="X2326" s="27" t="s">
        <v>931</v>
      </c>
    </row>
    <row r="2327" spans="1:24">
      <c r="A2327" s="27">
        <v>9</v>
      </c>
      <c r="B2327" s="27">
        <v>1</v>
      </c>
      <c r="C2327" s="27">
        <v>3</v>
      </c>
      <c r="D2327" s="27">
        <v>2010</v>
      </c>
      <c r="E2327" s="27">
        <v>2013</v>
      </c>
      <c r="F2327" s="27">
        <v>3</v>
      </c>
      <c r="G2327" s="27">
        <v>0</v>
      </c>
      <c r="H2327" s="27">
        <v>0</v>
      </c>
      <c r="I2327" s="27">
        <v>0</v>
      </c>
      <c r="J2327" s="27">
        <v>0</v>
      </c>
      <c r="K2327" s="27">
        <v>758</v>
      </c>
      <c r="L2327" s="27">
        <v>550</v>
      </c>
      <c r="M2327" s="27">
        <v>500</v>
      </c>
      <c r="N2327" s="27">
        <v>0</v>
      </c>
      <c r="O2327" s="27">
        <v>0</v>
      </c>
      <c r="P2327" s="27" t="s">
        <v>13</v>
      </c>
      <c r="Q2327" s="27">
        <v>1993</v>
      </c>
      <c r="R2327" s="27">
        <v>1</v>
      </c>
      <c r="S2327" s="27">
        <v>0</v>
      </c>
      <c r="T2327" s="27">
        <v>-2.3990000000000001E-2</v>
      </c>
      <c r="U2327" s="27">
        <v>-6.5079999999999999E-2</v>
      </c>
      <c r="V2327" s="27">
        <v>0</v>
      </c>
      <c r="W2327" s="27">
        <v>0</v>
      </c>
      <c r="X2327" s="27" t="s">
        <v>931</v>
      </c>
    </row>
    <row r="2328" spans="1:24">
      <c r="A2328" s="27">
        <v>9</v>
      </c>
      <c r="B2328" s="27">
        <v>1</v>
      </c>
      <c r="C2328" s="27">
        <v>3</v>
      </c>
      <c r="D2328" s="27">
        <v>2010</v>
      </c>
      <c r="E2328" s="27">
        <v>2013</v>
      </c>
      <c r="F2328" s="27">
        <v>4</v>
      </c>
      <c r="G2328" s="27">
        <v>0</v>
      </c>
      <c r="H2328" s="27">
        <v>0</v>
      </c>
      <c r="I2328" s="27">
        <v>0</v>
      </c>
      <c r="J2328" s="27">
        <v>0</v>
      </c>
      <c r="K2328" s="27">
        <v>758</v>
      </c>
      <c r="L2328" s="27">
        <v>550</v>
      </c>
      <c r="M2328" s="27">
        <v>500</v>
      </c>
      <c r="N2328" s="27">
        <v>0</v>
      </c>
      <c r="O2328" s="27">
        <v>0</v>
      </c>
      <c r="P2328" s="27" t="s">
        <v>13</v>
      </c>
      <c r="Q2328" s="27">
        <v>1993</v>
      </c>
      <c r="R2328" s="27">
        <v>1</v>
      </c>
      <c r="S2328" s="27">
        <v>0</v>
      </c>
      <c r="T2328" s="27">
        <v>-2.3990000000000001E-2</v>
      </c>
      <c r="U2328" s="27">
        <v>-6.5079999999999999E-2</v>
      </c>
      <c r="V2328" s="27">
        <v>0</v>
      </c>
      <c r="W2328" s="27">
        <v>0</v>
      </c>
      <c r="X2328" s="27" t="s">
        <v>931</v>
      </c>
    </row>
    <row r="2329" spans="1:24">
      <c r="A2329" s="27">
        <v>9</v>
      </c>
      <c r="B2329" s="27">
        <v>1</v>
      </c>
      <c r="C2329" s="27">
        <v>3</v>
      </c>
      <c r="D2329" s="27">
        <v>2010</v>
      </c>
      <c r="E2329" s="27">
        <v>2013</v>
      </c>
      <c r="F2329" s="27">
        <v>5</v>
      </c>
      <c r="G2329" s="27">
        <v>0</v>
      </c>
      <c r="H2329" s="27">
        <v>0</v>
      </c>
      <c r="I2329" s="27">
        <v>0</v>
      </c>
      <c r="J2329" s="27">
        <v>0</v>
      </c>
      <c r="K2329" s="27">
        <v>758</v>
      </c>
      <c r="L2329" s="27">
        <v>550</v>
      </c>
      <c r="M2329" s="27">
        <v>500</v>
      </c>
      <c r="N2329" s="27">
        <v>0</v>
      </c>
      <c r="O2329" s="27">
        <v>0</v>
      </c>
      <c r="P2329" s="27" t="s">
        <v>13</v>
      </c>
      <c r="Q2329" s="27">
        <v>1993</v>
      </c>
      <c r="R2329" s="27">
        <v>1</v>
      </c>
      <c r="S2329" s="27">
        <v>0</v>
      </c>
      <c r="T2329" s="27">
        <v>-2.3990000000000001E-2</v>
      </c>
      <c r="U2329" s="27">
        <v>-6.5079999999999999E-2</v>
      </c>
      <c r="V2329" s="27">
        <v>0</v>
      </c>
      <c r="W2329" s="27">
        <v>0</v>
      </c>
      <c r="X2329" s="27" t="s">
        <v>931</v>
      </c>
    </row>
    <row r="2330" spans="1:24">
      <c r="A2330" s="27">
        <v>9</v>
      </c>
      <c r="B2330" s="27">
        <v>1</v>
      </c>
      <c r="C2330" s="27">
        <v>3</v>
      </c>
      <c r="D2330" s="27">
        <v>2010</v>
      </c>
      <c r="E2330" s="27">
        <v>2013</v>
      </c>
      <c r="F2330" s="27">
        <v>6</v>
      </c>
      <c r="G2330" s="27">
        <v>0</v>
      </c>
      <c r="H2330" s="27">
        <v>0</v>
      </c>
      <c r="I2330" s="27">
        <v>0</v>
      </c>
      <c r="J2330" s="27">
        <v>0</v>
      </c>
      <c r="K2330" s="27">
        <v>758</v>
      </c>
      <c r="L2330" s="27">
        <v>550</v>
      </c>
      <c r="M2330" s="27">
        <v>500</v>
      </c>
      <c r="N2330" s="27">
        <v>0</v>
      </c>
      <c r="O2330" s="27">
        <v>0</v>
      </c>
      <c r="P2330" s="27" t="s">
        <v>13</v>
      </c>
      <c r="Q2330" s="27">
        <v>1993</v>
      </c>
      <c r="R2330" s="27">
        <v>1</v>
      </c>
      <c r="S2330" s="27">
        <v>0</v>
      </c>
      <c r="T2330" s="27">
        <v>-2.3990000000000001E-2</v>
      </c>
      <c r="U2330" s="27">
        <v>-6.5079999999999999E-2</v>
      </c>
      <c r="V2330" s="27">
        <v>0</v>
      </c>
      <c r="W2330" s="27">
        <v>0</v>
      </c>
      <c r="X2330" s="27" t="s">
        <v>931</v>
      </c>
    </row>
    <row r="2331" spans="1:24">
      <c r="A2331" s="27">
        <v>9</v>
      </c>
      <c r="B2331" s="27">
        <v>1</v>
      </c>
      <c r="C2331" s="27">
        <v>3</v>
      </c>
      <c r="D2331" s="27">
        <v>2010</v>
      </c>
      <c r="E2331" s="27">
        <v>2013</v>
      </c>
      <c r="F2331" s="27">
        <v>7</v>
      </c>
      <c r="G2331" s="27">
        <v>0</v>
      </c>
      <c r="H2331" s="27">
        <v>0</v>
      </c>
      <c r="I2331" s="27">
        <v>0</v>
      </c>
      <c r="J2331" s="27">
        <v>0</v>
      </c>
      <c r="K2331" s="27">
        <v>758</v>
      </c>
      <c r="L2331" s="27">
        <v>550</v>
      </c>
      <c r="M2331" s="27">
        <v>500</v>
      </c>
      <c r="N2331" s="27">
        <v>0</v>
      </c>
      <c r="O2331" s="27">
        <v>0</v>
      </c>
      <c r="P2331" s="27" t="s">
        <v>13</v>
      </c>
      <c r="Q2331" s="27">
        <v>1993</v>
      </c>
      <c r="R2331" s="27">
        <v>1</v>
      </c>
      <c r="S2331" s="27">
        <v>0</v>
      </c>
      <c r="T2331" s="27">
        <v>-2.3990000000000001E-2</v>
      </c>
      <c r="U2331" s="27">
        <v>-6.5079999999999999E-2</v>
      </c>
      <c r="V2331" s="27">
        <v>0</v>
      </c>
      <c r="W2331" s="27">
        <v>0</v>
      </c>
      <c r="X2331" s="27" t="s">
        <v>931</v>
      </c>
    </row>
    <row r="2332" spans="1:24">
      <c r="A2332" s="27">
        <v>9</v>
      </c>
      <c r="B2332" s="27">
        <v>1</v>
      </c>
      <c r="C2332" s="27">
        <v>3</v>
      </c>
      <c r="D2332" s="27">
        <v>2010</v>
      </c>
      <c r="E2332" s="27">
        <v>2013</v>
      </c>
      <c r="F2332" s="27">
        <v>8</v>
      </c>
      <c r="G2332" s="27">
        <v>0</v>
      </c>
      <c r="H2332" s="27">
        <v>0</v>
      </c>
      <c r="I2332" s="27">
        <v>0</v>
      </c>
      <c r="J2332" s="27">
        <v>0</v>
      </c>
      <c r="K2332" s="27">
        <v>758</v>
      </c>
      <c r="L2332" s="27">
        <v>550</v>
      </c>
      <c r="M2332" s="27">
        <v>500</v>
      </c>
      <c r="N2332" s="27">
        <v>0</v>
      </c>
      <c r="O2332" s="27">
        <v>0</v>
      </c>
      <c r="P2332" s="27" t="s">
        <v>13</v>
      </c>
      <c r="Q2332" s="27">
        <v>1993</v>
      </c>
      <c r="R2332" s="27">
        <v>1</v>
      </c>
      <c r="S2332" s="27">
        <v>0</v>
      </c>
      <c r="T2332" s="27">
        <v>-2.3990000000000001E-2</v>
      </c>
      <c r="U2332" s="27">
        <v>-6.5079999999999999E-2</v>
      </c>
      <c r="V2332" s="27">
        <v>0</v>
      </c>
      <c r="W2332" s="27">
        <v>0</v>
      </c>
      <c r="X2332" s="27" t="s">
        <v>931</v>
      </c>
    </row>
    <row r="2333" spans="1:24">
      <c r="A2333" s="27">
        <v>9</v>
      </c>
      <c r="B2333" s="27">
        <v>1</v>
      </c>
      <c r="C2333" s="27">
        <v>3</v>
      </c>
      <c r="D2333" s="27">
        <v>2010</v>
      </c>
      <c r="E2333" s="27">
        <v>2013</v>
      </c>
      <c r="F2333" s="27">
        <v>9</v>
      </c>
      <c r="G2333" s="27">
        <v>0</v>
      </c>
      <c r="H2333" s="27">
        <v>0</v>
      </c>
      <c r="I2333" s="27">
        <v>0</v>
      </c>
      <c r="J2333" s="27">
        <v>0</v>
      </c>
      <c r="K2333" s="27">
        <v>758</v>
      </c>
      <c r="L2333" s="27">
        <v>550</v>
      </c>
      <c r="M2333" s="27">
        <v>500</v>
      </c>
      <c r="N2333" s="27">
        <v>0</v>
      </c>
      <c r="O2333" s="27">
        <v>0</v>
      </c>
      <c r="P2333" s="27" t="s">
        <v>13</v>
      </c>
      <c r="Q2333" s="27">
        <v>1993</v>
      </c>
      <c r="R2333" s="27">
        <v>1</v>
      </c>
      <c r="S2333" s="27">
        <v>0</v>
      </c>
      <c r="T2333" s="27">
        <v>-2.3990000000000001E-2</v>
      </c>
      <c r="U2333" s="27">
        <v>-6.5079999999999999E-2</v>
      </c>
      <c r="V2333" s="27">
        <v>0</v>
      </c>
      <c r="W2333" s="27">
        <v>0</v>
      </c>
      <c r="X2333" s="27" t="s">
        <v>931</v>
      </c>
    </row>
    <row r="2334" spans="1:24">
      <c r="A2334" s="27">
        <v>9</v>
      </c>
      <c r="B2334" s="27">
        <v>1</v>
      </c>
      <c r="C2334" s="27">
        <v>3</v>
      </c>
      <c r="D2334" s="27">
        <v>2014</v>
      </c>
      <c r="E2334" s="27">
        <v>2050</v>
      </c>
      <c r="F2334" s="27">
        <v>1</v>
      </c>
      <c r="G2334" s="27">
        <v>0</v>
      </c>
      <c r="H2334" s="27">
        <v>0</v>
      </c>
      <c r="I2334" s="27">
        <v>0</v>
      </c>
      <c r="J2334" s="27">
        <v>0</v>
      </c>
      <c r="K2334" s="27">
        <v>533</v>
      </c>
      <c r="L2334" s="27">
        <v>700</v>
      </c>
      <c r="M2334" s="27">
        <v>650</v>
      </c>
      <c r="N2334" s="27">
        <v>0</v>
      </c>
      <c r="O2334" s="27">
        <v>0</v>
      </c>
      <c r="P2334" s="27" t="s">
        <v>13</v>
      </c>
      <c r="Q2334" s="27">
        <v>1993</v>
      </c>
      <c r="R2334" s="27">
        <v>1</v>
      </c>
      <c r="S2334" s="27">
        <v>0</v>
      </c>
      <c r="T2334" s="27">
        <v>-2.3990000000000001E-2</v>
      </c>
      <c r="U2334" s="27">
        <v>-6.5079999999999999E-2</v>
      </c>
      <c r="V2334" s="27">
        <v>0</v>
      </c>
      <c r="W2334" s="27">
        <v>0</v>
      </c>
      <c r="X2334" s="27" t="s">
        <v>931</v>
      </c>
    </row>
    <row r="2335" spans="1:24">
      <c r="A2335" s="27">
        <v>9</v>
      </c>
      <c r="B2335" s="27">
        <v>1</v>
      </c>
      <c r="C2335" s="27">
        <v>3</v>
      </c>
      <c r="D2335" s="27">
        <v>2014</v>
      </c>
      <c r="E2335" s="27">
        <v>2050</v>
      </c>
      <c r="F2335" s="27">
        <v>2</v>
      </c>
      <c r="G2335" s="27">
        <v>0</v>
      </c>
      <c r="H2335" s="27">
        <v>0</v>
      </c>
      <c r="I2335" s="27">
        <v>0</v>
      </c>
      <c r="J2335" s="27">
        <v>0</v>
      </c>
      <c r="K2335" s="27">
        <v>533</v>
      </c>
      <c r="L2335" s="27">
        <v>700</v>
      </c>
      <c r="M2335" s="27">
        <v>650</v>
      </c>
      <c r="N2335" s="27">
        <v>0</v>
      </c>
      <c r="O2335" s="27">
        <v>0</v>
      </c>
      <c r="P2335" s="27" t="s">
        <v>13</v>
      </c>
      <c r="Q2335" s="27">
        <v>1993</v>
      </c>
      <c r="R2335" s="27">
        <v>1</v>
      </c>
      <c r="S2335" s="27">
        <v>0</v>
      </c>
      <c r="T2335" s="27">
        <v>-2.3990000000000001E-2</v>
      </c>
      <c r="U2335" s="27">
        <v>-6.5079999999999999E-2</v>
      </c>
      <c r="V2335" s="27">
        <v>0</v>
      </c>
      <c r="W2335" s="27">
        <v>0</v>
      </c>
      <c r="X2335" s="27" t="s">
        <v>931</v>
      </c>
    </row>
    <row r="2336" spans="1:24">
      <c r="A2336" s="27">
        <v>9</v>
      </c>
      <c r="B2336" s="27">
        <v>1</v>
      </c>
      <c r="C2336" s="27">
        <v>3</v>
      </c>
      <c r="D2336" s="27">
        <v>2014</v>
      </c>
      <c r="E2336" s="27">
        <v>2050</v>
      </c>
      <c r="F2336" s="27">
        <v>3</v>
      </c>
      <c r="G2336" s="27">
        <v>0</v>
      </c>
      <c r="H2336" s="27">
        <v>0</v>
      </c>
      <c r="I2336" s="27">
        <v>0</v>
      </c>
      <c r="J2336" s="27">
        <v>0</v>
      </c>
      <c r="K2336" s="27">
        <v>533</v>
      </c>
      <c r="L2336" s="27">
        <v>700</v>
      </c>
      <c r="M2336" s="27">
        <v>650</v>
      </c>
      <c r="N2336" s="27">
        <v>0</v>
      </c>
      <c r="O2336" s="27">
        <v>0</v>
      </c>
      <c r="P2336" s="27" t="s">
        <v>13</v>
      </c>
      <c r="Q2336" s="27">
        <v>1993</v>
      </c>
      <c r="R2336" s="27">
        <v>1</v>
      </c>
      <c r="S2336" s="27">
        <v>0</v>
      </c>
      <c r="T2336" s="27">
        <v>-2.3990000000000001E-2</v>
      </c>
      <c r="U2336" s="27">
        <v>-6.5079999999999999E-2</v>
      </c>
      <c r="V2336" s="27">
        <v>0</v>
      </c>
      <c r="W2336" s="27">
        <v>0</v>
      </c>
      <c r="X2336" s="27" t="s">
        <v>931</v>
      </c>
    </row>
    <row r="2337" spans="1:24">
      <c r="A2337" s="27">
        <v>9</v>
      </c>
      <c r="B2337" s="27">
        <v>1</v>
      </c>
      <c r="C2337" s="27">
        <v>3</v>
      </c>
      <c r="D2337" s="27">
        <v>2014</v>
      </c>
      <c r="E2337" s="27">
        <v>2050</v>
      </c>
      <c r="F2337" s="27">
        <v>4</v>
      </c>
      <c r="G2337" s="27">
        <v>0</v>
      </c>
      <c r="H2337" s="27">
        <v>0</v>
      </c>
      <c r="I2337" s="27">
        <v>0</v>
      </c>
      <c r="J2337" s="27">
        <v>0</v>
      </c>
      <c r="K2337" s="27">
        <v>533</v>
      </c>
      <c r="L2337" s="27">
        <v>700</v>
      </c>
      <c r="M2337" s="27">
        <v>650</v>
      </c>
      <c r="N2337" s="27">
        <v>0</v>
      </c>
      <c r="O2337" s="27">
        <v>0</v>
      </c>
      <c r="P2337" s="27" t="s">
        <v>13</v>
      </c>
      <c r="Q2337" s="27">
        <v>1993</v>
      </c>
      <c r="R2337" s="27">
        <v>1</v>
      </c>
      <c r="S2337" s="27">
        <v>0</v>
      </c>
      <c r="T2337" s="27">
        <v>-2.3990000000000001E-2</v>
      </c>
      <c r="U2337" s="27">
        <v>-6.5079999999999999E-2</v>
      </c>
      <c r="V2337" s="27">
        <v>0</v>
      </c>
      <c r="W2337" s="27">
        <v>0</v>
      </c>
      <c r="X2337" s="27" t="s">
        <v>931</v>
      </c>
    </row>
    <row r="2338" spans="1:24">
      <c r="A2338" s="27">
        <v>9</v>
      </c>
      <c r="B2338" s="27">
        <v>1</v>
      </c>
      <c r="C2338" s="27">
        <v>3</v>
      </c>
      <c r="D2338" s="27">
        <v>2014</v>
      </c>
      <c r="E2338" s="27">
        <v>2050</v>
      </c>
      <c r="F2338" s="27">
        <v>5</v>
      </c>
      <c r="G2338" s="27">
        <v>0</v>
      </c>
      <c r="H2338" s="27">
        <v>0</v>
      </c>
      <c r="I2338" s="27">
        <v>0</v>
      </c>
      <c r="J2338" s="27">
        <v>0</v>
      </c>
      <c r="K2338" s="27">
        <v>533</v>
      </c>
      <c r="L2338" s="27">
        <v>700</v>
      </c>
      <c r="M2338" s="27">
        <v>650</v>
      </c>
      <c r="N2338" s="27">
        <v>0</v>
      </c>
      <c r="O2338" s="27">
        <v>0</v>
      </c>
      <c r="P2338" s="27" t="s">
        <v>13</v>
      </c>
      <c r="Q2338" s="27">
        <v>1993</v>
      </c>
      <c r="R2338" s="27">
        <v>1</v>
      </c>
      <c r="S2338" s="27">
        <v>0</v>
      </c>
      <c r="T2338" s="27">
        <v>-2.3990000000000001E-2</v>
      </c>
      <c r="U2338" s="27">
        <v>-6.5079999999999999E-2</v>
      </c>
      <c r="V2338" s="27">
        <v>0</v>
      </c>
      <c r="W2338" s="27">
        <v>0</v>
      </c>
      <c r="X2338" s="27" t="s">
        <v>931</v>
      </c>
    </row>
    <row r="2339" spans="1:24">
      <c r="A2339" s="27">
        <v>9</v>
      </c>
      <c r="B2339" s="27">
        <v>1</v>
      </c>
      <c r="C2339" s="27">
        <v>3</v>
      </c>
      <c r="D2339" s="27">
        <v>2014</v>
      </c>
      <c r="E2339" s="27">
        <v>2050</v>
      </c>
      <c r="F2339" s="27">
        <v>6</v>
      </c>
      <c r="G2339" s="27">
        <v>0</v>
      </c>
      <c r="H2339" s="27">
        <v>0</v>
      </c>
      <c r="I2339" s="27">
        <v>0</v>
      </c>
      <c r="J2339" s="27">
        <v>0</v>
      </c>
      <c r="K2339" s="27">
        <v>533</v>
      </c>
      <c r="L2339" s="27">
        <v>700</v>
      </c>
      <c r="M2339" s="27">
        <v>650</v>
      </c>
      <c r="N2339" s="27">
        <v>0</v>
      </c>
      <c r="O2339" s="27">
        <v>0</v>
      </c>
      <c r="P2339" s="27" t="s">
        <v>13</v>
      </c>
      <c r="Q2339" s="27">
        <v>1993</v>
      </c>
      <c r="R2339" s="27">
        <v>1</v>
      </c>
      <c r="S2339" s="27">
        <v>0</v>
      </c>
      <c r="T2339" s="27">
        <v>-2.3990000000000001E-2</v>
      </c>
      <c r="U2339" s="27">
        <v>-6.5079999999999999E-2</v>
      </c>
      <c r="V2339" s="27">
        <v>0</v>
      </c>
      <c r="W2339" s="27">
        <v>0</v>
      </c>
      <c r="X2339" s="27" t="s">
        <v>931</v>
      </c>
    </row>
    <row r="2340" spans="1:24">
      <c r="A2340" s="27">
        <v>9</v>
      </c>
      <c r="B2340" s="27">
        <v>1</v>
      </c>
      <c r="C2340" s="27">
        <v>3</v>
      </c>
      <c r="D2340" s="27">
        <v>2014</v>
      </c>
      <c r="E2340" s="27">
        <v>2050</v>
      </c>
      <c r="F2340" s="27">
        <v>7</v>
      </c>
      <c r="G2340" s="27">
        <v>0</v>
      </c>
      <c r="H2340" s="27">
        <v>0</v>
      </c>
      <c r="I2340" s="27">
        <v>0</v>
      </c>
      <c r="J2340" s="27">
        <v>0</v>
      </c>
      <c r="K2340" s="27">
        <v>533</v>
      </c>
      <c r="L2340" s="27">
        <v>700</v>
      </c>
      <c r="M2340" s="27">
        <v>650</v>
      </c>
      <c r="N2340" s="27">
        <v>0</v>
      </c>
      <c r="O2340" s="27">
        <v>0</v>
      </c>
      <c r="P2340" s="27" t="s">
        <v>13</v>
      </c>
      <c r="Q2340" s="27">
        <v>1993</v>
      </c>
      <c r="R2340" s="27">
        <v>1</v>
      </c>
      <c r="S2340" s="27">
        <v>0</v>
      </c>
      <c r="T2340" s="27">
        <v>-2.3990000000000001E-2</v>
      </c>
      <c r="U2340" s="27">
        <v>-6.5079999999999999E-2</v>
      </c>
      <c r="V2340" s="27">
        <v>0</v>
      </c>
      <c r="W2340" s="27">
        <v>0</v>
      </c>
      <c r="X2340" s="27" t="s">
        <v>931</v>
      </c>
    </row>
    <row r="2341" spans="1:24">
      <c r="A2341" s="27">
        <v>9</v>
      </c>
      <c r="B2341" s="27">
        <v>1</v>
      </c>
      <c r="C2341" s="27">
        <v>3</v>
      </c>
      <c r="D2341" s="27">
        <v>2014</v>
      </c>
      <c r="E2341" s="27">
        <v>2050</v>
      </c>
      <c r="F2341" s="27">
        <v>8</v>
      </c>
      <c r="G2341" s="27">
        <v>0</v>
      </c>
      <c r="H2341" s="27">
        <v>0</v>
      </c>
      <c r="I2341" s="27">
        <v>0</v>
      </c>
      <c r="J2341" s="27">
        <v>0</v>
      </c>
      <c r="K2341" s="27">
        <v>533</v>
      </c>
      <c r="L2341" s="27">
        <v>700</v>
      </c>
      <c r="M2341" s="27">
        <v>650</v>
      </c>
      <c r="N2341" s="27">
        <v>0</v>
      </c>
      <c r="O2341" s="27">
        <v>0</v>
      </c>
      <c r="P2341" s="27" t="s">
        <v>13</v>
      </c>
      <c r="Q2341" s="27">
        <v>1993</v>
      </c>
      <c r="R2341" s="27">
        <v>1</v>
      </c>
      <c r="S2341" s="27">
        <v>0</v>
      </c>
      <c r="T2341" s="27">
        <v>-2.3990000000000001E-2</v>
      </c>
      <c r="U2341" s="27">
        <v>-6.5079999999999999E-2</v>
      </c>
      <c r="V2341" s="27">
        <v>0</v>
      </c>
      <c r="W2341" s="27">
        <v>0</v>
      </c>
      <c r="X2341" s="27" t="s">
        <v>931</v>
      </c>
    </row>
    <row r="2342" spans="1:24">
      <c r="A2342" s="27">
        <v>9</v>
      </c>
      <c r="B2342" s="27">
        <v>1</v>
      </c>
      <c r="C2342" s="27">
        <v>3</v>
      </c>
      <c r="D2342" s="27">
        <v>2014</v>
      </c>
      <c r="E2342" s="27">
        <v>2050</v>
      </c>
      <c r="F2342" s="27">
        <v>9</v>
      </c>
      <c r="G2342" s="27">
        <v>0</v>
      </c>
      <c r="H2342" s="27">
        <v>0</v>
      </c>
      <c r="I2342" s="27">
        <v>0</v>
      </c>
      <c r="J2342" s="27">
        <v>0</v>
      </c>
      <c r="K2342" s="27">
        <v>533</v>
      </c>
      <c r="L2342" s="27">
        <v>700</v>
      </c>
      <c r="M2342" s="27">
        <v>650</v>
      </c>
      <c r="N2342" s="27">
        <v>0</v>
      </c>
      <c r="O2342" s="27">
        <v>0</v>
      </c>
      <c r="P2342" s="27" t="s">
        <v>13</v>
      </c>
      <c r="Q2342" s="27">
        <v>1993</v>
      </c>
      <c r="R2342" s="27">
        <v>1</v>
      </c>
      <c r="S2342" s="27">
        <v>0</v>
      </c>
      <c r="T2342" s="27">
        <v>-2.3990000000000001E-2</v>
      </c>
      <c r="U2342" s="27">
        <v>-6.5079999999999999E-2</v>
      </c>
      <c r="V2342" s="27">
        <v>0</v>
      </c>
      <c r="W2342" s="27">
        <v>0</v>
      </c>
      <c r="X2342" s="27" t="s">
        <v>931</v>
      </c>
    </row>
    <row r="2343" spans="1:24">
      <c r="A2343" s="27">
        <v>9</v>
      </c>
      <c r="B2343" s="27">
        <v>1</v>
      </c>
      <c r="C2343" s="27">
        <v>4</v>
      </c>
      <c r="D2343" s="27">
        <v>2010</v>
      </c>
      <c r="E2343" s="27">
        <v>2013</v>
      </c>
      <c r="F2343" s="27">
        <v>1</v>
      </c>
      <c r="G2343" s="27">
        <v>0</v>
      </c>
      <c r="H2343" s="27">
        <v>0</v>
      </c>
      <c r="I2343" s="27">
        <v>0</v>
      </c>
      <c r="J2343" s="27">
        <v>0</v>
      </c>
      <c r="K2343" s="27">
        <v>533</v>
      </c>
      <c r="L2343" s="27">
        <v>700</v>
      </c>
      <c r="M2343" s="27">
        <v>650</v>
      </c>
      <c r="N2343" s="27">
        <v>0</v>
      </c>
      <c r="O2343" s="27">
        <v>0</v>
      </c>
      <c r="P2343" s="27" t="s">
        <v>13</v>
      </c>
      <c r="Q2343" s="27">
        <v>1993</v>
      </c>
      <c r="R2343" s="27">
        <v>1</v>
      </c>
      <c r="S2343" s="27">
        <v>0</v>
      </c>
      <c r="T2343" s="27">
        <v>-2.3990000000000001E-2</v>
      </c>
      <c r="U2343" s="27">
        <v>-6.5079999999999999E-2</v>
      </c>
      <c r="V2343" s="27">
        <v>0</v>
      </c>
      <c r="W2343" s="27">
        <v>0</v>
      </c>
      <c r="X2343" s="27" t="s">
        <v>932</v>
      </c>
    </row>
    <row r="2344" spans="1:24">
      <c r="A2344" s="27">
        <v>9</v>
      </c>
      <c r="B2344" s="27">
        <v>1</v>
      </c>
      <c r="C2344" s="27">
        <v>4</v>
      </c>
      <c r="D2344" s="27">
        <v>2010</v>
      </c>
      <c r="E2344" s="27">
        <v>2013</v>
      </c>
      <c r="F2344" s="27">
        <v>2</v>
      </c>
      <c r="G2344" s="27">
        <v>0</v>
      </c>
      <c r="H2344" s="27">
        <v>0</v>
      </c>
      <c r="I2344" s="27">
        <v>0</v>
      </c>
      <c r="J2344" s="27">
        <v>0</v>
      </c>
      <c r="K2344" s="27">
        <v>533</v>
      </c>
      <c r="L2344" s="27">
        <v>700</v>
      </c>
      <c r="M2344" s="27">
        <v>650</v>
      </c>
      <c r="N2344" s="27">
        <v>0</v>
      </c>
      <c r="O2344" s="27">
        <v>0</v>
      </c>
      <c r="P2344" s="27" t="s">
        <v>13</v>
      </c>
      <c r="Q2344" s="27">
        <v>1993</v>
      </c>
      <c r="R2344" s="27">
        <v>1</v>
      </c>
      <c r="S2344" s="27">
        <v>0</v>
      </c>
      <c r="T2344" s="27">
        <v>-2.3990000000000001E-2</v>
      </c>
      <c r="U2344" s="27">
        <v>-6.5079999999999999E-2</v>
      </c>
      <c r="V2344" s="27">
        <v>0</v>
      </c>
      <c r="W2344" s="27">
        <v>0</v>
      </c>
      <c r="X2344" s="27" t="s">
        <v>932</v>
      </c>
    </row>
    <row r="2345" spans="1:24">
      <c r="A2345" s="27">
        <v>9</v>
      </c>
      <c r="B2345" s="27">
        <v>1</v>
      </c>
      <c r="C2345" s="27">
        <v>4</v>
      </c>
      <c r="D2345" s="27">
        <v>2010</v>
      </c>
      <c r="E2345" s="27">
        <v>2013</v>
      </c>
      <c r="F2345" s="27">
        <v>3</v>
      </c>
      <c r="G2345" s="27">
        <v>0</v>
      </c>
      <c r="H2345" s="27">
        <v>0</v>
      </c>
      <c r="I2345" s="27">
        <v>0</v>
      </c>
      <c r="J2345" s="27">
        <v>0</v>
      </c>
      <c r="K2345" s="27">
        <v>533</v>
      </c>
      <c r="L2345" s="27">
        <v>700</v>
      </c>
      <c r="M2345" s="27">
        <v>650</v>
      </c>
      <c r="N2345" s="27">
        <v>0</v>
      </c>
      <c r="O2345" s="27">
        <v>0</v>
      </c>
      <c r="P2345" s="27" t="s">
        <v>13</v>
      </c>
      <c r="Q2345" s="27">
        <v>1993</v>
      </c>
      <c r="R2345" s="27">
        <v>1</v>
      </c>
      <c r="S2345" s="27">
        <v>0</v>
      </c>
      <c r="T2345" s="27">
        <v>-2.3990000000000001E-2</v>
      </c>
      <c r="U2345" s="27">
        <v>-6.5079999999999999E-2</v>
      </c>
      <c r="V2345" s="27">
        <v>0</v>
      </c>
      <c r="W2345" s="27">
        <v>0</v>
      </c>
      <c r="X2345" s="27" t="s">
        <v>932</v>
      </c>
    </row>
    <row r="2346" spans="1:24">
      <c r="A2346" s="27">
        <v>9</v>
      </c>
      <c r="B2346" s="27">
        <v>1</v>
      </c>
      <c r="C2346" s="27">
        <v>4</v>
      </c>
      <c r="D2346" s="27">
        <v>2010</v>
      </c>
      <c r="E2346" s="27">
        <v>2013</v>
      </c>
      <c r="F2346" s="27">
        <v>4</v>
      </c>
      <c r="G2346" s="27">
        <v>0</v>
      </c>
      <c r="H2346" s="27">
        <v>0</v>
      </c>
      <c r="I2346" s="27">
        <v>0</v>
      </c>
      <c r="J2346" s="27">
        <v>0</v>
      </c>
      <c r="K2346" s="27">
        <v>533</v>
      </c>
      <c r="L2346" s="27">
        <v>700</v>
      </c>
      <c r="M2346" s="27">
        <v>650</v>
      </c>
      <c r="N2346" s="27">
        <v>0</v>
      </c>
      <c r="O2346" s="27">
        <v>0</v>
      </c>
      <c r="P2346" s="27" t="s">
        <v>13</v>
      </c>
      <c r="Q2346" s="27">
        <v>1993</v>
      </c>
      <c r="R2346" s="27">
        <v>1</v>
      </c>
      <c r="S2346" s="27">
        <v>0</v>
      </c>
      <c r="T2346" s="27">
        <v>-2.3990000000000001E-2</v>
      </c>
      <c r="U2346" s="27">
        <v>-6.5079999999999999E-2</v>
      </c>
      <c r="V2346" s="27">
        <v>0</v>
      </c>
      <c r="W2346" s="27">
        <v>0</v>
      </c>
      <c r="X2346" s="27" t="s">
        <v>932</v>
      </c>
    </row>
    <row r="2347" spans="1:24">
      <c r="A2347" s="27">
        <v>9</v>
      </c>
      <c r="B2347" s="27">
        <v>1</v>
      </c>
      <c r="C2347" s="27">
        <v>4</v>
      </c>
      <c r="D2347" s="27">
        <v>2010</v>
      </c>
      <c r="E2347" s="27">
        <v>2013</v>
      </c>
      <c r="F2347" s="27">
        <v>5</v>
      </c>
      <c r="G2347" s="27">
        <v>0</v>
      </c>
      <c r="H2347" s="27">
        <v>0</v>
      </c>
      <c r="I2347" s="27">
        <v>0</v>
      </c>
      <c r="J2347" s="27">
        <v>0</v>
      </c>
      <c r="K2347" s="27">
        <v>533</v>
      </c>
      <c r="L2347" s="27">
        <v>700</v>
      </c>
      <c r="M2347" s="27">
        <v>650</v>
      </c>
      <c r="N2347" s="27">
        <v>0</v>
      </c>
      <c r="O2347" s="27">
        <v>0</v>
      </c>
      <c r="P2347" s="27" t="s">
        <v>13</v>
      </c>
      <c r="Q2347" s="27">
        <v>1993</v>
      </c>
      <c r="R2347" s="27">
        <v>1</v>
      </c>
      <c r="S2347" s="27">
        <v>0</v>
      </c>
      <c r="T2347" s="27">
        <v>-2.3990000000000001E-2</v>
      </c>
      <c r="U2347" s="27">
        <v>-6.5079999999999999E-2</v>
      </c>
      <c r="V2347" s="27">
        <v>0</v>
      </c>
      <c r="W2347" s="27">
        <v>0</v>
      </c>
      <c r="X2347" s="27" t="s">
        <v>932</v>
      </c>
    </row>
    <row r="2348" spans="1:24">
      <c r="A2348" s="27">
        <v>9</v>
      </c>
      <c r="B2348" s="27">
        <v>1</v>
      </c>
      <c r="C2348" s="27">
        <v>4</v>
      </c>
      <c r="D2348" s="27">
        <v>2010</v>
      </c>
      <c r="E2348" s="27">
        <v>2013</v>
      </c>
      <c r="F2348" s="27">
        <v>6</v>
      </c>
      <c r="G2348" s="27">
        <v>0</v>
      </c>
      <c r="H2348" s="27">
        <v>0</v>
      </c>
      <c r="I2348" s="27">
        <v>0</v>
      </c>
      <c r="J2348" s="27">
        <v>0</v>
      </c>
      <c r="K2348" s="27">
        <v>533</v>
      </c>
      <c r="L2348" s="27">
        <v>700</v>
      </c>
      <c r="M2348" s="27">
        <v>650</v>
      </c>
      <c r="N2348" s="27">
        <v>0</v>
      </c>
      <c r="O2348" s="27">
        <v>0</v>
      </c>
      <c r="P2348" s="27" t="s">
        <v>13</v>
      </c>
      <c r="Q2348" s="27">
        <v>1993</v>
      </c>
      <c r="R2348" s="27">
        <v>1</v>
      </c>
      <c r="S2348" s="27">
        <v>0</v>
      </c>
      <c r="T2348" s="27">
        <v>-2.3990000000000001E-2</v>
      </c>
      <c r="U2348" s="27">
        <v>-6.5079999999999999E-2</v>
      </c>
      <c r="V2348" s="27">
        <v>0</v>
      </c>
      <c r="W2348" s="27">
        <v>0</v>
      </c>
      <c r="X2348" s="27" t="s">
        <v>932</v>
      </c>
    </row>
    <row r="2349" spans="1:24">
      <c r="A2349" s="27">
        <v>9</v>
      </c>
      <c r="B2349" s="27">
        <v>1</v>
      </c>
      <c r="C2349" s="27">
        <v>4</v>
      </c>
      <c r="D2349" s="27">
        <v>2010</v>
      </c>
      <c r="E2349" s="27">
        <v>2013</v>
      </c>
      <c r="F2349" s="27">
        <v>7</v>
      </c>
      <c r="G2349" s="27">
        <v>0</v>
      </c>
      <c r="H2349" s="27">
        <v>0</v>
      </c>
      <c r="I2349" s="27">
        <v>0</v>
      </c>
      <c r="J2349" s="27">
        <v>0</v>
      </c>
      <c r="K2349" s="27">
        <v>533</v>
      </c>
      <c r="L2349" s="27">
        <v>700</v>
      </c>
      <c r="M2349" s="27">
        <v>650</v>
      </c>
      <c r="N2349" s="27">
        <v>0</v>
      </c>
      <c r="O2349" s="27">
        <v>0</v>
      </c>
      <c r="P2349" s="27" t="s">
        <v>13</v>
      </c>
      <c r="Q2349" s="27">
        <v>1993</v>
      </c>
      <c r="R2349" s="27">
        <v>1</v>
      </c>
      <c r="S2349" s="27">
        <v>0</v>
      </c>
      <c r="T2349" s="27">
        <v>-2.3990000000000001E-2</v>
      </c>
      <c r="U2349" s="27">
        <v>-6.5079999999999999E-2</v>
      </c>
      <c r="V2349" s="27">
        <v>0</v>
      </c>
      <c r="W2349" s="27">
        <v>0</v>
      </c>
      <c r="X2349" s="27" t="s">
        <v>932</v>
      </c>
    </row>
    <row r="2350" spans="1:24">
      <c r="A2350" s="27">
        <v>9</v>
      </c>
      <c r="B2350" s="27">
        <v>1</v>
      </c>
      <c r="C2350" s="27">
        <v>4</v>
      </c>
      <c r="D2350" s="27">
        <v>2010</v>
      </c>
      <c r="E2350" s="27">
        <v>2013</v>
      </c>
      <c r="F2350" s="27">
        <v>8</v>
      </c>
      <c r="G2350" s="27">
        <v>0</v>
      </c>
      <c r="H2350" s="27">
        <v>0</v>
      </c>
      <c r="I2350" s="27">
        <v>0</v>
      </c>
      <c r="J2350" s="27">
        <v>0</v>
      </c>
      <c r="K2350" s="27">
        <v>533</v>
      </c>
      <c r="L2350" s="27">
        <v>700</v>
      </c>
      <c r="M2350" s="27">
        <v>650</v>
      </c>
      <c r="N2350" s="27">
        <v>0</v>
      </c>
      <c r="O2350" s="27">
        <v>0</v>
      </c>
      <c r="P2350" s="27" t="s">
        <v>13</v>
      </c>
      <c r="Q2350" s="27">
        <v>1993</v>
      </c>
      <c r="R2350" s="27">
        <v>1</v>
      </c>
      <c r="S2350" s="27">
        <v>0</v>
      </c>
      <c r="T2350" s="27">
        <v>-2.3990000000000001E-2</v>
      </c>
      <c r="U2350" s="27">
        <v>-6.5079999999999999E-2</v>
      </c>
      <c r="V2350" s="27">
        <v>0</v>
      </c>
      <c r="W2350" s="27">
        <v>0</v>
      </c>
      <c r="X2350" s="27" t="s">
        <v>932</v>
      </c>
    </row>
    <row r="2351" spans="1:24">
      <c r="A2351" s="27">
        <v>9</v>
      </c>
      <c r="B2351" s="27">
        <v>1</v>
      </c>
      <c r="C2351" s="27">
        <v>4</v>
      </c>
      <c r="D2351" s="27">
        <v>2010</v>
      </c>
      <c r="E2351" s="27">
        <v>2013</v>
      </c>
      <c r="F2351" s="27">
        <v>9</v>
      </c>
      <c r="G2351" s="27">
        <v>0</v>
      </c>
      <c r="H2351" s="27">
        <v>0</v>
      </c>
      <c r="I2351" s="27">
        <v>0</v>
      </c>
      <c r="J2351" s="27">
        <v>0</v>
      </c>
      <c r="K2351" s="27">
        <v>533</v>
      </c>
      <c r="L2351" s="27">
        <v>700</v>
      </c>
      <c r="M2351" s="27">
        <v>650</v>
      </c>
      <c r="N2351" s="27">
        <v>0</v>
      </c>
      <c r="O2351" s="27">
        <v>0</v>
      </c>
      <c r="P2351" s="27" t="s">
        <v>13</v>
      </c>
      <c r="Q2351" s="27">
        <v>1993</v>
      </c>
      <c r="R2351" s="27">
        <v>1</v>
      </c>
      <c r="S2351" s="27">
        <v>0</v>
      </c>
      <c r="T2351" s="27">
        <v>-2.3990000000000001E-2</v>
      </c>
      <c r="U2351" s="27">
        <v>-6.5079999999999999E-2</v>
      </c>
      <c r="V2351" s="27">
        <v>0</v>
      </c>
      <c r="W2351" s="27">
        <v>0</v>
      </c>
      <c r="X2351" s="27" t="s">
        <v>932</v>
      </c>
    </row>
    <row r="2352" spans="1:24">
      <c r="A2352" s="27">
        <v>9</v>
      </c>
      <c r="B2352" s="27">
        <v>1</v>
      </c>
      <c r="C2352" s="27">
        <v>4</v>
      </c>
      <c r="D2352" s="27">
        <v>2014</v>
      </c>
      <c r="E2352" s="27">
        <v>2050</v>
      </c>
      <c r="F2352" s="27">
        <v>1</v>
      </c>
      <c r="G2352" s="27">
        <v>0</v>
      </c>
      <c r="H2352" s="27">
        <v>0</v>
      </c>
      <c r="I2352" s="27">
        <v>0</v>
      </c>
      <c r="J2352" s="27">
        <v>0</v>
      </c>
      <c r="K2352" s="27">
        <v>455</v>
      </c>
      <c r="L2352" s="27">
        <v>850</v>
      </c>
      <c r="M2352" s="27">
        <v>800</v>
      </c>
      <c r="N2352" s="27">
        <v>0</v>
      </c>
      <c r="O2352" s="27">
        <v>0</v>
      </c>
      <c r="P2352" s="27" t="s">
        <v>13</v>
      </c>
      <c r="Q2352" s="27">
        <v>1993</v>
      </c>
      <c r="R2352" s="27">
        <v>1</v>
      </c>
      <c r="S2352" s="27">
        <v>0</v>
      </c>
      <c r="T2352" s="27">
        <v>-2.3990000000000001E-2</v>
      </c>
      <c r="U2352" s="27">
        <v>-6.5079999999999999E-2</v>
      </c>
      <c r="V2352" s="27">
        <v>0</v>
      </c>
      <c r="W2352" s="27">
        <v>0</v>
      </c>
      <c r="X2352" s="27" t="s">
        <v>932</v>
      </c>
    </row>
    <row r="2353" spans="1:24">
      <c r="A2353" s="27">
        <v>9</v>
      </c>
      <c r="B2353" s="27">
        <v>1</v>
      </c>
      <c r="C2353" s="27">
        <v>4</v>
      </c>
      <c r="D2353" s="27">
        <v>2014</v>
      </c>
      <c r="E2353" s="27">
        <v>2050</v>
      </c>
      <c r="F2353" s="27">
        <v>2</v>
      </c>
      <c r="G2353" s="27">
        <v>0</v>
      </c>
      <c r="H2353" s="27">
        <v>0</v>
      </c>
      <c r="I2353" s="27">
        <v>0</v>
      </c>
      <c r="J2353" s="27">
        <v>0</v>
      </c>
      <c r="K2353" s="27">
        <v>455</v>
      </c>
      <c r="L2353" s="27">
        <v>850</v>
      </c>
      <c r="M2353" s="27">
        <v>800</v>
      </c>
      <c r="N2353" s="27">
        <v>0</v>
      </c>
      <c r="O2353" s="27">
        <v>0</v>
      </c>
      <c r="P2353" s="27" t="s">
        <v>13</v>
      </c>
      <c r="Q2353" s="27">
        <v>1993</v>
      </c>
      <c r="R2353" s="27">
        <v>1</v>
      </c>
      <c r="S2353" s="27">
        <v>0</v>
      </c>
      <c r="T2353" s="27">
        <v>-2.3990000000000001E-2</v>
      </c>
      <c r="U2353" s="27">
        <v>-6.5079999999999999E-2</v>
      </c>
      <c r="V2353" s="27">
        <v>0</v>
      </c>
      <c r="W2353" s="27">
        <v>0</v>
      </c>
      <c r="X2353" s="27" t="s">
        <v>932</v>
      </c>
    </row>
    <row r="2354" spans="1:24">
      <c r="A2354" s="27">
        <v>9</v>
      </c>
      <c r="B2354" s="27">
        <v>1</v>
      </c>
      <c r="C2354" s="27">
        <v>4</v>
      </c>
      <c r="D2354" s="27">
        <v>2014</v>
      </c>
      <c r="E2354" s="27">
        <v>2050</v>
      </c>
      <c r="F2354" s="27">
        <v>3</v>
      </c>
      <c r="G2354" s="27">
        <v>0</v>
      </c>
      <c r="H2354" s="27">
        <v>0</v>
      </c>
      <c r="I2354" s="27">
        <v>0</v>
      </c>
      <c r="J2354" s="27">
        <v>0</v>
      </c>
      <c r="K2354" s="27">
        <v>455</v>
      </c>
      <c r="L2354" s="27">
        <v>850</v>
      </c>
      <c r="M2354" s="27">
        <v>800</v>
      </c>
      <c r="N2354" s="27">
        <v>0</v>
      </c>
      <c r="O2354" s="27">
        <v>0</v>
      </c>
      <c r="P2354" s="27" t="s">
        <v>13</v>
      </c>
      <c r="Q2354" s="27">
        <v>1993</v>
      </c>
      <c r="R2354" s="27">
        <v>1</v>
      </c>
      <c r="S2354" s="27">
        <v>0</v>
      </c>
      <c r="T2354" s="27">
        <v>-2.3990000000000001E-2</v>
      </c>
      <c r="U2354" s="27">
        <v>-6.5079999999999999E-2</v>
      </c>
      <c r="V2354" s="27">
        <v>0</v>
      </c>
      <c r="W2354" s="27">
        <v>0</v>
      </c>
      <c r="X2354" s="27" t="s">
        <v>932</v>
      </c>
    </row>
    <row r="2355" spans="1:24">
      <c r="A2355" s="27">
        <v>9</v>
      </c>
      <c r="B2355" s="27">
        <v>1</v>
      </c>
      <c r="C2355" s="27">
        <v>4</v>
      </c>
      <c r="D2355" s="27">
        <v>2014</v>
      </c>
      <c r="E2355" s="27">
        <v>2050</v>
      </c>
      <c r="F2355" s="27">
        <v>4</v>
      </c>
      <c r="G2355" s="27">
        <v>0</v>
      </c>
      <c r="H2355" s="27">
        <v>0</v>
      </c>
      <c r="I2355" s="27">
        <v>0</v>
      </c>
      <c r="J2355" s="27">
        <v>0</v>
      </c>
      <c r="K2355" s="27">
        <v>455</v>
      </c>
      <c r="L2355" s="27">
        <v>850</v>
      </c>
      <c r="M2355" s="27">
        <v>800</v>
      </c>
      <c r="N2355" s="27">
        <v>0</v>
      </c>
      <c r="O2355" s="27">
        <v>0</v>
      </c>
      <c r="P2355" s="27" t="s">
        <v>13</v>
      </c>
      <c r="Q2355" s="27">
        <v>1993</v>
      </c>
      <c r="R2355" s="27">
        <v>1</v>
      </c>
      <c r="S2355" s="27">
        <v>0</v>
      </c>
      <c r="T2355" s="27">
        <v>-2.3990000000000001E-2</v>
      </c>
      <c r="U2355" s="27">
        <v>-6.5079999999999999E-2</v>
      </c>
      <c r="V2355" s="27">
        <v>0</v>
      </c>
      <c r="W2355" s="27">
        <v>0</v>
      </c>
      <c r="X2355" s="27" t="s">
        <v>932</v>
      </c>
    </row>
    <row r="2356" spans="1:24">
      <c r="A2356" s="27">
        <v>9</v>
      </c>
      <c r="B2356" s="27">
        <v>1</v>
      </c>
      <c r="C2356" s="27">
        <v>4</v>
      </c>
      <c r="D2356" s="27">
        <v>2014</v>
      </c>
      <c r="E2356" s="27">
        <v>2050</v>
      </c>
      <c r="F2356" s="27">
        <v>5</v>
      </c>
      <c r="G2356" s="27">
        <v>0</v>
      </c>
      <c r="H2356" s="27">
        <v>0</v>
      </c>
      <c r="I2356" s="27">
        <v>0</v>
      </c>
      <c r="J2356" s="27">
        <v>0</v>
      </c>
      <c r="K2356" s="27">
        <v>455</v>
      </c>
      <c r="L2356" s="27">
        <v>850</v>
      </c>
      <c r="M2356" s="27">
        <v>800</v>
      </c>
      <c r="N2356" s="27">
        <v>0</v>
      </c>
      <c r="O2356" s="27">
        <v>0</v>
      </c>
      <c r="P2356" s="27" t="s">
        <v>13</v>
      </c>
      <c r="Q2356" s="27">
        <v>1993</v>
      </c>
      <c r="R2356" s="27">
        <v>1</v>
      </c>
      <c r="S2356" s="27">
        <v>0</v>
      </c>
      <c r="T2356" s="27">
        <v>-2.3990000000000001E-2</v>
      </c>
      <c r="U2356" s="27">
        <v>-6.5079999999999999E-2</v>
      </c>
      <c r="V2356" s="27">
        <v>0</v>
      </c>
      <c r="W2356" s="27">
        <v>0</v>
      </c>
      <c r="X2356" s="27" t="s">
        <v>932</v>
      </c>
    </row>
    <row r="2357" spans="1:24">
      <c r="A2357" s="27">
        <v>9</v>
      </c>
      <c r="B2357" s="27">
        <v>1</v>
      </c>
      <c r="C2357" s="27">
        <v>4</v>
      </c>
      <c r="D2357" s="27">
        <v>2014</v>
      </c>
      <c r="E2357" s="27">
        <v>2050</v>
      </c>
      <c r="F2357" s="27">
        <v>6</v>
      </c>
      <c r="G2357" s="27">
        <v>0</v>
      </c>
      <c r="H2357" s="27">
        <v>0</v>
      </c>
      <c r="I2357" s="27">
        <v>0</v>
      </c>
      <c r="J2357" s="27">
        <v>0</v>
      </c>
      <c r="K2357" s="27">
        <v>455</v>
      </c>
      <c r="L2357" s="27">
        <v>850</v>
      </c>
      <c r="M2357" s="27">
        <v>800</v>
      </c>
      <c r="N2357" s="27">
        <v>0</v>
      </c>
      <c r="O2357" s="27">
        <v>0</v>
      </c>
      <c r="P2357" s="27" t="s">
        <v>13</v>
      </c>
      <c r="Q2357" s="27">
        <v>1993</v>
      </c>
      <c r="R2357" s="27">
        <v>1</v>
      </c>
      <c r="S2357" s="27">
        <v>0</v>
      </c>
      <c r="T2357" s="27">
        <v>-2.3990000000000001E-2</v>
      </c>
      <c r="U2357" s="27">
        <v>-6.5079999999999999E-2</v>
      </c>
      <c r="V2357" s="27">
        <v>0</v>
      </c>
      <c r="W2357" s="27">
        <v>0</v>
      </c>
      <c r="X2357" s="27" t="s">
        <v>932</v>
      </c>
    </row>
    <row r="2358" spans="1:24">
      <c r="A2358" s="27">
        <v>9</v>
      </c>
      <c r="B2358" s="27">
        <v>1</v>
      </c>
      <c r="C2358" s="27">
        <v>4</v>
      </c>
      <c r="D2358" s="27">
        <v>2014</v>
      </c>
      <c r="E2358" s="27">
        <v>2050</v>
      </c>
      <c r="F2358" s="27">
        <v>7</v>
      </c>
      <c r="G2358" s="27">
        <v>0</v>
      </c>
      <c r="H2358" s="27">
        <v>0</v>
      </c>
      <c r="I2358" s="27">
        <v>0</v>
      </c>
      <c r="J2358" s="27">
        <v>0</v>
      </c>
      <c r="K2358" s="27">
        <v>455</v>
      </c>
      <c r="L2358" s="27">
        <v>850</v>
      </c>
      <c r="M2358" s="27">
        <v>800</v>
      </c>
      <c r="N2358" s="27">
        <v>0</v>
      </c>
      <c r="O2358" s="27">
        <v>0</v>
      </c>
      <c r="P2358" s="27" t="s">
        <v>13</v>
      </c>
      <c r="Q2358" s="27">
        <v>1993</v>
      </c>
      <c r="R2358" s="27">
        <v>1</v>
      </c>
      <c r="S2358" s="27">
        <v>0</v>
      </c>
      <c r="T2358" s="27">
        <v>-2.3990000000000001E-2</v>
      </c>
      <c r="U2358" s="27">
        <v>-6.5079999999999999E-2</v>
      </c>
      <c r="V2358" s="27">
        <v>0</v>
      </c>
      <c r="W2358" s="27">
        <v>0</v>
      </c>
      <c r="X2358" s="27" t="s">
        <v>932</v>
      </c>
    </row>
    <row r="2359" spans="1:24">
      <c r="A2359" s="27">
        <v>9</v>
      </c>
      <c r="B2359" s="27">
        <v>1</v>
      </c>
      <c r="C2359" s="27">
        <v>4</v>
      </c>
      <c r="D2359" s="27">
        <v>2014</v>
      </c>
      <c r="E2359" s="27">
        <v>2050</v>
      </c>
      <c r="F2359" s="27">
        <v>8</v>
      </c>
      <c r="G2359" s="27">
        <v>0</v>
      </c>
      <c r="H2359" s="27">
        <v>0</v>
      </c>
      <c r="I2359" s="27">
        <v>0</v>
      </c>
      <c r="J2359" s="27">
        <v>0</v>
      </c>
      <c r="K2359" s="27">
        <v>455</v>
      </c>
      <c r="L2359" s="27">
        <v>850</v>
      </c>
      <c r="M2359" s="27">
        <v>800</v>
      </c>
      <c r="N2359" s="27">
        <v>0</v>
      </c>
      <c r="O2359" s="27">
        <v>0</v>
      </c>
      <c r="P2359" s="27" t="s">
        <v>13</v>
      </c>
      <c r="Q2359" s="27">
        <v>1993</v>
      </c>
      <c r="R2359" s="27">
        <v>1</v>
      </c>
      <c r="S2359" s="27">
        <v>0</v>
      </c>
      <c r="T2359" s="27">
        <v>-2.3990000000000001E-2</v>
      </c>
      <c r="U2359" s="27">
        <v>-6.5079999999999999E-2</v>
      </c>
      <c r="V2359" s="27">
        <v>0</v>
      </c>
      <c r="W2359" s="27">
        <v>0</v>
      </c>
      <c r="X2359" s="27" t="s">
        <v>932</v>
      </c>
    </row>
    <row r="2360" spans="1:24">
      <c r="A2360" s="27">
        <v>9</v>
      </c>
      <c r="B2360" s="27">
        <v>1</v>
      </c>
      <c r="C2360" s="27">
        <v>4</v>
      </c>
      <c r="D2360" s="27">
        <v>2014</v>
      </c>
      <c r="E2360" s="27">
        <v>2050</v>
      </c>
      <c r="F2360" s="27">
        <v>9</v>
      </c>
      <c r="G2360" s="27">
        <v>0</v>
      </c>
      <c r="H2360" s="27">
        <v>0</v>
      </c>
      <c r="I2360" s="27">
        <v>0</v>
      </c>
      <c r="J2360" s="27">
        <v>0</v>
      </c>
      <c r="K2360" s="27">
        <v>455</v>
      </c>
      <c r="L2360" s="27">
        <v>850</v>
      </c>
      <c r="M2360" s="27">
        <v>800</v>
      </c>
      <c r="N2360" s="27">
        <v>0</v>
      </c>
      <c r="O2360" s="27">
        <v>0</v>
      </c>
      <c r="P2360" s="27" t="s">
        <v>13</v>
      </c>
      <c r="Q2360" s="27">
        <v>1993</v>
      </c>
      <c r="R2360" s="27">
        <v>1</v>
      </c>
      <c r="S2360" s="27">
        <v>0</v>
      </c>
      <c r="T2360" s="27">
        <v>-2.3990000000000001E-2</v>
      </c>
      <c r="U2360" s="27">
        <v>-6.5079999999999999E-2</v>
      </c>
      <c r="V2360" s="27">
        <v>0</v>
      </c>
      <c r="W2360" s="27">
        <v>0</v>
      </c>
      <c r="X2360" s="27" t="s">
        <v>932</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55"/>
  <sheetViews>
    <sheetView workbookViewId="0">
      <selection activeCell="R107" sqref="R107"/>
    </sheetView>
  </sheetViews>
  <sheetFormatPr defaultColWidth="9.28515625" defaultRowHeight="12.75"/>
  <cols>
    <col min="1" max="1" width="27.5703125" style="18" customWidth="1"/>
    <col min="2" max="2" width="10.28515625" style="18" bestFit="1" customWidth="1"/>
    <col min="3" max="16384" width="9.28515625" style="18"/>
  </cols>
  <sheetData>
    <row r="1" spans="1:11" s="20" customFormat="1" ht="11.25">
      <c r="A1" s="31" t="s">
        <v>82</v>
      </c>
      <c r="G1" s="262"/>
      <c r="H1" s="262"/>
      <c r="I1" s="262"/>
      <c r="J1" s="262"/>
      <c r="K1" s="263"/>
    </row>
    <row r="2" spans="1:11" s="20" customFormat="1" ht="11.25">
      <c r="A2" s="20" t="s">
        <v>98</v>
      </c>
      <c r="B2" s="20">
        <v>24</v>
      </c>
      <c r="G2" s="262"/>
      <c r="H2" s="262"/>
      <c r="I2" s="262"/>
      <c r="J2" s="262"/>
      <c r="K2" s="263"/>
    </row>
    <row r="3" spans="1:11" s="20" customFormat="1" ht="11.25">
      <c r="A3" s="20" t="s">
        <v>99</v>
      </c>
      <c r="B3" s="20">
        <v>365</v>
      </c>
      <c r="E3" s="264"/>
      <c r="F3" s="264"/>
      <c r="G3" s="262"/>
      <c r="H3" s="262"/>
      <c r="I3" s="262"/>
      <c r="J3" s="262"/>
      <c r="K3" s="263"/>
    </row>
    <row r="4" spans="1:11" s="20" customFormat="1" ht="11.25">
      <c r="A4" s="20" t="s">
        <v>83</v>
      </c>
      <c r="B4" s="20">
        <v>1055.056</v>
      </c>
      <c r="E4" s="264"/>
      <c r="F4" s="264"/>
      <c r="G4" s="262"/>
      <c r="H4" s="262"/>
      <c r="I4" s="262"/>
      <c r="J4" s="262"/>
      <c r="K4" s="263"/>
    </row>
    <row r="5" spans="1:11" s="20" customFormat="1" ht="11.25">
      <c r="A5" s="20" t="s">
        <v>87</v>
      </c>
      <c r="B5" s="20">
        <v>3.4119999999999999</v>
      </c>
      <c r="E5" s="264"/>
      <c r="F5" s="264"/>
      <c r="G5" s="262"/>
      <c r="H5" s="262"/>
      <c r="I5" s="262"/>
      <c r="J5" s="262"/>
      <c r="K5" s="263"/>
    </row>
    <row r="6" spans="1:11" s="20" customFormat="1" ht="11.25">
      <c r="A6" s="20" t="s">
        <v>85</v>
      </c>
      <c r="B6" s="254">
        <f>1000000000000000</f>
        <v>1000000000000000</v>
      </c>
    </row>
    <row r="7" spans="1:11" s="20" customFormat="1" ht="11.25">
      <c r="A7" s="20" t="s">
        <v>88</v>
      </c>
      <c r="B7" s="254">
        <f>1000000</f>
        <v>1000000</v>
      </c>
    </row>
    <row r="8" spans="1:11" s="20" customFormat="1" ht="11.25">
      <c r="A8" s="255" t="s">
        <v>100</v>
      </c>
      <c r="B8" s="256">
        <f>1000000000000</f>
        <v>1000000000000</v>
      </c>
    </row>
    <row r="9" spans="1:11" s="20" customFormat="1" ht="11.25">
      <c r="A9" s="255" t="s">
        <v>101</v>
      </c>
      <c r="B9" s="256">
        <f>1000000000</f>
        <v>1000000000</v>
      </c>
    </row>
    <row r="10" spans="1:11" s="20" customFormat="1" ht="11.25">
      <c r="A10" s="20" t="s">
        <v>89</v>
      </c>
      <c r="B10" s="20">
        <v>2.7780000000000001E-7</v>
      </c>
      <c r="F10" s="257"/>
    </row>
    <row r="11" spans="1:11" s="20" customFormat="1" ht="11.25" customHeight="1">
      <c r="A11" s="20" t="s">
        <v>84</v>
      </c>
      <c r="B11" s="254">
        <v>1000000</v>
      </c>
      <c r="F11" s="257"/>
    </row>
    <row r="12" spans="1:11" s="20" customFormat="1" ht="11.25">
      <c r="A12" s="20" t="s">
        <v>86</v>
      </c>
      <c r="B12" s="254">
        <v>1000000</v>
      </c>
    </row>
    <row r="13" spans="1:11" s="20" customFormat="1" ht="11.25">
      <c r="A13" s="20" t="s">
        <v>118</v>
      </c>
      <c r="B13" s="20">
        <v>1.054</v>
      </c>
    </row>
    <row r="14" spans="1:11" s="20" customFormat="1" ht="11.25">
      <c r="A14" s="20" t="s">
        <v>851</v>
      </c>
      <c r="B14" s="20">
        <v>2</v>
      </c>
      <c r="C14" s="20" t="s">
        <v>852</v>
      </c>
    </row>
    <row r="15" spans="1:11" s="20" customFormat="1" ht="11.25">
      <c r="A15" s="20" t="s">
        <v>105</v>
      </c>
      <c r="B15" s="20">
        <v>1055</v>
      </c>
    </row>
    <row r="17" spans="1:6">
      <c r="A17" s="144" t="s">
        <v>123</v>
      </c>
      <c r="B17" s="144">
        <f>10^(15)/1055</f>
        <v>947867298578.1991</v>
      </c>
      <c r="C17" s="144" t="s">
        <v>122</v>
      </c>
    </row>
    <row r="18" spans="1:6">
      <c r="A18" s="144"/>
      <c r="B18" s="144"/>
      <c r="C18" s="144"/>
    </row>
    <row r="19" spans="1:6">
      <c r="A19" s="144"/>
      <c r="B19" s="144"/>
      <c r="C19" s="144"/>
    </row>
    <row r="20" spans="1:6">
      <c r="A20" s="265" t="s">
        <v>107</v>
      </c>
      <c r="B20" s="258"/>
      <c r="C20" s="258"/>
      <c r="D20" s="260"/>
      <c r="E20" s="260"/>
      <c r="F20" s="260"/>
    </row>
    <row r="21" spans="1:6">
      <c r="A21" s="258" t="s">
        <v>1103</v>
      </c>
      <c r="B21" s="258"/>
      <c r="C21" s="258"/>
      <c r="D21" s="260"/>
      <c r="E21" s="260"/>
      <c r="F21" s="260"/>
    </row>
    <row r="22" spans="1:6">
      <c r="A22" s="258" t="s">
        <v>998</v>
      </c>
      <c r="B22" s="258"/>
      <c r="C22" s="258"/>
      <c r="D22" s="260"/>
      <c r="E22" s="260"/>
      <c r="F22" s="260"/>
    </row>
    <row r="23" spans="1:6">
      <c r="A23" s="266" t="s">
        <v>999</v>
      </c>
      <c r="B23" s="258"/>
      <c r="C23" s="258"/>
      <c r="D23" s="260"/>
      <c r="E23" s="260"/>
      <c r="F23" s="260"/>
    </row>
    <row r="24" spans="1:6">
      <c r="A24" s="17" t="s">
        <v>1104</v>
      </c>
      <c r="B24" s="258"/>
      <c r="C24" s="258"/>
      <c r="D24" s="260"/>
      <c r="E24" s="260"/>
      <c r="F24" s="260"/>
    </row>
    <row r="25" spans="1:6">
      <c r="A25" s="258" t="s">
        <v>12</v>
      </c>
      <c r="B25" s="258" t="s">
        <v>108</v>
      </c>
      <c r="C25" s="258" t="s">
        <v>1105</v>
      </c>
      <c r="D25" s="260"/>
      <c r="E25" s="260"/>
      <c r="F25" s="260"/>
    </row>
    <row r="26" spans="1:6">
      <c r="A26" s="127" t="s">
        <v>1106</v>
      </c>
      <c r="B26" s="127">
        <v>53.622999999999998</v>
      </c>
      <c r="C26" s="259">
        <f>$B$48/B26</f>
        <v>1.7155138653189863</v>
      </c>
      <c r="D26" s="260"/>
      <c r="E26" s="260"/>
      <c r="F26" s="260"/>
    </row>
    <row r="27" spans="1:6">
      <c r="A27" s="127" t="s">
        <v>1107</v>
      </c>
      <c r="B27" s="127">
        <v>55.524999999999999</v>
      </c>
      <c r="C27" s="259">
        <f t="shared" ref="C27:C55" si="0">$B$48/B27</f>
        <v>1.6567492120666367</v>
      </c>
      <c r="D27" s="260"/>
      <c r="E27" s="260"/>
    </row>
    <row r="28" spans="1:6">
      <c r="A28" s="127" t="s">
        <v>1108</v>
      </c>
      <c r="B28" s="127">
        <v>57.302</v>
      </c>
      <c r="C28" s="259">
        <f t="shared" si="0"/>
        <v>1.6053715402603748</v>
      </c>
      <c r="D28" s="260"/>
      <c r="E28" s="260"/>
    </row>
    <row r="29" spans="1:6">
      <c r="A29" s="127" t="s">
        <v>1109</v>
      </c>
      <c r="B29" s="127">
        <v>58.457999999999998</v>
      </c>
      <c r="C29" s="259">
        <f t="shared" si="0"/>
        <v>1.5736255089123816</v>
      </c>
      <c r="D29" s="260"/>
      <c r="E29" s="260"/>
    </row>
    <row r="30" spans="1:6">
      <c r="A30" s="127" t="s">
        <v>1110</v>
      </c>
      <c r="B30" s="127">
        <v>59.948999999999998</v>
      </c>
      <c r="C30" s="259">
        <f t="shared" si="0"/>
        <v>1.5344876478339922</v>
      </c>
      <c r="D30" s="260"/>
      <c r="E30" s="260"/>
    </row>
    <row r="31" spans="1:6">
      <c r="A31" s="127" t="s">
        <v>1111</v>
      </c>
      <c r="B31" s="127">
        <v>62.048000000000002</v>
      </c>
      <c r="C31" s="259">
        <f t="shared" si="0"/>
        <v>1.4825780041258381</v>
      </c>
      <c r="D31" s="260"/>
      <c r="E31" s="260"/>
    </row>
    <row r="32" spans="1:6">
      <c r="A32" s="127" t="s">
        <v>1112</v>
      </c>
      <c r="B32" s="127">
        <v>64.459999999999994</v>
      </c>
      <c r="C32" s="259">
        <f t="shared" si="0"/>
        <v>1.4271020788085635</v>
      </c>
      <c r="D32" s="260"/>
      <c r="E32" s="260"/>
    </row>
    <row r="33" spans="1:6">
      <c r="A33" s="127" t="s">
        <v>1113</v>
      </c>
      <c r="B33" s="127">
        <v>66.844999999999999</v>
      </c>
      <c r="C33" s="259">
        <f t="shared" si="0"/>
        <v>1.3761837085795496</v>
      </c>
      <c r="D33" s="261"/>
      <c r="E33" s="261"/>
      <c r="F33" s="260"/>
    </row>
    <row r="34" spans="1:6">
      <c r="A34" s="127" t="s">
        <v>1114</v>
      </c>
      <c r="B34" s="127">
        <v>69.069000000000003</v>
      </c>
      <c r="C34" s="259">
        <f t="shared" si="0"/>
        <v>1.3318710275232013</v>
      </c>
      <c r="D34" s="261"/>
      <c r="E34" s="261"/>
      <c r="F34" s="260"/>
    </row>
    <row r="35" spans="1:6">
      <c r="A35" s="127" t="s">
        <v>1115</v>
      </c>
      <c r="B35" s="127">
        <v>70.644000000000005</v>
      </c>
      <c r="C35" s="259">
        <f t="shared" si="0"/>
        <v>1.3021771134137363</v>
      </c>
      <c r="D35" s="261"/>
      <c r="E35" s="261"/>
      <c r="F35" s="260"/>
    </row>
    <row r="36" spans="1:6">
      <c r="A36" s="127" t="s">
        <v>1116</v>
      </c>
      <c r="B36" s="127">
        <v>72.325000000000003</v>
      </c>
      <c r="C36" s="259">
        <f t="shared" si="0"/>
        <v>1.2719115105426892</v>
      </c>
      <c r="D36" s="261"/>
      <c r="E36" s="261"/>
      <c r="F36" s="260"/>
    </row>
    <row r="37" spans="1:6">
      <c r="A37" s="127" t="s">
        <v>1117</v>
      </c>
      <c r="B37" s="127">
        <v>73.864999999999995</v>
      </c>
      <c r="C37" s="259">
        <f t="shared" si="0"/>
        <v>1.2453936235023355</v>
      </c>
      <c r="D37" s="261"/>
      <c r="E37" s="261"/>
      <c r="F37" s="260"/>
    </row>
    <row r="38" spans="1:6">
      <c r="A38" s="127" t="s">
        <v>1118</v>
      </c>
      <c r="B38" s="127">
        <v>75.406000000000006</v>
      </c>
      <c r="C38" s="259">
        <f t="shared" si="0"/>
        <v>1.2199427101291673</v>
      </c>
      <c r="D38" s="261"/>
      <c r="E38" s="261"/>
      <c r="F38" s="260"/>
    </row>
    <row r="39" spans="1:6">
      <c r="A39" s="127" t="s">
        <v>1119</v>
      </c>
      <c r="B39" s="127">
        <v>76.783000000000001</v>
      </c>
      <c r="C39" s="259">
        <f t="shared" si="0"/>
        <v>1.1980646757745854</v>
      </c>
      <c r="D39" s="261"/>
      <c r="E39" s="261"/>
      <c r="F39" s="260"/>
    </row>
    <row r="40" spans="1:6">
      <c r="A40" s="127" t="s">
        <v>1120</v>
      </c>
      <c r="B40" s="127">
        <v>78.096000000000004</v>
      </c>
      <c r="C40" s="259">
        <f t="shared" si="0"/>
        <v>1.1779220446629788</v>
      </c>
      <c r="D40" s="261"/>
      <c r="E40" s="261"/>
      <c r="F40" s="260"/>
    </row>
    <row r="41" spans="1:6">
      <c r="A41" s="127" t="s">
        <v>1121</v>
      </c>
      <c r="B41" s="127">
        <v>78.944000000000003</v>
      </c>
      <c r="C41" s="259">
        <f t="shared" si="0"/>
        <v>1.1652690514795299</v>
      </c>
      <c r="D41" s="261"/>
      <c r="E41" s="261"/>
      <c r="F41" s="260"/>
    </row>
    <row r="42" spans="1:6">
      <c r="A42" s="127" t="s">
        <v>1122</v>
      </c>
      <c r="B42" s="127">
        <v>80.070999999999998</v>
      </c>
      <c r="C42" s="259">
        <f t="shared" si="0"/>
        <v>1.148867879756716</v>
      </c>
      <c r="D42" s="261"/>
      <c r="E42" s="261"/>
      <c r="F42" s="260"/>
    </row>
    <row r="43" spans="1:6">
      <c r="A43" s="127" t="s">
        <v>1123</v>
      </c>
      <c r="B43" s="127">
        <v>81.891000000000005</v>
      </c>
      <c r="C43" s="259">
        <f t="shared" si="0"/>
        <v>1.123334676582286</v>
      </c>
      <c r="D43" s="261"/>
      <c r="E43" s="261"/>
      <c r="F43" s="260"/>
    </row>
    <row r="44" spans="1:6">
      <c r="A44" s="127" t="s">
        <v>1124</v>
      </c>
      <c r="B44" s="127">
        <v>83.766000000000005</v>
      </c>
      <c r="C44" s="259">
        <f t="shared" si="0"/>
        <v>1.0981901964997731</v>
      </c>
      <c r="D44" s="261"/>
      <c r="E44" s="261"/>
      <c r="F44" s="260"/>
    </row>
    <row r="45" spans="1:6">
      <c r="A45" s="127" t="s">
        <v>1125</v>
      </c>
      <c r="B45" s="127">
        <v>85.054000000000002</v>
      </c>
      <c r="C45" s="259">
        <f t="shared" si="0"/>
        <v>1.0815599501493169</v>
      </c>
      <c r="D45" s="261"/>
      <c r="E45" s="261"/>
      <c r="F45" s="260"/>
    </row>
    <row r="46" spans="1:6">
      <c r="A46" s="127" t="s">
        <v>1126</v>
      </c>
      <c r="B46" s="127">
        <v>86.754000000000005</v>
      </c>
      <c r="C46" s="259">
        <f t="shared" si="0"/>
        <v>1.0603660926297347</v>
      </c>
      <c r="D46" s="261"/>
      <c r="E46" s="261"/>
      <c r="F46" s="260"/>
    </row>
    <row r="47" spans="1:6">
      <c r="A47" s="127" t="s">
        <v>1127</v>
      </c>
      <c r="B47" s="127">
        <v>89.132000000000005</v>
      </c>
      <c r="C47" s="259">
        <f t="shared" si="0"/>
        <v>1.0320760220796121</v>
      </c>
      <c r="D47" s="261"/>
      <c r="E47" s="261"/>
      <c r="F47" s="260"/>
    </row>
    <row r="48" spans="1:6">
      <c r="A48" s="127" t="s">
        <v>488</v>
      </c>
      <c r="B48" s="127">
        <v>91.991</v>
      </c>
      <c r="C48" s="259">
        <f t="shared" si="0"/>
        <v>1</v>
      </c>
      <c r="D48" s="261"/>
      <c r="E48" s="261"/>
      <c r="F48" s="260"/>
    </row>
    <row r="49" spans="1:6">
      <c r="A49" s="127" t="s">
        <v>1128</v>
      </c>
      <c r="B49" s="127">
        <v>94.817999999999998</v>
      </c>
      <c r="C49" s="259">
        <f t="shared" si="0"/>
        <v>0.97018498597312752</v>
      </c>
      <c r="D49" s="261"/>
      <c r="E49" s="261"/>
      <c r="F49" s="260"/>
    </row>
    <row r="50" spans="1:6">
      <c r="A50" s="127" t="s">
        <v>1129</v>
      </c>
      <c r="B50" s="127">
        <v>97.334999999999994</v>
      </c>
      <c r="C50" s="259">
        <f t="shared" si="0"/>
        <v>0.94509683053372384</v>
      </c>
      <c r="D50" s="261"/>
      <c r="E50" s="261"/>
      <c r="F50" s="260"/>
    </row>
    <row r="51" spans="1:6">
      <c r="A51" s="127" t="s">
        <v>1130</v>
      </c>
      <c r="B51" s="127">
        <v>99.236000000000004</v>
      </c>
      <c r="C51" s="259">
        <f t="shared" si="0"/>
        <v>0.92699222056511743</v>
      </c>
      <c r="D51" s="261"/>
      <c r="E51" s="261"/>
      <c r="F51" s="260"/>
    </row>
    <row r="52" spans="1:6">
      <c r="A52" s="127" t="s">
        <v>1131</v>
      </c>
      <c r="B52" s="127">
        <v>100</v>
      </c>
      <c r="C52" s="259">
        <f t="shared" si="0"/>
        <v>0.91991000000000001</v>
      </c>
      <c r="D52" s="261"/>
      <c r="E52" s="261"/>
      <c r="F52" s="260"/>
    </row>
    <row r="53" spans="1:6">
      <c r="A53" s="127" t="s">
        <v>489</v>
      </c>
      <c r="B53" s="127">
        <v>101.211</v>
      </c>
      <c r="C53" s="259">
        <f t="shared" si="0"/>
        <v>0.90890318246040447</v>
      </c>
    </row>
    <row r="54" spans="1:6">
      <c r="A54" s="127" t="s">
        <v>1132</v>
      </c>
      <c r="B54" s="127">
        <v>103.199</v>
      </c>
      <c r="C54" s="259">
        <f t="shared" si="0"/>
        <v>0.89139429645636103</v>
      </c>
    </row>
    <row r="55" spans="1:6">
      <c r="A55" s="127" t="s">
        <v>1133</v>
      </c>
      <c r="B55" s="127">
        <v>105.002</v>
      </c>
      <c r="C55" s="259">
        <f t="shared" si="0"/>
        <v>0.87608807451286641</v>
      </c>
    </row>
  </sheetData>
  <phoneticPr fontId="14" type="noConversion"/>
  <hyperlinks>
    <hyperlink ref="A23" r:id="rId1" xr:uid="{00000000-0004-0000-2F00-000000000000}"/>
  </hyperlinks>
  <pageMargins left="0.75" right="0.75" top="1" bottom="1" header="0.5" footer="0.5"/>
  <pageSetup orientation="portrait" r:id="rId2"/>
  <headerFooter alignWithMargins="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20"/>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cols>
    <col min="1" max="1" width="10.42578125" customWidth="1"/>
    <col min="2" max="2" width="11.5703125" customWidth="1"/>
    <col min="3" max="3" width="17.5703125" customWidth="1"/>
    <col min="4" max="4" width="5.7109375" customWidth="1"/>
    <col min="5" max="5" width="10.28515625" customWidth="1"/>
  </cols>
  <sheetData>
    <row r="1" spans="1:5">
      <c r="A1" s="1" t="s">
        <v>342</v>
      </c>
      <c r="B1" s="2"/>
    </row>
    <row r="4" spans="1:5" ht="17.25" customHeight="1"/>
    <row r="5" spans="1:5" ht="18" customHeight="1"/>
    <row r="6" spans="1:5" ht="17.25" customHeight="1"/>
    <row r="7" spans="1:5" ht="15.75" customHeight="1">
      <c r="B7" s="1" t="s">
        <v>335</v>
      </c>
      <c r="C7" s="1" t="s">
        <v>336</v>
      </c>
      <c r="D7" s="1" t="s">
        <v>332</v>
      </c>
      <c r="E7" s="1" t="s">
        <v>330</v>
      </c>
    </row>
    <row r="8" spans="1:5">
      <c r="B8" s="3"/>
      <c r="E8" s="3"/>
    </row>
    <row r="9" spans="1:5">
      <c r="B9" s="8"/>
      <c r="E9" s="3"/>
    </row>
    <row r="10" spans="1:5">
      <c r="B10" s="8"/>
      <c r="E10" s="3"/>
    </row>
    <row r="11" spans="1:5">
      <c r="B11" s="8"/>
      <c r="E11" s="3"/>
    </row>
    <row r="14" spans="1:5">
      <c r="A14" s="1"/>
    </row>
    <row r="18" spans="1:5">
      <c r="A18" s="1"/>
      <c r="B18" s="1"/>
      <c r="C18" s="1"/>
      <c r="D18" s="1"/>
      <c r="E18" s="1"/>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70662" r:id="rId4" name="cmdRefreshUnits">
          <controlPr defaultSize="0" autoLine="0" r:id="rId5">
            <anchor moveWithCells="1">
              <from>
                <xdr:col>2</xdr:col>
                <xdr:colOff>1009650</xdr:colOff>
                <xdr:row>2</xdr:row>
                <xdr:rowOff>28575</xdr:rowOff>
              </from>
              <to>
                <xdr:col>4</xdr:col>
                <xdr:colOff>9525</xdr:colOff>
                <xdr:row>4</xdr:row>
                <xdr:rowOff>19050</xdr:rowOff>
              </to>
            </anchor>
          </controlPr>
        </control>
      </mc:Choice>
      <mc:Fallback>
        <control shapeId="70662" r:id="rId4" name="cmdRefreshUnits"/>
      </mc:Fallback>
    </mc:AlternateContent>
    <mc:AlternateContent xmlns:mc="http://schemas.openxmlformats.org/markup-compatibility/2006">
      <mc:Choice Requires="x14">
        <control shapeId="70661" r:id="rId6" name="cmdAddParamQualifier">
          <controlPr defaultSize="0" autoLine="0" r:id="rId7">
            <anchor moveWithCells="1">
              <from>
                <xdr:col>0</xdr:col>
                <xdr:colOff>19050</xdr:colOff>
                <xdr:row>5</xdr:row>
                <xdr:rowOff>0</xdr:rowOff>
              </from>
              <to>
                <xdr:col>1</xdr:col>
                <xdr:colOff>9525</xdr:colOff>
                <xdr:row>6</xdr:row>
                <xdr:rowOff>19050</xdr:rowOff>
              </to>
            </anchor>
          </controlPr>
        </control>
      </mc:Choice>
      <mc:Fallback>
        <control shapeId="70661" r:id="rId6" name="cmdAddParamQualifier"/>
      </mc:Fallback>
    </mc:AlternateContent>
    <mc:AlternateContent xmlns:mc="http://schemas.openxmlformats.org/markup-compatibility/2006">
      <mc:Choice Requires="x14">
        <control shapeId="70660" r:id="rId8" name="cmdCheckConstrDataSheet">
          <controlPr defaultSize="0" autoLine="0" autoPict="0" r:id="rId9">
            <anchor moveWithCells="1">
              <from>
                <xdr:col>0</xdr:col>
                <xdr:colOff>19050</xdr:colOff>
                <xdr:row>2</xdr:row>
                <xdr:rowOff>152400</xdr:rowOff>
              </from>
              <to>
                <xdr:col>1</xdr:col>
                <xdr:colOff>0</xdr:colOff>
                <xdr:row>4</xdr:row>
                <xdr:rowOff>19050</xdr:rowOff>
              </to>
            </anchor>
          </controlPr>
        </control>
      </mc:Choice>
      <mc:Fallback>
        <control shapeId="70660" r:id="rId8" name="cmdCheckConstrDataSheet"/>
      </mc:Fallback>
    </mc:AlternateContent>
    <mc:AlternateContent xmlns:mc="http://schemas.openxmlformats.org/markup-compatibility/2006">
      <mc:Choice Requires="x14">
        <control shapeId="70659" r:id="rId10" name="cmdAddParameter">
          <controlPr defaultSize="0" autoLine="0" r:id="rId11">
            <anchor moveWithCells="1">
              <from>
                <xdr:col>0</xdr:col>
                <xdr:colOff>19050</xdr:colOff>
                <xdr:row>4</xdr:row>
                <xdr:rowOff>0</xdr:rowOff>
              </from>
              <to>
                <xdr:col>1</xdr:col>
                <xdr:colOff>9525</xdr:colOff>
                <xdr:row>5</xdr:row>
                <xdr:rowOff>9525</xdr:rowOff>
              </to>
            </anchor>
          </controlPr>
        </control>
      </mc:Choice>
      <mc:Fallback>
        <control shapeId="70659" r:id="rId10" name="cmdAddParameter"/>
      </mc:Fallback>
    </mc:AlternateContent>
    <mc:AlternateContent xmlns:mc="http://schemas.openxmlformats.org/markup-compatibility/2006">
      <mc:Choice Requires="x14">
        <control shapeId="70658"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70658" r:id="rId12" name="cmdTechName"/>
      </mc:Fallback>
    </mc:AlternateContent>
    <mc:AlternateContent xmlns:mc="http://schemas.openxmlformats.org/markup-compatibility/2006">
      <mc:Choice Requires="x14">
        <control shapeId="70657" r:id="rId14" name="cmdConstrNameAndDesc">
          <controlPr defaultSize="0" autoLine="0" autoPict="0" r:id="rId15">
            <anchor moveWithCells="1">
              <from>
                <xdr:col>1</xdr:col>
                <xdr:colOff>19050</xdr:colOff>
                <xdr:row>3</xdr:row>
                <xdr:rowOff>0</xdr:rowOff>
              </from>
              <to>
                <xdr:col>2</xdr:col>
                <xdr:colOff>1009650</xdr:colOff>
                <xdr:row>4</xdr:row>
                <xdr:rowOff>19050</xdr:rowOff>
              </to>
            </anchor>
          </controlPr>
        </control>
      </mc:Choice>
      <mc:Fallback>
        <control shapeId="70657" r:id="rId14" name="cmdConstrNameAndDesc"/>
      </mc:Fallback>
    </mc:AlternateContent>
  </control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9"/>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cols>
    <col min="1" max="2" width="10.28515625" customWidth="1"/>
    <col min="3" max="3" width="24.28515625" customWidth="1"/>
    <col min="4" max="4" width="7.7109375" customWidth="1"/>
    <col min="6" max="6" width="10.5703125" customWidth="1"/>
    <col min="7" max="7" width="9.7109375" customWidth="1"/>
    <col min="8" max="8" width="8.28515625" customWidth="1"/>
    <col min="9" max="11" width="9.28515625" customWidth="1"/>
    <col min="12" max="12" width="12.5703125" customWidth="1"/>
    <col min="13" max="13" width="12.42578125" customWidth="1"/>
  </cols>
  <sheetData>
    <row r="1" spans="1:16">
      <c r="A1" s="1" t="s">
        <v>341</v>
      </c>
      <c r="B1" s="2"/>
    </row>
    <row r="4" spans="1:16" ht="17.25" customHeight="1"/>
    <row r="5" spans="1:16" ht="18" customHeight="1">
      <c r="G5" s="3"/>
      <c r="H5" s="3"/>
      <c r="I5" s="3"/>
      <c r="J5" s="12"/>
      <c r="K5" s="12"/>
      <c r="L5" s="3"/>
      <c r="M5" s="10"/>
      <c r="N5" s="3"/>
      <c r="O5" s="10"/>
      <c r="P5" s="10"/>
    </row>
    <row r="6" spans="1:16" ht="17.25" customHeight="1">
      <c r="G6" s="3"/>
      <c r="H6" s="3"/>
      <c r="I6" s="3"/>
      <c r="J6" s="3"/>
      <c r="K6" s="3"/>
      <c r="L6" s="3"/>
      <c r="M6" s="9"/>
      <c r="N6" s="3"/>
      <c r="O6" s="9"/>
    </row>
    <row r="7" spans="1:16" ht="15.75" customHeight="1">
      <c r="B7" s="1" t="s">
        <v>330</v>
      </c>
      <c r="C7" s="1" t="s">
        <v>331</v>
      </c>
      <c r="D7" s="1" t="s">
        <v>332</v>
      </c>
      <c r="E7" s="1" t="s">
        <v>333</v>
      </c>
      <c r="F7" s="1" t="s">
        <v>334</v>
      </c>
      <c r="G7" s="3"/>
      <c r="H7" s="3"/>
      <c r="I7" s="3"/>
      <c r="J7" s="12"/>
      <c r="K7" s="3"/>
      <c r="L7" s="3"/>
      <c r="M7" s="9"/>
      <c r="N7" s="3"/>
      <c r="P7" s="9"/>
    </row>
  </sheetData>
  <phoneticPr fontId="0" type="noConversion"/>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9639" r:id="rId4" name="cmdRefreshUnits">
          <controlPr defaultSize="0" autoLine="0" r:id="rId5">
            <anchor moveWithCells="1">
              <from>
                <xdr:col>3</xdr:col>
                <xdr:colOff>0</xdr:colOff>
                <xdr:row>2</xdr:row>
                <xdr:rowOff>19050</xdr:rowOff>
              </from>
              <to>
                <xdr:col>4</xdr:col>
                <xdr:colOff>38100</xdr:colOff>
                <xdr:row>4</xdr:row>
                <xdr:rowOff>9525</xdr:rowOff>
              </to>
            </anchor>
          </controlPr>
        </control>
      </mc:Choice>
      <mc:Fallback>
        <control shapeId="69639" r:id="rId4" name="cmdRefreshUnits"/>
      </mc:Fallback>
    </mc:AlternateContent>
    <mc:AlternateContent xmlns:mc="http://schemas.openxmlformats.org/markup-compatibility/2006">
      <mc:Choice Requires="x14">
        <control shapeId="69638" r:id="rId6" name="cmdCheckTechDataSheet">
          <controlPr defaultSize="0" autoLine="0" autoPict="0" r:id="rId7">
            <anchor moveWithCells="1">
              <from>
                <xdr:col>0</xdr:col>
                <xdr:colOff>19050</xdr:colOff>
                <xdr:row>2</xdr:row>
                <xdr:rowOff>152400</xdr:rowOff>
              </from>
              <to>
                <xdr:col>1</xdr:col>
                <xdr:colOff>19050</xdr:colOff>
                <xdr:row>4</xdr:row>
                <xdr:rowOff>19050</xdr:rowOff>
              </to>
            </anchor>
          </controlPr>
        </control>
      </mc:Choice>
      <mc:Fallback>
        <control shapeId="69638" r:id="rId6" name="cmdCheckTechDataSheet"/>
      </mc:Fallback>
    </mc:AlternateContent>
    <mc:AlternateContent xmlns:mc="http://schemas.openxmlformats.org/markup-compatibility/2006">
      <mc:Choice Requires="x14">
        <control shapeId="69637" r:id="rId8" name="cmdAddParamQualifier">
          <controlPr defaultSize="0" autoLine="0" autoPict="0" r:id="rId9">
            <anchor moveWithCells="1">
              <from>
                <xdr:col>0</xdr:col>
                <xdr:colOff>19050</xdr:colOff>
                <xdr:row>5</xdr:row>
                <xdr:rowOff>19050</xdr:rowOff>
              </from>
              <to>
                <xdr:col>1</xdr:col>
                <xdr:colOff>19050</xdr:colOff>
                <xdr:row>6</xdr:row>
                <xdr:rowOff>28575</xdr:rowOff>
              </to>
            </anchor>
          </controlPr>
        </control>
      </mc:Choice>
      <mc:Fallback>
        <control shapeId="69637" r:id="rId8" name="cmdAddParamQualifier"/>
      </mc:Fallback>
    </mc:AlternateContent>
    <mc:AlternateContent xmlns:mc="http://schemas.openxmlformats.org/markup-compatibility/2006">
      <mc:Choice Requires="x14">
        <control shapeId="69636" r:id="rId10" name="cmdAddParameter">
          <controlPr defaultSize="0" autoLine="0" r:id="rId11">
            <anchor moveWithCells="1">
              <from>
                <xdr:col>0</xdr:col>
                <xdr:colOff>19050</xdr:colOff>
                <xdr:row>4</xdr:row>
                <xdr:rowOff>0</xdr:rowOff>
              </from>
              <to>
                <xdr:col>1</xdr:col>
                <xdr:colOff>19050</xdr:colOff>
                <xdr:row>5</xdr:row>
                <xdr:rowOff>9525</xdr:rowOff>
              </to>
            </anchor>
          </controlPr>
        </control>
      </mc:Choice>
      <mc:Fallback>
        <control shapeId="69636" r:id="rId10" name="cmdAddParameter"/>
      </mc:Fallback>
    </mc:AlternateContent>
    <mc:AlternateContent xmlns:mc="http://schemas.openxmlformats.org/markup-compatibility/2006">
      <mc:Choice Requires="x14">
        <control shapeId="69635" r:id="rId12" name="cmdCommOUT">
          <controlPr defaultSize="0" autoLine="0" r:id="rId13">
            <anchor moveWithCells="1">
              <from>
                <xdr:col>5</xdr:col>
                <xdr:colOff>19050</xdr:colOff>
                <xdr:row>2</xdr:row>
                <xdr:rowOff>142875</xdr:rowOff>
              </from>
              <to>
                <xdr:col>6</xdr:col>
                <xdr:colOff>9525</xdr:colOff>
                <xdr:row>4</xdr:row>
                <xdr:rowOff>0</xdr:rowOff>
              </to>
            </anchor>
          </controlPr>
        </control>
      </mc:Choice>
      <mc:Fallback>
        <control shapeId="69635" r:id="rId12" name="cmdCommOUT"/>
      </mc:Fallback>
    </mc:AlternateContent>
    <mc:AlternateContent xmlns:mc="http://schemas.openxmlformats.org/markup-compatibility/2006">
      <mc:Choice Requires="x14">
        <control shapeId="69634" r:id="rId14" name="cmdCommIN">
          <controlPr defaultSize="0" autoLine="0" r:id="rId15">
            <anchor moveWithCells="1">
              <from>
                <xdr:col>4</xdr:col>
                <xdr:colOff>19050</xdr:colOff>
                <xdr:row>2</xdr:row>
                <xdr:rowOff>142875</xdr:rowOff>
              </from>
              <to>
                <xdr:col>5</xdr:col>
                <xdr:colOff>0</xdr:colOff>
                <xdr:row>4</xdr:row>
                <xdr:rowOff>0</xdr:rowOff>
              </to>
            </anchor>
          </controlPr>
        </control>
      </mc:Choice>
      <mc:Fallback>
        <control shapeId="69634" r:id="rId14" name="cmdCommIN"/>
      </mc:Fallback>
    </mc:AlternateContent>
    <mc:AlternateContent xmlns:mc="http://schemas.openxmlformats.org/markup-compatibility/2006">
      <mc:Choice Requires="x14">
        <control shapeId="69633"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69633" r:id="rId16" name="cmdTechNameAndDesc"/>
      </mc:Fallback>
    </mc:AlternateContent>
  </controls>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8"/>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cols>
    <col min="1" max="1" width="10.5703125" customWidth="1"/>
    <col min="2" max="2" width="11.7109375" customWidth="1"/>
    <col min="3" max="3" width="24" customWidth="1"/>
    <col min="4" max="4" width="5.42578125" customWidth="1"/>
    <col min="6" max="6" width="10.28515625" bestFit="1" customWidth="1"/>
  </cols>
  <sheetData>
    <row r="1" spans="1:8">
      <c r="A1" s="1" t="s">
        <v>340</v>
      </c>
      <c r="B1" s="2"/>
    </row>
    <row r="3" spans="1:8" ht="15" customHeight="1"/>
    <row r="4" spans="1:8" ht="20.25" customHeight="1"/>
    <row r="5" spans="1:8" ht="19.5" customHeight="1">
      <c r="E5" s="3"/>
      <c r="F5" s="3"/>
      <c r="G5" s="12"/>
      <c r="H5" s="12"/>
    </row>
    <row r="6" spans="1:8" ht="19.5" customHeight="1">
      <c r="E6" s="9"/>
      <c r="F6" s="9"/>
      <c r="G6" s="12"/>
      <c r="H6" s="12"/>
    </row>
    <row r="7" spans="1:8">
      <c r="B7" s="1" t="s">
        <v>328</v>
      </c>
      <c r="C7" s="1" t="s">
        <v>329</v>
      </c>
      <c r="D7" s="1" t="s">
        <v>332</v>
      </c>
      <c r="E7" s="11"/>
      <c r="F7" s="7"/>
      <c r="G7" s="7"/>
      <c r="H7" s="12"/>
    </row>
    <row r="9" spans="1:8">
      <c r="B9" s="9"/>
      <c r="C9" s="9"/>
      <c r="D9" s="9"/>
    </row>
    <row r="10" spans="1:8">
      <c r="B10" s="9"/>
      <c r="C10" s="9"/>
      <c r="D10" s="9"/>
    </row>
    <row r="13" spans="1:8">
      <c r="B13" s="9"/>
      <c r="C13" s="9"/>
      <c r="D13" s="9"/>
    </row>
    <row r="15" spans="1:8">
      <c r="B15" s="9"/>
      <c r="C15" s="9"/>
      <c r="D15" s="9"/>
    </row>
    <row r="17" spans="2:4">
      <c r="B17" s="9"/>
      <c r="C17" s="9"/>
      <c r="D17" s="9"/>
    </row>
    <row r="19" spans="2:4">
      <c r="B19" s="9"/>
      <c r="C19" s="9"/>
      <c r="D19" s="9"/>
    </row>
    <row r="21" spans="2:4">
      <c r="B21" s="9"/>
      <c r="C21" s="9"/>
      <c r="D21" s="9"/>
    </row>
    <row r="23" spans="2:4">
      <c r="B23" s="9"/>
      <c r="C23" s="9"/>
      <c r="D23" s="9"/>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300" r:id="rId1"/>
  <headerFooter alignWithMargins="0"/>
  <drawing r:id="rId2"/>
  <legacyDrawing r:id="rId3"/>
  <controls>
    <mc:AlternateContent xmlns:mc="http://schemas.openxmlformats.org/markup-compatibility/2006">
      <mc:Choice Requires="x14">
        <control shapeId="68613"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8613" r:id="rId4" name="cmdRefreshUnits"/>
      </mc:Fallback>
    </mc:AlternateContent>
    <mc:AlternateContent xmlns:mc="http://schemas.openxmlformats.org/markup-compatibility/2006">
      <mc:Choice Requires="x14">
        <control shapeId="68612" r:id="rId6" name="cmdCheckCommDataSheet">
          <controlPr defaultSize="0" autoLine="0" r:id="rId7">
            <anchor moveWithCells="1">
              <from>
                <xdr:col>0</xdr:col>
                <xdr:colOff>19050</xdr:colOff>
                <xdr:row>3</xdr:row>
                <xdr:rowOff>19050</xdr:rowOff>
              </from>
              <to>
                <xdr:col>1</xdr:col>
                <xdr:colOff>0</xdr:colOff>
                <xdr:row>4</xdr:row>
                <xdr:rowOff>0</xdr:rowOff>
              </to>
            </anchor>
          </controlPr>
        </control>
      </mc:Choice>
      <mc:Fallback>
        <control shapeId="68612" r:id="rId6" name="cmdCheckCommDataSheet"/>
      </mc:Fallback>
    </mc:AlternateContent>
    <mc:AlternateContent xmlns:mc="http://schemas.openxmlformats.org/markup-compatibility/2006">
      <mc:Choice Requires="x14">
        <control shapeId="68611" r:id="rId8" name="cmdAddParamQualifier">
          <controlPr defaultSize="0" autoLine="0" r:id="rId9">
            <anchor moveWithCells="1">
              <from>
                <xdr:col>0</xdr:col>
                <xdr:colOff>19050</xdr:colOff>
                <xdr:row>5</xdr:row>
                <xdr:rowOff>0</xdr:rowOff>
              </from>
              <to>
                <xdr:col>1</xdr:col>
                <xdr:colOff>0</xdr:colOff>
                <xdr:row>5</xdr:row>
                <xdr:rowOff>238125</xdr:rowOff>
              </to>
            </anchor>
          </controlPr>
        </control>
      </mc:Choice>
      <mc:Fallback>
        <control shapeId="68611" r:id="rId8" name="cmdAddParamQualifier"/>
      </mc:Fallback>
    </mc:AlternateContent>
    <mc:AlternateContent xmlns:mc="http://schemas.openxmlformats.org/markup-compatibility/2006">
      <mc:Choice Requires="x14">
        <control shapeId="68610"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8610" r:id="rId10" name="cmdCommNameAndDesc"/>
      </mc:Fallback>
    </mc:AlternateContent>
    <mc:AlternateContent xmlns:mc="http://schemas.openxmlformats.org/markup-compatibility/2006">
      <mc:Choice Requires="x14">
        <control shapeId="68609" r:id="rId12" name="cmdAddParameter">
          <controlPr defaultSize="0" autoLine="0" r:id="rId13">
            <anchor moveWithCells="1">
              <from>
                <xdr:col>0</xdr:col>
                <xdr:colOff>19050</xdr:colOff>
                <xdr:row>4</xdr:row>
                <xdr:rowOff>19050</xdr:rowOff>
              </from>
              <to>
                <xdr:col>1</xdr:col>
                <xdr:colOff>0</xdr:colOff>
                <xdr:row>5</xdr:row>
                <xdr:rowOff>9525</xdr:rowOff>
              </to>
            </anchor>
          </controlPr>
        </control>
      </mc:Choice>
      <mc:Fallback>
        <control shapeId="68609" r:id="rId12" name="cmdAddParameter"/>
      </mc:Fallback>
    </mc:AlternateContent>
  </control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7"/>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cols>
    <col min="1" max="1" width="12" customWidth="1"/>
    <col min="2" max="2" width="11.7109375" customWidth="1"/>
    <col min="3" max="3" width="21.42578125" customWidth="1"/>
    <col min="4" max="4" width="8.7109375" customWidth="1"/>
    <col min="5" max="5" width="18.28515625" customWidth="1"/>
    <col min="6" max="6" width="10.28515625" customWidth="1"/>
  </cols>
  <sheetData>
    <row r="1" spans="1:6">
      <c r="A1" s="1" t="s">
        <v>339</v>
      </c>
      <c r="B1" s="2"/>
    </row>
    <row r="4" spans="1:6" ht="18.75" customHeight="1"/>
    <row r="5" spans="1:6" ht="17.25" customHeight="1">
      <c r="C5" s="3"/>
    </row>
    <row r="6" spans="1:6" ht="15.75" customHeight="1"/>
    <row r="7" spans="1:6">
      <c r="B7" s="4" t="s">
        <v>335</v>
      </c>
      <c r="C7" s="1" t="s">
        <v>336</v>
      </c>
      <c r="D7" s="1" t="s">
        <v>332</v>
      </c>
      <c r="E7" s="1" t="s">
        <v>327</v>
      </c>
      <c r="F7" s="1" t="s">
        <v>324</v>
      </c>
    </row>
    <row r="8" spans="1:6">
      <c r="B8" s="1"/>
      <c r="C8" s="1"/>
      <c r="D8" s="1"/>
      <c r="E8" s="3"/>
      <c r="F8" s="1"/>
    </row>
    <row r="10" spans="1:6">
      <c r="B10" s="3"/>
      <c r="C10" s="3"/>
      <c r="D10" s="12"/>
      <c r="E10" s="12"/>
    </row>
    <row r="11" spans="1:6">
      <c r="B11" s="3"/>
      <c r="C11" s="3"/>
    </row>
    <row r="12" spans="1:6">
      <c r="B12" s="3"/>
      <c r="C12" s="3"/>
      <c r="D12" s="3"/>
      <c r="E12" s="3"/>
    </row>
    <row r="13" spans="1:6">
      <c r="B13" s="3"/>
      <c r="C13" s="3"/>
      <c r="D13" s="6"/>
      <c r="E13" s="3"/>
    </row>
    <row r="14" spans="1:6">
      <c r="B14" s="3"/>
      <c r="C14" s="3"/>
      <c r="D14" s="3"/>
      <c r="E14" s="3"/>
    </row>
    <row r="15" spans="1:6">
      <c r="B15" s="3"/>
      <c r="C15" s="3"/>
      <c r="E15" s="3"/>
    </row>
    <row r="16" spans="1:6">
      <c r="B16" s="3"/>
      <c r="C16" s="3"/>
    </row>
    <row r="17" spans="2:5">
      <c r="B17" s="3"/>
      <c r="C17" s="3"/>
      <c r="D17" s="6"/>
      <c r="E17" s="3"/>
    </row>
    <row r="18" spans="2:5">
      <c r="B18" s="4"/>
      <c r="C18" s="3"/>
      <c r="E18" s="3"/>
    </row>
    <row r="19" spans="2:5">
      <c r="E19" s="3"/>
    </row>
    <row r="21" spans="2:5">
      <c r="B21" s="3"/>
      <c r="C21" s="3"/>
      <c r="D21" s="3"/>
      <c r="E21" s="3"/>
    </row>
    <row r="22" spans="2:5">
      <c r="B22" s="3"/>
      <c r="C22" s="3"/>
    </row>
    <row r="23" spans="2:5">
      <c r="B23" s="3"/>
      <c r="C23" s="3"/>
      <c r="E23" s="3"/>
    </row>
    <row r="24" spans="2:5">
      <c r="D24" s="3"/>
      <c r="E24" s="3"/>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7588" r:id="rId4" name="cmdRefreshUnits">
          <controlPr defaultSize="0" autoLine="0" r:id="rId5">
            <anchor moveWithCells="1">
              <from>
                <xdr:col>3</xdr:col>
                <xdr:colOff>19050</xdr:colOff>
                <xdr:row>2</xdr:row>
                <xdr:rowOff>57150</xdr:rowOff>
              </from>
              <to>
                <xdr:col>3</xdr:col>
                <xdr:colOff>571500</xdr:colOff>
                <xdr:row>4</xdr:row>
                <xdr:rowOff>28575</xdr:rowOff>
              </to>
            </anchor>
          </controlPr>
        </control>
      </mc:Choice>
      <mc:Fallback>
        <control shapeId="67588" r:id="rId4" name="cmdRefreshUnits"/>
      </mc:Fallback>
    </mc:AlternateContent>
    <mc:AlternateContent xmlns:mc="http://schemas.openxmlformats.org/markup-compatibility/2006">
      <mc:Choice Requires="x14">
        <control shapeId="67587" r:id="rId6" name="cmdConstraintUnit">
          <controlPr defaultSize="0" autoLine="0" r:id="rId7">
            <anchor moveWithCells="1">
              <from>
                <xdr:col>3</xdr:col>
                <xdr:colOff>19050</xdr:colOff>
                <xdr:row>4</xdr:row>
                <xdr:rowOff>19050</xdr:rowOff>
              </from>
              <to>
                <xdr:col>3</xdr:col>
                <xdr:colOff>571500</xdr:colOff>
                <xdr:row>5</xdr:row>
                <xdr:rowOff>38100</xdr:rowOff>
              </to>
            </anchor>
          </controlPr>
        </control>
      </mc:Choice>
      <mc:Fallback>
        <control shapeId="67587" r:id="rId6" name="cmdConstraintUnit"/>
      </mc:Fallback>
    </mc:AlternateContent>
    <mc:AlternateContent xmlns:mc="http://schemas.openxmlformats.org/markup-compatibility/2006">
      <mc:Choice Requires="x14">
        <control shapeId="67586" r:id="rId8" name="cmdCheckConstraintsSheet">
          <controlPr defaultSize="0" autoLine="0" r:id="rId9">
            <anchor moveWithCells="1">
              <from>
                <xdr:col>0</xdr:col>
                <xdr:colOff>19050</xdr:colOff>
                <xdr:row>3</xdr:row>
                <xdr:rowOff>0</xdr:rowOff>
              </from>
              <to>
                <xdr:col>1</xdr:col>
                <xdr:colOff>0</xdr:colOff>
                <xdr:row>4</xdr:row>
                <xdr:rowOff>0</xdr:rowOff>
              </to>
            </anchor>
          </controlPr>
        </control>
      </mc:Choice>
      <mc:Fallback>
        <control shapeId="67586" r:id="rId8" name="cmdCheckConstraintsSheet"/>
      </mc:Fallback>
    </mc:AlternateContent>
    <mc:AlternateContent xmlns:mc="http://schemas.openxmlformats.org/markup-compatibility/2006">
      <mc:Choice Requires="x14">
        <control shapeId="67585"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7585" r:id="rId10" name="cmdConstraintSets"/>
      </mc:Fallback>
    </mc:AlternateContent>
  </control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6"/>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cols>
    <col min="1" max="1" width="12.42578125" customWidth="1"/>
    <col min="2" max="2" width="11.28515625" customWidth="1"/>
    <col min="3" max="3" width="27.28515625" customWidth="1"/>
    <col min="4" max="5" width="9.7109375" customWidth="1"/>
    <col min="6" max="6" width="30.42578125" customWidth="1"/>
    <col min="7" max="7" width="10.42578125" customWidth="1"/>
  </cols>
  <sheetData>
    <row r="1" spans="1:12">
      <c r="A1" s="1" t="s">
        <v>338</v>
      </c>
      <c r="B1" s="2"/>
    </row>
    <row r="4" spans="1:12" ht="18" customHeight="1"/>
    <row r="7" spans="1:12">
      <c r="B7" s="1" t="s">
        <v>330</v>
      </c>
      <c r="C7" s="1" t="s">
        <v>331</v>
      </c>
      <c r="D7" s="1" t="s">
        <v>325</v>
      </c>
      <c r="E7" s="1" t="s">
        <v>326</v>
      </c>
      <c r="F7" s="1" t="s">
        <v>327</v>
      </c>
      <c r="G7" s="1" t="s">
        <v>324</v>
      </c>
    </row>
    <row r="8" spans="1:12">
      <c r="B8" s="1"/>
      <c r="C8" s="1"/>
      <c r="D8" s="1"/>
      <c r="E8" s="1"/>
      <c r="F8" s="1"/>
      <c r="G8" s="1"/>
    </row>
    <row r="9" spans="1:12">
      <c r="D9" s="3"/>
      <c r="E9" s="3"/>
      <c r="F9" s="3"/>
    </row>
    <row r="10" spans="1:12">
      <c r="F10" s="3"/>
    </row>
    <row r="11" spans="1:12">
      <c r="B11" s="1"/>
      <c r="C11" s="1"/>
      <c r="D11" s="12"/>
      <c r="E11" s="12"/>
    </row>
    <row r="12" spans="1:12">
      <c r="B12" s="8"/>
      <c r="C12" s="3"/>
      <c r="F12" s="12"/>
    </row>
    <row r="13" spans="1:12">
      <c r="B13" s="3"/>
      <c r="C13" s="3"/>
    </row>
    <row r="14" spans="1:12">
      <c r="B14" s="3"/>
      <c r="C14" s="3"/>
      <c r="D14" s="6"/>
      <c r="F14" s="3"/>
      <c r="L14" s="5"/>
    </row>
    <row r="15" spans="1:12">
      <c r="B15" s="3"/>
      <c r="C15" s="3"/>
      <c r="E15" s="6"/>
      <c r="F15" s="3"/>
    </row>
    <row r="16" spans="1:12">
      <c r="B16" s="3"/>
      <c r="C16" s="3"/>
      <c r="F16" s="3"/>
    </row>
    <row r="17" spans="2:6">
      <c r="D17" s="6"/>
    </row>
    <row r="18" spans="2:6">
      <c r="E18" s="6"/>
    </row>
    <row r="20" spans="2:6">
      <c r="B20" s="3"/>
      <c r="C20" s="3"/>
      <c r="F20" s="9"/>
    </row>
    <row r="21" spans="2:6">
      <c r="B21" s="3"/>
      <c r="C21" s="3"/>
    </row>
    <row r="22" spans="2:6">
      <c r="B22" s="3"/>
      <c r="C22" s="3"/>
      <c r="D22" s="3"/>
      <c r="E22" s="3"/>
      <c r="F22" s="3"/>
    </row>
    <row r="23" spans="2:6">
      <c r="B23" s="3"/>
      <c r="C23" s="3"/>
    </row>
    <row r="24" spans="2:6">
      <c r="B24" s="3"/>
      <c r="C24" s="3"/>
    </row>
    <row r="25" spans="2:6">
      <c r="D25" s="6"/>
      <c r="E25" s="6"/>
    </row>
    <row r="26" spans="2:6">
      <c r="F26" s="3"/>
    </row>
    <row r="27" spans="2:6">
      <c r="B27" s="4"/>
      <c r="C27" s="3"/>
      <c r="D27" s="6"/>
      <c r="E27" s="6"/>
    </row>
    <row r="28" spans="2:6">
      <c r="B28" s="3"/>
      <c r="C28" s="3"/>
      <c r="D28" s="9"/>
      <c r="E28" s="3"/>
      <c r="F28" s="3"/>
    </row>
    <row r="29" spans="2:6">
      <c r="B29" s="3"/>
      <c r="C29" s="3"/>
    </row>
    <row r="30" spans="2:6">
      <c r="B30" s="3"/>
      <c r="C30" s="3"/>
    </row>
    <row r="31" spans="2:6">
      <c r="B31" s="3"/>
      <c r="C31" s="3"/>
    </row>
    <row r="32" spans="2:6">
      <c r="B32" s="3"/>
      <c r="C32" s="3"/>
    </row>
    <row r="33" spans="2:6">
      <c r="B33" s="3"/>
      <c r="C33" s="3"/>
    </row>
    <row r="37" spans="2:6">
      <c r="B37" s="3"/>
      <c r="C37" s="3"/>
      <c r="F37" s="3"/>
    </row>
    <row r="38" spans="2:6">
      <c r="B38" s="4"/>
      <c r="C38" s="3"/>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656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66565" r:id="rId4" name="cmdRefreshUnits"/>
      </mc:Fallback>
    </mc:AlternateContent>
    <mc:AlternateContent xmlns:mc="http://schemas.openxmlformats.org/markup-compatibility/2006">
      <mc:Choice Requires="x14">
        <control shapeId="66564" r:id="rId6" name="cmdTCAPUnit">
          <controlPr defaultSize="0" autoLine="0" r:id="rId7">
            <anchor moveWithCells="1">
              <from>
                <xdr:col>4</xdr:col>
                <xdr:colOff>19050</xdr:colOff>
                <xdr:row>4</xdr:row>
                <xdr:rowOff>19050</xdr:rowOff>
              </from>
              <to>
                <xdr:col>5</xdr:col>
                <xdr:colOff>9525</xdr:colOff>
                <xdr:row>5</xdr:row>
                <xdr:rowOff>95250</xdr:rowOff>
              </to>
            </anchor>
          </controlPr>
        </control>
      </mc:Choice>
      <mc:Fallback>
        <control shapeId="66564" r:id="rId6" name="cmdTCAPUnit"/>
      </mc:Fallback>
    </mc:AlternateContent>
    <mc:AlternateContent xmlns:mc="http://schemas.openxmlformats.org/markup-compatibility/2006">
      <mc:Choice Requires="x14">
        <control shapeId="66563" r:id="rId8" name="cmdTACTUnit">
          <controlPr defaultSize="0" autoLine="0" r:id="rId9">
            <anchor moveWithCells="1">
              <from>
                <xdr:col>3</xdr:col>
                <xdr:colOff>19050</xdr:colOff>
                <xdr:row>4</xdr:row>
                <xdr:rowOff>19050</xdr:rowOff>
              </from>
              <to>
                <xdr:col>4</xdr:col>
                <xdr:colOff>9525</xdr:colOff>
                <xdr:row>5</xdr:row>
                <xdr:rowOff>95250</xdr:rowOff>
              </to>
            </anchor>
          </controlPr>
        </control>
      </mc:Choice>
      <mc:Fallback>
        <control shapeId="66563" r:id="rId8" name="cmdTACTUnit"/>
      </mc:Fallback>
    </mc:AlternateContent>
    <mc:AlternateContent xmlns:mc="http://schemas.openxmlformats.org/markup-compatibility/2006">
      <mc:Choice Requires="x14">
        <control shapeId="66562" r:id="rId10" name="cmdCheckTechnologiesSheet">
          <controlPr defaultSize="0" autoLine="0" autoPict="0" r:id="rId11">
            <anchor moveWithCells="1">
              <from>
                <xdr:col>0</xdr:col>
                <xdr:colOff>19050</xdr:colOff>
                <xdr:row>2</xdr:row>
                <xdr:rowOff>152400</xdr:rowOff>
              </from>
              <to>
                <xdr:col>1</xdr:col>
                <xdr:colOff>0</xdr:colOff>
                <xdr:row>4</xdr:row>
                <xdr:rowOff>0</xdr:rowOff>
              </to>
            </anchor>
          </controlPr>
        </control>
      </mc:Choice>
      <mc:Fallback>
        <control shapeId="66562" r:id="rId10" name="cmdCheckTechnologiesSheet"/>
      </mc:Fallback>
    </mc:AlternateContent>
    <mc:AlternateContent xmlns:mc="http://schemas.openxmlformats.org/markup-compatibility/2006">
      <mc:Choice Requires="x14">
        <control shapeId="66561"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66561" r:id="rId12" name="cmdTechnologySets"/>
      </mc:Fallback>
    </mc:AlternateContent>
  </controls>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5"/>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c r="A1" s="1" t="s">
        <v>337</v>
      </c>
      <c r="B1" s="2"/>
    </row>
    <row r="4" spans="1:6" ht="17.25" customHeight="1"/>
    <row r="5" spans="1:6" ht="17.25" customHeight="1">
      <c r="C5" s="3"/>
    </row>
    <row r="6" spans="1:6" ht="15.75" customHeight="1"/>
    <row r="7" spans="1:6">
      <c r="B7" s="4" t="s">
        <v>328</v>
      </c>
      <c r="C7" s="1" t="s">
        <v>329</v>
      </c>
      <c r="D7" s="1" t="s">
        <v>323</v>
      </c>
      <c r="E7" s="1" t="s">
        <v>327</v>
      </c>
      <c r="F7" s="1" t="s">
        <v>324</v>
      </c>
    </row>
    <row r="8" spans="1:6">
      <c r="B8" s="1"/>
      <c r="C8" s="1"/>
      <c r="D8" s="1"/>
      <c r="E8" s="3"/>
      <c r="F8" s="1"/>
    </row>
    <row r="9" spans="1:6">
      <c r="D9" s="3"/>
      <c r="E9" s="3"/>
    </row>
    <row r="11" spans="1:6">
      <c r="B11" s="3"/>
      <c r="C11" s="3"/>
      <c r="D11" s="12"/>
      <c r="E11" s="12"/>
    </row>
    <row r="12" spans="1:6">
      <c r="B12" s="3"/>
      <c r="C12" s="3"/>
      <c r="E12" s="3"/>
    </row>
    <row r="13" spans="1:6">
      <c r="B13" s="3"/>
      <c r="C13" s="3"/>
    </row>
    <row r="14" spans="1:6">
      <c r="B14" s="3"/>
      <c r="C14" s="3"/>
      <c r="D14" s="6"/>
    </row>
    <row r="15" spans="1:6">
      <c r="B15" s="3"/>
      <c r="C15" s="3"/>
      <c r="E15" s="3"/>
    </row>
    <row r="16" spans="1:6">
      <c r="B16" s="3"/>
      <c r="C16" s="3"/>
      <c r="E16" s="3"/>
    </row>
    <row r="17" spans="2:5">
      <c r="B17" s="3"/>
      <c r="C17" s="3"/>
      <c r="E17" s="3"/>
    </row>
    <row r="18" spans="2:5">
      <c r="B18" s="3"/>
      <c r="C18" s="3"/>
      <c r="E18" s="3"/>
    </row>
    <row r="19" spans="2:5">
      <c r="B19" s="3"/>
      <c r="C19" s="3"/>
      <c r="E19" s="3"/>
    </row>
    <row r="20" spans="2:5">
      <c r="D20" s="6"/>
    </row>
    <row r="21" spans="2:5">
      <c r="E21" s="3"/>
    </row>
    <row r="23" spans="2:5">
      <c r="B23" s="3"/>
      <c r="C23" s="3"/>
      <c r="D23" s="3"/>
      <c r="E23" s="3"/>
    </row>
    <row r="24" spans="2:5">
      <c r="B24" s="3"/>
      <c r="C24" s="3"/>
    </row>
    <row r="25" spans="2:5">
      <c r="B25" s="3"/>
      <c r="C25" s="3"/>
      <c r="D25" s="6"/>
      <c r="E25" s="3"/>
    </row>
    <row r="26" spans="2:5">
      <c r="B26" s="4"/>
      <c r="C26" s="3"/>
      <c r="E26" s="3"/>
    </row>
    <row r="27" spans="2:5">
      <c r="E27" s="3"/>
    </row>
    <row r="29" spans="2:5">
      <c r="B29" s="3"/>
      <c r="C29" s="3"/>
      <c r="D29" s="3"/>
      <c r="E29" s="3"/>
    </row>
    <row r="30" spans="2:5">
      <c r="B30" s="3"/>
      <c r="C30" s="3"/>
    </row>
    <row r="31" spans="2:5">
      <c r="B31" s="3"/>
      <c r="C31" s="3"/>
      <c r="E31" s="3"/>
    </row>
    <row r="32" spans="2:5">
      <c r="B32" s="3"/>
      <c r="C32" s="3"/>
      <c r="E32" s="3"/>
    </row>
  </sheetData>
  <phoneticPr fontId="0" type="noConversion"/>
  <pageMargins left="0.75" right="0.75" top="1" bottom="1" header="0.5" footer="0.5"/>
  <pageSetup paperSize="9" orientation="portrait" horizontalDpi="1200" verticalDpi="300" r:id="rId1"/>
  <headerFooter alignWithMargins="0"/>
  <drawing r:id="rId2"/>
  <legacyDrawing r:id="rId3"/>
  <controls>
    <mc:AlternateContent xmlns:mc="http://schemas.openxmlformats.org/markup-compatibility/2006">
      <mc:Choice Requires="x14">
        <control shapeId="63495"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63495" r:id="rId4" name="cmdRefreshUnits"/>
      </mc:Fallback>
    </mc:AlternateContent>
    <mc:AlternateContent xmlns:mc="http://schemas.openxmlformats.org/markup-compatibility/2006">
      <mc:Choice Requires="x14">
        <control shapeId="63494" r:id="rId6" name="cmdCommUnit">
          <controlPr defaultSize="0" autoLine="0" r:id="rId7">
            <anchor moveWithCells="1">
              <from>
                <xdr:col>3</xdr:col>
                <xdr:colOff>19050</xdr:colOff>
                <xdr:row>4</xdr:row>
                <xdr:rowOff>171450</xdr:rowOff>
              </from>
              <to>
                <xdr:col>4</xdr:col>
                <xdr:colOff>0</xdr:colOff>
                <xdr:row>5</xdr:row>
                <xdr:rowOff>190500</xdr:rowOff>
              </to>
            </anchor>
          </controlPr>
        </control>
      </mc:Choice>
      <mc:Fallback>
        <control shapeId="63494" r:id="rId6" name="cmdCommUnit"/>
      </mc:Fallback>
    </mc:AlternateContent>
    <mc:AlternateContent xmlns:mc="http://schemas.openxmlformats.org/markup-compatibility/2006">
      <mc:Choice Requires="x14">
        <control shapeId="63493" r:id="rId8" name="cmdCheckCommoditiesSheet">
          <controlPr defaultSize="0" autoLine="0" autoPict="0" r:id="rId9">
            <anchor moveWithCells="1">
              <from>
                <xdr:col>0</xdr:col>
                <xdr:colOff>19050</xdr:colOff>
                <xdr:row>2</xdr:row>
                <xdr:rowOff>142875</xdr:rowOff>
              </from>
              <to>
                <xdr:col>0</xdr:col>
                <xdr:colOff>828675</xdr:colOff>
                <xdr:row>4</xdr:row>
                <xdr:rowOff>0</xdr:rowOff>
              </to>
            </anchor>
          </controlPr>
        </control>
      </mc:Choice>
      <mc:Fallback>
        <control shapeId="63493" r:id="rId8" name="cmdCheckCommoditiesSheet"/>
      </mc:Fallback>
    </mc:AlternateContent>
    <mc:AlternateContent xmlns:mc="http://schemas.openxmlformats.org/markup-compatibility/2006">
      <mc:Choice Requires="x14">
        <control shapeId="63492" r:id="rId10" name="cmdMaterialSets">
          <controlPr defaultSize="0" autoLine="0" r:id="rId11">
            <anchor moveWithCells="1">
              <from>
                <xdr:col>4</xdr:col>
                <xdr:colOff>1009650</xdr:colOff>
                <xdr:row>3</xdr:row>
                <xdr:rowOff>95250</xdr:rowOff>
              </from>
              <to>
                <xdr:col>5</xdr:col>
                <xdr:colOff>0</xdr:colOff>
                <xdr:row>4</xdr:row>
                <xdr:rowOff>114300</xdr:rowOff>
              </to>
            </anchor>
          </controlPr>
        </control>
      </mc:Choice>
      <mc:Fallback>
        <control shapeId="63492" r:id="rId10" name="cmdMaterialSets"/>
      </mc:Fallback>
    </mc:AlternateContent>
    <mc:AlternateContent xmlns:mc="http://schemas.openxmlformats.org/markup-compatibility/2006">
      <mc:Choice Requires="x14">
        <control shapeId="63491" r:id="rId12" name="cmdEmissionSets">
          <controlPr defaultSize="0" autoLine="0" r:id="rId13">
            <anchor moveWithCells="1">
              <from>
                <xdr:col>4</xdr:col>
                <xdr:colOff>1009650</xdr:colOff>
                <xdr:row>4</xdr:row>
                <xdr:rowOff>171450</xdr:rowOff>
              </from>
              <to>
                <xdr:col>5</xdr:col>
                <xdr:colOff>0</xdr:colOff>
                <xdr:row>5</xdr:row>
                <xdr:rowOff>190500</xdr:rowOff>
              </to>
            </anchor>
          </controlPr>
        </control>
      </mc:Choice>
      <mc:Fallback>
        <control shapeId="63491" r:id="rId12" name="cmdEmissionSets"/>
      </mc:Fallback>
    </mc:AlternateContent>
    <mc:AlternateContent xmlns:mc="http://schemas.openxmlformats.org/markup-compatibility/2006">
      <mc:Choice Requires="x14">
        <control shapeId="63490" r:id="rId14" name="cmdDemandSets">
          <controlPr defaultSize="0" autoLine="0" r:id="rId15">
            <anchor moveWithCells="1">
              <from>
                <xdr:col>4</xdr:col>
                <xdr:colOff>19050</xdr:colOff>
                <xdr:row>4</xdr:row>
                <xdr:rowOff>171450</xdr:rowOff>
              </from>
              <to>
                <xdr:col>4</xdr:col>
                <xdr:colOff>990600</xdr:colOff>
                <xdr:row>5</xdr:row>
                <xdr:rowOff>190500</xdr:rowOff>
              </to>
            </anchor>
          </controlPr>
        </control>
      </mc:Choice>
      <mc:Fallback>
        <control shapeId="63490" r:id="rId14" name="cmdDemandSets"/>
      </mc:Fallback>
    </mc:AlternateContent>
    <mc:AlternateContent xmlns:mc="http://schemas.openxmlformats.org/markup-compatibility/2006">
      <mc:Choice Requires="x14">
        <control shapeId="63489" r:id="rId16" name="cmdEnergySets">
          <controlPr defaultSize="0" autoLine="0" r:id="rId17">
            <anchor moveWithCells="1">
              <from>
                <xdr:col>4</xdr:col>
                <xdr:colOff>19050</xdr:colOff>
                <xdr:row>3</xdr:row>
                <xdr:rowOff>95250</xdr:rowOff>
              </from>
              <to>
                <xdr:col>4</xdr:col>
                <xdr:colOff>990600</xdr:colOff>
                <xdr:row>4</xdr:row>
                <xdr:rowOff>114300</xdr:rowOff>
              </to>
            </anchor>
          </controlPr>
        </control>
      </mc:Choice>
      <mc:Fallback>
        <control shapeId="63489" r:id="rId16" name="cmdEnergySets"/>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96A483-1137-48BA-A162-211FA0B95C9D}">
  <ds:schemaRefs>
    <ds:schemaRef ds:uri="Microsoft.SharePoint.Taxonomy.ContentTypeSync"/>
  </ds:schemaRefs>
</ds:datastoreItem>
</file>

<file path=customXml/itemProps2.xml><?xml version="1.0" encoding="utf-8"?>
<ds:datastoreItem xmlns:ds="http://schemas.openxmlformats.org/officeDocument/2006/customXml" ds:itemID="{D76C5B1A-A870-4159-9D10-A6EDEF972CE0}">
  <ds:schemaRefs>
    <ds:schemaRef ds:uri="http://schemas.microsoft.com/office/2006/metadata/properties"/>
    <ds:schemaRef ds:uri="http://schemas.microsoft.com/office/infopath/2007/PartnerControls"/>
    <ds:schemaRef ds:uri="13d1ff91-c56c-48a5-881f-c0ec757c423c"/>
    <ds:schemaRef ds:uri="b61e3246-ffdd-47fd-afd5-fb211f629678"/>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3.xml><?xml version="1.0" encoding="utf-8"?>
<ds:datastoreItem xmlns:ds="http://schemas.openxmlformats.org/officeDocument/2006/customXml" ds:itemID="{E8A2620F-7680-43AB-985D-A06B44915F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61C5FD7-312C-45F4-95F9-21B1CABBD1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UC_SOL</vt:lpstr>
      <vt:lpstr>UC_RET</vt:lpstr>
      <vt:lpstr>UC_DMD</vt:lpstr>
      <vt:lpstr>UC_RES</vt:lpstr>
      <vt:lpstr>TechData_SolarPV</vt:lpstr>
      <vt:lpstr>TechData_DMD</vt:lpstr>
      <vt:lpstr>Not used&gt;&gt;</vt:lpstr>
      <vt:lpstr>Commodities</vt:lpstr>
      <vt:lpstr>Technologies</vt:lpstr>
      <vt:lpstr>Retrofit</vt:lpstr>
      <vt:lpstr>Resid</vt:lpstr>
      <vt:lpstr>ResDemand</vt:lpstr>
      <vt:lpstr>ResCalc</vt:lpstr>
      <vt:lpstr>DmdCalc</vt:lpstr>
      <vt:lpstr>2010 GHG Emissions</vt:lpstr>
      <vt:lpstr>2010 Fuel Share</vt:lpstr>
      <vt:lpstr>Assumptions_MI</vt:lpstr>
      <vt:lpstr>Original</vt:lpstr>
      <vt:lpstr>Dmd Share</vt:lpstr>
      <vt:lpstr>BldgArea</vt:lpstr>
      <vt:lpstr>USDemand</vt:lpstr>
      <vt:lpstr>RTEKTY Conv</vt:lpstr>
      <vt:lpstr>Pop</vt:lpstr>
      <vt:lpstr>End Use Demand Share</vt:lpstr>
      <vt:lpstr>RECS RESID</vt:lpstr>
      <vt:lpstr>Rooftop Calc</vt:lpstr>
      <vt:lpstr>RESIDs</vt:lpstr>
      <vt:lpstr>AEO14 UEC</vt:lpstr>
      <vt:lpstr>AEO14 rsstk</vt:lpstr>
      <vt:lpstr>AEO14 RLT Techs</vt:lpstr>
      <vt:lpstr>RTEKTY14 agg</vt:lpstr>
      <vt:lpstr>RTEKTY14</vt:lpstr>
      <vt:lpstr>Conv Factors</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2014-06-02T18:38:56Z</cp:lastPrinted>
  <dcterms:created xsi:type="dcterms:W3CDTF">2005-05-01T12:39:10Z</dcterms:created>
  <dcterms:modified xsi:type="dcterms:W3CDTF">2025-06-02T18:36:32Z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629081368446350</vt:r8>
  </property>
  <property fmtid="{D5CDD505-2E9C-101B-9397-08002B2CF9AE}" pid="3" name="ContentTypeId">
    <vt:lpwstr>0x01010092854A4B9DA56A4E9E67ED7952786595</vt:lpwstr>
  </property>
  <property fmtid="{D5CDD505-2E9C-101B-9397-08002B2CF9AE}" pid="4" name="Record">
    <vt:lpwstr>Shared</vt:lpwstr>
  </property>
  <property fmtid="{D5CDD505-2E9C-101B-9397-08002B2CF9AE}" pid="5" name="Order">
    <vt:r8>11500</vt:r8>
  </property>
  <property fmtid="{D5CDD505-2E9C-101B-9397-08002B2CF9AE}" pid="6" name="Document Creation Date">
    <vt:lpwstr>2023-09-28T09:14:37Z</vt:lpwstr>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Language">
    <vt:lpwstr>English</vt:lpwstr>
  </property>
  <property fmtid="{D5CDD505-2E9C-101B-9397-08002B2CF9AE}" pid="13" name="xd_Signature">
    <vt:bool>false</vt:bool>
  </property>
  <property fmtid="{D5CDD505-2E9C-101B-9397-08002B2CF9AE}" pid="14" name="MediaServiceImageTags">
    <vt:lpwstr/>
  </property>
</Properties>
</file>